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showInkAnnotation="0" codeName="ThisWorkbook" defaultThemeVersion="124226"/>
  <mc:AlternateContent xmlns:mc="http://schemas.openxmlformats.org/markup-compatibility/2006">
    <mc:Choice Requires="x15">
      <x15ac:absPath xmlns:x15ac="http://schemas.microsoft.com/office/spreadsheetml/2010/11/ac" url="/Users/yowhatupitsgreg/Library/CloudStorage/GoogleDrive-greg@elysian.la/My Drive/Elysian Housing/0 - Active Projects/Olive Park - Oceanside/CDLAC/2025 4% ROUND 2 - Olive Park Apartments/"/>
    </mc:Choice>
  </mc:AlternateContent>
  <xr:revisionPtr revIDLastSave="0" documentId="13_ncr:1_{F297B8DD-F9BD-D24D-ACD0-A380091EB1B1}" xr6:coauthVersionLast="47" xr6:coauthVersionMax="47" xr10:uidLastSave="{00000000-0000-0000-0000-000000000000}"/>
  <bookViews>
    <workbookView xWindow="81440" yWindow="0" windowWidth="38400" windowHeight="2160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9" i="4" l="1"/>
  <c r="F30" i="4"/>
  <c r="AO629" i="3" l="1"/>
  <c r="O724" i="3" l="1"/>
  <c r="E99" i="4"/>
  <c r="O725" i="3"/>
  <c r="AA66" i="7"/>
  <c r="Y66" i="7"/>
  <c r="W66" i="7"/>
  <c r="U66" i="7"/>
  <c r="S66" i="7"/>
  <c r="Q66" i="7"/>
  <c r="O66" i="7"/>
  <c r="M66" i="7"/>
  <c r="K66" i="7"/>
  <c r="I66" i="7"/>
  <c r="G66" i="7"/>
  <c r="C60" i="7"/>
  <c r="E66" i="7"/>
  <c r="S45" i="4"/>
  <c r="E93" i="4"/>
  <c r="E92" i="4"/>
  <c r="E91" i="4"/>
  <c r="E89" i="4"/>
  <c r="E88" i="4"/>
  <c r="E86" i="4"/>
  <c r="E85" i="4"/>
  <c r="E84" i="4"/>
  <c r="E83" i="4"/>
  <c r="E80" i="4"/>
  <c r="E79" i="4"/>
  <c r="E76" i="4"/>
  <c r="E75" i="4"/>
  <c r="E73" i="4"/>
  <c r="E69" i="4"/>
  <c r="E67" i="4"/>
  <c r="E65" i="4"/>
  <c r="E59" i="4"/>
  <c r="E58" i="4"/>
  <c r="E56" i="4"/>
  <c r="E52" i="4"/>
  <c r="E51" i="4"/>
  <c r="E50" i="4"/>
  <c r="E48" i="4"/>
  <c r="E46" i="4"/>
  <c r="E49" i="4"/>
  <c r="E45" i="4"/>
  <c r="E43" i="4"/>
  <c r="E41" i="4"/>
  <c r="E40" i="4"/>
  <c r="E35" i="4"/>
  <c r="E36" i="4"/>
  <c r="E33" i="4"/>
  <c r="E32" i="4"/>
  <c r="E6" i="4"/>
  <c r="E13" i="4"/>
  <c r="E31" i="4"/>
  <c r="E29" i="4"/>
  <c r="F4" i="4"/>
  <c r="C30" i="4"/>
  <c r="E30" i="4"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R49" i="21" s="1" a="1"/>
  <c r="R49" i="21" s="1"/>
  <c r="N49" i="21"/>
  <c r="L50" i="21"/>
  <c r="M50" i="21"/>
  <c r="T50" i="21" s="1"/>
  <c r="N50" i="21"/>
  <c r="L51" i="21"/>
  <c r="M51" i="21"/>
  <c r="U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49" i="21" l="1" a="1"/>
  <c r="P49" i="21" s="1"/>
  <c r="S46" i="21"/>
  <c r="T48" i="21"/>
  <c r="S45" i="21"/>
  <c r="T53" i="21"/>
  <c r="T49" i="21"/>
  <c r="T51" i="21"/>
  <c r="S49" i="21"/>
  <c r="U47" i="21"/>
  <c r="S51" i="21"/>
  <c r="O49" i="21"/>
  <c r="P52" i="21" a="1"/>
  <c r="P52" i="21" s="1"/>
  <c r="U49" i="21"/>
  <c r="U48" i="21"/>
  <c r="R47" i="21" a="1"/>
  <c r="R47" i="21" s="1"/>
  <c r="S52" i="21"/>
  <c r="U53" i="21"/>
  <c r="R53" i="21" a="1"/>
  <c r="R53" i="21" s="1"/>
  <c r="R51" i="21" a="1"/>
  <c r="R51" i="21" s="1"/>
  <c r="U50" i="21"/>
  <c r="S48" i="21"/>
  <c r="P51" i="21" a="1"/>
  <c r="P51" i="21" s="1"/>
  <c r="S50" i="21"/>
  <c r="R48" i="21" a="1"/>
  <c r="R48" i="21" s="1"/>
  <c r="T47" i="21"/>
  <c r="U46" i="21"/>
  <c r="U45" i="21"/>
  <c r="O51" i="21"/>
  <c r="P50" i="21" a="1"/>
  <c r="P50" i="21" s="1"/>
  <c r="P48" i="21" a="1"/>
  <c r="P48" i="21" s="1"/>
  <c r="S47" i="21"/>
  <c r="T46" i="21"/>
  <c r="T45" i="21"/>
  <c r="O50"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7" i="13"/>
  <c r="F67" i="13" s="1"/>
  <c r="E68" i="13"/>
  <c r="E69" i="13"/>
  <c r="F69" i="13" s="1"/>
  <c r="B66" i="13"/>
  <c r="B67" i="13"/>
  <c r="C67" i="13" s="1"/>
  <c r="B68" i="13"/>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0" i="13"/>
  <c r="F90" i="13" s="1"/>
  <c r="E87" i="13"/>
  <c r="E65" i="13"/>
  <c r="F65" i="13" s="1"/>
  <c r="E53" i="13"/>
  <c r="F53" i="13" s="1"/>
  <c r="E52" i="13"/>
  <c r="F52" i="13" s="1"/>
  <c r="E51" i="13"/>
  <c r="F51" i="13" s="1"/>
  <c r="E50" i="13"/>
  <c r="F50" i="13" s="1"/>
  <c r="E49" i="13"/>
  <c r="F49" i="13" s="1"/>
  <c r="E48" i="13"/>
  <c r="F48" i="13" s="1"/>
  <c r="E47" i="13"/>
  <c r="F47" i="13" s="1"/>
  <c r="E45" i="13"/>
  <c r="F45" i="13" s="1"/>
  <c r="E43" i="13"/>
  <c r="F43" i="13" s="1"/>
  <c r="E41" i="13"/>
  <c r="F41" i="13" s="1"/>
  <c r="E40" i="13"/>
  <c r="F40" i="13" s="1"/>
  <c r="E37" i="13"/>
  <c r="E34" i="13"/>
  <c r="F34" i="13" s="1"/>
  <c r="E27" i="13"/>
  <c r="E25" i="13"/>
  <c r="E23" i="13"/>
  <c r="E22" i="13"/>
  <c r="E21" i="13"/>
  <c r="E20" i="13"/>
  <c r="E19" i="13"/>
  <c r="E18" i="13"/>
  <c r="E17" i="13"/>
  <c r="E15" i="13"/>
  <c r="E14" i="13"/>
  <c r="E13" i="13"/>
  <c r="F13" i="13" s="1"/>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B73" i="13"/>
  <c r="C73" i="13" s="1"/>
  <c r="B72" i="13"/>
  <c r="B65" i="13"/>
  <c r="C65" i="13" s="1"/>
  <c r="B61" i="13"/>
  <c r="B60" i="13"/>
  <c r="B59" i="13"/>
  <c r="C59" i="13" s="1"/>
  <c r="B58" i="13"/>
  <c r="C58" i="13" s="1"/>
  <c r="B57" i="13"/>
  <c r="B56" i="13"/>
  <c r="C56" i="13" s="1"/>
  <c r="B53" i="13"/>
  <c r="C53" i="13" s="1"/>
  <c r="B52" i="13"/>
  <c r="C52" i="13" s="1"/>
  <c r="B51" i="13"/>
  <c r="C51" i="13" s="1"/>
  <c r="B50" i="13"/>
  <c r="C50" i="13" s="1"/>
  <c r="B49" i="13"/>
  <c r="C49" i="13" s="1"/>
  <c r="B48" i="13"/>
  <c r="C48" i="13" s="1"/>
  <c r="B47" i="13"/>
  <c r="B46" i="13"/>
  <c r="C46" i="13" s="1"/>
  <c r="B45" i="13"/>
  <c r="C45" i="13" s="1"/>
  <c r="B43" i="13"/>
  <c r="C43" i="13" s="1"/>
  <c r="C42" i="4"/>
  <c r="B42" i="13" s="1"/>
  <c r="B41" i="13"/>
  <c r="C41" i="13" s="1"/>
  <c r="B40" i="13"/>
  <c r="C40"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S93" i="4" s="1"/>
  <c r="E93" i="13" s="1"/>
  <c r="F93" i="13" s="1"/>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R51" i="4"/>
  <c r="R50" i="4"/>
  <c r="R49" i="4"/>
  <c r="R48" i="4"/>
  <c r="R46" i="4"/>
  <c r="S46" i="4" s="1"/>
  <c r="E46" i="13" s="1"/>
  <c r="F46" i="13" s="1"/>
  <c r="R43" i="4"/>
  <c r="R41" i="4"/>
  <c r="R40" i="4"/>
  <c r="R37" i="4"/>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42" i="4"/>
  <c r="E42"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81" i="13" l="1"/>
  <c r="C77" i="13"/>
  <c r="S99" i="4"/>
  <c r="S104" i="4" s="1"/>
  <c r="F70" i="13"/>
  <c r="C42" i="13"/>
  <c r="C70" i="13"/>
  <c r="S38" i="4"/>
  <c r="E38" i="13" s="1"/>
  <c r="C54" i="13"/>
  <c r="C8" i="13"/>
  <c r="C12" i="13" s="1"/>
  <c r="E29" i="13"/>
  <c r="F29" i="13" s="1"/>
  <c r="F38" i="13" s="1"/>
  <c r="F54" i="13"/>
  <c r="C62" i="13"/>
  <c r="C96" i="13"/>
  <c r="F42" i="13"/>
  <c r="F81" i="13"/>
  <c r="S54" i="4"/>
  <c r="E54" i="13" s="1"/>
  <c r="C38" i="13"/>
  <c r="F96" i="13"/>
  <c r="S96" i="4"/>
  <c r="E96" i="13" s="1"/>
  <c r="S81" i="4"/>
  <c r="E81" i="13" s="1"/>
  <c r="D94" i="11"/>
  <c r="J9" i="8"/>
  <c r="D36" i="11"/>
  <c r="J5" i="8"/>
  <c r="J4" i="8"/>
  <c r="D35"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C63" i="13"/>
  <c r="C97" i="13" s="1"/>
  <c r="C105" i="13" s="1"/>
  <c r="BA1058" i="3"/>
  <c r="E104" i="13"/>
  <c r="F97" i="13"/>
  <c r="E99" i="13"/>
  <c r="F99" i="13" s="1"/>
  <c r="F104" i="13" s="1"/>
  <c r="S63" i="4"/>
  <c r="S97" i="4" s="1"/>
  <c r="D105" i="11"/>
  <c r="J40" i="8"/>
  <c r="Z809" i="3" s="1"/>
  <c r="E6" i="7"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63" i="13" l="1"/>
  <c r="F105" i="13"/>
  <c r="F107" i="13"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P706" i="20"/>
  <c r="I4" i="7"/>
  <c r="I5" i="7" s="1"/>
  <c r="K9" i="7"/>
  <c r="E11" i="7"/>
  <c r="E37" i="7" s="1"/>
  <c r="E49" i="7" s="1"/>
  <c r="AJ992" i="3"/>
  <c r="AJ1036" i="3" s="1"/>
  <c r="I15" i="21" s="1"/>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AJ1029" i="3"/>
  <c r="AJ1041" i="3"/>
  <c r="AJ994"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C62" i="7" s="1"/>
  <c r="AC66" i="7" l="1"/>
  <c r="AA70" i="7"/>
  <c r="AA72" i="7" s="1"/>
  <c r="AE47" i="7"/>
  <c r="AE60" i="7"/>
  <c r="AE66" i="7" s="1"/>
  <c r="AE48" i="7"/>
  <c r="AG49" i="7"/>
  <c r="AG45" i="7"/>
  <c r="AG48" i="7" l="1"/>
  <c r="AG60" i="7"/>
  <c r="AG66" i="7" s="1"/>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R45" i="4" l="1"/>
  <c r="P54" i="4"/>
  <c r="P63" i="4" s="1"/>
  <c r="P97" i="4" s="1"/>
  <c r="P105" i="4" s="1"/>
  <c r="R47" i="4"/>
  <c r="R54" i="4" l="1"/>
  <c r="R63"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<sst xmlns="http://schemas.openxmlformats.org/spreadsheetml/2006/main" count="5025" uniqueCount="2755">
  <si>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</si>
  <si>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</si>
  <si>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</si>
  <si>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</si>
  <si>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</si>
  <si>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</si>
  <si>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</si>
  <si>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</si>
  <si>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</si>
  <si>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</si>
  <si>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</si>
  <si>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</si>
  <si>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</si>
  <si>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</si>
  <si>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</si>
  <si>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</si>
  <si>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</si>
  <si>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</si>
  <si>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</si>
  <si>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</si>
  <si>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</si>
  <si>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</si>
  <si>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</si>
  <si>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</si>
  <si>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</si>
  <si>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</si>
  <si>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</si>
  <si>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</si>
  <si>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</si>
  <si>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</si>
  <si>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</si>
  <si>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</si>
  <si>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</si>
  <si>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</si>
  <si>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</si>
  <si>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</si>
  <si>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</si>
  <si>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</si>
  <si>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</si>
  <si>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</si>
  <si>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</si>
  <si>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</si>
  <si>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</si>
  <si>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</si>
  <si>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</si>
  <si>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</si>
  <si>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</si>
  <si>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</si>
  <si>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</si>
  <si>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</si>
  <si>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</si>
  <si>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</si>
  <si>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</si>
  <si>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</si>
  <si>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</si>
  <si>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</si>
  <si>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</si>
  <si>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</si>
  <si>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</si>
  <si>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</si>
  <si>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</si>
  <si>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</si>
  <si>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</si>
  <si>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</si>
  <si>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</si>
  <si>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</si>
  <si>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</si>
  <si>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</si>
  <si>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</si>
  <si>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</si>
  <si>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</si>
  <si>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</si>
  <si>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</si>
  <si>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</si>
  <si>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</si>
  <si>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</si>
  <si>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</si>
  <si>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</si>
  <si>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</si>
  <si>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</si>
  <si>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</si>
  <si>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</si>
  <si>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</si>
  <si>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</si>
  <si>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</si>
  <si>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</si>
  <si>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</si>
  <si>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</si>
  <si>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</si>
  <si>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</si>
  <si>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</si>
  <si>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</si>
  <si>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</si>
  <si>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</si>
  <si>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</si>
  <si>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</si>
  <si>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</si>
  <si>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</si>
  <si>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</si>
  <si>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</si>
  <si>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</si>
  <si>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</si>
  <si>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</si>
  <si>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</si>
  <si>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</si>
  <si>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</si>
  <si>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</si>
  <si>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</si>
  <si>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</si>
  <si>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</si>
  <si>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</si>
  <si>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</si>
  <si>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</si>
  <si>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</si>
  <si>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</si>
  <si>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</si>
  <si>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</si>
  <si>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</si>
  <si>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</si>
  <si>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</si>
  <si>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</si>
  <si>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</si>
  <si>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</si>
  <si>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</si>
  <si>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</si>
  <si>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</si>
  <si>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</si>
  <si>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</si>
  <si>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</si>
  <si>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</si>
  <si>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</si>
  <si>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</si>
  <si>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</si>
  <si>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</si>
  <si>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</si>
  <si>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</si>
  <si>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</si>
  <si>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</si>
  <si>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</si>
  <si>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</si>
  <si>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</si>
  <si>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</si>
  <si>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</si>
  <si>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</si>
  <si>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</si>
  <si>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</si>
  <si>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</si>
  <si>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</si>
  <si>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</si>
  <si>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</si>
  <si>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</si>
  <si>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</si>
  <si>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</si>
  <si>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</si>
  <si>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</si>
  <si>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</si>
  <si>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</si>
  <si>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</si>
  <si>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</si>
  <si>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</si>
  <si>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</si>
  <si>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</si>
  <si>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</si>
  <si>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</si>
  <si>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</si>
  <si>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</si>
  <si>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</si>
  <si>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</si>
  <si>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</si>
  <si>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</si>
  <si>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</si>
  <si>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</si>
  <si>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</si>
  <si>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</si>
  <si>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</si>
  <si>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</si>
  <si>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</si>
  <si>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</si>
  <si>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</si>
  <si>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</si>
  <si>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</si>
  <si>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</si>
  <si>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</si>
  <si>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</si>
  <si>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</si>
  <si>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</si>
  <si>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</si>
  <si>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</si>
  <si>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</si>
  <si>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</si>
  <si>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</si>
  <si>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</si>
  <si>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</si>
  <si>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</si>
  <si>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</si>
  <si>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</si>
  <si>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</si>
  <si>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</si>
  <si>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</si>
  <si>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</si>
  <si>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</si>
  <si>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</si>
  <si>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</si>
  <si>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</si>
  <si>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</si>
  <si>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</si>
  <si>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</si>
  <si>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</si>
  <si>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</si>
  <si>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</si>
  <si>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</si>
  <si>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</si>
  <si>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</si>
  <si>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</si>
  <si>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</si>
  <si>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</si>
  <si>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</si>
  <si>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</si>
  <si>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</si>
  <si>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</si>
  <si>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</si>
  <si>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</si>
  <si>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</si>
  <si>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</si>
  <si>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</si>
  <si>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</si>
  <si>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</si>
  <si>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</si>
  <si>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</si>
  <si>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</si>
  <si>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</si>
  <si>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</si>
  <si>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</si>
  <si>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</si>
  <si>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</si>
  <si>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</si>
  <si>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</si>
  <si>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</si>
  <si>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</si>
  <si>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</si>
  <si>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</si>
  <si>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</si>
  <si>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</si>
  <si>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</si>
  <si>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</si>
  <si>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</si>
  <si>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</si>
  <si>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</si>
  <si>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</si>
  <si>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</si>
  <si>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</si>
  <si>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</si>
  <si>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</si>
  <si>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</si>
  <si>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</si>
  <si>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</si>
  <si>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</si>
  <si>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</si>
  <si>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</si>
  <si>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</si>
  <si>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</si>
  <si>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</si>
  <si>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</si>
  <si>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</si>
  <si>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</si>
  <si>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</si>
  <si>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</si>
  <si>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</si>
  <si>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</si>
  <si>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</si>
  <si>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</si>
  <si>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</si>
  <si>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</si>
  <si>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</si>
  <si>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</si>
  <si>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</si>
  <si>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</si>
  <si>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</si>
  <si>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</si>
  <si>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</si>
  <si>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</si>
  <si>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</si>
  <si>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</si>
  <si>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</si>
  <si>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</si>
  <si>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</si>
  <si>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</si>
  <si>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</si>
  <si>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</si>
  <si>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</si>
  <si>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</si>
  <si>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</si>
  <si>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</si>
  <si>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</si>
  <si>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</si>
  <si>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</si>
  <si>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</si>
  <si>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</si>
  <si>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</si>
  <si>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</si>
  <si>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</si>
  <si>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</si>
  <si>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</si>
  <si>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</si>
  <si>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</si>
  <si>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</si>
  <si>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</si>
  <si>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</si>
  <si>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</si>
  <si>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</si>
  <si>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</si>
  <si>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</si>
  <si>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</si>
  <si>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</si>
  <si>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</si>
  <si>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</si>
  <si>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</si>
  <si>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</si>
  <si>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</si>
  <si>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</si>
  <si>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</si>
  <si>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</si>
  <si>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</si>
  <si>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</si>
  <si>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</si>
  <si>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</si>
  <si>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</si>
  <si>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</si>
  <si>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</si>
  <si>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</si>
  <si>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</si>
  <si>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</si>
  <si>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</si>
  <si>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</si>
  <si>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</si>
  <si>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</si>
  <si>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</si>
  <si>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</si>
  <si>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</si>
  <si>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</si>
  <si>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</si>
  <si>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</si>
  <si>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</si>
  <si>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</si>
  <si>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</si>
  <si>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</si>
  <si>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</si>
  <si>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</si>
  <si>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</si>
  <si>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</si>
  <si>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</si>
  <si>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</si>
  <si>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</si>
  <si>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</si>
  <si>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</si>
  <si>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</si>
  <si>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</si>
  <si>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Need to Provide</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</si>
  <si>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</si>
  <si>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</si>
  <si>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</si>
  <si>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</si>
  <si>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</si>
  <si>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</si>
  <si>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</si>
  <si>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</si>
  <si>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</si>
  <si>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</si>
  <si>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</si>
  <si>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</si>
  <si>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</si>
  <si>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</si>
  <si>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</si>
  <si>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</si>
  <si>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</si>
  <si>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</si>
  <si>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</si>
  <si>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</si>
  <si>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</si>
  <si>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</si>
  <si>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</si>
  <si>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</si>
  <si>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</si>
  <si>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</si>
  <si>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</si>
  <si>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</si>
  <si>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</si>
  <si>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</si>
  <si>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</si>
  <si>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</si>
  <si>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</si>
  <si>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</si>
  <si>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</si>
  <si>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</si>
  <si>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</si>
  <si>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</si>
  <si>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</si>
  <si>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</si>
  <si>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</si>
  <si>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</si>
  <si>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</si>
  <si>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</si>
  <si>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</si>
  <si>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</si>
  <si>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</si>
  <si>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</si>
  <si>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</si>
  <si>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</si>
  <si>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</si>
  <si>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</si>
  <si>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</si>
  <si>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</si>
  <si>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</si>
  <si>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</si>
  <si>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</si>
  <si>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</si>
  <si>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</si>
  <si>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</si>
  <si>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</si>
  <si>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</si>
  <si>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</si>
  <si>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</si>
  <si>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</si>
  <si>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</si>
  <si>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</si>
  <si>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</si>
  <si>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</si>
  <si>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</si>
  <si>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</si>
  <si>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</si>
  <si>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</si>
  <si>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</si>
  <si>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</si>
  <si>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</si>
  <si>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</si>
  <si>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</si>
  <si>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</si>
  <si>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</si>
  <si>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</si>
  <si>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</si>
  <si>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</si>
  <si>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</si>
  <si>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</si>
  <si>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</si>
  <si>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</si>
  <si>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</si>
  <si>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</si>
  <si>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</si>
  <si>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</si>
  <si>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</si>
  <si>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</si>
  <si>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</si>
  <si>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</si>
  <si>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</si>
  <si>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</si>
  <si>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</si>
  <si>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</si>
  <si>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</si>
  <si>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</si>
  <si>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</si>
  <si>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</si>
  <si>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</si>
  <si>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</si>
  <si>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</si>
  <si>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</si>
  <si>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</si>
  <si>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</si>
  <si>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</si>
  <si>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</si>
  <si>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</si>
  <si>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</si>
  <si>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</si>
  <si>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</si>
  <si>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</si>
  <si>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</si>
  <si>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</si>
  <si>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</si>
  <si>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</si>
  <si>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</si>
  <si>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</si>
  <si>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</si>
  <si>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</si>
  <si>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</si>
  <si>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</si>
  <si>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</si>
  <si>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</si>
  <si>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</si>
  <si>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</si>
  <si>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</si>
  <si>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</si>
  <si>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</si>
  <si>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</si>
  <si>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</si>
  <si>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</si>
  <si>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</si>
  <si>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</si>
  <si>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</si>
  <si>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</si>
  <si>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</si>
  <si>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</si>
  <si>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</si>
  <si>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</si>
  <si>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</si>
  <si>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</si>
  <si>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</si>
  <si>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</si>
  <si>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</si>
  <si>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</si>
  <si>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</si>
  <si>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</si>
  <si>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</si>
  <si>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</si>
  <si>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</si>
  <si>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</si>
  <si>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</si>
  <si>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</si>
  <si>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</si>
  <si>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</si>
  <si>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</si>
  <si>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</si>
  <si>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</si>
  <si>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</si>
  <si>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</si>
  <si>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</si>
  <si>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</si>
  <si>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</si>
  <si>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</si>
  <si>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</si>
  <si>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</si>
  <si>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</si>
  <si>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</si>
  <si>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</si>
  <si>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</si>
  <si>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</si>
  <si>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</si>
  <si>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</si>
  <si>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</si>
  <si>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</si>
  <si>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</si>
  <si>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</si>
  <si>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</si>
  <si>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</si>
  <si>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</si>
  <si>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</si>
  <si>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</si>
  <si>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</si>
  <si>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</si>
  <si>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</si>
  <si>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</si>
  <si>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</si>
  <si>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</si>
  <si>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</si>
  <si>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</si>
  <si>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</si>
  <si>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</si>
  <si>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</si>
  <si>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</si>
  <si>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</si>
  <si>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</si>
  <si>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</si>
  <si>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</si>
  <si>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</si>
  <si>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</si>
  <si>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</si>
  <si>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</si>
  <si>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</si>
  <si>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</si>
  <si>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</si>
  <si>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</si>
  <si>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</si>
  <si>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</si>
  <si>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</si>
  <si>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</si>
  <si>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</si>
  <si>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</si>
  <si>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</si>
  <si>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</si>
  <si>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</si>
  <si>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</si>
  <si>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</si>
  <si>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</si>
  <si>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</si>
  <si>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</si>
  <si>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</si>
  <si>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</si>
  <si>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</si>
  <si>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</si>
  <si>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</si>
  <si>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</si>
  <si>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</si>
  <si>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</si>
  <si>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</si>
  <si>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</si>
  <si>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</si>
  <si>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</si>
  <si>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</si>
  <si>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</si>
  <si>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</si>
  <si>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</si>
  <si>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</si>
  <si>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</si>
  <si>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</si>
  <si>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</si>
  <si>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</si>
  <si>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</si>
  <si>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</si>
  <si>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</si>
  <si>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</si>
  <si>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</si>
  <si>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</si>
  <si>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</si>
  <si>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</si>
  <si>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</si>
  <si>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</si>
  <si>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</si>
  <si>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</si>
  <si>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</si>
  <si>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</si>
  <si>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</si>
  <si>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</si>
  <si>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</si>
  <si>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</si>
  <si>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</si>
  <si>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</si>
  <si>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</si>
  <si>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</si>
  <si>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</si>
  <si>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</si>
  <si>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</si>
  <si>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</si>
  <si>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</si>
  <si>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</si>
  <si>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</si>
  <si>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</si>
  <si>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</si>
  <si>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</si>
  <si>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</si>
  <si>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</si>
  <si>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</si>
  <si>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</si>
  <si>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</si>
  <si>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</si>
  <si>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</si>
  <si>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</si>
  <si>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</si>
  <si>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</si>
  <si>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</si>
  <si>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</si>
  <si>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</si>
  <si>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</si>
  <si>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</si>
  <si>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</si>
  <si>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</si>
  <si>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</si>
  <si>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</si>
  <si>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</si>
  <si>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</si>
  <si>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</si>
  <si>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</si>
  <si>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</si>
  <si>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</si>
  <si>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</si>
  <si>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</si>
  <si>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</si>
  <si>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</si>
  <si>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</si>
  <si>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</si>
  <si>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</si>
  <si>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Capstone Equities, LLC</t>
  </si>
  <si>
    <t>MIP Amount</t>
  </si>
  <si>
    <t>PROJECT NAME:</t>
  </si>
  <si>
    <t>Olive Park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</si>
  <si>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</si>
  <si>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</si>
  <si>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</si>
  <si>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</si>
  <si>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</si>
  <si>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</si>
  <si>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</si>
  <si>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</si>
  <si>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</si>
  <si>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</si>
  <si>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</si>
  <si>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</si>
  <si>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</si>
  <si>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</si>
  <si>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</si>
  <si>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</si>
  <si>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</si>
  <si>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</si>
  <si>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</si>
  <si>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</si>
  <si>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</si>
  <si>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</si>
  <si>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</si>
  <si>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</si>
  <si>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</si>
  <si>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</si>
  <si>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</si>
  <si>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</si>
  <si>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</si>
  <si>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</si>
  <si>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</si>
  <si>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</si>
  <si>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</si>
  <si>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</si>
  <si>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</si>
  <si>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</si>
  <si>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</si>
  <si>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</si>
  <si>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</si>
  <si>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</si>
  <si>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</si>
  <si>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</si>
  <si>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</si>
  <si>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</si>
  <si>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</si>
  <si>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</si>
  <si>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</si>
  <si>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</si>
  <si>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</si>
  <si>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</si>
  <si>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</si>
  <si>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</si>
  <si>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</si>
  <si>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</si>
  <si>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</si>
  <si>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</si>
  <si>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</si>
  <si>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</si>
  <si>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</si>
  <si>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</si>
  <si>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</si>
  <si>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</si>
  <si>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</si>
  <si>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</si>
  <si>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</si>
  <si>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</si>
  <si>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</si>
  <si>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</si>
  <si>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</si>
  <si>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</si>
  <si>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</si>
  <si>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</si>
  <si>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</si>
  <si>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</si>
  <si>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</si>
  <si>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</si>
  <si>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</si>
  <si>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</si>
  <si>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</si>
  <si>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</si>
  <si>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</si>
  <si>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</si>
  <si>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</si>
  <si>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</si>
  <si>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</si>
  <si>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</si>
  <si>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</si>
  <si>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</si>
  <si>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</si>
  <si>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</si>
  <si>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</si>
  <si>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</si>
  <si>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</si>
  <si>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</si>
  <si>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</si>
  <si>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</si>
  <si>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</si>
  <si>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</si>
  <si>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</si>
  <si>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</si>
  <si>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</si>
  <si>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</si>
  <si>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</si>
  <si>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</si>
  <si>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</si>
  <si>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</si>
  <si>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</si>
  <si>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</si>
  <si>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</si>
  <si>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</si>
  <si>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</si>
  <si>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</si>
  <si>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</si>
  <si>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</si>
  <si>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</si>
  <si>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xml:space="preserve">May </t>
  </si>
  <si>
    <t>, 2025 at</t>
  </si>
  <si>
    <t>Oceanside</t>
  </si>
  <si>
    <t>, California.</t>
  </si>
  <si>
    <t xml:space="preserve">By: </t>
  </si>
  <si>
    <t>(Original Signature)</t>
  </si>
  <si>
    <t>Noami Pines</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</si>
  <si>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</si>
  <si>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</si>
  <si>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</si>
  <si>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</si>
  <si>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</si>
  <si>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</si>
  <si>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</si>
  <si>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</si>
  <si>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</si>
  <si>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</si>
  <si>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Oceanside</t>
  </si>
  <si>
    <t>Inland (Fresno, Imperial, Kern, Kings, Madera, Merced, Riverside, San Bernardino, Stanislaus, and Tulare Counties)</t>
  </si>
  <si>
    <t>4% 2025 TBLs</t>
  </si>
  <si>
    <t>9% 2025 TBLs</t>
  </si>
  <si>
    <t>City Manager:</t>
  </si>
  <si>
    <t>Sergio Madera</t>
  </si>
  <si>
    <t>Northern (Butte, El Dorado, Placer, Sacramento, San Joaquin, Shasta, Solano, Sutter, Yuba, and Yolo Counties)</t>
  </si>
  <si>
    <t>Title:</t>
  </si>
  <si>
    <t>City Manager</t>
  </si>
  <si>
    <t>N/A</t>
  </si>
  <si>
    <t xml:space="preserve">Mailing Address: </t>
  </si>
  <si>
    <t>300 N Coast Hwy Nevada Street Annex</t>
  </si>
  <si>
    <t>2024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</si>
  <si>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</si>
  <si>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</si>
  <si>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</si>
  <si>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</si>
  <si>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</si>
  <si>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</si>
  <si>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</si>
  <si>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</si>
  <si>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</si>
  <si>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</si>
  <si>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760-735-3377</t>
  </si>
  <si>
    <t>Ext.</t>
  </si>
  <si>
    <t>AMADOR</t>
  </si>
  <si>
    <t>Amador</t>
  </si>
  <si>
    <t>County</t>
  </si>
  <si>
    <t>SRO/Studio</t>
  </si>
  <si>
    <t>1 Bedroom</t>
  </si>
  <si>
    <t>2 Bedrooms</t>
  </si>
  <si>
    <t>3 Bedrooms</t>
  </si>
  <si>
    <t>4 Bedrooms</t>
  </si>
  <si>
    <t>5 Bedrooms</t>
  </si>
  <si>
    <t>SRO/STUDIO</t>
  </si>
  <si>
    <t>4+ Bedrooms</t>
  </si>
  <si>
    <t xml:space="preserve">FAX Number: </t>
  </si>
  <si>
    <t>760-757-9076</t>
  </si>
  <si>
    <t>BUTTE</t>
  </si>
  <si>
    <t>Butte</t>
  </si>
  <si>
    <t xml:space="preserve">E-mail: </t>
  </si>
  <si>
    <t>smadera@oceansideca.org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</si>
  <si>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</si>
  <si>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</si>
  <si>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</si>
  <si>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</si>
  <si>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</si>
  <si>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</si>
  <si>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</si>
  <si>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</si>
  <si>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</si>
  <si>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</si>
  <si>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</si>
  <si>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</si>
  <si>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</si>
  <si>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</si>
  <si>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</si>
  <si>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</si>
  <si>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</si>
  <si>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</si>
  <si>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</si>
  <si>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</si>
  <si>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</si>
  <si>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</si>
  <si>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</si>
  <si>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</si>
  <si>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</si>
  <si>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</si>
  <si>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</si>
  <si>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</si>
  <si>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</si>
  <si>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</si>
  <si>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</si>
  <si>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</si>
  <si>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</si>
  <si>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</si>
  <si>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</si>
  <si>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</si>
  <si>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</si>
  <si>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</si>
  <si>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</si>
  <si>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</si>
  <si>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</si>
  <si>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</si>
  <si>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</si>
  <si>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</si>
  <si>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</si>
  <si>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</si>
  <si>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</si>
  <si>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</si>
  <si>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</si>
  <si>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</si>
  <si>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</si>
  <si>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</si>
  <si>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</si>
  <si>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</si>
  <si>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</si>
  <si>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</si>
  <si>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</si>
  <si>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</si>
  <si>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</si>
  <si>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</si>
  <si>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</si>
  <si>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</si>
  <si>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</si>
  <si>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</si>
  <si>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</si>
  <si>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</si>
  <si>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</si>
  <si>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</si>
  <si>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</si>
  <si>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</si>
  <si>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</si>
  <si>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</si>
  <si>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</si>
  <si>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</si>
  <si>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</si>
  <si>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</si>
  <si>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</si>
  <si>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</si>
  <si>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</si>
  <si>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</si>
  <si>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</si>
  <si>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</si>
  <si>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Western terminus of Olive Drive, approx. 1,000' west of College Boulevard</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</si>
  <si>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</si>
  <si>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</si>
  <si>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</si>
  <si>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</si>
  <si>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</si>
  <si>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</si>
  <si>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</si>
  <si>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</si>
  <si>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</si>
  <si>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</si>
  <si>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</si>
  <si>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</si>
  <si>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</si>
  <si>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</si>
  <si>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</si>
  <si>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162-111-04-00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</si>
  <si>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</si>
  <si>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</si>
  <si>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</si>
  <si>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</si>
  <si>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</si>
  <si>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</si>
  <si>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</si>
  <si>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</si>
  <si>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</si>
  <si>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</si>
  <si>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</si>
  <si>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</si>
  <si>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</si>
  <si>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</si>
  <si>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</si>
  <si>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</si>
  <si>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</si>
  <si>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</si>
  <si>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</si>
  <si>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</si>
  <si>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</si>
  <si>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</si>
  <si>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</si>
  <si>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</si>
  <si>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</si>
  <si>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</si>
  <si>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</si>
  <si>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</si>
  <si>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</si>
  <si>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</si>
  <si>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</si>
  <si>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</si>
  <si>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</si>
  <si>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</si>
  <si>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</si>
  <si>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</si>
  <si>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</si>
  <si>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</si>
  <si>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</si>
  <si>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</si>
  <si>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</si>
  <si>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</si>
  <si>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</si>
  <si>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</si>
  <si>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</si>
  <si>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</si>
  <si>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</si>
  <si>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</si>
  <si>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</si>
  <si>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</si>
  <si>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</si>
  <si>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</si>
  <si>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</si>
  <si>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</si>
  <si>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</si>
  <si>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</si>
  <si>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</si>
  <si>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</si>
  <si>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</si>
  <si>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</si>
  <si>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</si>
  <si>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</si>
  <si>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</si>
  <si>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</si>
  <si>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</si>
  <si>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</si>
  <si>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</si>
  <si>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</si>
  <si>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</si>
  <si>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</si>
  <si>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</si>
  <si>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</si>
  <si>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</si>
  <si>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</si>
  <si>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</si>
  <si>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</si>
  <si>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</si>
  <si>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</si>
  <si>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</si>
  <si>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</si>
  <si>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</si>
  <si>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</si>
  <si>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</si>
  <si>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</si>
  <si>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</si>
  <si>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</si>
  <si>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</si>
  <si>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</si>
  <si>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</si>
  <si>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</si>
  <si>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</si>
  <si>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</si>
  <si>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</si>
  <si>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</si>
  <si>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</si>
  <si>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</si>
  <si>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</si>
  <si>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</si>
  <si>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</si>
  <si>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</si>
  <si>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</si>
  <si>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</si>
  <si>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</si>
  <si>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</si>
  <si>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</si>
  <si>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</si>
  <si>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</si>
  <si>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</si>
  <si>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</si>
  <si>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</si>
  <si>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</si>
  <si>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</si>
  <si>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</si>
  <si>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</si>
  <si>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</si>
  <si>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</si>
  <si>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</si>
  <si>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</si>
  <si>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</si>
  <si>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</si>
  <si>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</si>
  <si>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5455 Wilshire Boulevard, Ste. 1020</t>
  </si>
  <si>
    <t>State:</t>
  </si>
  <si>
    <t>CA</t>
  </si>
  <si>
    <t>Contact Person:</t>
  </si>
  <si>
    <t>Brian Mikail</t>
  </si>
  <si>
    <t>Phone:</t>
  </si>
  <si>
    <t>310-666-6860</t>
  </si>
  <si>
    <t>Ext.:</t>
  </si>
  <si>
    <t>Fax:</t>
  </si>
  <si>
    <t>both nonprofits</t>
  </si>
  <si>
    <t xml:space="preserve">Email: </t>
  </si>
  <si>
    <t>bmikail@capstoneequities.com</t>
  </si>
  <si>
    <t>Legal Status of Applicant:</t>
  </si>
  <si>
    <t>Parent Company:</t>
  </si>
  <si>
    <t>If Other, Specify:</t>
  </si>
  <si>
    <t xml:space="preserve">Limited Liability Company </t>
  </si>
  <si>
    <t>both for-profit</t>
  </si>
  <si>
    <t>General Partner(s) Information (post-closing GPs):</t>
  </si>
  <si>
    <t>D(1)</t>
  </si>
  <si>
    <t>General Partner Name:</t>
  </si>
  <si>
    <t>CE Olive Park Apartments I, LLC</t>
  </si>
  <si>
    <t>Administrative GP</t>
  </si>
  <si>
    <t>5455 Wilshire Boulevard, Ste. 1012</t>
  </si>
  <si>
    <t>OWNERSHIP</t>
  </si>
  <si>
    <t>Nonprofit</t>
  </si>
  <si>
    <t>INTEREST (%):</t>
  </si>
  <si>
    <t>currently exists</t>
  </si>
  <si>
    <t>to be formed</t>
  </si>
  <si>
    <t>For Profit</t>
  </si>
  <si>
    <t>Nonprofit/For Profit:</t>
  </si>
  <si>
    <t>D(2)</t>
  </si>
  <si>
    <t>General Partner Name:*</t>
  </si>
  <si>
    <t xml:space="preserve">Las Palmas Foundation </t>
  </si>
  <si>
    <t>Managing GP</t>
  </si>
  <si>
    <t>531 Encinitas Boulevard, Ste. 206</t>
  </si>
  <si>
    <t>Encinitas</t>
  </si>
  <si>
    <t>760-944-9050</t>
  </si>
  <si>
    <t>npines@laspalmashousing.com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</si>
  <si>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</si>
  <si>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</si>
  <si>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</si>
  <si>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</si>
  <si>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</si>
  <si>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</si>
  <si>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</si>
  <si>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</si>
  <si>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</si>
  <si>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Sabelhaus &amp; Strain PC</t>
  </si>
  <si>
    <t>1724 10th Street, Ste. 110</t>
  </si>
  <si>
    <t xml:space="preserve">Stephen A. Strain </t>
  </si>
  <si>
    <t>916-444-0286</t>
  </si>
  <si>
    <t xml:space="preserve">sstrain@sabelhauslaw.com </t>
  </si>
  <si>
    <t>Participatory Role:</t>
  </si>
  <si>
    <t xml:space="preserve">Consultant / Attorney </t>
  </si>
  <si>
    <t>(e.g., General Partner, Consultant, etc.)</t>
  </si>
  <si>
    <t>II. APPLICATION - SECTION 4: DEVELOPMENT TEAM INFORMATION</t>
  </si>
  <si>
    <t>Indicate and List All Development Team Members</t>
  </si>
  <si>
    <t>Developer:</t>
  </si>
  <si>
    <t>Architect:</t>
  </si>
  <si>
    <t>STK Architects</t>
  </si>
  <si>
    <t>Address:</t>
  </si>
  <si>
    <t>5455 Wilshire Boulevard #1012</t>
  </si>
  <si>
    <t>20 Corporate Park, Ste. 190</t>
  </si>
  <si>
    <t>City, State, Zip</t>
  </si>
  <si>
    <t>Los Angeles, CA 90036</t>
  </si>
  <si>
    <t>City, State, Zip:</t>
  </si>
  <si>
    <t>Irvine, CA 92606</t>
  </si>
  <si>
    <t xml:space="preserve">Soong Kim </t>
  </si>
  <si>
    <t>949-444-6869</t>
  </si>
  <si>
    <t>Email:</t>
  </si>
  <si>
    <t>info@stkarch.com</t>
  </si>
  <si>
    <t>Attorney:</t>
  </si>
  <si>
    <t>General Contractor:</t>
  </si>
  <si>
    <t xml:space="preserve">W.E. O'Neil Construction </t>
  </si>
  <si>
    <t>201 Lomas Santa Fe Drive, Ste. 380</t>
  </si>
  <si>
    <t>Sacramento, CA 95811</t>
  </si>
  <si>
    <t>Solana Beach, CA 92075</t>
  </si>
  <si>
    <t>Stephen A. Strain</t>
  </si>
  <si>
    <t>Bill Hearne</t>
  </si>
  <si>
    <t>858-926-4087</t>
  </si>
  <si>
    <t>Tax Professional:</t>
  </si>
  <si>
    <t>Energy Consultant:</t>
  </si>
  <si>
    <t>CPA:</t>
  </si>
  <si>
    <t>Bernard E. Rea, CPA</t>
  </si>
  <si>
    <t>Investor:</t>
  </si>
  <si>
    <t>R4 Capital</t>
  </si>
  <si>
    <t>P.O. Box 492</t>
  </si>
  <si>
    <t>895 Dove Street, Suite 450</t>
  </si>
  <si>
    <t>Aubrey, TX 76227</t>
  </si>
  <si>
    <t>Newport Beach, CA 92660</t>
  </si>
  <si>
    <t>Bernie Rea</t>
  </si>
  <si>
    <t>Cory Bannister</t>
  </si>
  <si>
    <t>209-933-9113</t>
  </si>
  <si>
    <t>949-438-1055</t>
  </si>
  <si>
    <t>209-933-9115</t>
  </si>
  <si>
    <t>breacpa@aol.com</t>
  </si>
  <si>
    <t>cbannister@r4cap.com</t>
  </si>
  <si>
    <t>Consultant:</t>
  </si>
  <si>
    <t>Market Analyst:</t>
  </si>
  <si>
    <t>The Concord Group</t>
  </si>
  <si>
    <t>140 Newport Center Drive #210</t>
  </si>
  <si>
    <t>Michael Reynolds</t>
  </si>
  <si>
    <t>949-717-6450</t>
  </si>
  <si>
    <t>sstrain@sabelhauslaw.com</t>
  </si>
  <si>
    <t>mdr@theconcordgroup.com</t>
  </si>
  <si>
    <t>Appraiser:</t>
  </si>
  <si>
    <t>CNA Consultant:</t>
  </si>
  <si>
    <t>Bond Issuer:</t>
  </si>
  <si>
    <t xml:space="preserve">California Municipal Finance Authority </t>
  </si>
  <si>
    <t>Prop. Mgmt. Co.:</t>
  </si>
  <si>
    <t xml:space="preserve">CONAM Management Corporation </t>
  </si>
  <si>
    <t>2111 Palomar Airport Road, Suite 302</t>
  </si>
  <si>
    <t>3990 Ruffin Road #100</t>
  </si>
  <si>
    <t>Carlsbad, CA 92011</t>
  </si>
  <si>
    <t>San Diego, CA 92123</t>
  </si>
  <si>
    <t>Anthony Stubbs</t>
  </si>
  <si>
    <t>858-614-7200</t>
  </si>
  <si>
    <t>760-930-1333</t>
  </si>
  <si>
    <t>760-683-3390</t>
  </si>
  <si>
    <t xml:space="preserve">astubbs@cmfa-ca.com </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</si>
  <si>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</si>
  <si>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</si>
  <si>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</si>
  <si>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</si>
  <si>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</si>
  <si>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</si>
  <si>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</si>
  <si>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</si>
  <si>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</si>
  <si>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</si>
  <si>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</si>
  <si>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</si>
  <si>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</si>
  <si>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</si>
  <si>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</si>
  <si>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</si>
  <si>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</si>
  <si>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</si>
  <si>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</si>
  <si>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</si>
  <si>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</si>
  <si>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</si>
  <si>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</si>
  <si>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</si>
  <si>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</si>
  <si>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</si>
  <si>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</si>
  <si>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</si>
  <si>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</si>
  <si>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</si>
  <si>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</si>
  <si>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</si>
  <si>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</si>
  <si>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Oceanside Trolley Place, LLC</t>
  </si>
  <si>
    <t>Signatory of Seller:</t>
  </si>
  <si>
    <t xml:space="preserve">Gregory Smith </t>
  </si>
  <si>
    <t>Seller Principal:</t>
  </si>
  <si>
    <t>Seller Address:</t>
  </si>
  <si>
    <t>8495 Redwood Creek Lane</t>
  </si>
  <si>
    <t>San Diego, CA 92126</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</si>
  <si>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</si>
  <si>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</si>
  <si>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</si>
  <si>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</si>
  <si>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</si>
  <si>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</si>
  <si>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</si>
  <si>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</si>
  <si>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</si>
  <si>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</si>
  <si>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</si>
  <si>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</si>
  <si>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</si>
  <si>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</si>
  <si>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</si>
  <si>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</si>
  <si>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</si>
  <si>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</si>
  <si>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</si>
  <si>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</si>
  <si>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</si>
  <si>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</si>
  <si>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</si>
  <si>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</si>
  <si>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</si>
  <si>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</si>
  <si>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</si>
  <si>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</si>
  <si>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</si>
  <si>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Four-story multifamily apartment buildings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</si>
  <si>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</si>
  <si>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</si>
  <si>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</si>
  <si>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</si>
  <si>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</si>
  <si>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</si>
  <si>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</si>
  <si>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</si>
  <si>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</si>
  <si>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</si>
  <si>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</si>
  <si>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</si>
  <si>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</si>
  <si>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</si>
  <si>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</si>
  <si>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</si>
  <si>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</si>
  <si>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</si>
  <si>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</si>
  <si>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</si>
  <si>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</si>
  <si>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</si>
  <si>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</si>
  <si>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</si>
  <si>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</si>
  <si>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</si>
  <si>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</si>
  <si>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</si>
  <si>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</si>
  <si>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</si>
  <si>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</si>
  <si>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</si>
  <si>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</si>
  <si>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</si>
  <si>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</si>
  <si>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</si>
  <si>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</si>
  <si>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</si>
  <si>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</si>
  <si>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</si>
  <si>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</si>
  <si>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</si>
  <si>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</si>
  <si>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</si>
  <si>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</si>
  <si>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</si>
  <si>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</si>
  <si>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</si>
  <si>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</si>
  <si>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</si>
  <si>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 xml:space="preserve">Family </t>
  </si>
  <si>
    <t>Units with tenants qualifying as two or more of the above (explain):</t>
  </si>
  <si>
    <t>II. APPLICATION - SECTION 6:  REQUIRED APPROVALS &amp; DEVELOPMENT TIMETABLE</t>
  </si>
  <si>
    <t>Project and Site Information</t>
  </si>
  <si>
    <t>Current Land Use Designation</t>
  </si>
  <si>
    <t>MDA-R: Medium Density Residential; 9.9 du/ac</t>
  </si>
  <si>
    <t>Current Zoning and Maximum Density</t>
  </si>
  <si>
    <t>RS: Residential Single Family; 5.9 du/ac</t>
  </si>
  <si>
    <t>Proposed Zoning and Maximum Density</t>
  </si>
  <si>
    <t>RS: Residential Single Family; 5.77 du/ac</t>
  </si>
  <si>
    <t>Occupancy restrictions that run with the land due to CUP’s or density bonuses?</t>
  </si>
  <si>
    <t>Subject to Inclusionary Zoning?</t>
  </si>
  <si>
    <t>Building Height Requirements</t>
  </si>
  <si>
    <t>44 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</si>
  <si>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</si>
  <si>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</si>
  <si>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</si>
  <si>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</si>
  <si>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</si>
  <si>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</si>
  <si>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</si>
  <si>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</si>
  <si>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</si>
  <si>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</si>
  <si>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</si>
  <si>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</si>
  <si>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</si>
  <si>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</si>
  <si>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</si>
  <si>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</si>
  <si>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</si>
  <si>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</si>
  <si>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</si>
  <si>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</si>
  <si>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</si>
  <si>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</si>
  <si>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</si>
  <si>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</si>
  <si>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</si>
  <si>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</si>
  <si>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</si>
  <si>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</si>
  <si>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</si>
  <si>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</si>
  <si>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</si>
  <si>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</si>
  <si>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</si>
  <si>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</si>
  <si>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</si>
  <si>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</si>
  <si>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Oceanside - HOME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</si>
  <si>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</si>
  <si>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</si>
  <si>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</si>
  <si>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</si>
  <si>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</si>
  <si>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</si>
  <si>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</si>
  <si>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</si>
  <si>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</si>
  <si>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</si>
  <si>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</si>
  <si>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</si>
  <si>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</si>
  <si>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</si>
  <si>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</si>
  <si>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</si>
  <si>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</si>
  <si>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</si>
  <si>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</si>
  <si>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</si>
  <si>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</si>
  <si>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</si>
  <si>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</si>
  <si>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</si>
  <si>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</si>
  <si>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</si>
  <si>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</si>
  <si>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</si>
  <si>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</si>
  <si>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</si>
  <si>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</si>
  <si>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</si>
  <si>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</si>
  <si>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</si>
  <si>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</si>
  <si>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</si>
  <si>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Citi - Tax Exempt </t>
  </si>
  <si>
    <t>Variable</t>
  </si>
  <si>
    <t>Citi - Recycled Tax Exempt</t>
  </si>
  <si>
    <t>Citi - Taxable</t>
  </si>
  <si>
    <t>Fixed</t>
  </si>
  <si>
    <t>Federal Tax Credit Equity</t>
  </si>
  <si>
    <t>6)</t>
  </si>
  <si>
    <t>Deferred Costs</t>
  </si>
  <si>
    <t>7)</t>
  </si>
  <si>
    <t>Deferred Developer Fee</t>
  </si>
  <si>
    <t>8)</t>
  </si>
  <si>
    <t>9)</t>
  </si>
  <si>
    <t>10)</t>
  </si>
  <si>
    <t>11)</t>
  </si>
  <si>
    <t>12)</t>
  </si>
  <si>
    <t>Total Funds For Construction:</t>
  </si>
  <si>
    <t>Lender/Source:</t>
  </si>
  <si>
    <t>325 E Hillcrest Dr., Suite 160</t>
  </si>
  <si>
    <t>Thousand Oaks, CA 91360</t>
  </si>
  <si>
    <t>Contact Name:</t>
  </si>
  <si>
    <t>Mike Hemmens</t>
  </si>
  <si>
    <t>(805) 358-5673</t>
  </si>
  <si>
    <t>Type of Financing:</t>
  </si>
  <si>
    <t>Tax Exempt Construction Loan</t>
  </si>
  <si>
    <t>Variable Rate Index (if applicable):</t>
  </si>
  <si>
    <t>Term SOFR</t>
  </si>
  <si>
    <t>Is the Lender/Source Committed?</t>
  </si>
  <si>
    <t>300 N Coast Highway</t>
  </si>
  <si>
    <t>Oceanside, CA 92054</t>
  </si>
  <si>
    <t>Leilani Hines</t>
  </si>
  <si>
    <t>(760) 435-3360</t>
  </si>
  <si>
    <t xml:space="preserve">Taxable Construction Loan </t>
  </si>
  <si>
    <t>Residual Receipt Loan</t>
  </si>
  <si>
    <t>5455 Wilshire Boulevard, Suite 1012</t>
  </si>
  <si>
    <t>Brian M ikail</t>
  </si>
  <si>
    <t xml:space="preserve">LIHTC Equity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</si>
  <si>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</si>
  <si>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</si>
  <si>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</si>
  <si>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</si>
  <si>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</si>
  <si>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</si>
  <si>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Permanent Loan - Tax</t>
  </si>
  <si>
    <t>Required</t>
  </si>
  <si>
    <t>Residual</t>
  </si>
  <si>
    <t>Deferred</t>
  </si>
  <si>
    <t>Total Permanent Financing:</t>
  </si>
  <si>
    <t>Total Tax Credit Equity:</t>
  </si>
  <si>
    <t>Total Sources of Project Funds:</t>
  </si>
  <si>
    <t xml:space="preserve">325 E Hillcrest Dr., Suite 160 </t>
  </si>
  <si>
    <t xml:space="preserve">300 N Coast Highway </t>
  </si>
  <si>
    <t>Tax Exempt Permanent Loan</t>
  </si>
  <si>
    <t>5455 Wilshire Blvd, Ste. 1012</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</si>
  <si>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</si>
  <si>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</si>
  <si>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</si>
  <si>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</si>
  <si>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</si>
  <si>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</si>
  <si>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</si>
  <si>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</si>
  <si>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</si>
  <si>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</si>
  <si>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</si>
  <si>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</si>
  <si>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</si>
  <si>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</si>
  <si>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</si>
  <si>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</si>
  <si>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</si>
  <si>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</si>
  <si>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</si>
  <si>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</si>
  <si>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</si>
  <si>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</si>
  <si>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</si>
  <si>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</si>
  <si>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</si>
  <si>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</si>
  <si>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</si>
  <si>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</si>
  <si>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</si>
  <si>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</si>
  <si>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</si>
  <si>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</si>
  <si>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</si>
  <si>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</si>
  <si>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</si>
  <si>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</si>
  <si>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</si>
  <si>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</si>
  <si>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</si>
  <si>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</si>
  <si>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</si>
  <si>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</si>
  <si>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</si>
  <si>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</si>
  <si>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</si>
  <si>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</si>
  <si>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</si>
  <si>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</si>
  <si>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</si>
  <si>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</si>
  <si>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</si>
  <si>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</si>
  <si>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</si>
  <si>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</si>
  <si>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</si>
  <si>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</si>
  <si>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</si>
  <si>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</si>
  <si>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</si>
  <si>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</si>
  <si>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</si>
  <si>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</si>
  <si>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</si>
  <si>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</si>
  <si>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</si>
  <si>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</si>
  <si>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</si>
  <si>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TBD</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</si>
  <si>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</si>
  <si>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</si>
  <si>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</si>
  <si>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</si>
  <si>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</si>
  <si>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</si>
  <si>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</si>
  <si>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</si>
  <si>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</si>
  <si>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</si>
  <si>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</si>
  <si>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</si>
  <si>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</si>
  <si>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</si>
  <si>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</si>
  <si>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</si>
  <si>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</si>
  <si>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</si>
  <si>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</si>
  <si>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</si>
  <si>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</si>
  <si>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</si>
  <si>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</si>
  <si>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</si>
  <si>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Oceanside Housing Authority </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</si>
  <si>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</si>
  <si>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</si>
  <si>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</si>
  <si>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</si>
  <si>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</si>
  <si>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</si>
  <si>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</si>
  <si>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</si>
  <si>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</si>
  <si>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</si>
  <si>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</si>
  <si>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</si>
  <si>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</si>
  <si>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</si>
  <si>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</si>
  <si>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</si>
  <si>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</si>
  <si>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</si>
  <si>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</si>
  <si>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</si>
  <si>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and Payroll Taxes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</si>
  <si>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</si>
  <si>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</si>
  <si>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</si>
  <si>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</si>
  <si>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</si>
  <si>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</si>
  <si>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</si>
  <si>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</si>
  <si>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</si>
  <si>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</si>
  <si>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</si>
  <si>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</si>
  <si>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</si>
  <si>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</si>
  <si>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</si>
  <si>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</si>
  <si>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</si>
  <si>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</si>
  <si>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</si>
  <si>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</si>
  <si>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</si>
  <si>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</si>
  <si>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</si>
  <si>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</si>
  <si>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</si>
  <si>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</si>
  <si>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</si>
  <si>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</si>
  <si>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</si>
  <si>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</si>
  <si>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</si>
  <si>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</si>
  <si>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</si>
  <si>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</si>
  <si>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</si>
  <si>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</si>
  <si>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</si>
  <si>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</si>
  <si>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</si>
  <si>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</si>
  <si>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</si>
  <si>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</si>
  <si>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</si>
  <si>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</si>
  <si>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</si>
  <si>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</si>
  <si>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</si>
  <si>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</si>
  <si>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</si>
  <si>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</si>
  <si>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</si>
  <si>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</si>
  <si>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</si>
  <si>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</si>
  <si>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</si>
  <si>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</si>
  <si>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</si>
  <si>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</si>
  <si>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</si>
  <si>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</si>
  <si>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</si>
  <si>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</si>
  <si>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</si>
  <si>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</si>
  <si>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</si>
  <si>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</si>
  <si>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</si>
  <si>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</si>
  <si>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</si>
  <si>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Recycled Bonds</t>
  </si>
  <si>
    <t>Indicate By Percent Of Units Affected, Any Rental Subsidy Expected To Be Available To The Project.</t>
  </si>
  <si>
    <t>Approval Date:</t>
  </si>
  <si>
    <t>Source:</t>
  </si>
  <si>
    <t>Oceanside Housing</t>
  </si>
  <si>
    <t>HUD-VASH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</si>
  <si>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</si>
  <si>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</si>
  <si>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</si>
  <si>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</si>
  <si>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</si>
  <si>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</si>
  <si>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</si>
  <si>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</si>
  <si>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</si>
  <si>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</si>
  <si>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</si>
  <si>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</si>
  <si>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</si>
  <si>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</si>
  <si>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</si>
  <si>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</si>
  <si>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</si>
  <si>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</si>
  <si>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</si>
  <si>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</si>
  <si>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</si>
  <si>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</si>
  <si>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</si>
  <si>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</si>
  <si>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</si>
  <si>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</si>
  <si>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</si>
  <si>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</si>
  <si>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</si>
  <si>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</si>
  <si>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</si>
  <si>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</si>
  <si>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</si>
  <si>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</si>
  <si>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Project-based Vouchers // City of Oceanside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</si>
  <si>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</si>
  <si>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</si>
  <si>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</si>
  <si>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</si>
  <si>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</si>
  <si>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</si>
  <si>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</si>
  <si>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</si>
  <si>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</si>
  <si>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</si>
  <si>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</si>
  <si>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</si>
  <si>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</si>
  <si>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</si>
  <si>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</si>
  <si>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</si>
  <si>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</si>
  <si>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</si>
  <si>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</si>
  <si>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</si>
  <si>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</si>
  <si>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</si>
  <si>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</si>
  <si>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</si>
  <si>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</si>
  <si>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</si>
  <si>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</si>
  <si>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</si>
  <si>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</si>
  <si>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</si>
  <si>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</si>
  <si>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</si>
  <si>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</si>
  <si>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</si>
  <si>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</si>
  <si>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</si>
  <si>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</si>
  <si>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</si>
  <si>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</si>
  <si>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</si>
  <si>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</si>
  <si>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</si>
  <si>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</si>
  <si>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</si>
  <si>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</si>
  <si>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</si>
  <si>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</si>
  <si>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</si>
  <si>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</si>
  <si>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</si>
  <si>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</si>
  <si>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</si>
  <si>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</si>
  <si>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</si>
  <si>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</si>
  <si>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</si>
  <si>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</si>
  <si>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</si>
  <si>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</si>
  <si>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</si>
  <si>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</si>
  <si>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</si>
  <si>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</si>
  <si>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</si>
  <si>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</si>
  <si>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</si>
  <si>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</si>
  <si>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</si>
  <si>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</si>
  <si>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</si>
  <si>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</si>
  <si>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</si>
  <si>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</si>
  <si>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</si>
  <si>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</si>
  <si>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</si>
  <si>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</si>
  <si>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</si>
  <si>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</si>
  <si>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</si>
  <si>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</si>
  <si>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</si>
  <si>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</si>
  <si>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</si>
  <si>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</si>
  <si>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</si>
  <si>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</si>
  <si>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</si>
  <si>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</si>
  <si>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</si>
  <si>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</si>
  <si>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</si>
  <si>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</si>
  <si>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</si>
  <si>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</si>
  <si>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</si>
  <si>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</si>
  <si>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</si>
  <si>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</si>
  <si>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</si>
  <si>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</si>
  <si>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</si>
  <si>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</si>
  <si>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</si>
  <si>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</si>
  <si>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</si>
  <si>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</si>
  <si>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</si>
  <si>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</si>
  <si>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</si>
  <si>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</si>
  <si>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</si>
  <si>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</si>
  <si>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</si>
  <si>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</si>
  <si>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</si>
  <si>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</si>
  <si>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</si>
  <si>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</si>
  <si>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</si>
  <si>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</si>
  <si>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</si>
  <si>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</si>
  <si>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</si>
  <si>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</si>
  <si>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</si>
  <si>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</si>
  <si>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</si>
  <si>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</si>
  <si>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</si>
  <si>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</si>
  <si>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</si>
  <si>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</si>
  <si>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</si>
  <si>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</si>
  <si>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</si>
  <si>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</si>
  <si>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</si>
  <si>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Transaction Legal</t>
  </si>
  <si>
    <t>Total Legal and Consulting Costs</t>
  </si>
  <si>
    <t>RESERVES</t>
  </si>
  <si>
    <t>Rent Reserves</t>
  </si>
  <si>
    <t>Capitalized Rent Reserves</t>
  </si>
  <si>
    <t>Required Capitalized Replacement Reserve</t>
  </si>
  <si>
    <t>3-Month Operating Reserve</t>
  </si>
  <si>
    <t>Partnership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</si>
  <si>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</si>
  <si>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</si>
  <si>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</si>
  <si>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</si>
  <si>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</si>
  <si>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</si>
  <si>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</si>
  <si>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</si>
  <si>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</si>
  <si>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</si>
  <si>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</si>
  <si>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</si>
  <si>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</si>
  <si>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</si>
  <si>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</si>
  <si>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</si>
  <si>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Hookups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</si>
  <si>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</si>
  <si>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</si>
  <si>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</si>
  <si>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</si>
  <si>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</si>
  <si>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</si>
  <si>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</si>
  <si>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</si>
  <si>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</si>
  <si>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</si>
  <si>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</si>
  <si>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</si>
  <si>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</si>
  <si>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</si>
  <si>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</si>
  <si>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</si>
  <si>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</si>
  <si>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</si>
  <si>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</si>
  <si>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</si>
  <si>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</si>
  <si>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</si>
  <si>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</si>
  <si>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</si>
  <si>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</si>
  <si>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</si>
  <si>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</si>
  <si>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</si>
  <si>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</si>
  <si>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</si>
  <si>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</si>
  <si>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</si>
  <si>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</si>
  <si>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</si>
  <si>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</si>
  <si>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</si>
  <si>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</si>
  <si>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</si>
  <si>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</si>
  <si>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</si>
  <si>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</si>
  <si>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</si>
  <si>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</si>
  <si>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</si>
  <si>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</si>
  <si>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</si>
  <si>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</si>
  <si>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</si>
  <si>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</si>
  <si>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</si>
  <si>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</si>
  <si>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</si>
  <si>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</si>
  <si>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</si>
  <si>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</si>
  <si>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</si>
  <si>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</si>
  <si>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</si>
  <si>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</si>
  <si>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</si>
  <si>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</si>
  <si>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</si>
  <si>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</si>
  <si>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</si>
  <si>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</si>
  <si>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</si>
  <si>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</si>
  <si>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</si>
  <si>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</si>
  <si>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</si>
  <si>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</si>
  <si>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</si>
  <si>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</si>
  <si>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</si>
  <si>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</si>
  <si>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</si>
  <si>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</si>
  <si>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</si>
  <si>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</si>
  <si>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</si>
  <si>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</si>
  <si>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</si>
  <si>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</si>
  <si>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</si>
  <si>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</si>
  <si>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</si>
  <si>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</si>
  <si>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</si>
  <si>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</si>
  <si>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</si>
  <si>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</si>
  <si>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</si>
  <si>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</si>
  <si>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</si>
  <si>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</si>
  <si>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</si>
  <si>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</si>
  <si>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</si>
  <si>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</si>
  <si>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</si>
  <si>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</si>
  <si>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</si>
  <si>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</si>
  <si>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</si>
  <si>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</si>
  <si>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</si>
  <si>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</si>
  <si>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</si>
  <si>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</si>
  <si>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</si>
  <si>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</si>
  <si>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</si>
  <si>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</si>
  <si>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</si>
  <si>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</si>
  <si>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</si>
  <si>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</si>
  <si>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</si>
  <si>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</si>
  <si>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</si>
  <si>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</si>
  <si>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</si>
  <si>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</si>
  <si>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</si>
  <si>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</si>
  <si>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</si>
  <si>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</si>
  <si>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</si>
  <si>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</si>
  <si>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</si>
  <si>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</si>
  <si>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</si>
  <si>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</si>
  <si>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</si>
  <si>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</si>
  <si>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</si>
  <si>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</si>
  <si>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</si>
  <si>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</si>
  <si>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</si>
  <si>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</si>
  <si>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</si>
  <si>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</si>
  <si>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</si>
  <si>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</si>
  <si>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</si>
  <si>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</si>
  <si>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</si>
  <si>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</si>
  <si>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</si>
  <si>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</si>
  <si>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</si>
  <si>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</si>
  <si>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</si>
  <si>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</si>
  <si>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</si>
  <si>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</si>
  <si>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</si>
  <si>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</si>
  <si>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</si>
  <si>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</si>
  <si>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</si>
  <si>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</si>
  <si>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</si>
  <si>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</si>
  <si>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</si>
  <si>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</si>
  <si>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</si>
  <si>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</si>
  <si>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</si>
  <si>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</si>
  <si>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</si>
  <si>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</si>
  <si>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</si>
  <si>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</si>
  <si>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</si>
  <si>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</si>
  <si>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</si>
  <si>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</si>
  <si>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</si>
  <si>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</si>
  <si>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</si>
  <si>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</si>
  <si>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</si>
  <si>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</si>
  <si>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</si>
  <si>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</si>
  <si>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</si>
  <si>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</si>
  <si>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</si>
  <si>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</si>
  <si>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</si>
  <si>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</si>
  <si>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</si>
  <si>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</si>
  <si>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</si>
  <si>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</si>
  <si>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</si>
  <si>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</si>
  <si>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</si>
  <si>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</si>
  <si>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</si>
  <si>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</si>
  <si>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</si>
  <si>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</si>
  <si>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</si>
  <si>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</si>
  <si>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</si>
  <si>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</si>
  <si>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</si>
  <si>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</si>
  <si>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</si>
  <si>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</si>
  <si>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</si>
  <si>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</si>
  <si>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</si>
  <si>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</si>
  <si>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</si>
  <si>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</si>
  <si>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</si>
  <si>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</si>
  <si>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</si>
  <si>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</si>
  <si>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</si>
  <si>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</si>
  <si>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</si>
  <si>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</si>
  <si>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</si>
  <si>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</si>
  <si>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</si>
  <si>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</si>
  <si>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</si>
  <si>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</si>
  <si>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</si>
  <si>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</si>
  <si>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</si>
  <si>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</si>
  <si>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</si>
  <si>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</si>
  <si>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</si>
  <si>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</si>
  <si>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</si>
  <si>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</si>
  <si>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</si>
  <si>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</si>
  <si>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</si>
  <si>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</si>
  <si>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</si>
  <si>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</si>
  <si>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</si>
  <si>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</si>
  <si>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</si>
  <si>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</si>
  <si>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</si>
  <si>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</si>
  <si>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</si>
  <si>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</si>
  <si>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</si>
  <si>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</si>
  <si>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</si>
  <si>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</si>
  <si>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</si>
  <si>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</si>
  <si>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</si>
  <si>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</si>
  <si>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</si>
  <si>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</si>
  <si>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</si>
  <si>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</si>
  <si>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</si>
  <si>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</si>
  <si>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</si>
  <si>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</si>
  <si>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</si>
  <si>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</si>
  <si>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</si>
  <si>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</si>
  <si>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</si>
  <si>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</si>
  <si>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</si>
  <si>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</si>
  <si>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</si>
  <si>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</si>
  <si>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</si>
  <si>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</si>
  <si>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</si>
  <si>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</si>
  <si>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</si>
  <si>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</si>
  <si>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</si>
  <si>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</si>
  <si>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</si>
  <si>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</si>
  <si>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</si>
  <si>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</si>
  <si>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</si>
  <si>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</si>
  <si>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</si>
  <si>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</si>
  <si>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</si>
  <si>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</si>
  <si>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</si>
  <si>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</si>
  <si>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</si>
  <si>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</si>
  <si>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</si>
  <si>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</si>
  <si>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</si>
  <si>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</si>
  <si>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</si>
  <si>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</si>
  <si>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</si>
  <si>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</si>
  <si>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</si>
  <si>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</si>
  <si>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</si>
  <si>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</si>
  <si>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</si>
  <si>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</si>
  <si>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</si>
  <si>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</si>
  <si>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</si>
  <si>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</si>
  <si>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</si>
  <si>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</si>
  <si>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</si>
  <si>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</si>
  <si>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</si>
  <si>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</si>
  <si>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</si>
  <si>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</si>
  <si>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</si>
  <si>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</si>
  <si>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</si>
  <si>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</si>
  <si>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</si>
  <si>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</si>
  <si>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</si>
  <si>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</si>
  <si>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</si>
  <si>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</si>
  <si>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</si>
  <si>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</si>
  <si>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</si>
  <si>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</si>
  <si>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</si>
  <si>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</si>
  <si>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</si>
  <si>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</si>
  <si>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</si>
  <si>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</si>
  <si>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</si>
  <si>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</si>
  <si>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</si>
  <si>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</si>
  <si>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</si>
  <si>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</si>
  <si>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</si>
  <si>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</si>
  <si>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</si>
  <si>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</si>
  <si>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</si>
  <si>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</si>
  <si>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</si>
  <si>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</si>
  <si>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</si>
  <si>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</si>
  <si>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</si>
  <si>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</si>
  <si>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</si>
  <si>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</si>
  <si>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</si>
  <si>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</si>
  <si>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</si>
  <si>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</si>
  <si>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</si>
  <si>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</si>
  <si>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</si>
  <si>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</si>
  <si>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</si>
  <si>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</si>
  <si>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</si>
  <si>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</si>
  <si>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</si>
  <si>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</si>
  <si>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</si>
  <si>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</si>
  <si>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</si>
  <si>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</si>
  <si>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</si>
  <si>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</si>
  <si>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</si>
  <si>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</si>
  <si>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</si>
  <si>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</si>
  <si>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</si>
  <si>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</si>
  <si>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</si>
  <si>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</si>
  <si>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</si>
  <si>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</si>
  <si>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</si>
  <si>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CMFA 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</si>
  <si>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</si>
  <si>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</si>
  <si>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</si>
  <si>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</si>
  <si>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</si>
  <si>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</si>
  <si>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</si>
  <si>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</si>
  <si>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</si>
  <si>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</si>
  <si>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</si>
  <si>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</si>
  <si>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</si>
  <si>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</si>
  <si>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</si>
  <si>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</si>
  <si>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</si>
  <si>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</si>
  <si>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</si>
  <si>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</si>
  <si>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</si>
  <si>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</si>
  <si>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</si>
  <si>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</si>
  <si>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</si>
  <si>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</si>
  <si>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</si>
  <si>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</si>
  <si>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</si>
  <si>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</si>
  <si>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</si>
  <si>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</si>
  <si>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</si>
  <si>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</si>
  <si>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</si>
  <si>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</si>
  <si>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</si>
  <si>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</si>
  <si>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</si>
  <si>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</si>
  <si>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</si>
  <si>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</si>
  <si>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</si>
  <si>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</si>
  <si>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</si>
  <si>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</si>
  <si>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</si>
  <si>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</si>
  <si>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</si>
  <si>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</si>
  <si>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</si>
  <si>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</si>
  <si>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</si>
  <si>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</si>
  <si>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</si>
  <si>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</si>
  <si>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</si>
  <si>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</si>
  <si>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</si>
  <si>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</si>
  <si>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</si>
  <si>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</si>
  <si>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</si>
  <si>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</si>
  <si>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</si>
  <si>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</si>
  <si>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</si>
  <si>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</si>
  <si>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</si>
  <si>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</si>
  <si>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</si>
  <si>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</si>
  <si>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</si>
  <si>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</si>
  <si>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</si>
  <si>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</si>
  <si>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</si>
  <si>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</si>
  <si>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</si>
  <si>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</si>
  <si>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</si>
  <si>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</si>
  <si>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</si>
  <si>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</si>
  <si>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</si>
  <si>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</si>
  <si>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</si>
  <si>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</si>
  <si>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</si>
  <si>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</si>
  <si>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</si>
  <si>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</si>
  <si>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</si>
  <si>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</si>
  <si>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</si>
  <si>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</si>
  <si>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</si>
  <si>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</si>
  <si>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</si>
  <si>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</si>
  <si>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</si>
  <si>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</si>
  <si>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</si>
  <si>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</si>
  <si>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</si>
  <si>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</si>
  <si>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</si>
  <si>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</si>
  <si>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</si>
  <si>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</si>
  <si>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</si>
  <si>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</si>
  <si>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</si>
  <si>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</si>
  <si>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</si>
  <si>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</si>
  <si>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</si>
  <si>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</si>
  <si>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</si>
  <si>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</si>
  <si>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</si>
  <si>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</si>
  <si>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</si>
  <si>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</si>
  <si>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</si>
  <si>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</si>
  <si>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</si>
  <si>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</si>
  <si>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</si>
  <si>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</si>
  <si>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</si>
  <si>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</si>
  <si>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</si>
  <si>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</si>
  <si>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</si>
  <si>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</si>
  <si>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</si>
  <si>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</si>
  <si>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</si>
  <si>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</si>
  <si>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</si>
  <si>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</si>
  <si>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</si>
  <si>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</si>
  <si>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</si>
  <si>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</si>
  <si>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</si>
  <si>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</si>
  <si>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</si>
  <si>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</si>
  <si>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</si>
  <si>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</si>
  <si>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</si>
  <si>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</si>
  <si>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</si>
  <si>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</si>
  <si>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</si>
  <si>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</si>
  <si>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</si>
  <si>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</si>
  <si>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</si>
  <si>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</si>
  <si>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</si>
  <si>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</si>
  <si>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</si>
  <si>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</si>
  <si>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</si>
  <si>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</si>
  <si>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</si>
  <si>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</si>
  <si>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</si>
  <si>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</si>
  <si>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</si>
  <si>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</si>
  <si>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</si>
  <si>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</si>
  <si>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</si>
  <si>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</si>
  <si>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</si>
  <si>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</si>
  <si>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</si>
  <si>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</si>
  <si>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</si>
  <si>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</si>
  <si>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</si>
  <si>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</si>
  <si>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</si>
  <si>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</si>
  <si>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</si>
  <si>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</si>
  <si>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</si>
  <si>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</si>
  <si>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</si>
  <si>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</si>
  <si>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</si>
  <si>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</si>
  <si>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</si>
  <si>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</si>
  <si>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</si>
  <si>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</si>
  <si>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</si>
  <si>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</si>
  <si>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</si>
  <si>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</si>
  <si>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</si>
  <si>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</si>
  <si>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</si>
  <si>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</si>
  <si>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</si>
  <si>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</si>
  <si>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</si>
  <si>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</si>
  <si>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</si>
  <si>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</si>
  <si>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</si>
  <si>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</si>
  <si>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</si>
  <si>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</si>
  <si>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</si>
  <si>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</si>
  <si>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</si>
  <si>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</si>
  <si>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</si>
  <si>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</si>
  <si>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</si>
  <si>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</si>
  <si>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</si>
  <si>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</si>
  <si>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</si>
  <si>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</si>
  <si>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</si>
  <si>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</si>
  <si>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</si>
  <si>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</si>
  <si>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</si>
  <si>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</si>
  <si>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</si>
  <si>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</si>
  <si>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</si>
  <si>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</si>
  <si>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</si>
  <si>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</si>
  <si>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</si>
  <si>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</si>
  <si>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</si>
  <si>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</si>
  <si>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</si>
  <si>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</si>
  <si>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</si>
  <si>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</si>
  <si>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</si>
  <si>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</si>
  <si>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</si>
  <si>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</si>
  <si>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</si>
  <si>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</si>
  <si>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</si>
  <si>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</si>
  <si>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</si>
  <si>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</si>
  <si>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</si>
  <si>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</si>
  <si>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</si>
  <si>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</si>
  <si>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</si>
  <si>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</si>
  <si>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</si>
  <si>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</si>
  <si>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</si>
  <si>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</si>
  <si>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</si>
  <si>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</si>
  <si>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</si>
  <si>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</si>
  <si>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</si>
  <si>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</si>
  <si>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</si>
  <si>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</si>
  <si>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</si>
  <si>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</si>
  <si>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</si>
  <si>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</si>
  <si>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</si>
  <si>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</si>
  <si>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</si>
  <si>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</si>
  <si>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</si>
  <si>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</si>
  <si>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</si>
  <si>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</si>
  <si>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</si>
  <si>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</si>
  <si>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</si>
  <si>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</si>
  <si>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</si>
  <si>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</si>
  <si>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</si>
  <si>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</si>
  <si>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</si>
  <si>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</si>
  <si>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</si>
  <si>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</si>
  <si>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</si>
  <si>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</si>
  <si>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</si>
  <si>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</si>
  <si>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</si>
  <si>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</si>
  <si>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</si>
  <si>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</si>
  <si>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</si>
  <si>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</si>
  <si>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</si>
  <si>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</si>
  <si>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</si>
  <si>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</si>
  <si>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</si>
  <si>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</si>
  <si>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</si>
  <si>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</si>
  <si>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</si>
  <si>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</si>
  <si>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</si>
  <si>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</si>
  <si>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</si>
  <si>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</si>
  <si>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</si>
  <si>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</si>
  <si>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</si>
  <si>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</si>
  <si>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</si>
  <si>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</si>
  <si>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</si>
  <si>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</si>
  <si>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</si>
  <si>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</si>
  <si>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</si>
  <si>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</si>
  <si>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</si>
  <si>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</si>
  <si>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</si>
  <si>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</si>
  <si>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</si>
  <si>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</si>
  <si>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</si>
  <si>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</si>
  <si>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</si>
  <si>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</si>
  <si>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</si>
  <si>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</si>
  <si>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</si>
  <si>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</si>
  <si>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</si>
  <si>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</si>
  <si>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</si>
  <si>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</si>
  <si>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</si>
  <si>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</si>
  <si>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</si>
  <si>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</si>
  <si>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</si>
  <si>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</si>
  <si>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</si>
  <si>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</si>
  <si>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</si>
  <si>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</si>
  <si>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</si>
  <si>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</si>
  <si>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</si>
  <si>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</si>
  <si>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</si>
  <si>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</si>
  <si>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</si>
  <si>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</si>
  <si>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</si>
  <si>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</si>
  <si>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</si>
  <si>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</si>
  <si>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</si>
  <si>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</si>
  <si>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</si>
  <si>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</si>
  <si>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</si>
  <si>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</si>
  <si>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</si>
  <si>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</si>
  <si>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</si>
  <si>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</si>
  <si>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</si>
  <si>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</si>
  <si>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</si>
  <si>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</si>
  <si>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</si>
  <si>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</si>
  <si>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</si>
  <si>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</si>
  <si>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</si>
  <si>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</si>
  <si>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</si>
  <si>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</si>
  <si>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</si>
  <si>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</si>
  <si>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</si>
  <si>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</si>
  <si>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</si>
  <si>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</si>
  <si>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</si>
  <si>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</si>
  <si>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</si>
  <si>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</si>
  <si>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</si>
  <si>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</si>
  <si>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</si>
  <si>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</si>
  <si>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</si>
  <si>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</si>
  <si>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</si>
  <si>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</si>
  <si>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</si>
  <si>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</si>
  <si>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</si>
  <si>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</si>
  <si>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</si>
  <si>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</si>
  <si>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</si>
  <si>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City of Oceanside (HOME + Project Based Vouchers)</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</si>
  <si>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</si>
  <si>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</si>
  <si>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</si>
  <si>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</si>
  <si>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</si>
  <si>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</si>
  <si>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</si>
  <si>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</si>
  <si>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</si>
  <si>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</si>
  <si>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</si>
  <si>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</si>
  <si>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</si>
  <si>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</si>
  <si>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</si>
  <si>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</si>
  <si>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</si>
  <si>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</si>
  <si>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</si>
  <si>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</si>
  <si>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</si>
  <si>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</si>
  <si>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</si>
  <si>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</si>
  <si>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</si>
  <si>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</si>
  <si>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</si>
  <si>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</si>
  <si>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</si>
  <si>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</si>
  <si>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</si>
  <si>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</si>
  <si>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</si>
  <si>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</si>
  <si>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</si>
  <si>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</si>
  <si>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</si>
  <si>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</si>
  <si>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</si>
  <si>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</si>
  <si>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</si>
  <si>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</si>
  <si>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</si>
  <si>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</si>
  <si>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</si>
  <si>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</si>
  <si>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</si>
  <si>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</si>
  <si>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</si>
  <si>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</si>
  <si>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</si>
  <si>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</si>
  <si>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</si>
  <si>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</si>
  <si>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</si>
  <si>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</si>
  <si>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</si>
  <si>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</si>
  <si>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</si>
  <si>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</si>
  <si>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</si>
  <si>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</si>
  <si>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</si>
  <si>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</si>
  <si>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</si>
  <si>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</si>
  <si>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</si>
  <si>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</si>
  <si>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</si>
  <si>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</si>
  <si>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</si>
  <si>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</si>
  <si>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</si>
  <si>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</si>
  <si>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</si>
  <si>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</si>
  <si>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</si>
  <si>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</si>
  <si>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</si>
  <si>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</si>
  <si>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</si>
  <si>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</si>
  <si>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</si>
  <si>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</si>
  <si>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</si>
  <si>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</si>
  <si>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</si>
  <si>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</si>
  <si>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Managing Member</t>
  </si>
  <si>
    <t>895 Dove Street, Suite 495</t>
  </si>
  <si>
    <t>(949) 438-1055</t>
  </si>
  <si>
    <t>(310) 666-6860</t>
  </si>
  <si>
    <t>Land Use Covenant to be Recoeded at Closing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</si>
</sst>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8" fillId="36" borderId="18" applyNumberFormat="0" applyAlignment="0" applyProtection="0"/>
    <xf numFmtId="0" fontId="78" fillId="36" borderId="18" applyNumberFormat="0" applyAlignment="0" applyProtection="0"/>
    <xf numFmtId="0" fontId="79" fillId="37"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2"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2" fillId="0" borderId="0" applyFont="0" applyFill="0" applyBorder="0" applyAlignment="0" applyProtection="0"/>
    <xf numFmtId="44" fontId="6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6" fillId="0" borderId="0" applyFont="0" applyFill="0" applyBorder="0" applyAlignment="0" applyProtection="0"/>
    <xf numFmtId="44" fontId="26" fillId="0" borderId="0" applyFont="0" applyFill="0" applyBorder="0" applyAlignment="0" applyProtection="0"/>
    <xf numFmtId="0" fontId="80" fillId="0" borderId="0" applyNumberFormat="0" applyFill="0" applyBorder="0" applyAlignment="0" applyProtection="0"/>
    <xf numFmtId="0" fontId="81" fillId="38"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86" fillId="0" borderId="23" applyNumberFormat="0" applyFill="0" applyAlignment="0" applyProtection="0"/>
    <xf numFmtId="0" fontId="87" fillId="40" borderId="0" applyNumberFormat="0" applyBorder="0" applyAlignment="0" applyProtection="0"/>
    <xf numFmtId="0" fontId="88" fillId="0" borderId="0"/>
    <xf numFmtId="0" fontId="52" fillId="0" borderId="0"/>
    <xf numFmtId="0" fontId="88" fillId="0" borderId="0"/>
    <xf numFmtId="0" fontId="52" fillId="0" borderId="0"/>
    <xf numFmtId="0" fontId="52"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2" fillId="0" borderId="0"/>
    <xf numFmtId="169" fontId="53" fillId="0" borderId="0"/>
    <xf numFmtId="0" fontId="75" fillId="0" borderId="0"/>
    <xf numFmtId="0" fontId="26" fillId="0" borderId="0"/>
    <xf numFmtId="0" fontId="26" fillId="0" borderId="0"/>
    <xf numFmtId="0" fontId="58" fillId="0" borderId="0"/>
    <xf numFmtId="0" fontId="52" fillId="0" borderId="0"/>
    <xf numFmtId="0" fontId="58" fillId="0" borderId="0"/>
    <xf numFmtId="0" fontId="52" fillId="0" borderId="0"/>
    <xf numFmtId="0" fontId="63" fillId="0" borderId="0"/>
    <xf numFmtId="0" fontId="52"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75" fillId="0" borderId="0"/>
    <xf numFmtId="0" fontId="75" fillId="0" borderId="0"/>
    <xf numFmtId="0" fontId="75" fillId="0" borderId="0"/>
    <xf numFmtId="0" fontId="75" fillId="0" borderId="0"/>
    <xf numFmtId="0" fontId="63" fillId="0" borderId="0"/>
    <xf numFmtId="0" fontId="52" fillId="0" borderId="0">
      <alignment vertical="top"/>
    </xf>
    <xf numFmtId="0" fontId="75" fillId="0" borderId="0"/>
    <xf numFmtId="0" fontId="75" fillId="0" borderId="0"/>
    <xf numFmtId="0" fontId="75" fillId="0" borderId="0"/>
    <xf numFmtId="0" fontId="75" fillId="0" borderId="0"/>
    <xf numFmtId="0" fontId="63"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5" fillId="0" borderId="0"/>
    <xf numFmtId="0" fontId="58"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52" fillId="0" borderId="0">
      <alignment vertical="top"/>
    </xf>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17" fillId="0" borderId="0" applyProtection="0">
      <protection locked="0"/>
    </xf>
    <xf numFmtId="0" fontId="26" fillId="0" borderId="0" applyProtection="0">
      <protection locked="0"/>
    </xf>
    <xf numFmtId="0" fontId="26" fillId="0" borderId="0" applyProtection="0">
      <protection locked="0"/>
    </xf>
    <xf numFmtId="0" fontId="53" fillId="0" borderId="0"/>
    <xf numFmtId="0" fontId="17" fillId="0" borderId="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90" fillId="36" borderId="25" applyNumberFormat="0" applyAlignment="0" applyProtection="0"/>
    <xf numFmtId="0" fontId="90" fillId="36" borderId="25" applyNumberFormat="0" applyAlignment="0" applyProtection="0"/>
    <xf numFmtId="0" fontId="22"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10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9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10" fillId="0" borderId="0" applyFont="0" applyFill="0" applyBorder="0" applyAlignment="0" applyProtection="0"/>
    <xf numFmtId="0" fontId="11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3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4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0">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49" fontId="17" fillId="0" borderId="0" xfId="543" applyNumberFormat="1"/>
    <xf numFmtId="0" fontId="17" fillId="0" borderId="8" xfId="543" applyBorder="1"/>
    <xf numFmtId="0" fontId="17" fillId="0" borderId="9" xfId="543" applyBorder="1"/>
    <xf numFmtId="0" fontId="17" fillId="0" borderId="10" xfId="543" applyBorder="1"/>
    <xf numFmtId="0" fontId="17" fillId="0" borderId="1" xfId="543" applyBorder="1"/>
    <xf numFmtId="0" fontId="17" fillId="0" borderId="12" xfId="543" applyBorder="1"/>
    <xf numFmtId="0" fontId="17" fillId="0" borderId="2" xfId="543" applyBorder="1"/>
    <xf numFmtId="0" fontId="17" fillId="0" borderId="7" xfId="543" applyBorder="1"/>
    <xf numFmtId="0" fontId="17" fillId="0" borderId="0" xfId="543" applyAlignment="1">
      <alignment horizontal="center"/>
    </xf>
    <xf numFmtId="0" fontId="25" fillId="0" borderId="6" xfId="543" applyFont="1" applyBorder="1" applyAlignment="1">
      <alignment vertical="top" wrapText="1"/>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1"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17" fillId="0" borderId="0" xfId="0" applyFont="1" applyAlignment="1">
      <alignment horizontal="left"/>
    </xf>
    <xf numFmtId="0" fontId="17" fillId="0" borderId="0" xfId="0" applyFont="1" applyAlignment="1">
      <alignment vertical="top"/>
    </xf>
    <xf numFmtId="0" fontId="40"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2" fillId="0" borderId="0" xfId="0" applyFont="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47" fillId="0" borderId="3" xfId="0" applyFont="1" applyBorder="1" applyAlignment="1">
      <alignment horizontal="left" vertical="top"/>
    </xf>
    <xf numFmtId="0" fontId="47" fillId="0" borderId="13" xfId="0" applyFont="1" applyBorder="1" applyAlignment="1">
      <alignment horizontal="center" wrapText="1"/>
    </xf>
    <xf numFmtId="0" fontId="47" fillId="0" borderId="13" xfId="0" applyFont="1" applyBorder="1" applyAlignment="1">
      <alignment horizontal="center" vertical="top" wrapText="1"/>
    </xf>
    <xf numFmtId="0" fontId="47" fillId="2" borderId="13" xfId="0" applyFont="1" applyFill="1" applyBorder="1" applyAlignment="1">
      <alignment horizontal="center" wrapText="1"/>
    </xf>
    <xf numFmtId="0" fontId="48" fillId="2" borderId="11" xfId="0" applyFont="1" applyFill="1" applyBorder="1" applyAlignment="1">
      <alignment horizontal="left" vertical="top" wrapText="1"/>
    </xf>
    <xf numFmtId="0" fontId="49" fillId="0" borderId="11" xfId="0" applyFont="1" applyBorder="1" applyAlignment="1">
      <alignment vertical="top" wrapText="1"/>
    </xf>
    <xf numFmtId="0" fontId="47" fillId="0" borderId="11" xfId="0" applyFont="1" applyBorder="1" applyAlignment="1">
      <alignment horizontal="right" vertical="top" wrapText="1"/>
    </xf>
    <xf numFmtId="168" fontId="47" fillId="0" borderId="11" xfId="0" applyNumberFormat="1" applyFont="1" applyBorder="1" applyAlignment="1">
      <alignment vertical="top" wrapText="1"/>
    </xf>
    <xf numFmtId="0" fontId="47" fillId="2" borderId="11" xfId="0" applyFont="1" applyFill="1" applyBorder="1" applyAlignment="1">
      <alignment vertical="top" wrapText="1"/>
    </xf>
    <xf numFmtId="0" fontId="47" fillId="0" borderId="11" xfId="0" applyFont="1" applyBorder="1" applyAlignment="1">
      <alignment vertical="top" wrapText="1"/>
    </xf>
    <xf numFmtId="0" fontId="20" fillId="0" borderId="11" xfId="0" applyFont="1" applyBorder="1" applyAlignment="1">
      <alignment horizontal="right" vertical="top" wrapText="1"/>
    </xf>
    <xf numFmtId="0" fontId="47" fillId="0" borderId="0" xfId="0" applyFont="1" applyAlignment="1">
      <alignment horizontal="left" vertical="top"/>
    </xf>
    <xf numFmtId="0" fontId="49" fillId="0" borderId="0" xfId="0" applyFont="1" applyAlignment="1">
      <alignment vertical="top" wrapText="1"/>
    </xf>
    <xf numFmtId="0" fontId="47" fillId="0" borderId="0" xfId="0" applyFont="1" applyAlignment="1">
      <alignment horizontal="right" vertical="top"/>
    </xf>
    <xf numFmtId="0" fontId="49" fillId="2" borderId="0" xfId="0" applyFont="1" applyFill="1" applyAlignment="1">
      <alignment vertical="top" wrapText="1"/>
    </xf>
    <xf numFmtId="0" fontId="47" fillId="0" borderId="0" xfId="0" applyFont="1" applyAlignment="1">
      <alignment vertical="top"/>
    </xf>
    <xf numFmtId="0" fontId="17"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44" fillId="0" borderId="0" xfId="0" applyFont="1" applyAlignment="1">
      <alignment horizontal="center"/>
    </xf>
    <xf numFmtId="0" fontId="46" fillId="0" borderId="3" xfId="0" applyFont="1" applyBorder="1"/>
    <xf numFmtId="168" fontId="0" fillId="0" borderId="0" xfId="0" applyNumberFormat="1" applyAlignment="1">
      <alignment horizontal="center"/>
    </xf>
    <xf numFmtId="0" fontId="47" fillId="0" borderId="4" xfId="0" applyFont="1" applyBorder="1" applyAlignment="1">
      <alignment horizontal="right"/>
    </xf>
    <xf numFmtId="0" fontId="52" fillId="0" borderId="0" xfId="0" applyFont="1"/>
    <xf numFmtId="168" fontId="17" fillId="0" borderId="0" xfId="0" applyNumberFormat="1" applyFont="1" applyAlignment="1">
      <alignment horizontal="left" vertical="top"/>
    </xf>
    <xf numFmtId="0" fontId="49" fillId="0" borderId="0" xfId="0" applyFont="1" applyAlignment="1">
      <alignment horizontal="right" vertical="top" wrapText="1"/>
    </xf>
    <xf numFmtId="0" fontId="49" fillId="0" borderId="14" xfId="0" applyFont="1" applyBorder="1" applyAlignment="1">
      <alignment vertical="top" wrapText="1"/>
    </xf>
    <xf numFmtId="0" fontId="49" fillId="0" borderId="11" xfId="0" applyFont="1" applyBorder="1" applyAlignment="1" applyProtection="1">
      <alignment vertical="top"/>
      <protection locked="0"/>
    </xf>
    <xf numFmtId="0" fontId="24" fillId="0" borderId="0" xfId="542" applyFont="1" applyProtection="1">
      <protection locked="0"/>
    </xf>
    <xf numFmtId="0" fontId="17" fillId="0" borderId="0" xfId="539" applyProtection="1"/>
    <xf numFmtId="0" fontId="24" fillId="0" borderId="0" xfId="543" applyFont="1"/>
    <xf numFmtId="0" fontId="17" fillId="0" borderId="0" xfId="0" applyFont="1" applyProtection="1">
      <protection locked="0"/>
    </xf>
    <xf numFmtId="0" fontId="55"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22" fillId="0" borderId="0" xfId="0" applyFont="1"/>
    <xf numFmtId="0" fontId="57" fillId="0" borderId="0" xfId="0" applyFont="1"/>
    <xf numFmtId="0" fontId="55" fillId="0" borderId="0" xfId="0" applyFont="1"/>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56" fillId="0" borderId="0" xfId="0" applyFont="1"/>
    <xf numFmtId="168" fontId="22" fillId="0" borderId="0" xfId="0" applyNumberFormat="1" applyFont="1"/>
    <xf numFmtId="10" fontId="22" fillId="0" borderId="0" xfId="0" applyNumberFormat="1" applyFont="1" applyAlignment="1">
      <alignment horizontal="center"/>
    </xf>
    <xf numFmtId="3" fontId="59" fillId="0" borderId="0" xfId="0" applyNumberFormat="1" applyFont="1"/>
    <xf numFmtId="3" fontId="22" fillId="0" borderId="0" xfId="0" applyNumberFormat="1" applyFont="1"/>
    <xf numFmtId="168" fontId="56" fillId="0" borderId="0" xfId="0" applyNumberFormat="1" applyFont="1"/>
    <xf numFmtId="168" fontId="56"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3" fontId="26" fillId="0" borderId="0" xfId="0" applyNumberFormat="1" applyFont="1" applyAlignment="1">
      <alignment vertical="top"/>
    </xf>
    <xf numFmtId="10" fontId="24" fillId="0" borderId="0" xfId="0" applyNumberFormat="1" applyFont="1" applyAlignment="1">
      <alignment horizontal="center"/>
    </xf>
    <xf numFmtId="0" fontId="55" fillId="0" borderId="6" xfId="0" applyFont="1" applyBorder="1" applyAlignment="1">
      <alignment horizontal="center"/>
    </xf>
    <xf numFmtId="0" fontId="26" fillId="0" borderId="4" xfId="271" applyBorder="1"/>
    <xf numFmtId="0" fontId="26"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4" fillId="0" borderId="0" xfId="0" applyNumberFormat="1" applyFont="1" applyAlignment="1">
      <alignment horizontal="center"/>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2"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2" fillId="2" borderId="11" xfId="271" applyFont="1" applyFill="1" applyBorder="1" applyAlignment="1" applyProtection="1">
      <alignment horizontal="left" vertical="top" wrapText="1"/>
      <protection locked="0"/>
    </xf>
    <xf numFmtId="0" fontId="46" fillId="0" borderId="11" xfId="0" applyFont="1" applyBorder="1" applyAlignment="1">
      <alignment horizontal="right" vertical="top" wrapText="1"/>
    </xf>
    <xf numFmtId="0" fontId="34" fillId="8" borderId="0" xfId="542" applyFont="1" applyFill="1"/>
    <xf numFmtId="0" fontId="46" fillId="0" borderId="11" xfId="271" applyFont="1" applyBorder="1" applyAlignment="1">
      <alignment horizontal="right" vertical="top"/>
    </xf>
    <xf numFmtId="0" fontId="46"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65" fillId="0" borderId="0" xfId="0" applyFont="1" applyAlignment="1">
      <alignment horizontal="left" vertical="center"/>
    </xf>
    <xf numFmtId="49" fontId="41" fillId="0" borderId="0" xfId="0" applyNumberFormat="1" applyFont="1" applyAlignment="1">
      <alignment horizontal="center"/>
    </xf>
    <xf numFmtId="0" fontId="46" fillId="0" borderId="0" xfId="0" applyFont="1"/>
    <xf numFmtId="5" fontId="69" fillId="0" borderId="11" xfId="541" applyNumberFormat="1" applyFont="1" applyBorder="1" applyAlignment="1" applyProtection="1">
      <alignment horizontal="center"/>
    </xf>
    <xf numFmtId="5" fontId="69" fillId="42"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46" fillId="0" borderId="0" xfId="0" applyFont="1" applyAlignment="1">
      <alignment vertical="top" wrapText="1"/>
    </xf>
    <xf numFmtId="0" fontId="46" fillId="0" borderId="0" xfId="0" applyFont="1" applyAlignment="1">
      <alignment vertical="top"/>
    </xf>
    <xf numFmtId="0" fontId="46" fillId="2" borderId="0" xfId="0" applyFont="1" applyFill="1" applyAlignment="1">
      <alignment vertical="top" wrapText="1"/>
    </xf>
    <xf numFmtId="0" fontId="71" fillId="0" borderId="13" xfId="0" applyFont="1" applyBorder="1" applyAlignment="1">
      <alignment vertical="top" wrapText="1"/>
    </xf>
    <xf numFmtId="0" fontId="31" fillId="0" borderId="0" xfId="0" applyFont="1" applyAlignment="1">
      <alignment vertical="top" wrapText="1"/>
    </xf>
    <xf numFmtId="0" fontId="71" fillId="2" borderId="13" xfId="0" applyFont="1" applyFill="1" applyBorder="1" applyAlignment="1">
      <alignment vertical="top" wrapText="1"/>
    </xf>
    <xf numFmtId="0" fontId="71" fillId="0" borderId="0" xfId="0" applyFont="1" applyAlignment="1">
      <alignment vertical="top" wrapText="1"/>
    </xf>
    <xf numFmtId="0" fontId="71" fillId="2" borderId="0" xfId="0" applyFont="1" applyFill="1" applyAlignment="1">
      <alignment vertical="top" wrapText="1"/>
    </xf>
    <xf numFmtId="0" fontId="46" fillId="0" borderId="0" xfId="0" applyFont="1" applyAlignment="1">
      <alignment horizontal="right" vertical="top" wrapText="1"/>
    </xf>
    <xf numFmtId="168" fontId="46" fillId="5" borderId="6" xfId="0" applyNumberFormat="1" applyFont="1" applyFill="1" applyBorder="1" applyAlignment="1" applyProtection="1">
      <alignment horizontal="right" vertical="top" wrapText="1"/>
      <protection locked="0"/>
    </xf>
    <xf numFmtId="168" fontId="46" fillId="0" borderId="6" xfId="0" applyNumberFormat="1" applyFont="1" applyBorder="1" applyAlignment="1">
      <alignment horizontal="right" vertical="top" wrapText="1"/>
    </xf>
    <xf numFmtId="0" fontId="24" fillId="0" borderId="0" xfId="0" applyFont="1" applyAlignment="1">
      <alignment horizontal="left" vertical="top" wrapText="1"/>
    </xf>
    <xf numFmtId="0" fontId="55"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46" fillId="0" borderId="11" xfId="0" applyNumberFormat="1" applyFont="1" applyBorder="1" applyAlignment="1">
      <alignment vertical="top" wrapText="1"/>
    </xf>
    <xf numFmtId="168" fontId="46" fillId="4" borderId="11" xfId="0" applyNumberFormat="1" applyFont="1" applyFill="1" applyBorder="1" applyAlignment="1">
      <alignment vertical="top" wrapText="1"/>
    </xf>
    <xf numFmtId="0" fontId="95" fillId="0" borderId="0" xfId="0" applyFont="1" applyAlignment="1">
      <alignment horizontal="left" vertical="top"/>
    </xf>
    <xf numFmtId="0" fontId="96" fillId="0" borderId="0" xfId="0" applyFont="1" applyAlignment="1">
      <alignment horizontal="left" vertical="top"/>
    </xf>
    <xf numFmtId="0" fontId="6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54" fillId="8" borderId="11" xfId="542" applyFont="1" applyFill="1" applyBorder="1" applyAlignment="1">
      <alignment horizontal="left"/>
    </xf>
    <xf numFmtId="0" fontId="54"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48" fillId="2" borderId="11" xfId="569" applyFont="1" applyFill="1" applyBorder="1" applyAlignment="1">
      <alignment horizontal="left" vertical="top" wrapText="1"/>
    </xf>
    <xf numFmtId="6" fontId="46" fillId="4" borderId="11" xfId="569" applyNumberFormat="1" applyFont="1" applyFill="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6" fontId="46" fillId="0" borderId="11" xfId="569" applyNumberFormat="1" applyFont="1" applyBorder="1" applyAlignment="1">
      <alignment vertical="top" wrapText="1"/>
    </xf>
    <xf numFmtId="6" fontId="46" fillId="5" borderId="11" xfId="569" applyNumberFormat="1" applyFont="1" applyFill="1" applyBorder="1" applyAlignment="1" applyProtection="1">
      <alignment vertical="top" wrapText="1"/>
      <protection locked="0"/>
    </xf>
    <xf numFmtId="6" fontId="46" fillId="6" borderId="11" xfId="569" applyNumberFormat="1" applyFont="1" applyFill="1" applyBorder="1" applyAlignment="1">
      <alignment horizontal="center" vertical="top" wrapText="1"/>
    </xf>
    <xf numFmtId="0" fontId="46" fillId="0" borderId="11" xfId="569" applyFont="1" applyBorder="1" applyAlignment="1">
      <alignment horizontal="right" vertical="top" wrapText="1"/>
    </xf>
    <xf numFmtId="0" fontId="47" fillId="0" borderId="11" xfId="569" applyFont="1" applyBorder="1" applyAlignment="1">
      <alignment horizontal="right" vertical="top" wrapText="1"/>
    </xf>
    <xf numFmtId="0" fontId="46" fillId="0" borderId="11" xfId="569" applyFont="1" applyBorder="1" applyAlignment="1">
      <alignment horizontal="right" vertical="top"/>
    </xf>
    <xf numFmtId="6" fontId="47" fillId="0" borderId="11" xfId="569" applyNumberFormat="1" applyFont="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0" fontId="20" fillId="0" borderId="11" xfId="569" applyFont="1" applyBorder="1" applyAlignment="1">
      <alignment horizontal="right" vertical="top" wrapText="1"/>
    </xf>
    <xf numFmtId="0" fontId="47" fillId="0" borderId="0" xfId="569" applyFont="1" applyAlignment="1">
      <alignment horizontal="left" vertical="top"/>
    </xf>
    <xf numFmtId="6" fontId="46" fillId="0" borderId="0" xfId="569" applyNumberFormat="1" applyFont="1" applyAlignment="1">
      <alignment horizontal="left" vertical="top"/>
    </xf>
    <xf numFmtId="0" fontId="96" fillId="0" borderId="0" xfId="569" applyFont="1" applyAlignment="1">
      <alignment horizontal="left" vertical="top"/>
    </xf>
    <xf numFmtId="6" fontId="46" fillId="0" borderId="0" xfId="569" applyNumberFormat="1" applyFont="1" applyAlignment="1">
      <alignment vertical="top" wrapText="1"/>
    </xf>
    <xf numFmtId="0" fontId="46" fillId="0" borderId="0" xfId="569" applyFont="1" applyAlignment="1">
      <alignment horizontal="left" vertical="top"/>
    </xf>
    <xf numFmtId="0" fontId="46" fillId="0" borderId="12" xfId="569" applyFont="1" applyBorder="1" applyAlignment="1">
      <alignment vertical="top" wrapText="1"/>
    </xf>
    <xf numFmtId="0" fontId="24" fillId="0" borderId="0" xfId="569" applyFont="1" applyAlignment="1">
      <alignment horizontal="left" vertical="top"/>
    </xf>
    <xf numFmtId="0" fontId="99" fillId="0" borderId="0" xfId="569" applyFont="1" applyAlignment="1">
      <alignment horizontal="left" vertical="top"/>
    </xf>
    <xf numFmtId="0" fontId="55"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46" fillId="0" borderId="0" xfId="569" applyFont="1" applyAlignment="1">
      <alignment vertical="top"/>
    </xf>
    <xf numFmtId="168" fontId="46"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46" fillId="0" borderId="0" xfId="569" applyFont="1" applyAlignment="1">
      <alignment horizontal="right" vertical="top" wrapText="1"/>
    </xf>
    <xf numFmtId="0" fontId="24" fillId="0" borderId="0" xfId="569" applyFont="1" applyAlignment="1">
      <alignment horizontal="left" vertical="top" wrapText="1"/>
    </xf>
    <xf numFmtId="168" fontId="46"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71" fillId="0" borderId="0" xfId="569" applyFont="1" applyAlignment="1">
      <alignment vertical="top" wrapText="1"/>
    </xf>
    <xf numFmtId="0" fontId="71" fillId="0" borderId="12" xfId="569" applyFont="1" applyBorder="1" applyAlignment="1">
      <alignment vertical="top" wrapText="1"/>
    </xf>
    <xf numFmtId="0" fontId="71" fillId="0" borderId="8" xfId="569" applyFont="1" applyBorder="1" applyAlignment="1">
      <alignment vertical="top" wrapText="1"/>
    </xf>
    <xf numFmtId="0" fontId="31" fillId="0" borderId="0" xfId="569" applyFont="1" applyAlignment="1">
      <alignment horizontal="right" vertical="top" wrapText="1"/>
    </xf>
    <xf numFmtId="0" fontId="71" fillId="0" borderId="0" xfId="569" applyFont="1" applyAlignment="1">
      <alignment horizontal="right" vertical="top" wrapText="1"/>
    </xf>
    <xf numFmtId="0" fontId="47" fillId="0" borderId="3" xfId="569" applyFont="1" applyBorder="1" applyAlignment="1">
      <alignment horizontal="left"/>
    </xf>
    <xf numFmtId="0" fontId="47" fillId="0" borderId="13" xfId="569" applyFont="1" applyBorder="1" applyAlignment="1">
      <alignment horizontal="center" wrapText="1"/>
    </xf>
    <xf numFmtId="0" fontId="47" fillId="0" borderId="8" xfId="569" applyFont="1" applyBorder="1" applyAlignment="1">
      <alignment horizontal="center" wrapText="1"/>
    </xf>
    <xf numFmtId="0" fontId="47"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36"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9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56" fillId="0" borderId="0" xfId="271" applyFont="1" applyAlignment="1">
      <alignment horizontal="left"/>
    </xf>
    <xf numFmtId="0" fontId="56" fillId="0" borderId="0" xfId="271" applyFont="1" applyAlignment="1">
      <alignment horizontal="right"/>
    </xf>
    <xf numFmtId="168" fontId="22" fillId="0" borderId="11" xfId="271" applyNumberFormat="1" applyFont="1" applyBorder="1"/>
    <xf numFmtId="168" fontId="22" fillId="0" borderId="0" xfId="271" applyNumberFormat="1" applyFont="1"/>
    <xf numFmtId="0" fontId="46" fillId="0" borderId="0" xfId="569" applyFont="1" applyAlignment="1">
      <alignment horizontal="left"/>
    </xf>
    <xf numFmtId="0" fontId="17" fillId="0" borderId="3" xfId="569" applyBorder="1"/>
    <xf numFmtId="0" fontId="98" fillId="0" borderId="0" xfId="1834"/>
    <xf numFmtId="0" fontId="0" fillId="0" borderId="0" xfId="0" applyAlignment="1">
      <alignment horizontal="left" vertical="top"/>
    </xf>
    <xf numFmtId="0" fontId="97" fillId="0" borderId="0" xfId="0" applyFont="1" applyAlignment="1">
      <alignment vertical="top" wrapText="1"/>
    </xf>
    <xf numFmtId="0" fontId="46"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0" fillId="0" borderId="0" xfId="1192" applyFont="1"/>
    <xf numFmtId="0" fontId="46" fillId="0" borderId="11" xfId="0" applyFont="1" applyBorder="1" applyAlignment="1">
      <alignment horizontal="right" vertical="center"/>
    </xf>
    <xf numFmtId="0" fontId="17"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7" fillId="0" borderId="0" xfId="569" applyNumberFormat="1" applyFont="1" applyAlignment="1">
      <alignment horizontal="right" vertical="top"/>
    </xf>
    <xf numFmtId="0" fontId="17" fillId="0" borderId="0" xfId="0" applyFont="1" applyAlignment="1">
      <alignment vertical="top" wrapText="1"/>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44"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44"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2" fillId="0" borderId="0" xfId="569" applyFont="1" applyAlignment="1">
      <alignment horizontal="left"/>
    </xf>
    <xf numFmtId="4" fontId="44"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1" fillId="0" borderId="0" xfId="569" applyFont="1" applyAlignment="1">
      <alignment horizontal="left"/>
    </xf>
    <xf numFmtId="0" fontId="18" fillId="0" borderId="0" xfId="244" applyNumberFormat="1" applyFill="1" applyAlignment="1" applyProtection="1">
      <alignment horizontal="left"/>
      <protection locked="0"/>
    </xf>
    <xf numFmtId="0" fontId="46" fillId="0" borderId="11" xfId="0" applyFont="1" applyBorder="1" applyAlignment="1" applyProtection="1">
      <alignment horizontal="right" vertical="top" wrapText="1"/>
      <protection locked="0"/>
    </xf>
    <xf numFmtId="0" fontId="17" fillId="0" borderId="11" xfId="271" applyFont="1" applyBorder="1" applyAlignment="1">
      <alignment horizontal="right" vertical="top" wrapText="1"/>
    </xf>
    <xf numFmtId="0" fontId="25" fillId="0" borderId="0" xfId="569" applyFont="1" applyAlignment="1">
      <alignment horizontal="left"/>
    </xf>
    <xf numFmtId="0" fontId="95" fillId="0" borderId="0" xfId="0" applyFont="1"/>
    <xf numFmtId="0" fontId="106" fillId="0" borderId="0" xfId="0" applyFont="1" applyAlignment="1">
      <alignment horizontal="left" vertical="top"/>
    </xf>
    <xf numFmtId="0" fontId="107" fillId="0" borderId="0" xfId="0" applyFont="1" applyAlignment="1">
      <alignment horizontal="left" vertical="top"/>
    </xf>
    <xf numFmtId="168" fontId="25" fillId="0" borderId="0" xfId="0" applyNumberFormat="1" applyFont="1" applyAlignment="1">
      <alignment horizontal="left" vertical="top" wrapText="1"/>
    </xf>
    <xf numFmtId="168" fontId="46" fillId="5" borderId="11" xfId="0" applyNumberFormat="1" applyFont="1" applyFill="1" applyBorder="1" applyAlignment="1">
      <alignment vertical="top" wrapText="1"/>
    </xf>
    <xf numFmtId="0" fontId="17" fillId="0" borderId="0" xfId="271" applyFont="1" applyAlignment="1">
      <alignment horizontal="left" vertical="top"/>
    </xf>
    <xf numFmtId="0" fontId="46"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51" fillId="0" borderId="0" xfId="569" applyFont="1"/>
    <xf numFmtId="0" fontId="36" fillId="0" borderId="0" xfId="569" applyFont="1"/>
    <xf numFmtId="0" fontId="17" fillId="0" borderId="0" xfId="1192" applyAlignment="1">
      <alignment vertical="top" wrapText="1"/>
    </xf>
    <xf numFmtId="49" fontId="17" fillId="0" borderId="0" xfId="1192" applyNumberFormat="1" applyAlignment="1">
      <alignment vertical="top" wrapText="1"/>
    </xf>
    <xf numFmtId="0" fontId="48" fillId="0" borderId="9" xfId="543" applyFont="1" applyBorder="1" applyAlignment="1">
      <alignment vertical="top"/>
    </xf>
    <xf numFmtId="0" fontId="17" fillId="0" borderId="0" xfId="0" applyFont="1" applyAlignment="1">
      <alignment vertical="center"/>
    </xf>
    <xf numFmtId="0" fontId="108" fillId="0" borderId="0" xfId="0" applyFont="1"/>
    <xf numFmtId="3" fontId="95" fillId="0" borderId="0" xfId="0" applyNumberFormat="1" applyFont="1"/>
    <xf numFmtId="0" fontId="95" fillId="0" borderId="0" xfId="0" applyFont="1" applyAlignment="1">
      <alignment horizontal="left"/>
    </xf>
    <xf numFmtId="168" fontId="109" fillId="0" borderId="0" xfId="0" applyNumberFormat="1" applyFont="1" applyAlignment="1">
      <alignment horizontal="left" vertical="top"/>
    </xf>
    <xf numFmtId="0" fontId="95" fillId="0" borderId="0" xfId="0" applyFont="1" applyAlignment="1">
      <alignment horizontal="left" vertical="center"/>
    </xf>
    <xf numFmtId="0" fontId="11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1"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13" fillId="0" borderId="53" xfId="4496" applyFont="1" applyBorder="1" applyAlignment="1">
      <alignment horizontal="left" vertical="top"/>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0" fontId="17" fillId="0" borderId="0" xfId="4495" applyFont="1" applyAlignment="1">
      <alignment horizontal="left" vertical="center"/>
    </xf>
    <xf numFmtId="0" fontId="114" fillId="0" borderId="0" xfId="4496" applyFont="1" applyAlignment="1">
      <alignment vertical="center"/>
    </xf>
    <xf numFmtId="0" fontId="112" fillId="0" borderId="0" xfId="4496" applyFont="1"/>
    <xf numFmtId="0" fontId="112" fillId="0" borderId="0" xfId="4496" applyFont="1" applyAlignment="1">
      <alignment vertical="center"/>
    </xf>
    <xf numFmtId="0" fontId="11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1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1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12" fillId="0" borderId="53" xfId="4496" applyFont="1" applyBorder="1" applyAlignment="1">
      <alignment vertical="top" wrapText="1"/>
    </xf>
    <xf numFmtId="0" fontId="112" fillId="0" borderId="0" xfId="4496" applyFont="1" applyAlignment="1">
      <alignment vertical="top" wrapText="1"/>
    </xf>
    <xf numFmtId="10" fontId="112" fillId="0" borderId="0" xfId="4496" applyNumberFormat="1" applyFont="1" applyAlignment="1">
      <alignment vertical="top" wrapText="1"/>
    </xf>
    <xf numFmtId="0" fontId="112" fillId="0" borderId="54" xfId="4496" applyFont="1" applyBorder="1" applyAlignment="1">
      <alignment vertical="top" wrapText="1"/>
    </xf>
    <xf numFmtId="0" fontId="112" fillId="0" borderId="0" xfId="4496" applyFont="1" applyAlignment="1">
      <alignment vertical="top"/>
    </xf>
    <xf numFmtId="165" fontId="11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12" fillId="0" borderId="53" xfId="4496" applyFont="1" applyBorder="1" applyAlignment="1">
      <alignment horizontal="left" vertical="top" wrapText="1"/>
    </xf>
    <xf numFmtId="0" fontId="11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46"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46"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1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1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52"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52"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1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1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1" fillId="0" borderId="0" xfId="4495" applyFont="1"/>
    <xf numFmtId="0" fontId="25" fillId="0" borderId="3" xfId="4495" applyFont="1" applyBorder="1" applyAlignment="1">
      <alignment horizontal="center"/>
    </xf>
    <xf numFmtId="0" fontId="110" fillId="0" borderId="8" xfId="4495" applyBorder="1"/>
    <xf numFmtId="0" fontId="24" fillId="0" borderId="8" xfId="4495" applyFont="1" applyBorder="1" applyAlignment="1">
      <alignment vertical="top"/>
    </xf>
    <xf numFmtId="0" fontId="110" fillId="0" borderId="0" xfId="4495" applyAlignment="1">
      <alignment vertical="top"/>
    </xf>
    <xf numFmtId="0" fontId="24"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10" fillId="0" borderId="12" xfId="4495" applyBorder="1"/>
    <xf numFmtId="0" fontId="25" fillId="0" borderId="9" xfId="4495" applyFont="1" applyBorder="1"/>
    <xf numFmtId="0" fontId="110" fillId="0" borderId="10" xfId="4495" applyBorder="1"/>
    <xf numFmtId="0" fontId="33" fillId="0" borderId="3" xfId="4495" applyFont="1" applyBorder="1"/>
    <xf numFmtId="0" fontId="24" fillId="0" borderId="4" xfId="4495" applyFont="1" applyBorder="1"/>
    <xf numFmtId="0" fontId="110" fillId="0" borderId="12" xfId="4495" applyBorder="1" applyAlignment="1">
      <alignment vertical="top"/>
    </xf>
    <xf numFmtId="0" fontId="33"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3" fillId="0" borderId="9" xfId="4495" applyFont="1" applyBorder="1"/>
    <xf numFmtId="0" fontId="25" fillId="0" borderId="10" xfId="4495" applyFont="1" applyBorder="1"/>
    <xf numFmtId="0" fontId="12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1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10" fillId="0" borderId="61" xfId="4495" applyBorder="1"/>
    <xf numFmtId="0" fontId="11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1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1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19" fillId="0" borderId="0" xfId="4495" applyFont="1"/>
    <xf numFmtId="0" fontId="11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1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46" fillId="0" borderId="0" xfId="4495" applyFont="1" applyAlignment="1">
      <alignment horizontal="left" vertical="top"/>
    </xf>
    <xf numFmtId="0" fontId="25" fillId="0" borderId="0" xfId="4495" quotePrefix="1" applyFont="1" applyAlignment="1">
      <alignment horizontal="center" vertical="top"/>
    </xf>
    <xf numFmtId="0" fontId="47" fillId="0" borderId="0" xfId="4495" applyFont="1" applyAlignment="1">
      <alignment horizontal="center"/>
    </xf>
    <xf numFmtId="0" fontId="47" fillId="0" borderId="0" xfId="4495" applyFont="1" applyAlignment="1">
      <alignment vertical="top"/>
    </xf>
    <xf numFmtId="0" fontId="97" fillId="0" borderId="0" xfId="4495" applyFont="1"/>
    <xf numFmtId="0" fontId="46"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46" fillId="0" borderId="51" xfId="4495" applyFont="1" applyBorder="1" applyAlignment="1">
      <alignment horizontal="left" vertical="top"/>
    </xf>
    <xf numFmtId="0" fontId="110" fillId="0" borderId="53" xfId="4495" applyBorder="1"/>
    <xf numFmtId="0" fontId="9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1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55" fillId="0" borderId="0" xfId="4495" applyNumberFormat="1" applyFont="1" applyAlignment="1">
      <alignment horizontal="center" vertical="center"/>
    </xf>
    <xf numFmtId="0" fontId="17" fillId="0" borderId="12" xfId="4495" applyFont="1" applyBorder="1" applyAlignment="1">
      <alignment vertical="top"/>
    </xf>
    <xf numFmtId="0" fontId="41"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1"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1" fillId="0" borderId="0" xfId="1192" applyFont="1"/>
    <xf numFmtId="168" fontId="17" fillId="0" borderId="0" xfId="4495" applyNumberFormat="1" applyFont="1"/>
    <xf numFmtId="0" fontId="24" fillId="0" borderId="0" xfId="1192" applyFont="1" applyAlignment="1">
      <alignment vertical="center"/>
    </xf>
    <xf numFmtId="0" fontId="108" fillId="0" borderId="0" xfId="1192" applyFont="1" applyAlignment="1">
      <alignment horizontal="left"/>
    </xf>
    <xf numFmtId="0" fontId="105" fillId="0" borderId="0" xfId="1192" applyFont="1" applyAlignment="1">
      <alignment horizontal="left"/>
    </xf>
    <xf numFmtId="0" fontId="10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47" fillId="0" borderId="4" xfId="4495" applyFont="1" applyBorder="1"/>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12" fillId="0" borderId="0" xfId="4496" applyNumberFormat="1" applyFont="1" applyAlignment="1">
      <alignment horizontal="center" vertical="top" wrapText="1"/>
    </xf>
    <xf numFmtId="168" fontId="112" fillId="0" borderId="0" xfId="4496" applyNumberFormat="1" applyFont="1" applyAlignment="1">
      <alignment vertical="top" wrapText="1"/>
    </xf>
    <xf numFmtId="165" fontId="112" fillId="0" borderId="64" xfId="4496" applyNumberFormat="1" applyFont="1" applyBorder="1" applyAlignment="1">
      <alignment horizontal="center" vertical="top" wrapText="1"/>
    </xf>
    <xf numFmtId="165" fontId="112" fillId="0" borderId="53" xfId="4496" applyNumberFormat="1" applyFont="1" applyBorder="1" applyAlignment="1">
      <alignment horizontal="left" vertical="top"/>
    </xf>
    <xf numFmtId="165" fontId="112" fillId="0" borderId="53" xfId="4496" applyNumberFormat="1" applyFont="1" applyBorder="1" applyAlignment="1">
      <alignment horizontal="center" vertical="top" wrapText="1"/>
    </xf>
    <xf numFmtId="168" fontId="112" fillId="0" borderId="0" xfId="4496" applyNumberFormat="1" applyFont="1" applyAlignment="1">
      <alignment vertical="top"/>
    </xf>
    <xf numFmtId="1" fontId="11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43"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17" fillId="0" borderId="12" xfId="543" quotePrefix="1" applyBorder="1"/>
    <xf numFmtId="0" fontId="46"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3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3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0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2" fillId="0" borderId="0" xfId="4496" applyFont="1"/>
    <xf numFmtId="168" fontId="46"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44"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1"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1" fillId="0" borderId="0" xfId="1192" applyFont="1" applyAlignment="1">
      <alignment horizontal="left"/>
    </xf>
    <xf numFmtId="0" fontId="44"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12" fillId="0" borderId="0" xfId="4496" applyNumberFormat="1" applyFont="1" applyAlignment="1">
      <alignment horizontal="center" vertical="top" wrapText="1"/>
    </xf>
    <xf numFmtId="10" fontId="112" fillId="0" borderId="64" xfId="4496" applyNumberFormat="1" applyFont="1" applyBorder="1" applyAlignment="1">
      <alignment horizontal="center" vertical="top" wrapText="1"/>
    </xf>
    <xf numFmtId="10" fontId="11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12" fillId="0" borderId="0" xfId="4495" applyFont="1"/>
    <xf numFmtId="10" fontId="112" fillId="0" borderId="0" xfId="4495" applyNumberFormat="1" applyFont="1"/>
    <xf numFmtId="172" fontId="17" fillId="0" borderId="0" xfId="4495" applyNumberFormat="1" applyFont="1"/>
    <xf numFmtId="0" fontId="0" fillId="0" borderId="10" xfId="0" applyBorder="1" applyAlignment="1">
      <alignment horizontal="left"/>
    </xf>
    <xf numFmtId="1" fontId="17" fillId="0" borderId="0" xfId="1192" applyNumberFormat="1" applyAlignment="1">
      <alignment horizontal="center"/>
    </xf>
    <xf numFmtId="0" fontId="110" fillId="0" borderId="63" xfId="4495" applyBorder="1"/>
    <xf numFmtId="0" fontId="46"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3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175" fontId="17" fillId="0" borderId="0" xfId="543" applyNumberFormat="1" applyAlignment="1">
      <alignment vertical="center"/>
    </xf>
    <xf numFmtId="0" fontId="88" fillId="43" borderId="6" xfId="4496" applyFont="1" applyFill="1" applyBorder="1" applyAlignment="1" applyProtection="1">
      <alignment horizontal="center"/>
      <protection locked="0"/>
    </xf>
    <xf numFmtId="0" fontId="88" fillId="0" borderId="0" xfId="4496" applyFont="1"/>
    <xf numFmtId="0" fontId="88"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8" fillId="0" borderId="0" xfId="4496" applyNumberFormat="1" applyFont="1" applyAlignment="1">
      <alignment horizontal="center"/>
    </xf>
    <xf numFmtId="182" fontId="88" fillId="0" borderId="6" xfId="4496" applyNumberFormat="1" applyFont="1" applyBorder="1"/>
    <xf numFmtId="0" fontId="88" fillId="0" borderId="0" xfId="4496" applyFont="1" applyAlignment="1">
      <alignment vertical="center"/>
    </xf>
    <xf numFmtId="182" fontId="88" fillId="0" borderId="0" xfId="4496" applyNumberFormat="1" applyFont="1" applyAlignment="1">
      <alignment vertical="center"/>
    </xf>
    <xf numFmtId="175" fontId="88" fillId="0" borderId="0" xfId="4499" applyNumberFormat="1" applyFont="1" applyFill="1" applyBorder="1" applyAlignment="1" applyProtection="1">
      <alignment horizontal="left" vertical="center"/>
    </xf>
    <xf numFmtId="9" fontId="88" fillId="0" borderId="0" xfId="4499" applyFont="1" applyFill="1" applyBorder="1" applyAlignment="1" applyProtection="1">
      <alignment vertical="center"/>
    </xf>
    <xf numFmtId="183" fontId="88" fillId="0" borderId="0" xfId="4496" applyNumberFormat="1" applyFont="1" applyAlignment="1">
      <alignment vertical="center" wrapText="1"/>
    </xf>
    <xf numFmtId="9" fontId="88" fillId="0" borderId="0" xfId="4499" applyFont="1" applyBorder="1" applyAlignment="1" applyProtection="1">
      <alignment vertical="center"/>
    </xf>
    <xf numFmtId="164" fontId="88" fillId="0" borderId="0" xfId="4496" applyNumberFormat="1" applyFont="1" applyAlignment="1">
      <alignment vertical="center" wrapText="1"/>
    </xf>
    <xf numFmtId="0" fontId="88" fillId="0" borderId="0" xfId="4496" applyFont="1" applyAlignment="1">
      <alignment horizontal="center" vertical="center"/>
    </xf>
    <xf numFmtId="182" fontId="88" fillId="0" borderId="11" xfId="8721" applyNumberFormat="1" applyFont="1" applyBorder="1" applyProtection="1"/>
    <xf numFmtId="182" fontId="88" fillId="0" borderId="11" xfId="4496" applyNumberFormat="1" applyFont="1" applyBorder="1"/>
    <xf numFmtId="164" fontId="88" fillId="0" borderId="0" xfId="4496" applyNumberFormat="1" applyFont="1" applyAlignment="1">
      <alignment wrapText="1"/>
    </xf>
    <xf numFmtId="49" fontId="88" fillId="0" borderId="0" xfId="4496" applyNumberFormat="1" applyFont="1" applyAlignment="1">
      <alignment horizontal="left"/>
    </xf>
    <xf numFmtId="0" fontId="130" fillId="0" borderId="0" xfId="4496" applyFont="1"/>
    <xf numFmtId="9" fontId="88" fillId="0" borderId="11" xfId="4494" applyFont="1" applyFill="1" applyBorder="1" applyAlignment="1" applyProtection="1">
      <alignment horizontal="right"/>
    </xf>
    <xf numFmtId="1" fontId="88" fillId="0" borderId="0" xfId="4496" applyNumberFormat="1" applyFont="1"/>
    <xf numFmtId="0" fontId="127" fillId="45" borderId="3" xfId="4496" applyFont="1" applyFill="1" applyBorder="1" applyAlignment="1">
      <alignment horizontal="left" indent="1"/>
    </xf>
    <xf numFmtId="0" fontId="88" fillId="45" borderId="4" xfId="4496" applyFont="1" applyFill="1" applyBorder="1"/>
    <xf numFmtId="2" fontId="88" fillId="45" borderId="5" xfId="4496" applyNumberFormat="1" applyFont="1" applyFill="1" applyBorder="1"/>
    <xf numFmtId="181" fontId="88" fillId="0" borderId="0" xfId="4496" applyNumberFormat="1" applyFont="1"/>
    <xf numFmtId="165" fontId="128" fillId="0" borderId="0" xfId="4499" applyNumberFormat="1" applyFont="1" applyFill="1" applyBorder="1" applyProtection="1"/>
    <xf numFmtId="9" fontId="88" fillId="0" borderId="0" xfId="4494" applyFont="1" applyFill="1" applyProtection="1"/>
    <xf numFmtId="0" fontId="88" fillId="0" borderId="11" xfId="4496" applyFont="1" applyBorder="1" applyAlignment="1">
      <alignment horizontal="center"/>
    </xf>
    <xf numFmtId="2" fontId="88" fillId="0" borderId="11" xfId="4496" applyNumberFormat="1" applyFont="1" applyBorder="1" applyAlignment="1">
      <alignment horizontal="center"/>
    </xf>
    <xf numFmtId="0" fontId="88" fillId="0" borderId="0" xfId="4496" applyFont="1" applyAlignment="1">
      <alignment vertical="top" wrapText="1"/>
    </xf>
    <xf numFmtId="0" fontId="88" fillId="0" borderId="11" xfId="4496" applyFont="1" applyBorder="1" applyAlignment="1">
      <alignment horizontal="center" vertical="top" wrapText="1"/>
    </xf>
    <xf numFmtId="182" fontId="88" fillId="0" borderId="0" xfId="8721" applyNumberFormat="1" applyFont="1" applyBorder="1" applyProtection="1"/>
    <xf numFmtId="0" fontId="88" fillId="0" borderId="0" xfId="4496" applyFont="1" applyAlignment="1">
      <alignment horizontal="left" indent="1"/>
    </xf>
    <xf numFmtId="182" fontId="88" fillId="0" borderId="0" xfId="4496" applyNumberFormat="1" applyFont="1"/>
    <xf numFmtId="184" fontId="88" fillId="0" borderId="0" xfId="4496" applyNumberFormat="1" applyFont="1"/>
    <xf numFmtId="0" fontId="88" fillId="0" borderId="0" xfId="4496" applyFont="1" applyAlignment="1">
      <alignment horizontal="left"/>
    </xf>
    <xf numFmtId="0" fontId="8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88" fillId="0" borderId="0" xfId="4496" applyFont="1" applyAlignment="1">
      <alignment horizontal="right"/>
    </xf>
    <xf numFmtId="0" fontId="88" fillId="0" borderId="15" xfId="4496" applyFont="1" applyBorder="1" applyAlignment="1">
      <alignment horizontal="center" vertical="top" wrapText="1"/>
    </xf>
    <xf numFmtId="2" fontId="88" fillId="0" borderId="15" xfId="4496" applyNumberFormat="1" applyFont="1" applyBorder="1" applyAlignment="1">
      <alignment horizontal="center"/>
    </xf>
    <xf numFmtId="0" fontId="88"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8" fillId="0" borderId="0" xfId="4499" applyNumberFormat="1" applyFont="1" applyFill="1" applyBorder="1" applyAlignment="1" applyProtection="1">
      <alignment horizontal="right" vertical="center"/>
    </xf>
    <xf numFmtId="5" fontId="88" fillId="0" borderId="6" xfId="4496" applyNumberFormat="1" applyFont="1" applyBorder="1" applyAlignment="1">
      <alignment vertical="center"/>
    </xf>
    <xf numFmtId="0" fontId="88" fillId="0" borderId="66" xfId="4496" applyFont="1" applyBorder="1" applyAlignment="1">
      <alignment vertical="center"/>
    </xf>
    <xf numFmtId="0" fontId="88" fillId="0" borderId="41" xfId="4496" applyFont="1" applyBorder="1" applyAlignment="1">
      <alignment vertical="center"/>
    </xf>
    <xf numFmtId="182" fontId="88" fillId="0" borderId="73" xfId="4496" applyNumberFormat="1" applyFont="1" applyBorder="1" applyAlignment="1">
      <alignment vertical="center"/>
    </xf>
    <xf numFmtId="175" fontId="88" fillId="0" borderId="42" xfId="4499" applyNumberFormat="1" applyFont="1" applyFill="1" applyBorder="1" applyAlignment="1" applyProtection="1">
      <alignment horizontal="left" vertical="center"/>
    </xf>
    <xf numFmtId="0" fontId="88" fillId="0" borderId="42" xfId="4496" applyFont="1" applyBorder="1" applyAlignment="1">
      <alignment vertical="center"/>
    </xf>
    <xf numFmtId="0" fontId="88" fillId="0" borderId="44" xfId="4496" applyFont="1" applyBorder="1" applyAlignment="1">
      <alignment vertical="center"/>
    </xf>
    <xf numFmtId="49" fontId="88" fillId="0" borderId="0" xfId="4496" applyNumberFormat="1" applyFont="1" applyAlignment="1">
      <alignment horizontal="center" vertical="center"/>
    </xf>
    <xf numFmtId="0" fontId="88" fillId="0" borderId="65" xfId="4496" applyFont="1" applyBorder="1" applyAlignment="1">
      <alignment vertical="center"/>
    </xf>
    <xf numFmtId="0" fontId="88" fillId="0" borderId="29" xfId="4496" applyFont="1" applyBorder="1" applyAlignment="1">
      <alignment vertical="center"/>
    </xf>
    <xf numFmtId="0" fontId="88" fillId="0" borderId="29" xfId="4496" applyFont="1" applyBorder="1" applyAlignment="1">
      <alignment horizontal="right" vertical="center"/>
    </xf>
    <xf numFmtId="5" fontId="88" fillId="0" borderId="29" xfId="4496" applyNumberFormat="1" applyFont="1" applyBorder="1" applyAlignment="1">
      <alignment vertical="center"/>
    </xf>
    <xf numFmtId="0" fontId="88"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8" fillId="0" borderId="0" xfId="4496" applyFont="1" applyAlignment="1">
      <alignment horizontal="right" vertical="top" wrapText="1" indent="1"/>
    </xf>
    <xf numFmtId="182" fontId="88" fillId="0" borderId="6" xfId="8721" applyNumberFormat="1" applyFont="1" applyBorder="1" applyAlignment="1" applyProtection="1">
      <alignment horizontal="center"/>
    </xf>
    <xf numFmtId="0" fontId="88" fillId="0" borderId="0" xfId="4496" applyFont="1" applyAlignment="1">
      <alignment horizontal="right" indent="1"/>
    </xf>
    <xf numFmtId="0" fontId="88"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8" fillId="0" borderId="0" xfId="4494" applyNumberFormat="1" applyFont="1" applyBorder="1" applyAlignment="1" applyProtection="1">
      <alignment horizontal="center"/>
    </xf>
    <xf numFmtId="184" fontId="88"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8" fillId="0" borderId="6" xfId="8721" applyNumberFormat="1" applyFont="1" applyBorder="1" applyProtection="1"/>
    <xf numFmtId="184" fontId="88" fillId="0" borderId="0" xfId="4496" applyNumberFormat="1" applyFont="1" applyAlignment="1">
      <alignment horizontal="center"/>
    </xf>
    <xf numFmtId="0" fontId="88" fillId="0" borderId="6" xfId="4496" applyFont="1" applyBorder="1" applyAlignment="1">
      <alignment horizontal="right" vertical="top" wrapText="1" indent="1"/>
    </xf>
    <xf numFmtId="0" fontId="88" fillId="0" borderId="67" xfId="4496" applyFont="1" applyBorder="1" applyAlignment="1">
      <alignment horizontal="right" indent="1"/>
    </xf>
    <xf numFmtId="0" fontId="88" fillId="0" borderId="72" xfId="4496" applyFont="1" applyBorder="1" applyAlignment="1">
      <alignment horizontal="right" indent="1"/>
    </xf>
    <xf numFmtId="0" fontId="88" fillId="0" borderId="72" xfId="4496" quotePrefix="1" applyFont="1" applyBorder="1" applyAlignment="1">
      <alignment horizontal="right" indent="1"/>
    </xf>
    <xf numFmtId="0" fontId="88" fillId="0" borderId="69" xfId="4496" applyFont="1" applyBorder="1" applyAlignment="1">
      <alignment horizontal="right" indent="1"/>
    </xf>
    <xf numFmtId="182" fontId="88" fillId="0" borderId="71" xfId="4496" applyNumberFormat="1" applyFont="1" applyBorder="1"/>
    <xf numFmtId="182" fontId="88" fillId="0" borderId="76" xfId="4496" applyNumberFormat="1" applyFont="1" applyBorder="1"/>
    <xf numFmtId="182" fontId="88" fillId="0" borderId="77" xfId="4496" applyNumberFormat="1" applyFont="1" applyBorder="1"/>
    <xf numFmtId="175" fontId="24" fillId="0" borderId="0" xfId="543" applyNumberFormat="1" applyFont="1" applyAlignment="1">
      <alignment vertical="center"/>
    </xf>
    <xf numFmtId="10" fontId="127" fillId="0" borderId="0" xfId="4494" applyNumberFormat="1" applyFont="1" applyProtection="1"/>
    <xf numFmtId="0" fontId="24" fillId="0" borderId="0" xfId="1192" applyFont="1" applyAlignment="1">
      <alignment horizontal="left" indent="1"/>
    </xf>
    <xf numFmtId="168" fontId="88"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8" fillId="0" borderId="13" xfId="4496" applyNumberFormat="1" applyFont="1" applyBorder="1"/>
    <xf numFmtId="182" fontId="88" fillId="0" borderId="70" xfId="4496" applyNumberFormat="1" applyFont="1" applyBorder="1"/>
    <xf numFmtId="0" fontId="35" fillId="0" borderId="0" xfId="4495" applyFont="1" applyAlignment="1">
      <alignment vertical="center"/>
    </xf>
    <xf numFmtId="0" fontId="112" fillId="0" borderId="0" xfId="4496" applyFont="1" applyAlignment="1">
      <alignment vertical="center" wrapText="1"/>
    </xf>
    <xf numFmtId="0" fontId="22" fillId="43" borderId="0" xfId="1192" applyFont="1" applyFill="1"/>
    <xf numFmtId="3" fontId="59" fillId="43" borderId="6" xfId="1192" applyNumberFormat="1" applyFont="1" applyFill="1" applyBorder="1"/>
    <xf numFmtId="0" fontId="143" fillId="0" borderId="0" xfId="0" applyFont="1"/>
    <xf numFmtId="0" fontId="22"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6" fillId="5" borderId="11" xfId="0" applyFont="1" applyFill="1" applyBorder="1" applyAlignment="1" applyProtection="1">
      <alignment horizontal="right" vertical="top" wrapText="1"/>
      <protection locked="0"/>
    </xf>
    <xf numFmtId="0" fontId="17" fillId="43" borderId="3" xfId="569" applyFill="1" applyBorder="1"/>
    <xf numFmtId="0" fontId="14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8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88" fillId="43" borderId="6" xfId="4496" applyFont="1" applyFill="1" applyBorder="1" applyProtection="1">
      <protection locked="0"/>
    </xf>
    <xf numFmtId="1" fontId="88" fillId="0" borderId="0" xfId="4496" applyNumberFormat="1" applyFont="1" applyProtection="1">
      <protection locked="0"/>
    </xf>
    <xf numFmtId="182" fontId="153" fillId="0" borderId="11" xfId="4496" applyNumberFormat="1" applyFont="1" applyBorder="1"/>
    <xf numFmtId="44" fontId="88" fillId="0" borderId="0" xfId="4496" applyNumberFormat="1" applyFont="1"/>
    <xf numFmtId="182" fontId="22" fillId="0" borderId="11" xfId="4496" applyNumberFormat="1" applyFont="1" applyBorder="1"/>
    <xf numFmtId="9" fontId="88" fillId="0" borderId="0" xfId="4494" applyFont="1"/>
    <xf numFmtId="182" fontId="88" fillId="43" borderId="6" xfId="8721" applyNumberFormat="1" applyFont="1" applyFill="1" applyBorder="1" applyProtection="1">
      <protection locked="0"/>
    </xf>
    <xf numFmtId="0" fontId="17" fillId="0" borderId="0" xfId="4495" applyFont="1" applyAlignment="1">
      <alignment wrapText="1"/>
    </xf>
    <xf numFmtId="168" fontId="165" fillId="48" borderId="79" xfId="700" applyNumberFormat="1" applyFont="1" applyFill="1" applyBorder="1" applyAlignment="1" applyProtection="1">
      <protection locked="0"/>
    </xf>
    <xf numFmtId="3" fontId="39"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93" fillId="0" borderId="0" xfId="8733" applyFont="1"/>
    <xf numFmtId="0" fontId="2" fillId="47" borderId="66" xfId="8733" applyFill="1" applyBorder="1"/>
    <xf numFmtId="0" fontId="2" fillId="47" borderId="0" xfId="8733" applyFill="1"/>
    <xf numFmtId="0" fontId="92" fillId="47" borderId="41" xfId="8733" applyFont="1" applyFill="1" applyBorder="1" applyAlignment="1">
      <alignment horizontal="center"/>
    </xf>
    <xf numFmtId="0" fontId="92" fillId="47" borderId="0" xfId="8733" applyFont="1" applyFill="1"/>
    <xf numFmtId="182" fontId="164" fillId="47" borderId="0" xfId="8734" applyNumberFormat="1" applyFont="1" applyFill="1" applyBorder="1" applyAlignment="1"/>
    <xf numFmtId="0" fontId="2" fillId="47" borderId="41" xfId="8733" applyFill="1" applyBorder="1"/>
    <xf numFmtId="0" fontId="93" fillId="47" borderId="0" xfId="8733" applyFont="1" applyFill="1"/>
    <xf numFmtId="0" fontId="168" fillId="47" borderId="0" xfId="8733" applyFont="1" applyFill="1"/>
    <xf numFmtId="0" fontId="92" fillId="47" borderId="41" xfId="8733" applyFont="1" applyFill="1" applyBorder="1"/>
    <xf numFmtId="0" fontId="92" fillId="0" borderId="0" xfId="8733" applyFont="1"/>
    <xf numFmtId="0" fontId="92" fillId="54" borderId="100" xfId="8733" applyFont="1" applyFill="1" applyBorder="1"/>
    <xf numFmtId="0" fontId="2" fillId="53" borderId="99" xfId="8733" applyFill="1" applyBorder="1"/>
    <xf numFmtId="0" fontId="2" fillId="52" borderId="99" xfId="8733" applyFill="1" applyBorder="1"/>
    <xf numFmtId="0" fontId="9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92" fillId="45" borderId="0" xfId="8733" applyFont="1" applyFill="1"/>
    <xf numFmtId="0" fontId="92" fillId="45" borderId="12" xfId="8733" applyFont="1" applyFill="1" applyBorder="1"/>
    <xf numFmtId="0" fontId="92" fillId="45" borderId="29" xfId="8733" applyFont="1" applyFill="1" applyBorder="1"/>
    <xf numFmtId="0" fontId="92" fillId="45" borderId="80" xfId="8733" applyFont="1" applyFill="1" applyBorder="1"/>
    <xf numFmtId="0" fontId="92" fillId="45" borderId="79" xfId="8733" applyFont="1" applyFill="1" applyBorder="1"/>
    <xf numFmtId="0" fontId="92" fillId="45" borderId="78" xfId="8733" applyFont="1" applyFill="1" applyBorder="1"/>
    <xf numFmtId="0" fontId="92" fillId="45" borderId="93" xfId="8733" applyFont="1" applyFill="1" applyBorder="1"/>
    <xf numFmtId="0" fontId="92" fillId="45" borderId="6" xfId="8733" applyFont="1" applyFill="1" applyBorder="1"/>
    <xf numFmtId="0" fontId="92" fillId="45" borderId="10" xfId="8733" applyFont="1" applyFill="1" applyBorder="1"/>
    <xf numFmtId="0" fontId="2" fillId="45" borderId="29" xfId="8733" applyFill="1" applyBorder="1"/>
    <xf numFmtId="0" fontId="2" fillId="45" borderId="31" xfId="8733" applyFill="1" applyBorder="1"/>
    <xf numFmtId="0" fontId="92" fillId="45" borderId="92" xfId="8733" applyFont="1" applyFill="1" applyBorder="1"/>
    <xf numFmtId="0" fontId="92" fillId="45" borderId="74" xfId="8733" applyFont="1" applyFill="1" applyBorder="1"/>
    <xf numFmtId="0" fontId="16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70" fillId="47" borderId="0" xfId="8733" applyFont="1" applyFill="1"/>
    <xf numFmtId="0" fontId="92" fillId="45" borderId="31" xfId="8733" applyFont="1" applyFill="1" applyBorder="1"/>
    <xf numFmtId="0" fontId="2" fillId="47" borderId="0" xfId="8733" applyFill="1" applyAlignment="1">
      <alignment horizontal="left"/>
    </xf>
    <xf numFmtId="0" fontId="162" fillId="51" borderId="11" xfId="8733" applyFont="1" applyFill="1" applyBorder="1"/>
    <xf numFmtId="0" fontId="162" fillId="51" borderId="76" xfId="8733" applyFont="1" applyFill="1" applyBorder="1"/>
    <xf numFmtId="0" fontId="163" fillId="51" borderId="11" xfId="8733" applyFont="1" applyFill="1" applyBorder="1" applyAlignment="1">
      <alignment horizontal="center"/>
    </xf>
    <xf numFmtId="0" fontId="16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92" fillId="47" borderId="66" xfId="8733" applyFont="1" applyFill="1" applyBorder="1"/>
    <xf numFmtId="49" fontId="9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54" fillId="0" borderId="0" xfId="8733" applyFont="1"/>
    <xf numFmtId="168" fontId="0" fillId="0" borderId="0" xfId="0" applyNumberFormat="1"/>
    <xf numFmtId="0" fontId="112" fillId="52" borderId="113" xfId="0" applyFont="1" applyFill="1" applyBorder="1"/>
    <xf numFmtId="0" fontId="11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59" fillId="0" borderId="0" xfId="8733" applyFont="1"/>
    <xf numFmtId="0" fontId="156" fillId="0" borderId="0" xfId="8733" applyFont="1"/>
    <xf numFmtId="185" fontId="159" fillId="0" borderId="0" xfId="698" applyNumberFormat="1" applyFont="1"/>
    <xf numFmtId="10" fontId="159" fillId="0" borderId="0" xfId="1022" applyNumberFormat="1" applyFont="1"/>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0" fontId="17" fillId="0" borderId="4" xfId="0" applyFont="1" applyBorder="1"/>
    <xf numFmtId="0" fontId="39" fillId="0" borderId="0" xfId="0" applyFont="1"/>
    <xf numFmtId="0" fontId="17" fillId="8" borderId="0" xfId="542" quotePrefix="1" applyFont="1" applyFill="1" applyAlignment="1">
      <alignment horizontal="left"/>
    </xf>
    <xf numFmtId="0" fontId="24" fillId="8" borderId="0" xfId="539" applyFont="1" applyFill="1" applyAlignment="1" applyProtection="1">
      <alignment horizontal="centerContinuous"/>
    </xf>
    <xf numFmtId="0" fontId="17" fillId="8" borderId="0" xfId="542" applyFont="1" applyFill="1"/>
    <xf numFmtId="168" fontId="24" fillId="0" borderId="6" xfId="543" applyNumberFormat="1" applyFont="1" applyBorder="1" applyAlignment="1">
      <alignment horizontal="left"/>
    </xf>
    <xf numFmtId="168" fontId="24" fillId="0" borderId="6" xfId="543" applyNumberFormat="1" applyFont="1" applyBorder="1" applyAlignment="1">
      <alignment horizontal="center"/>
    </xf>
    <xf numFmtId="0" fontId="41" fillId="0" borderId="0" xfId="244" applyFont="1" applyFill="1" applyBorder="1" applyAlignment="1" applyProtection="1">
      <alignment horizontal="left"/>
    </xf>
    <xf numFmtId="0" fontId="17" fillId="0" borderId="0" xfId="0" applyFont="1" applyAlignment="1">
      <alignment horizontal="left" indent="4"/>
    </xf>
    <xf numFmtId="0" fontId="17" fillId="9" borderId="6" xfId="0" applyFont="1" applyFill="1" applyBorder="1"/>
    <xf numFmtId="166" fontId="17" fillId="0" borderId="0" xfId="0" applyNumberFormat="1" applyFont="1" applyAlignment="1">
      <alignment horizontal="left"/>
    </xf>
    <xf numFmtId="166" fontId="17" fillId="0" borderId="0" xfId="0" applyNumberFormat="1" applyFont="1"/>
    <xf numFmtId="168" fontId="17" fillId="0" borderId="0" xfId="0" applyNumberFormat="1" applyFont="1" applyAlignment="1">
      <alignment horizontal="right"/>
    </xf>
    <xf numFmtId="168" fontId="17" fillId="0" borderId="3" xfId="0" applyNumberFormat="1" applyFont="1" applyBorder="1" applyAlignment="1">
      <alignment vertical="top"/>
    </xf>
    <xf numFmtId="168" fontId="17" fillId="0" borderId="4" xfId="0" applyNumberFormat="1" applyFont="1" applyBorder="1" applyAlignment="1">
      <alignment vertical="top"/>
    </xf>
    <xf numFmtId="168" fontId="17" fillId="0" borderId="5" xfId="0" applyNumberFormat="1" applyFont="1" applyBorder="1" applyAlignment="1">
      <alignment vertical="top"/>
    </xf>
    <xf numFmtId="168" fontId="17" fillId="0" borderId="8" xfId="0" applyNumberFormat="1" applyFont="1" applyBorder="1" applyAlignment="1">
      <alignment vertical="top"/>
    </xf>
    <xf numFmtId="168" fontId="17" fillId="0" borderId="0" xfId="0" applyNumberFormat="1" applyFont="1" applyAlignment="1">
      <alignment vertical="top"/>
    </xf>
    <xf numFmtId="0" fontId="17" fillId="0" borderId="0" xfId="0" applyFont="1" applyAlignment="1">
      <alignment horizontal="right" vertical="top"/>
    </xf>
    <xf numFmtId="0" fontId="17" fillId="0" borderId="12" xfId="0" applyFont="1" applyBorder="1" applyAlignment="1">
      <alignment horizontal="right" vertical="top"/>
    </xf>
    <xf numFmtId="0" fontId="17" fillId="5" borderId="4" xfId="0" applyFont="1" applyFill="1" applyBorder="1" applyAlignment="1" applyProtection="1">
      <alignment horizontal="left" vertical="top"/>
      <protection locked="0"/>
    </xf>
    <xf numFmtId="0" fontId="17" fillId="5" borderId="5" xfId="0" applyFont="1" applyFill="1" applyBorder="1" applyAlignment="1" applyProtection="1">
      <alignment horizontal="left" vertical="top"/>
      <protection locked="0"/>
    </xf>
    <xf numFmtId="5" fontId="17" fillId="0" borderId="0" xfId="542" applyNumberFormat="1" applyFont="1"/>
    <xf numFmtId="0" fontId="17" fillId="0" borderId="11" xfId="0" applyFont="1" applyBorder="1" applyAlignment="1">
      <alignment horizontal="left"/>
    </xf>
    <xf numFmtId="0" fontId="17" fillId="0" borderId="7" xfId="0" applyFont="1" applyBorder="1"/>
    <xf numFmtId="0" fontId="17" fillId="0" borderId="12" xfId="0" applyFont="1" applyBorder="1"/>
    <xf numFmtId="0" fontId="17" fillId="0" borderId="10" xfId="0" applyFont="1" applyBorder="1"/>
    <xf numFmtId="0" fontId="27" fillId="0" borderId="0" xfId="543" applyFont="1"/>
    <xf numFmtId="0" fontId="17" fillId="0" borderId="1" xfId="0" applyFont="1" applyBorder="1"/>
    <xf numFmtId="0" fontId="35" fillId="0" borderId="7" xfId="543" applyFont="1" applyBorder="1"/>
    <xf numFmtId="0" fontId="24" fillId="0" borderId="12" xfId="543" applyFont="1" applyBorder="1" applyAlignment="1">
      <alignment horizontal="center" vertical="top"/>
    </xf>
    <xf numFmtId="0" fontId="25" fillId="0" borderId="8" xfId="543" applyFont="1" applyBorder="1" applyAlignment="1">
      <alignment horizontal="left" vertical="top" wrapText="1"/>
    </xf>
    <xf numFmtId="0" fontId="25" fillId="0" borderId="12" xfId="543" applyFont="1" applyBorder="1" applyAlignment="1">
      <alignment horizontal="center" vertical="top" wrapText="1"/>
    </xf>
    <xf numFmtId="0" fontId="25" fillId="0" borderId="1" xfId="543" applyFont="1" applyBorder="1" applyAlignment="1">
      <alignment horizontal="left" vertical="top" wrapText="1"/>
    </xf>
    <xf numFmtId="0" fontId="25" fillId="0" borderId="2" xfId="543" applyFont="1" applyBorder="1" applyAlignment="1">
      <alignment horizontal="center" vertical="top" wrapText="1"/>
    </xf>
    <xf numFmtId="0" fontId="25" fillId="0" borderId="0" xfId="543" applyFont="1" applyAlignment="1">
      <alignment horizontal="center" vertical="top" wrapText="1"/>
    </xf>
    <xf numFmtId="0" fontId="25" fillId="0" borderId="9" xfId="543" applyFont="1" applyBorder="1" applyAlignment="1">
      <alignment horizontal="left" vertical="top" wrapText="1"/>
    </xf>
    <xf numFmtId="0" fontId="25" fillId="0" borderId="6" xfId="543" applyFont="1" applyBorder="1" applyAlignment="1">
      <alignment horizontal="center" vertical="top" wrapText="1"/>
    </xf>
    <xf numFmtId="0" fontId="24" fillId="0" borderId="0" xfId="543" applyFont="1" applyAlignment="1">
      <alignment horizontal="center"/>
    </xf>
    <xf numFmtId="0" fontId="33" fillId="0" borderId="9" xfId="543" applyFont="1" applyBorder="1" applyAlignment="1">
      <alignment horizontal="left" vertical="top" wrapText="1"/>
    </xf>
    <xf numFmtId="0" fontId="17" fillId="0" borderId="15" xfId="0" applyFont="1" applyBorder="1"/>
    <xf numFmtId="0" fontId="33" fillId="0" borderId="8" xfId="543" applyFont="1" applyBorder="1" applyAlignment="1">
      <alignment horizontal="left" vertical="top" wrapText="1"/>
    </xf>
    <xf numFmtId="0" fontId="33" fillId="0" borderId="0" xfId="543" applyFont="1" applyAlignment="1">
      <alignment horizontal="center" vertical="top" wrapText="1"/>
    </xf>
    <xf numFmtId="2" fontId="17" fillId="0" borderId="11" xfId="0" applyNumberFormat="1" applyFont="1" applyBorder="1"/>
    <xf numFmtId="0" fontId="25" fillId="0" borderId="0" xfId="543" applyFont="1" applyAlignment="1">
      <alignment horizontal="center"/>
    </xf>
    <xf numFmtId="0" fontId="33" fillId="0" borderId="4" xfId="543" applyFont="1" applyBorder="1" applyAlignment="1">
      <alignment horizontal="right" vertical="top" wrapText="1"/>
    </xf>
    <xf numFmtId="0" fontId="33" fillId="0" borderId="0" xfId="543" applyFont="1" applyAlignment="1">
      <alignment horizontal="right" vertical="top" wrapText="1"/>
    </xf>
    <xf numFmtId="0" fontId="24" fillId="0" borderId="0" xfId="543" applyFont="1" applyAlignment="1">
      <alignment horizontal="right" vertical="top" wrapText="1"/>
    </xf>
    <xf numFmtId="0" fontId="24" fillId="0" borderId="2" xfId="543" applyFont="1" applyBorder="1" applyAlignment="1">
      <alignment horizontal="right" vertical="top" wrapText="1"/>
    </xf>
    <xf numFmtId="0" fontId="24" fillId="0" borderId="0" xfId="543" applyFont="1" applyAlignment="1">
      <alignment vertical="center" wrapText="1"/>
    </xf>
    <xf numFmtId="0" fontId="25" fillId="0" borderId="0" xfId="543" applyFont="1"/>
    <xf numFmtId="0" fontId="17" fillId="0" borderId="0" xfId="543" applyAlignment="1">
      <alignment horizontal="left"/>
    </xf>
    <xf numFmtId="0" fontId="46" fillId="4" borderId="11" xfId="0" applyFont="1" applyFill="1" applyBorder="1" applyAlignment="1">
      <alignment vertical="top" wrapText="1"/>
    </xf>
    <xf numFmtId="0" fontId="46" fillId="2" borderId="11" xfId="0" applyFont="1" applyFill="1" applyBorder="1" applyAlignment="1">
      <alignment vertical="top" wrapText="1"/>
    </xf>
    <xf numFmtId="168" fontId="46" fillId="6" borderId="11" xfId="0" applyNumberFormat="1" applyFont="1" applyFill="1" applyBorder="1" applyAlignment="1">
      <alignment horizontal="center" vertical="top" wrapText="1"/>
    </xf>
    <xf numFmtId="0" fontId="46" fillId="0" borderId="11" xfId="0" applyFont="1" applyBorder="1" applyAlignment="1">
      <alignment horizontal="right" vertical="top"/>
    </xf>
    <xf numFmtId="168" fontId="46" fillId="0" borderId="11" xfId="0" applyNumberFormat="1" applyFont="1" applyBorder="1" applyAlignment="1">
      <alignment vertical="top"/>
    </xf>
    <xf numFmtId="168" fontId="46" fillId="5" borderId="11" xfId="0" applyNumberFormat="1" applyFont="1" applyFill="1" applyBorder="1" applyAlignment="1" applyProtection="1">
      <alignment vertical="top"/>
      <protection locked="0"/>
    </xf>
    <xf numFmtId="168" fontId="46" fillId="6" borderId="11" xfId="0" applyNumberFormat="1" applyFont="1" applyFill="1" applyBorder="1" applyAlignment="1">
      <alignment horizontal="center" vertical="top"/>
    </xf>
    <xf numFmtId="0" fontId="46" fillId="2" borderId="11" xfId="0" applyFont="1" applyFill="1" applyBorder="1" applyAlignment="1" applyProtection="1">
      <alignment vertical="top"/>
      <protection locked="0"/>
    </xf>
    <xf numFmtId="168" fontId="46" fillId="44" borderId="11" xfId="0" applyNumberFormat="1" applyFont="1" applyFill="1" applyBorder="1" applyAlignment="1">
      <alignment vertical="top" wrapText="1"/>
    </xf>
    <xf numFmtId="0" fontId="46" fillId="0" borderId="0" xfId="0" applyFont="1" applyAlignment="1">
      <alignment horizontal="left" vertical="top"/>
    </xf>
    <xf numFmtId="3" fontId="46" fillId="0" borderId="11" xfId="0" applyNumberFormat="1" applyFont="1" applyBorder="1" applyAlignment="1">
      <alignment vertical="top" wrapText="1"/>
    </xf>
    <xf numFmtId="0" fontId="46" fillId="2" borderId="12" xfId="0" applyFont="1" applyFill="1" applyBorder="1" applyAlignment="1">
      <alignment vertical="top" wrapText="1"/>
    </xf>
    <xf numFmtId="0" fontId="17" fillId="0" borderId="0" xfId="0" applyFont="1" applyAlignment="1">
      <alignment horizontal="right" vertical="top" wrapText="1"/>
    </xf>
    <xf numFmtId="10" fontId="17" fillId="5" borderId="6" xfId="0" applyNumberFormat="1" applyFont="1" applyFill="1" applyBorder="1" applyAlignment="1" applyProtection="1">
      <alignment horizontal="center" vertical="top" wrapText="1"/>
      <protection locked="0"/>
    </xf>
    <xf numFmtId="172" fontId="17" fillId="0" borderId="0" xfId="0" applyNumberFormat="1" applyFont="1" applyAlignment="1">
      <alignment horizontal="center"/>
    </xf>
    <xf numFmtId="10" fontId="39" fillId="0" borderId="0" xfId="0" applyNumberFormat="1" applyFont="1" applyAlignment="1">
      <alignment horizontal="center"/>
    </xf>
    <xf numFmtId="172" fontId="17" fillId="5" borderId="0" xfId="0" applyNumberFormat="1" applyFont="1" applyFill="1" applyAlignment="1">
      <alignment horizontal="center"/>
    </xf>
    <xf numFmtId="3" fontId="17" fillId="0" borderId="0" xfId="0" applyNumberFormat="1" applyFont="1" applyAlignment="1">
      <alignment vertical="top"/>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95" fillId="0" borderId="0" xfId="0" applyFont="1" applyAlignment="1">
      <alignment horizontal="left" vertical="top" wrapText="1"/>
    </xf>
    <xf numFmtId="0" fontId="18" fillId="0" borderId="0" xfId="244" applyAlignment="1">
      <alignment horizontal="left" vertical="top"/>
    </xf>
    <xf numFmtId="0" fontId="40" fillId="0" borderId="0" xfId="0" applyFont="1" applyAlignment="1">
      <alignment horizontal="left" vertical="top" wrapText="1"/>
    </xf>
    <xf numFmtId="0" fontId="10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applyAlignment="1"/>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04" fillId="0" borderId="0" xfId="569" applyFont="1" applyAlignment="1">
      <alignment horizontal="center"/>
    </xf>
    <xf numFmtId="0" fontId="10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7" fillId="0" borderId="0" xfId="543"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0" fontId="17" fillId="5" borderId="3" xfId="0" applyFont="1" applyFill="1" applyBorder="1" applyAlignment="1" applyProtection="1">
      <alignment horizontal="center"/>
      <protection locked="0"/>
    </xf>
    <xf numFmtId="0" fontId="17" fillId="5" borderId="4" xfId="0" applyFont="1" applyFill="1" applyBorder="1" applyAlignment="1" applyProtection="1">
      <alignment horizontal="center"/>
      <protection locked="0"/>
    </xf>
    <xf numFmtId="0" fontId="17" fillId="5" borderId="5" xfId="0" applyFont="1" applyFill="1" applyBorder="1" applyAlignment="1" applyProtection="1">
      <alignment horizontal="center"/>
      <protection locked="0"/>
    </xf>
    <xf numFmtId="168" fontId="17" fillId="5" borderId="3" xfId="0" applyNumberFormat="1" applyFont="1" applyFill="1" applyBorder="1" applyAlignment="1" applyProtection="1">
      <alignment horizontal="center"/>
      <protection locked="0"/>
    </xf>
    <xf numFmtId="168" fontId="17" fillId="5" borderId="4" xfId="0" applyNumberFormat="1" applyFont="1" applyFill="1" applyBorder="1" applyAlignment="1" applyProtection="1">
      <alignment horizontal="center"/>
      <protection locked="0"/>
    </xf>
    <xf numFmtId="168" fontId="1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7" fillId="5" borderId="4" xfId="0" applyNumberFormat="1" applyFont="1" applyFill="1" applyBorder="1" applyAlignment="1" applyProtection="1">
      <alignment horizontal="left"/>
      <protection locked="0"/>
    </xf>
    <xf numFmtId="0" fontId="17" fillId="5" borderId="4" xfId="0" applyFont="1" applyFill="1" applyBorder="1" applyAlignment="1" applyProtection="1">
      <alignment wrapText="1"/>
      <protection locked="0"/>
    </xf>
    <xf numFmtId="1" fontId="17" fillId="5" borderId="3" xfId="0" applyNumberFormat="1" applyFont="1" applyFill="1" applyBorder="1" applyAlignment="1" applyProtection="1">
      <alignment horizontal="center"/>
      <protection locked="0"/>
    </xf>
    <xf numFmtId="1" fontId="17" fillId="5" borderId="4" xfId="0" applyNumberFormat="1" applyFont="1" applyFill="1" applyBorder="1" applyAlignment="1" applyProtection="1">
      <alignment horizontal="center"/>
      <protection locked="0"/>
    </xf>
    <xf numFmtId="1" fontId="17" fillId="5" borderId="5" xfId="0" applyNumberFormat="1" applyFont="1" applyFill="1" applyBorder="1" applyAlignment="1" applyProtection="1">
      <alignment horizontal="center"/>
      <protection locked="0"/>
    </xf>
    <xf numFmtId="168" fontId="17" fillId="0" borderId="3" xfId="0" applyNumberFormat="1" applyFont="1" applyBorder="1" applyAlignment="1">
      <alignment horizontal="center"/>
    </xf>
    <xf numFmtId="168" fontId="17" fillId="0" borderId="4" xfId="0" applyNumberFormat="1" applyFont="1" applyBorder="1" applyAlignment="1">
      <alignment horizontal="center"/>
    </xf>
    <xf numFmtId="168" fontId="17" fillId="0" borderId="5" xfId="0" applyNumberFormat="1" applyFont="1" applyBorder="1" applyAlignment="1">
      <alignment horizontal="center"/>
    </xf>
    <xf numFmtId="165" fontId="17" fillId="0" borderId="1" xfId="0" applyNumberFormat="1" applyFont="1" applyBorder="1" applyAlignment="1">
      <alignment horizontal="right"/>
    </xf>
    <xf numFmtId="165" fontId="17" fillId="0" borderId="2" xfId="0" applyNumberFormat="1" applyFont="1" applyBorder="1" applyAlignment="1">
      <alignment horizontal="right"/>
    </xf>
    <xf numFmtId="165" fontId="17" fillId="0" borderId="7" xfId="0" applyNumberFormat="1" applyFont="1" applyBorder="1" applyAlignment="1">
      <alignment horizontal="right"/>
    </xf>
    <xf numFmtId="0" fontId="0" fillId="0" borderId="6" xfId="0" applyBorder="1" applyAlignment="1">
      <alignment horizontal="left"/>
    </xf>
    <xf numFmtId="9" fontId="17" fillId="5" borderId="3" xfId="0" applyNumberFormat="1" applyFont="1" applyFill="1" applyBorder="1" applyAlignment="1" applyProtection="1">
      <alignment horizontal="center"/>
      <protection locked="0"/>
    </xf>
    <xf numFmtId="9" fontId="17" fillId="5" borderId="4" xfId="0" applyNumberFormat="1" applyFont="1" applyFill="1" applyBorder="1" applyAlignment="1" applyProtection="1">
      <alignment horizontal="center"/>
      <protection locked="0"/>
    </xf>
    <xf numFmtId="9" fontId="17" fillId="5" borderId="5" xfId="0" applyNumberFormat="1" applyFont="1" applyFill="1" applyBorder="1" applyAlignment="1" applyProtection="1">
      <alignment horizontal="center"/>
      <protection locked="0"/>
    </xf>
    <xf numFmtId="0" fontId="17" fillId="0" borderId="1" xfId="0" applyFont="1" applyBorder="1" applyAlignment="1">
      <alignment horizontal="center" vertical="top" wrapText="1"/>
    </xf>
    <xf numFmtId="0" fontId="17" fillId="0" borderId="2" xfId="0" applyFont="1" applyBorder="1" applyAlignment="1">
      <alignment horizontal="center" vertical="top" wrapText="1"/>
    </xf>
    <xf numFmtId="0" fontId="17" fillId="0" borderId="7" xfId="0" applyFont="1" applyBorder="1" applyAlignment="1">
      <alignment horizontal="center" vertical="top" wrapText="1"/>
    </xf>
    <xf numFmtId="0" fontId="17" fillId="0" borderId="8" xfId="0" applyFont="1" applyBorder="1" applyAlignment="1">
      <alignment horizontal="center" vertical="top" wrapText="1"/>
    </xf>
    <xf numFmtId="0" fontId="17" fillId="0" borderId="0" xfId="0" applyFont="1" applyAlignment="1">
      <alignment horizontal="center" vertical="top" wrapText="1"/>
    </xf>
    <xf numFmtId="0" fontId="17" fillId="0" borderId="12" xfId="0" applyFont="1" applyBorder="1" applyAlignment="1">
      <alignment horizontal="center" vertical="top" wrapText="1"/>
    </xf>
    <xf numFmtId="0" fontId="17" fillId="0" borderId="9" xfId="0" applyFont="1" applyBorder="1" applyAlignment="1">
      <alignment horizontal="center" vertical="top" wrapText="1"/>
    </xf>
    <xf numFmtId="0" fontId="17" fillId="0" borderId="6" xfId="0" applyFont="1" applyBorder="1" applyAlignment="1">
      <alignment horizontal="center" vertical="top" wrapText="1"/>
    </xf>
    <xf numFmtId="0" fontId="17"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4"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3"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17" fillId="5" borderId="6" xfId="0" applyFont="1" applyFill="1" applyBorder="1" applyAlignment="1" applyProtection="1">
      <alignment horizontal="left"/>
      <protection locked="0"/>
    </xf>
    <xf numFmtId="168" fontId="17"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166" fontId="17"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17"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0" fontId="17" fillId="45" borderId="11" xfId="0" applyFont="1" applyFill="1" applyBorder="1" applyAlignment="1">
      <alignment horizontal="center"/>
    </xf>
    <xf numFmtId="0" fontId="17"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17" fillId="45" borderId="3" xfId="0" applyFont="1" applyFill="1" applyBorder="1" applyAlignment="1">
      <alignment horizontal="center"/>
    </xf>
    <xf numFmtId="0" fontId="17" fillId="45" borderId="4" xfId="0" applyFont="1" applyFill="1" applyBorder="1" applyAlignment="1">
      <alignment horizontal="center"/>
    </xf>
    <xf numFmtId="0" fontId="17" fillId="45" borderId="5" xfId="0" applyFont="1" applyFill="1" applyBorder="1" applyAlignment="1">
      <alignment horizontal="center"/>
    </xf>
    <xf numFmtId="0" fontId="17" fillId="0" borderId="11" xfId="0" applyFont="1" applyBorder="1" applyAlignment="1">
      <alignment horizontal="center"/>
    </xf>
    <xf numFmtId="0" fontId="17" fillId="0" borderId="11" xfId="543"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0" fillId="0" borderId="9" xfId="0" applyBorder="1" applyAlignment="1">
      <alignment horizontal="left"/>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68" fontId="17" fillId="0" borderId="11" xfId="543" applyNumberFormat="1" applyBorder="1" applyAlignment="1">
      <alignment horizontal="center"/>
    </xf>
    <xf numFmtId="0" fontId="46" fillId="5" borderId="3" xfId="0" applyFont="1" applyFill="1" applyBorder="1" applyAlignment="1" applyProtection="1">
      <alignment horizontal="right"/>
      <protection locked="0"/>
    </xf>
    <xf numFmtId="0" fontId="46" fillId="5" borderId="4" xfId="0" applyFont="1" applyFill="1" applyBorder="1" applyAlignment="1" applyProtection="1">
      <alignment horizontal="right"/>
      <protection locked="0"/>
    </xf>
    <xf numFmtId="0" fontId="46"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4" xfId="543" applyFont="1" applyBorder="1" applyAlignment="1">
      <alignment horizontal="right" vertical="top" wrapText="1"/>
    </xf>
    <xf numFmtId="0" fontId="24"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24" fillId="0" borderId="1" xfId="543" applyFont="1" applyBorder="1" applyAlignment="1">
      <alignment horizontal="right"/>
    </xf>
    <xf numFmtId="0" fontId="24" fillId="0" borderId="2" xfId="543" applyFont="1" applyBorder="1" applyAlignment="1">
      <alignment horizontal="right"/>
    </xf>
    <xf numFmtId="0" fontId="24"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17" fillId="5" borderId="4" xfId="543" applyFill="1" applyBorder="1" applyAlignment="1" applyProtection="1">
      <alignment horizontal="left" vertical="top" wrapText="1"/>
      <protection locked="0"/>
    </xf>
    <xf numFmtId="0" fontId="17" fillId="5" borderId="5" xfId="543" applyFill="1" applyBorder="1" applyAlignment="1" applyProtection="1">
      <alignment horizontal="left" vertical="top" wrapText="1"/>
      <protection locked="0"/>
    </xf>
    <xf numFmtId="1" fontId="17" fillId="5" borderId="11" xfId="0" applyNumberFormat="1" applyFont="1" applyFill="1" applyBorder="1" applyAlignment="1" applyProtection="1">
      <alignment horizontal="center"/>
      <protection locked="0"/>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7" fillId="5" borderId="11" xfId="0" applyFont="1" applyFill="1" applyBorder="1" applyAlignment="1" applyProtection="1">
      <alignment horizontal="left" wrapText="1"/>
      <protection locked="0"/>
    </xf>
    <xf numFmtId="0" fontId="17" fillId="0" borderId="11" xfId="0" applyFont="1" applyBorder="1" applyAlignment="1">
      <alignment horizontal="center" vertical="top" wrapText="1"/>
    </xf>
    <xf numFmtId="0" fontId="24" fillId="0" borderId="0" xfId="0" applyFont="1" applyAlignment="1">
      <alignment horizontal="center" vertical="center"/>
    </xf>
    <xf numFmtId="1" fontId="17" fillId="0" borderId="3" xfId="0" applyNumberFormat="1" applyFont="1" applyBorder="1" applyAlignment="1">
      <alignment horizontal="center"/>
    </xf>
    <xf numFmtId="1" fontId="17" fillId="0" borderId="4" xfId="0" applyNumberFormat="1" applyFont="1" applyBorder="1" applyAlignment="1">
      <alignment horizontal="center"/>
    </xf>
    <xf numFmtId="1" fontId="17" fillId="0" borderId="5" xfId="0" applyNumberFormat="1" applyFont="1" applyBorder="1" applyAlignment="1">
      <alignment horizontal="center"/>
    </xf>
    <xf numFmtId="0" fontId="26"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7" fillId="43" borderId="11" xfId="0" applyFont="1" applyFill="1" applyBorder="1" applyAlignment="1" applyProtection="1">
      <alignment horizontal="center"/>
      <protection locked="0"/>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0" fontId="17" fillId="0" borderId="3" xfId="0" applyFont="1" applyBorder="1" applyAlignment="1">
      <alignment horizontal="left"/>
    </xf>
    <xf numFmtId="0" fontId="24" fillId="0" borderId="7" xfId="0" applyFont="1" applyBorder="1" applyAlignment="1">
      <alignment horizontal="center" wrapText="1"/>
    </xf>
    <xf numFmtId="0" fontId="25" fillId="5" borderId="3" xfId="543" applyFont="1" applyFill="1" applyBorder="1" applyAlignment="1">
      <alignment horizontal="center"/>
    </xf>
    <xf numFmtId="0" fontId="25" fillId="5" borderId="4" xfId="543" applyFont="1" applyFill="1" applyBorder="1" applyAlignment="1">
      <alignment horizontal="center"/>
    </xf>
    <xf numFmtId="0" fontId="25"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171" fontId="17"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7" fillId="5" borderId="9" xfId="0" applyFont="1" applyFill="1" applyBorder="1" applyAlignment="1" applyProtection="1">
      <alignment horizontal="center"/>
      <protection locked="0"/>
    </xf>
    <xf numFmtId="0" fontId="17" fillId="5" borderId="6" xfId="0" applyFont="1" applyFill="1" applyBorder="1" applyAlignment="1" applyProtection="1">
      <alignment horizontal="center"/>
      <protection locked="0"/>
    </xf>
    <xf numFmtId="0" fontId="24" fillId="0" borderId="9" xfId="0" applyFont="1" applyBorder="1" applyAlignment="1">
      <alignment horizontal="center"/>
    </xf>
    <xf numFmtId="1" fontId="17" fillId="5" borderId="3" xfId="0" applyNumberFormat="1" applyFont="1" applyFill="1" applyBorder="1" applyAlignment="1" applyProtection="1">
      <alignment horizontal="right" vertical="top"/>
      <protection locked="0"/>
    </xf>
    <xf numFmtId="1" fontId="17" fillId="5" borderId="4" xfId="0" applyNumberFormat="1" applyFont="1" applyFill="1" applyBorder="1" applyAlignment="1" applyProtection="1">
      <alignment horizontal="right" vertical="top"/>
      <protection locked="0"/>
    </xf>
    <xf numFmtId="1" fontId="17"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horizontal="left" vertical="center" wrapText="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0" xfId="0" applyFont="1" applyAlignment="1">
      <alignment horizontal="center" vertical="center" wrapText="1"/>
    </xf>
    <xf numFmtId="0" fontId="47" fillId="0" borderId="12"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7"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7"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7" fillId="5" borderId="3" xfId="0" applyNumberFormat="1" applyFont="1" applyFill="1" applyBorder="1" applyAlignment="1" applyProtection="1">
      <alignment horizontal="left" vertical="top"/>
      <protection locked="0"/>
    </xf>
    <xf numFmtId="168" fontId="17" fillId="5" borderId="4" xfId="0" applyNumberFormat="1" applyFont="1" applyFill="1" applyBorder="1" applyAlignment="1" applyProtection="1">
      <alignment horizontal="left" vertical="top"/>
      <protection locked="0"/>
    </xf>
    <xf numFmtId="168" fontId="17"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7" fillId="0" borderId="0" xfId="543" applyNumberFormat="1" applyAlignment="1">
      <alignment horizontal="right"/>
    </xf>
    <xf numFmtId="168" fontId="0" fillId="0" borderId="11" xfId="0" applyNumberFormat="1" applyBorder="1"/>
    <xf numFmtId="0" fontId="17" fillId="5" borderId="3" xfId="0" applyFont="1" applyFill="1" applyBorder="1" applyProtection="1">
      <protection locked="0"/>
    </xf>
    <xf numFmtId="0" fontId="17" fillId="0" borderId="4" xfId="0" applyFont="1" applyBorder="1" applyProtection="1">
      <protection locked="0"/>
    </xf>
    <xf numFmtId="0" fontId="1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9" fontId="17" fillId="0" borderId="0" xfId="543" applyNumberFormat="1" applyAlignment="1">
      <alignment horizontal="center" vertical="center"/>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6" fillId="0" borderId="0" xfId="0" applyNumberFormat="1" applyFont="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17" fillId="0" borderId="4" xfId="0" applyFont="1" applyBorder="1" applyAlignment="1">
      <alignment horizontal="left"/>
    </xf>
    <xf numFmtId="0" fontId="17" fillId="0" borderId="5" xfId="0" applyFont="1" applyBorder="1" applyAlignment="1">
      <alignment horizontal="left"/>
    </xf>
    <xf numFmtId="168" fontId="46" fillId="0" borderId="2" xfId="0" applyNumberFormat="1" applyFont="1" applyBorder="1" applyAlignment="1">
      <alignment horizontal="left" vertical="top" wrapText="1"/>
    </xf>
    <xf numFmtId="168" fontId="46"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7" fillId="5" borderId="4" xfId="0" applyNumberFormat="1" applyFont="1" applyFill="1" applyBorder="1" applyAlignment="1" applyProtection="1">
      <alignment horizontal="right"/>
      <protection locked="0"/>
    </xf>
    <xf numFmtId="168" fontId="17" fillId="0" borderId="3" xfId="0" applyNumberFormat="1" applyFont="1" applyBorder="1" applyAlignment="1">
      <alignment horizontal="left" vertical="top"/>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0" fontId="17"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25"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7" fillId="5" borderId="0" xfId="244" applyFont="1" applyFill="1" applyBorder="1" applyAlignment="1" applyProtection="1">
      <alignment horizontal="left"/>
      <protection locked="0"/>
    </xf>
    <xf numFmtId="10" fontId="17" fillId="0" borderId="11" xfId="0" applyNumberFormat="1" applyFont="1" applyBorder="1" applyAlignment="1">
      <alignment horizontal="center"/>
    </xf>
    <xf numFmtId="0" fontId="0" fillId="5" borderId="6" xfId="0" applyFill="1" applyBorder="1" applyProtection="1">
      <protection locked="0"/>
    </xf>
    <xf numFmtId="0" fontId="17"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168" fontId="17" fillId="5" borderId="6" xfId="0" applyNumberFormat="1" applyFont="1" applyFill="1" applyBorder="1" applyAlignment="1" applyProtection="1">
      <alignment horizontal="right"/>
      <protection locked="0"/>
    </xf>
    <xf numFmtId="168" fontId="17" fillId="0" borderId="11" xfId="0" applyNumberFormat="1" applyFont="1" applyBorder="1" applyAlignment="1">
      <alignment horizontal="center"/>
    </xf>
    <xf numFmtId="0" fontId="17" fillId="5" borderId="0" xfId="0" applyFont="1" applyFill="1" applyAlignment="1" applyProtection="1">
      <alignment horizontal="left" vertical="top" wrapText="1"/>
      <protection locked="0"/>
    </xf>
    <xf numFmtId="0" fontId="1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78" fontId="1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11" xfId="0" applyFont="1" applyFill="1" applyBorder="1" applyAlignment="1" applyProtection="1">
      <alignment horizontal="center"/>
      <protection locked="0"/>
    </xf>
    <xf numFmtId="1" fontId="17" fillId="5" borderId="6"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7"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0" fontId="17" fillId="5" borderId="4" xfId="0" applyFont="1" applyFill="1" applyBorder="1" applyAlignment="1" applyProtection="1">
      <alignment horizontal="right"/>
      <protection locked="0"/>
    </xf>
    <xf numFmtId="165" fontId="17" fillId="5" borderId="3" xfId="0" applyNumberFormat="1" applyFont="1" applyFill="1" applyBorder="1" applyAlignment="1" applyProtection="1">
      <alignment horizontal="center"/>
      <protection locked="0"/>
    </xf>
    <xf numFmtId="165" fontId="17" fillId="5" borderId="4" xfId="0" applyNumberFormat="1" applyFont="1" applyFill="1" applyBorder="1" applyAlignment="1" applyProtection="1">
      <alignment horizontal="center"/>
      <protection locked="0"/>
    </xf>
    <xf numFmtId="165" fontId="1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3" fontId="1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0" fillId="2" borderId="3" xfId="0" applyFont="1" applyFill="1" applyBorder="1" applyAlignment="1">
      <alignment horizontal="center" vertical="top"/>
    </xf>
    <xf numFmtId="0" fontId="50" fillId="2" borderId="4" xfId="0" applyFont="1" applyFill="1" applyBorder="1" applyAlignment="1">
      <alignment horizontal="center" vertical="top"/>
    </xf>
    <xf numFmtId="0" fontId="50" fillId="2" borderId="5" xfId="0" applyFont="1" applyFill="1" applyBorder="1" applyAlignment="1">
      <alignment horizontal="center" vertical="top"/>
    </xf>
    <xf numFmtId="0" fontId="17" fillId="0" borderId="6" xfId="0" applyFont="1" applyBorder="1" applyAlignment="1">
      <alignment vertical="top" wrapText="1"/>
    </xf>
    <xf numFmtId="177" fontId="17" fillId="5" borderId="6" xfId="0" applyNumberFormat="1" applyFont="1" applyFill="1" applyBorder="1" applyAlignment="1" applyProtection="1">
      <alignment horizontal="left" vertical="top" wrapText="1"/>
      <protection locked="0"/>
    </xf>
    <xf numFmtId="0" fontId="17" fillId="0" borderId="2" xfId="0" applyFont="1" applyBorder="1" applyAlignment="1">
      <alignment vertical="top" wrapText="1"/>
    </xf>
    <xf numFmtId="0" fontId="46" fillId="0" borderId="0" xfId="0" applyFont="1" applyAlignment="1">
      <alignment vertical="top" wrapText="1"/>
    </xf>
    <xf numFmtId="0" fontId="17" fillId="0" borderId="2" xfId="0" applyFont="1" applyBorder="1" applyAlignment="1">
      <alignment horizontal="left" vertical="top" wrapText="1"/>
    </xf>
    <xf numFmtId="0" fontId="47" fillId="0" borderId="0" xfId="0" applyFont="1" applyAlignment="1">
      <alignment vertical="top" wrapText="1"/>
    </xf>
    <xf numFmtId="0" fontId="17" fillId="0" borderId="6" xfId="0" applyFont="1" applyBorder="1" applyAlignment="1">
      <alignment horizontal="right" vertical="top" wrapText="1"/>
    </xf>
    <xf numFmtId="0" fontId="47"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9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55" fillId="44" borderId="0" xfId="8733" applyFont="1" applyFill="1" applyAlignment="1">
      <alignment horizontal="left" vertical="top"/>
    </xf>
    <xf numFmtId="0" fontId="9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56" fillId="47" borderId="0" xfId="8733" applyFont="1" applyFill="1" applyAlignment="1">
      <alignment horizontal="left" vertical="top" wrapText="1"/>
    </xf>
    <xf numFmtId="0" fontId="9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57" fillId="47" borderId="65" xfId="8733" applyFont="1" applyFill="1" applyBorder="1" applyAlignment="1">
      <alignment horizontal="center"/>
    </xf>
    <xf numFmtId="0" fontId="157" fillId="47" borderId="29" xfId="8733" applyFont="1" applyFill="1" applyBorder="1" applyAlignment="1">
      <alignment horizontal="center"/>
    </xf>
    <xf numFmtId="0" fontId="15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56" fillId="47" borderId="66" xfId="8733" applyFont="1" applyFill="1" applyBorder="1" applyAlignment="1">
      <alignment horizontal="center"/>
    </xf>
    <xf numFmtId="0" fontId="156" fillId="47" borderId="0" xfId="8733" applyFont="1" applyFill="1" applyAlignment="1">
      <alignment horizontal="center"/>
    </xf>
    <xf numFmtId="0" fontId="156" fillId="47" borderId="41" xfId="8733" applyFont="1" applyFill="1" applyBorder="1" applyAlignment="1">
      <alignment horizontal="center"/>
    </xf>
    <xf numFmtId="0" fontId="92" fillId="47" borderId="66" xfId="8733" applyFont="1" applyFill="1" applyBorder="1" applyAlignment="1">
      <alignment horizontal="center"/>
    </xf>
    <xf numFmtId="0" fontId="92" fillId="47" borderId="0" xfId="8733" applyFont="1" applyFill="1" applyAlignment="1">
      <alignment horizontal="center"/>
    </xf>
    <xf numFmtId="0" fontId="92" fillId="47" borderId="41" xfId="8733" applyFont="1" applyFill="1" applyBorder="1" applyAlignment="1">
      <alignment horizontal="center"/>
    </xf>
    <xf numFmtId="0" fontId="92" fillId="47" borderId="0" xfId="8733"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4494"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0"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3"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55" fillId="45" borderId="80" xfId="0" applyFont="1" applyFill="1" applyBorder="1" applyAlignment="1" applyProtection="1">
      <alignment horizontal="center" wrapText="1"/>
      <protection hidden="1"/>
    </xf>
    <xf numFmtId="0" fontId="155" fillId="45" borderId="79" xfId="0" applyFont="1" applyFill="1" applyBorder="1" applyAlignment="1" applyProtection="1">
      <alignment horizontal="center" wrapText="1"/>
      <protection hidden="1"/>
    </xf>
    <xf numFmtId="0" fontId="155" fillId="45" borderId="78" xfId="0" applyFont="1" applyFill="1" applyBorder="1" applyAlignment="1" applyProtection="1">
      <alignment horizontal="center" wrapText="1"/>
      <protection hidden="1"/>
    </xf>
    <xf numFmtId="0" fontId="155" fillId="45" borderId="13" xfId="0" applyFont="1" applyFill="1" applyBorder="1" applyAlignment="1" applyProtection="1">
      <alignment horizontal="left" wrapText="1"/>
      <protection hidden="1"/>
    </xf>
    <xf numFmtId="0" fontId="155" fillId="45" borderId="13" xfId="0" applyFont="1" applyFill="1" applyBorder="1" applyAlignment="1" applyProtection="1">
      <alignment horizontal="center" wrapText="1"/>
      <protection hidden="1"/>
    </xf>
    <xf numFmtId="0" fontId="164" fillId="45" borderId="67" xfId="8733" applyFont="1" applyFill="1" applyBorder="1" applyAlignment="1">
      <alignment horizontal="right"/>
    </xf>
    <xf numFmtId="0" fontId="164" fillId="45" borderId="68" xfId="8733"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3" applyFont="1" applyFill="1" applyBorder="1" applyAlignment="1">
      <alignment horizontal="left" wrapText="1"/>
    </xf>
    <xf numFmtId="0" fontId="161" fillId="48" borderId="0" xfId="8733" applyFont="1" applyFill="1" applyAlignment="1">
      <alignment horizontal="left" wrapText="1"/>
    </xf>
    <xf numFmtId="0" fontId="161" fillId="48" borderId="41" xfId="8733" applyFont="1" applyFill="1" applyBorder="1" applyAlignment="1">
      <alignment horizontal="left" wrapText="1"/>
    </xf>
    <xf numFmtId="0" fontId="161" fillId="48" borderId="73" xfId="8733" applyFont="1" applyFill="1" applyBorder="1" applyAlignment="1">
      <alignment horizontal="left" wrapText="1"/>
    </xf>
    <xf numFmtId="0" fontId="161" fillId="48" borderId="42" xfId="8733" applyFont="1" applyFill="1" applyBorder="1" applyAlignment="1">
      <alignment horizontal="left" wrapText="1"/>
    </xf>
    <xf numFmtId="0" fontId="161" fillId="48" borderId="44" xfId="8733" applyFont="1" applyFill="1" applyBorder="1" applyAlignment="1">
      <alignment horizontal="left" wrapText="1"/>
    </xf>
    <xf numFmtId="0" fontId="163" fillId="45" borderId="69" xfId="8733" applyFont="1" applyFill="1" applyBorder="1" applyAlignment="1">
      <alignment horizontal="right"/>
    </xf>
    <xf numFmtId="0" fontId="163" fillId="45" borderId="70" xfId="8733"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3"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center"/>
      <protection locked="0"/>
    </xf>
    <xf numFmtId="0" fontId="162" fillId="48" borderId="86" xfId="8733" applyFont="1" applyFill="1" applyBorder="1" applyAlignment="1" applyProtection="1">
      <alignment horizontal="center"/>
      <protection locked="0"/>
    </xf>
    <xf numFmtId="0" fontId="164" fillId="48" borderId="70" xfId="8733" applyFont="1" applyFill="1" applyBorder="1" applyAlignment="1" applyProtection="1">
      <alignment horizontal="left"/>
      <protection locked="0"/>
    </xf>
    <xf numFmtId="0" fontId="164" fillId="48" borderId="77" xfId="8733"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left"/>
      <protection locked="0"/>
    </xf>
    <xf numFmtId="0" fontId="162" fillId="48" borderId="86" xfId="8733" applyFont="1" applyFill="1" applyBorder="1" applyAlignment="1" applyProtection="1">
      <alignment horizontal="left"/>
      <protection locked="0"/>
    </xf>
    <xf numFmtId="0" fontId="162" fillId="48" borderId="85" xfId="8733" applyFont="1" applyFill="1" applyBorder="1" applyAlignment="1" applyProtection="1">
      <alignment horizontal="left"/>
      <protection locked="0"/>
    </xf>
    <xf numFmtId="0" fontId="92" fillId="48" borderId="80" xfId="8733" applyFont="1" applyFill="1" applyBorder="1" applyAlignment="1">
      <alignment horizontal="left"/>
    </xf>
    <xf numFmtId="0" fontId="92"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3" applyFont="1" applyFill="1" applyBorder="1" applyAlignment="1" applyProtection="1">
      <alignment horizontal="center"/>
      <protection locked="0"/>
    </xf>
    <xf numFmtId="0" fontId="162" fillId="48" borderId="11" xfId="8733"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3" applyFont="1" applyFill="1" applyBorder="1" applyAlignment="1" applyProtection="1">
      <alignment horizontal="left"/>
      <protection locked="0"/>
    </xf>
    <xf numFmtId="0" fontId="16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64" fillId="48" borderId="72" xfId="8733" applyFont="1" applyFill="1" applyBorder="1" applyAlignment="1" applyProtection="1">
      <alignment horizontal="center"/>
      <protection locked="0"/>
    </xf>
    <xf numFmtId="0" fontId="164" fillId="48" borderId="11" xfId="8733"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3" applyFont="1" applyFill="1" applyBorder="1" applyAlignment="1">
      <alignment horizontal="right"/>
    </xf>
    <xf numFmtId="0" fontId="162" fillId="45" borderId="11" xfId="8733"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3" applyFont="1" applyFill="1" applyBorder="1" applyAlignment="1">
      <alignment horizontal="center"/>
    </xf>
    <xf numFmtId="0" fontId="162" fillId="48" borderId="6" xfId="8733" applyFont="1" applyFill="1" applyBorder="1" applyAlignment="1">
      <alignment horizontal="center"/>
    </xf>
    <xf numFmtId="0" fontId="16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64" fillId="44" borderId="11" xfId="700" applyNumberFormat="1" applyFont="1" applyFill="1" applyBorder="1" applyAlignment="1">
      <alignment horizontal="left"/>
    </xf>
    <xf numFmtId="0" fontId="92" fillId="45" borderId="65" xfId="8733" applyFont="1" applyFill="1" applyBorder="1" applyAlignment="1">
      <alignment horizontal="left" wrapText="1"/>
    </xf>
    <xf numFmtId="0" fontId="92" fillId="45" borderId="29" xfId="8733" applyFont="1" applyFill="1" applyBorder="1" applyAlignment="1">
      <alignment horizontal="left" wrapText="1"/>
    </xf>
    <xf numFmtId="0" fontId="92" fillId="45" borderId="31" xfId="8733" applyFont="1" applyFill="1" applyBorder="1" applyAlignment="1">
      <alignment horizontal="left" wrapText="1"/>
    </xf>
    <xf numFmtId="0" fontId="92" fillId="45" borderId="73" xfId="8733" applyFont="1" applyFill="1" applyBorder="1" applyAlignment="1">
      <alignment horizontal="left" wrapText="1"/>
    </xf>
    <xf numFmtId="0" fontId="92" fillId="45" borderId="42" xfId="8733" applyFont="1" applyFill="1" applyBorder="1" applyAlignment="1">
      <alignment horizontal="left" wrapText="1"/>
    </xf>
    <xf numFmtId="0" fontId="92" fillId="45" borderId="44" xfId="8733"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2" fillId="45" borderId="67" xfId="8733" applyFont="1" applyFill="1" applyBorder="1" applyAlignment="1">
      <alignment horizontal="center"/>
    </xf>
    <xf numFmtId="0" fontId="92" fillId="45" borderId="68" xfId="8733" applyFont="1" applyFill="1" applyBorder="1" applyAlignment="1">
      <alignment horizontal="center"/>
    </xf>
    <xf numFmtId="0" fontId="156" fillId="45" borderId="68" xfId="8733" applyFont="1" applyFill="1" applyBorder="1" applyAlignment="1">
      <alignment horizontal="center"/>
    </xf>
    <xf numFmtId="0" fontId="156" fillId="45" borderId="71" xfId="8733" applyFont="1" applyFill="1" applyBorder="1" applyAlignment="1">
      <alignment horizontal="center"/>
    </xf>
    <xf numFmtId="0" fontId="163" fillId="51" borderId="11" xfId="8733" applyFont="1" applyFill="1" applyBorder="1" applyAlignment="1">
      <alignment horizontal="center"/>
    </xf>
    <xf numFmtId="0" fontId="163" fillId="51" borderId="76" xfId="8733" applyFont="1" applyFill="1" applyBorder="1" applyAlignment="1">
      <alignment horizontal="center"/>
    </xf>
    <xf numFmtId="0" fontId="164" fillId="45" borderId="72" xfId="8733" applyFont="1" applyFill="1" applyBorder="1" applyAlignment="1">
      <alignment horizontal="right"/>
    </xf>
    <xf numFmtId="0" fontId="164" fillId="45" borderId="11" xfId="8733"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2" fillId="45" borderId="71" xfId="8733" applyFont="1" applyFill="1" applyBorder="1" applyAlignment="1">
      <alignment horizontal="center"/>
    </xf>
    <xf numFmtId="0" fontId="156" fillId="45" borderId="67" xfId="8733" applyFont="1" applyFill="1" applyBorder="1" applyAlignment="1">
      <alignment horizontal="left"/>
    </xf>
    <xf numFmtId="0" fontId="156" fillId="45" borderId="68" xfId="8733" applyFont="1" applyFill="1" applyBorder="1" applyAlignment="1">
      <alignment horizontal="left"/>
    </xf>
    <xf numFmtId="0" fontId="156" fillId="45" borderId="71" xfId="8733" applyFont="1" applyFill="1" applyBorder="1" applyAlignment="1">
      <alignment horizontal="left"/>
    </xf>
    <xf numFmtId="0" fontId="92" fillId="45" borderId="72" xfId="8733" applyFont="1" applyFill="1" applyBorder="1" applyAlignment="1">
      <alignment horizontal="center"/>
    </xf>
    <xf numFmtId="0" fontId="92" fillId="45" borderId="11" xfId="8733" applyFont="1" applyFill="1" applyBorder="1" applyAlignment="1">
      <alignment horizontal="center"/>
    </xf>
    <xf numFmtId="0" fontId="92" fillId="45" borderId="76" xfId="8733" applyFont="1" applyFill="1" applyBorder="1" applyAlignment="1">
      <alignment horizontal="center"/>
    </xf>
    <xf numFmtId="0" fontId="162" fillId="48" borderId="72" xfId="8733" applyFont="1" applyFill="1" applyBorder="1" applyAlignment="1" applyProtection="1">
      <alignment horizontal="left" vertical="top"/>
      <protection locked="0"/>
    </xf>
    <xf numFmtId="0" fontId="162" fillId="48" borderId="11" xfId="8733" applyFont="1" applyFill="1" applyBorder="1" applyAlignment="1" applyProtection="1">
      <alignment horizontal="left" vertical="top"/>
      <protection locked="0"/>
    </xf>
    <xf numFmtId="0" fontId="162" fillId="48" borderId="76" xfId="8733" applyFont="1" applyFill="1" applyBorder="1" applyAlignment="1" applyProtection="1">
      <alignment horizontal="left" vertical="top"/>
      <protection locked="0"/>
    </xf>
    <xf numFmtId="0" fontId="162" fillId="48" borderId="69" xfId="8733" applyFont="1" applyFill="1" applyBorder="1" applyAlignment="1" applyProtection="1">
      <alignment horizontal="left" vertical="top"/>
      <protection locked="0"/>
    </xf>
    <xf numFmtId="0" fontId="162" fillId="48" borderId="70" xfId="8733" applyFont="1" applyFill="1" applyBorder="1" applyAlignment="1" applyProtection="1">
      <alignment horizontal="left" vertical="top"/>
      <protection locked="0"/>
    </xf>
    <xf numFmtId="0" fontId="162" fillId="48" borderId="77" xfId="8733" applyFont="1" applyFill="1" applyBorder="1" applyAlignment="1" applyProtection="1">
      <alignment horizontal="left" vertical="top"/>
      <protection locked="0"/>
    </xf>
    <xf numFmtId="14" fontId="162" fillId="48" borderId="11" xfId="8733" applyNumberFormat="1" applyFont="1" applyFill="1" applyBorder="1" applyAlignment="1" applyProtection="1">
      <alignment horizontal="center"/>
      <protection locked="0"/>
    </xf>
    <xf numFmtId="14" fontId="162" fillId="48" borderId="76" xfId="8733" applyNumberFormat="1" applyFont="1" applyFill="1" applyBorder="1" applyAlignment="1" applyProtection="1">
      <alignment horizontal="center"/>
      <protection locked="0"/>
    </xf>
    <xf numFmtId="0" fontId="162" fillId="48" borderId="69" xfId="8733" applyFont="1" applyFill="1" applyBorder="1" applyAlignment="1" applyProtection="1">
      <alignment horizontal="center"/>
      <protection locked="0"/>
    </xf>
    <xf numFmtId="0" fontId="162" fillId="48" borderId="70" xfId="8733" applyFont="1" applyFill="1" applyBorder="1" applyAlignment="1" applyProtection="1">
      <alignment horizontal="center"/>
      <protection locked="0"/>
    </xf>
    <xf numFmtId="14" fontId="162" fillId="48" borderId="70" xfId="8733" applyNumberFormat="1" applyFont="1" applyFill="1" applyBorder="1" applyAlignment="1" applyProtection="1">
      <alignment horizontal="center"/>
      <protection locked="0"/>
    </xf>
    <xf numFmtId="14" fontId="162"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center"/>
    </xf>
    <xf numFmtId="0" fontId="161" fillId="45" borderId="11" xfId="8733" applyFont="1" applyFill="1" applyBorder="1" applyAlignment="1">
      <alignment horizontal="center"/>
    </xf>
    <xf numFmtId="0" fontId="165" fillId="48" borderId="11" xfId="8733" applyFont="1" applyFill="1" applyBorder="1" applyAlignment="1" applyProtection="1">
      <alignment horizontal="left"/>
      <protection locked="0"/>
    </xf>
    <xf numFmtId="14" fontId="164" fillId="48" borderId="11" xfId="8733" applyNumberFormat="1" applyFont="1" applyFill="1" applyBorder="1" applyAlignment="1" applyProtection="1">
      <alignment horizontal="center"/>
      <protection locked="0"/>
    </xf>
    <xf numFmtId="168" fontId="164" fillId="48" borderId="11" xfId="8734" applyNumberFormat="1" applyFont="1" applyFill="1" applyBorder="1" applyAlignment="1" applyProtection="1">
      <alignment horizontal="center"/>
      <protection locked="0"/>
    </xf>
    <xf numFmtId="168" fontId="164" fillId="48" borderId="76" xfId="8734" applyNumberFormat="1" applyFont="1" applyFill="1" applyBorder="1" applyAlignment="1" applyProtection="1">
      <alignment horizontal="center"/>
      <protection locked="0"/>
    </xf>
    <xf numFmtId="0" fontId="161" fillId="45" borderId="69" xfId="8733" applyFont="1" applyFill="1" applyBorder="1" applyAlignment="1">
      <alignment horizontal="center"/>
    </xf>
    <xf numFmtId="0" fontId="161" fillId="45" borderId="70" xfId="8733" applyFont="1" applyFill="1" applyBorder="1" applyAlignment="1">
      <alignment horizontal="center"/>
    </xf>
    <xf numFmtId="0" fontId="165" fillId="48" borderId="70" xfId="8733" applyFont="1" applyFill="1" applyBorder="1" applyAlignment="1" applyProtection="1">
      <alignment horizontal="left"/>
      <protection locked="0"/>
    </xf>
    <xf numFmtId="0" fontId="164" fillId="48" borderId="70" xfId="8733" applyFont="1" applyFill="1" applyBorder="1" applyAlignment="1" applyProtection="1">
      <alignment horizontal="center"/>
      <protection locked="0"/>
    </xf>
    <xf numFmtId="14" fontId="164" fillId="48" borderId="70" xfId="8733" applyNumberFormat="1" applyFont="1" applyFill="1" applyBorder="1" applyAlignment="1" applyProtection="1">
      <alignment horizontal="center"/>
      <protection locked="0"/>
    </xf>
    <xf numFmtId="168" fontId="164" fillId="48" borderId="70" xfId="8734" applyNumberFormat="1" applyFont="1" applyFill="1" applyBorder="1" applyAlignment="1" applyProtection="1">
      <alignment horizontal="center"/>
      <protection locked="0"/>
    </xf>
    <xf numFmtId="168" fontId="164" fillId="48" borderId="77" xfId="8734" applyNumberFormat="1" applyFont="1" applyFill="1" applyBorder="1" applyAlignment="1" applyProtection="1">
      <alignment horizontal="center"/>
      <protection locked="0"/>
    </xf>
    <xf numFmtId="0" fontId="166" fillId="45" borderId="69" xfId="8733" applyFont="1" applyFill="1" applyBorder="1" applyAlignment="1">
      <alignment horizontal="left"/>
    </xf>
    <xf numFmtId="0" fontId="16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56" fillId="45" borderId="67" xfId="8733" applyFont="1" applyFill="1" applyBorder="1" applyAlignment="1">
      <alignment horizontal="center"/>
    </xf>
    <xf numFmtId="0" fontId="155" fillId="45" borderId="11" xfId="8733" applyFont="1" applyFill="1" applyBorder="1" applyAlignment="1">
      <alignment horizontal="center"/>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55" fillId="45" borderId="11" xfId="8733" applyFont="1" applyFill="1" applyBorder="1" applyAlignment="1">
      <alignment horizontal="center" wrapText="1"/>
    </xf>
    <xf numFmtId="0" fontId="155" fillId="45" borderId="76" xfId="8733" applyFont="1" applyFill="1" applyBorder="1" applyAlignment="1">
      <alignment horizontal="center" wrapText="1"/>
    </xf>
    <xf numFmtId="0" fontId="155" fillId="48" borderId="90" xfId="8733" applyFont="1" applyFill="1" applyBorder="1" applyAlignment="1">
      <alignment horizontal="left"/>
    </xf>
    <xf numFmtId="0" fontId="155" fillId="48" borderId="4" xfId="8733" applyFont="1" applyFill="1" applyBorder="1" applyAlignment="1">
      <alignment horizontal="left"/>
    </xf>
    <xf numFmtId="0" fontId="155" fillId="48" borderId="5" xfId="8733" applyFont="1" applyFill="1" applyBorder="1" applyAlignment="1">
      <alignment horizontal="left"/>
    </xf>
    <xf numFmtId="0" fontId="159" fillId="48" borderId="68" xfId="8733" applyFont="1" applyFill="1" applyBorder="1" applyAlignment="1" applyProtection="1">
      <alignment horizontal="left"/>
      <protection locked="0"/>
    </xf>
    <xf numFmtId="0" fontId="159" fillId="48" borderId="71" xfId="8733" applyFont="1" applyFill="1" applyBorder="1" applyAlignment="1" applyProtection="1">
      <alignment horizontal="left"/>
      <protection locked="0"/>
    </xf>
    <xf numFmtId="0" fontId="155" fillId="45" borderId="72" xfId="8733" applyFont="1" applyFill="1" applyBorder="1" applyAlignment="1">
      <alignment horizontal="left"/>
    </xf>
    <xf numFmtId="0" fontId="155" fillId="45" borderId="11" xfId="8733" applyFont="1" applyFill="1" applyBorder="1" applyAlignment="1">
      <alignment horizontal="left"/>
    </xf>
    <xf numFmtId="0" fontId="167" fillId="48" borderId="11" xfId="8733" applyFont="1" applyFill="1" applyBorder="1" applyAlignment="1" applyProtection="1">
      <alignment horizontal="left"/>
      <protection locked="0"/>
    </xf>
    <xf numFmtId="0" fontId="167" fillId="48" borderId="76" xfId="8733" applyFont="1" applyFill="1" applyBorder="1" applyAlignment="1" applyProtection="1">
      <alignment horizontal="left"/>
      <protection locked="0"/>
    </xf>
    <xf numFmtId="0" fontId="164" fillId="48" borderId="72" xfId="8733" applyFont="1" applyFill="1" applyBorder="1" applyAlignment="1" applyProtection="1">
      <alignment horizontal="left" vertical="top"/>
      <protection locked="0"/>
    </xf>
    <xf numFmtId="0" fontId="164" fillId="48" borderId="11" xfId="8733" applyFont="1" applyFill="1" applyBorder="1" applyAlignment="1" applyProtection="1">
      <alignment horizontal="left" vertical="top"/>
      <protection locked="0"/>
    </xf>
    <xf numFmtId="0" fontId="164" fillId="48" borderId="76" xfId="8733" applyFont="1" applyFill="1" applyBorder="1" applyAlignment="1" applyProtection="1">
      <alignment horizontal="left" vertical="top"/>
      <protection locked="0"/>
    </xf>
    <xf numFmtId="0" fontId="164" fillId="48" borderId="69" xfId="8733" applyFont="1" applyFill="1" applyBorder="1" applyAlignment="1" applyProtection="1">
      <alignment horizontal="left" vertical="top"/>
      <protection locked="0"/>
    </xf>
    <xf numFmtId="0" fontId="164" fillId="48" borderId="70" xfId="8733" applyFont="1" applyFill="1" applyBorder="1" applyAlignment="1" applyProtection="1">
      <alignment horizontal="left" vertical="top"/>
      <protection locked="0"/>
    </xf>
    <xf numFmtId="0" fontId="164" fillId="48" borderId="77" xfId="8733" applyFont="1" applyFill="1" applyBorder="1" applyAlignment="1" applyProtection="1">
      <alignment horizontal="left" vertical="top"/>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9" fillId="48" borderId="3" xfId="8733" applyFont="1" applyFill="1" applyBorder="1" applyAlignment="1" applyProtection="1">
      <alignment horizontal="center"/>
      <protection locked="0"/>
    </xf>
    <xf numFmtId="0" fontId="159" fillId="48" borderId="4" xfId="8733" applyFont="1" applyFill="1" applyBorder="1" applyAlignment="1" applyProtection="1">
      <alignment horizontal="center"/>
      <protection locked="0"/>
    </xf>
    <xf numFmtId="0" fontId="159" fillId="48" borderId="81" xfId="8733" applyFont="1" applyFill="1" applyBorder="1" applyAlignment="1" applyProtection="1">
      <alignment horizontal="center"/>
      <protection locked="0"/>
    </xf>
    <xf numFmtId="0" fontId="156" fillId="45" borderId="93" xfId="8733" applyFont="1" applyFill="1" applyBorder="1" applyAlignment="1">
      <alignment horizontal="center"/>
    </xf>
    <xf numFmtId="0" fontId="156" fillId="45" borderId="92" xfId="8733" applyFont="1" applyFill="1" applyBorder="1" applyAlignment="1">
      <alignment horizontal="center"/>
    </xf>
    <xf numFmtId="0" fontId="156" fillId="45" borderId="91" xfId="8733" applyFont="1" applyFill="1" applyBorder="1" applyAlignment="1">
      <alignment horizontal="center"/>
    </xf>
    <xf numFmtId="0" fontId="163" fillId="45" borderId="11" xfId="8733" applyFont="1" applyFill="1" applyBorder="1" applyAlignment="1">
      <alignment horizontal="center"/>
    </xf>
    <xf numFmtId="0" fontId="169" fillId="45" borderId="11" xfId="8733" applyFont="1" applyFill="1" applyBorder="1" applyAlignment="1">
      <alignment horizontal="left"/>
    </xf>
    <xf numFmtId="0" fontId="16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92" fillId="45" borderId="67" xfId="8733" applyFont="1" applyFill="1" applyBorder="1" applyAlignment="1" applyProtection="1">
      <alignment horizontal="left" vertical="center" wrapText="1"/>
      <protection locked="0"/>
    </xf>
    <xf numFmtId="0" fontId="92" fillId="45" borderId="68" xfId="8733" applyFont="1" applyFill="1" applyBorder="1" applyAlignment="1" applyProtection="1">
      <alignment horizontal="left" vertical="center" wrapText="1"/>
      <protection locked="0"/>
    </xf>
    <xf numFmtId="0" fontId="92" fillId="45" borderId="72" xfId="8733" applyFont="1" applyFill="1" applyBorder="1" applyAlignment="1" applyProtection="1">
      <alignment horizontal="left" vertical="center" wrapText="1"/>
      <protection locked="0"/>
    </xf>
    <xf numFmtId="0" fontId="92" fillId="45" borderId="11" xfId="8733" applyFont="1" applyFill="1" applyBorder="1" applyAlignment="1" applyProtection="1">
      <alignment horizontal="left" vertical="center" wrapText="1"/>
      <protection locked="0"/>
    </xf>
    <xf numFmtId="0" fontId="159" fillId="48" borderId="68" xfId="8733" applyFont="1" applyFill="1" applyBorder="1" applyAlignment="1" applyProtection="1">
      <alignment horizontal="left" vertical="center" wrapText="1"/>
      <protection locked="0"/>
    </xf>
    <xf numFmtId="0" fontId="159" fillId="48" borderId="71" xfId="8733" applyFont="1" applyFill="1" applyBorder="1" applyAlignment="1" applyProtection="1">
      <alignment horizontal="left" vertical="center" wrapText="1"/>
      <protection locked="0"/>
    </xf>
    <xf numFmtId="0" fontId="159" fillId="48" borderId="11" xfId="8733" applyFont="1" applyFill="1" applyBorder="1" applyAlignment="1" applyProtection="1">
      <alignment horizontal="left" vertical="center" wrapText="1"/>
      <protection locked="0"/>
    </xf>
    <xf numFmtId="0" fontId="159" fillId="48" borderId="76" xfId="8733" applyFont="1" applyFill="1" applyBorder="1" applyAlignment="1" applyProtection="1">
      <alignment horizontal="left" vertical="center" wrapText="1"/>
      <protection locked="0"/>
    </xf>
    <xf numFmtId="0" fontId="162" fillId="48" borderId="72" xfId="8733" applyFont="1" applyFill="1" applyBorder="1" applyAlignment="1" applyProtection="1">
      <alignment horizontal="left" vertical="top" wrapText="1"/>
      <protection locked="0"/>
    </xf>
    <xf numFmtId="0" fontId="162" fillId="48" borderId="11" xfId="8733" applyFont="1" applyFill="1" applyBorder="1" applyAlignment="1" applyProtection="1">
      <alignment horizontal="left" vertical="top" wrapText="1"/>
      <protection locked="0"/>
    </xf>
    <xf numFmtId="0" fontId="162" fillId="48" borderId="69" xfId="8733" applyFont="1" applyFill="1" applyBorder="1" applyAlignment="1" applyProtection="1">
      <alignment horizontal="left" vertical="top" wrapText="1"/>
      <protection locked="0"/>
    </xf>
    <xf numFmtId="0" fontId="162" fillId="48" borderId="70" xfId="8733" applyFont="1" applyFill="1" applyBorder="1" applyAlignment="1" applyProtection="1">
      <alignment horizontal="left" vertical="top" wrapText="1"/>
      <protection locked="0"/>
    </xf>
    <xf numFmtId="0" fontId="159" fillId="48" borderId="11" xfId="8733" applyFont="1" applyFill="1" applyBorder="1" applyAlignment="1" applyProtection="1">
      <alignment horizontal="center" vertical="center" wrapText="1"/>
      <protection locked="0"/>
    </xf>
    <xf numFmtId="0" fontId="159" fillId="48" borderId="76" xfId="8733" applyFont="1" applyFill="1" applyBorder="1" applyAlignment="1" applyProtection="1">
      <alignment horizontal="center" vertical="center" wrapText="1"/>
      <protection locked="0"/>
    </xf>
    <xf numFmtId="0" fontId="159" fillId="48" borderId="70" xfId="8733" applyFont="1" applyFill="1" applyBorder="1" applyAlignment="1" applyProtection="1">
      <alignment horizontal="center" vertical="center" wrapText="1"/>
      <protection locked="0"/>
    </xf>
    <xf numFmtId="0" fontId="159" fillId="48" borderId="77" xfId="8733" applyFont="1" applyFill="1" applyBorder="1" applyAlignment="1" applyProtection="1">
      <alignment horizontal="center" vertical="center" wrapText="1"/>
      <protection locked="0"/>
    </xf>
    <xf numFmtId="0" fontId="92" fillId="45" borderId="67" xfId="8733" applyFont="1" applyFill="1" applyBorder="1" applyAlignment="1">
      <alignment horizontal="left" wrapText="1"/>
    </xf>
    <xf numFmtId="0" fontId="92" fillId="45" borderId="68" xfId="8733" applyFont="1" applyFill="1" applyBorder="1" applyAlignment="1">
      <alignment horizontal="left" wrapText="1"/>
    </xf>
    <xf numFmtId="0" fontId="92" fillId="45" borderId="71" xfId="8733" applyFont="1" applyFill="1" applyBorder="1" applyAlignment="1">
      <alignment horizontal="left" wrapText="1"/>
    </xf>
    <xf numFmtId="0" fontId="92" fillId="45" borderId="72" xfId="8733" applyFont="1" applyFill="1" applyBorder="1" applyAlignment="1">
      <alignment horizontal="left" wrapText="1"/>
    </xf>
    <xf numFmtId="0" fontId="92" fillId="45" borderId="11" xfId="8733" applyFont="1" applyFill="1" applyBorder="1" applyAlignment="1">
      <alignment horizontal="left" wrapText="1"/>
    </xf>
    <xf numFmtId="0" fontId="92" fillId="45" borderId="76" xfId="8733" applyFont="1" applyFill="1" applyBorder="1" applyAlignment="1">
      <alignment horizontal="left" wrapText="1"/>
    </xf>
    <xf numFmtId="0" fontId="92" fillId="45" borderId="65" xfId="8733" applyFont="1" applyFill="1" applyBorder="1" applyAlignment="1">
      <alignment horizontal="center"/>
    </xf>
    <xf numFmtId="0" fontId="92" fillId="45" borderId="29" xfId="8733" applyFont="1" applyFill="1" applyBorder="1" applyAlignment="1">
      <alignment horizontal="center"/>
    </xf>
    <xf numFmtId="0" fontId="92" fillId="45" borderId="31" xfId="8733" applyFont="1" applyFill="1" applyBorder="1" applyAlignment="1">
      <alignment horizontal="center"/>
    </xf>
    <xf numFmtId="0" fontId="163" fillId="45" borderId="69" xfId="8733" applyFont="1" applyFill="1" applyBorder="1" applyAlignment="1">
      <alignment horizontal="center"/>
    </xf>
    <xf numFmtId="0" fontId="163" fillId="45" borderId="70" xfId="8733" applyFont="1" applyFill="1" applyBorder="1" applyAlignment="1">
      <alignment horizontal="center"/>
    </xf>
    <xf numFmtId="0" fontId="16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63" fillId="45" borderId="11" xfId="8733" applyFont="1" applyFill="1" applyBorder="1" applyAlignment="1">
      <alignment horizontal="center" wrapText="1"/>
    </xf>
    <xf numFmtId="0" fontId="155" fillId="45" borderId="76" xfId="8733" applyFont="1" applyFill="1" applyBorder="1" applyAlignment="1">
      <alignment horizontal="center"/>
    </xf>
    <xf numFmtId="0" fontId="159" fillId="48" borderId="68" xfId="8733" applyFont="1" applyFill="1" applyBorder="1" applyAlignment="1" applyProtection="1">
      <alignment horizontal="left" wrapText="1"/>
      <protection locked="0"/>
    </xf>
    <xf numFmtId="0" fontId="159" fillId="48" borderId="71" xfId="8733" applyFont="1" applyFill="1" applyBorder="1" applyAlignment="1" applyProtection="1">
      <alignment horizontal="left" wrapText="1"/>
      <protection locked="0"/>
    </xf>
    <xf numFmtId="0" fontId="159" fillId="48" borderId="11" xfId="8733" applyFont="1" applyFill="1" applyBorder="1" applyAlignment="1" applyProtection="1">
      <alignment horizontal="left" wrapText="1"/>
      <protection locked="0"/>
    </xf>
    <xf numFmtId="0" fontId="15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63" fillId="45" borderId="97" xfId="8733" applyFont="1" applyFill="1" applyBorder="1" applyAlignment="1">
      <alignment horizontal="left"/>
    </xf>
    <xf numFmtId="0" fontId="163" fillId="45" borderId="2" xfId="8733" applyFont="1" applyFill="1" applyBorder="1" applyAlignment="1">
      <alignment horizontal="left"/>
    </xf>
    <xf numFmtId="0" fontId="16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63" fillId="45" borderId="73" xfId="8733" applyFont="1" applyFill="1" applyBorder="1" applyAlignment="1">
      <alignment horizontal="left"/>
    </xf>
    <xf numFmtId="0" fontId="163" fillId="45" borderId="42" xfId="8733" applyFont="1" applyFill="1" applyBorder="1" applyAlignment="1">
      <alignment horizontal="left"/>
    </xf>
    <xf numFmtId="0" fontId="163" fillId="45" borderId="96" xfId="8733" applyFont="1" applyFill="1" applyBorder="1" applyAlignment="1">
      <alignment horizontal="left"/>
    </xf>
    <xf numFmtId="0" fontId="92" fillId="45" borderId="67" xfId="8733" applyFont="1" applyFill="1" applyBorder="1" applyAlignment="1">
      <alignment horizontal="center" wrapText="1"/>
    </xf>
    <xf numFmtId="0" fontId="92" fillId="45" borderId="68" xfId="8733" applyFont="1" applyFill="1" applyBorder="1" applyAlignment="1">
      <alignment horizontal="center" wrapText="1"/>
    </xf>
    <xf numFmtId="0" fontId="92" fillId="45" borderId="71" xfId="8733" applyFont="1" applyFill="1" applyBorder="1" applyAlignment="1">
      <alignment horizontal="center" wrapText="1"/>
    </xf>
    <xf numFmtId="0" fontId="164" fillId="48" borderId="72" xfId="8733" applyFont="1" applyFill="1" applyBorder="1" applyAlignment="1" applyProtection="1">
      <alignment horizontal="right"/>
      <protection locked="0"/>
    </xf>
    <xf numFmtId="0" fontId="164" fillId="48" borderId="11" xfId="8733"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3" applyFont="1" applyFill="1" applyBorder="1" applyAlignment="1">
      <alignment horizontal="center"/>
    </xf>
    <xf numFmtId="0" fontId="156" fillId="45" borderId="13" xfId="8733" applyFont="1" applyFill="1" applyBorder="1" applyAlignment="1">
      <alignment horizontal="center"/>
    </xf>
    <xf numFmtId="0" fontId="162" fillId="48" borderId="72" xfId="8733" applyFont="1" applyFill="1" applyBorder="1" applyAlignment="1" applyProtection="1">
      <alignment horizontal="right"/>
      <protection locked="0"/>
    </xf>
    <xf numFmtId="0" fontId="162" fillId="48" borderId="11" xfId="8733" applyFont="1" applyFill="1" applyBorder="1" applyAlignment="1" applyProtection="1">
      <alignment horizontal="right"/>
      <protection locked="0"/>
    </xf>
    <xf numFmtId="0" fontId="156" fillId="45" borderId="89" xfId="8733" applyFont="1" applyFill="1" applyBorder="1" applyAlignment="1">
      <alignment horizontal="right"/>
    </xf>
    <xf numFmtId="0" fontId="156" fillId="45" borderId="43" xfId="8733" applyFont="1" applyFill="1" applyBorder="1" applyAlignment="1">
      <alignment horizontal="right"/>
    </xf>
    <xf numFmtId="168" fontId="156" fillId="45" borderId="43" xfId="8733" applyNumberFormat="1" applyFont="1" applyFill="1" applyBorder="1" applyAlignment="1">
      <alignment horizontal="left"/>
    </xf>
    <xf numFmtId="168" fontId="156" fillId="45" borderId="88" xfId="8733" applyNumberFormat="1" applyFont="1" applyFill="1" applyBorder="1" applyAlignment="1">
      <alignment horizontal="left"/>
    </xf>
    <xf numFmtId="0" fontId="162" fillId="48" borderId="68" xfId="8733" applyFont="1" applyFill="1" applyBorder="1" applyAlignment="1" applyProtection="1">
      <alignment horizontal="left"/>
      <protection locked="0"/>
    </xf>
    <xf numFmtId="0" fontId="162" fillId="48" borderId="71" xfId="8733" applyFont="1" applyFill="1" applyBorder="1" applyAlignment="1" applyProtection="1">
      <alignment horizontal="left"/>
      <protection locked="0"/>
    </xf>
    <xf numFmtId="0" fontId="156" fillId="45" borderId="69" xfId="8733" applyFont="1" applyFill="1" applyBorder="1" applyAlignment="1">
      <alignment horizontal="center"/>
    </xf>
    <xf numFmtId="0" fontId="156" fillId="45" borderId="70" xfId="8733" applyFont="1" applyFill="1" applyBorder="1" applyAlignment="1">
      <alignment horizontal="center"/>
    </xf>
    <xf numFmtId="0" fontId="162" fillId="48" borderId="70" xfId="8733" applyFont="1" applyFill="1" applyBorder="1" applyAlignment="1" applyProtection="1">
      <alignment horizontal="left"/>
      <protection locked="0"/>
    </xf>
    <xf numFmtId="0" fontId="162" fillId="48" borderId="77" xfId="8733" applyFont="1" applyFill="1" applyBorder="1" applyAlignment="1" applyProtection="1">
      <alignment horizontal="left"/>
      <protection locked="0"/>
    </xf>
    <xf numFmtId="0" fontId="159" fillId="48" borderId="74" xfId="8733" applyFont="1" applyFill="1" applyBorder="1" applyAlignment="1" applyProtection="1">
      <alignment horizontal="left"/>
      <protection locked="0"/>
    </xf>
    <xf numFmtId="0" fontId="156" fillId="45" borderId="72" xfId="8733" applyFont="1" applyFill="1" applyBorder="1" applyAlignment="1">
      <alignment horizontal="center"/>
    </xf>
    <xf numFmtId="0" fontId="156" fillId="45" borderId="11" xfId="8733" applyFont="1" applyFill="1" applyBorder="1" applyAlignment="1">
      <alignment horizontal="center"/>
    </xf>
    <xf numFmtId="0" fontId="156" fillId="45" borderId="3" xfId="8733" applyFont="1" applyFill="1" applyBorder="1" applyAlignment="1">
      <alignment horizontal="center"/>
    </xf>
    <xf numFmtId="0" fontId="156" fillId="45" borderId="4" xfId="8733" applyFont="1" applyFill="1" applyBorder="1" applyAlignment="1">
      <alignment horizontal="center"/>
    </xf>
    <xf numFmtId="0" fontId="156" fillId="45" borderId="81" xfId="8733" applyFont="1" applyFill="1" applyBorder="1" applyAlignment="1">
      <alignment horizontal="center"/>
    </xf>
    <xf numFmtId="0" fontId="92" fillId="45" borderId="69" xfId="8733" applyFont="1" applyFill="1" applyBorder="1" applyAlignment="1">
      <alignment horizontal="center"/>
    </xf>
    <xf numFmtId="0" fontId="92" fillId="45" borderId="70" xfId="8733" applyFont="1" applyFill="1" applyBorder="1" applyAlignment="1">
      <alignment horizontal="center"/>
    </xf>
    <xf numFmtId="0" fontId="162" fillId="44" borderId="72" xfId="8733" applyFont="1" applyFill="1" applyBorder="1" applyAlignment="1" applyProtection="1">
      <alignment horizontal="right"/>
      <protection locked="0"/>
    </xf>
    <xf numFmtId="0" fontId="162" fillId="44" borderId="11" xfId="8733" applyFont="1" applyFill="1" applyBorder="1" applyAlignment="1" applyProtection="1">
      <alignment horizontal="right"/>
      <protection locked="0"/>
    </xf>
    <xf numFmtId="0" fontId="162" fillId="44" borderId="76" xfId="8733" applyFont="1" applyFill="1" applyBorder="1" applyAlignment="1" applyProtection="1">
      <alignment horizontal="right"/>
      <protection locked="0"/>
    </xf>
    <xf numFmtId="0" fontId="162" fillId="48" borderId="5" xfId="8733" applyFont="1" applyFill="1" applyBorder="1" applyAlignment="1" applyProtection="1">
      <alignment horizontal="left"/>
      <protection locked="0"/>
    </xf>
    <xf numFmtId="0" fontId="162" fillId="44" borderId="69" xfId="8733" applyFont="1" applyFill="1" applyBorder="1" applyAlignment="1" applyProtection="1">
      <alignment horizontal="right"/>
      <protection locked="0"/>
    </xf>
    <xf numFmtId="0" fontId="162" fillId="44" borderId="70" xfId="8733" applyFont="1" applyFill="1" applyBorder="1" applyAlignment="1" applyProtection="1">
      <alignment horizontal="right"/>
      <protection locked="0"/>
    </xf>
    <xf numFmtId="0" fontId="162" fillId="44" borderId="77" xfId="8733" applyFont="1" applyFill="1" applyBorder="1" applyAlignment="1" applyProtection="1">
      <alignment horizontal="right"/>
      <protection locked="0"/>
    </xf>
    <xf numFmtId="0" fontId="162" fillId="48" borderId="95" xfId="8733" applyFont="1" applyFill="1" applyBorder="1" applyAlignment="1" applyProtection="1">
      <alignment horizontal="left"/>
      <protection locked="0"/>
    </xf>
    <xf numFmtId="0" fontId="156" fillId="45" borderId="65" xfId="8733" applyFont="1" applyFill="1" applyBorder="1" applyAlignment="1">
      <alignment horizontal="center"/>
    </xf>
    <xf numFmtId="0" fontId="156" fillId="45" borderId="29" xfId="8733" applyFont="1" applyFill="1" applyBorder="1" applyAlignment="1">
      <alignment horizontal="center"/>
    </xf>
    <xf numFmtId="0" fontId="156" fillId="45" borderId="31" xfId="8733" applyFont="1" applyFill="1" applyBorder="1" applyAlignment="1">
      <alignment horizontal="center"/>
    </xf>
    <xf numFmtId="168" fontId="162" fillId="48" borderId="11" xfId="8734" applyNumberFormat="1" applyFont="1" applyFill="1" applyBorder="1" applyAlignment="1" applyProtection="1">
      <alignment horizontal="center"/>
      <protection locked="0"/>
    </xf>
    <xf numFmtId="1" fontId="162" fillId="48" borderId="11" xfId="8733"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4" applyNumberFormat="1" applyFont="1" applyFill="1" applyBorder="1" applyAlignment="1">
      <alignment horizontal="center"/>
    </xf>
    <xf numFmtId="1" fontId="163" fillId="45" borderId="70" xfId="8734" applyNumberFormat="1" applyFont="1" applyFill="1" applyBorder="1" applyAlignment="1">
      <alignment horizontal="center"/>
    </xf>
    <xf numFmtId="0" fontId="163" fillId="45" borderId="70" xfId="8734" applyNumberFormat="1" applyFont="1" applyFill="1" applyBorder="1" applyAlignment="1">
      <alignment horizontal="center"/>
    </xf>
    <xf numFmtId="0" fontId="163" fillId="45" borderId="77" xfId="8734" applyNumberFormat="1" applyFont="1" applyFill="1" applyBorder="1" applyAlignment="1">
      <alignment horizontal="center"/>
    </xf>
    <xf numFmtId="0" fontId="155" fillId="45" borderId="11" xfId="8733" applyFont="1" applyFill="1" applyBorder="1" applyAlignment="1">
      <alignment horizontal="center" vertical="center" wrapText="1"/>
    </xf>
    <xf numFmtId="0" fontId="155" fillId="45" borderId="76" xfId="8733" applyFont="1" applyFill="1" applyBorder="1" applyAlignment="1">
      <alignment horizontal="center" vertical="center" wrapText="1"/>
    </xf>
    <xf numFmtId="1" fontId="167" fillId="48" borderId="70" xfId="8733" applyNumberFormat="1" applyFont="1" applyFill="1" applyBorder="1" applyAlignment="1" applyProtection="1">
      <alignment horizontal="center"/>
      <protection locked="0"/>
    </xf>
    <xf numFmtId="1" fontId="167" fillId="48" borderId="94" xfId="8733" applyNumberFormat="1" applyFont="1" applyFill="1" applyBorder="1" applyAlignment="1" applyProtection="1">
      <alignment horizontal="center"/>
      <protection locked="0"/>
    </xf>
    <xf numFmtId="1" fontId="167" fillId="48" borderId="86" xfId="8733" applyNumberFormat="1" applyFont="1" applyFill="1" applyBorder="1" applyAlignment="1" applyProtection="1">
      <alignment horizontal="center"/>
      <protection locked="0"/>
    </xf>
    <xf numFmtId="1" fontId="167" fillId="48" borderId="95" xfId="8733" applyNumberFormat="1" applyFont="1" applyFill="1" applyBorder="1" applyAlignment="1" applyProtection="1">
      <alignment horizontal="center"/>
      <protection locked="0"/>
    </xf>
    <xf numFmtId="1" fontId="167" fillId="48" borderId="3" xfId="8733" applyNumberFormat="1" applyFont="1" applyFill="1" applyBorder="1" applyAlignment="1" applyProtection="1">
      <alignment horizontal="center"/>
      <protection locked="0"/>
    </xf>
    <xf numFmtId="1" fontId="167" fillId="48" borderId="4" xfId="8733" applyNumberFormat="1" applyFont="1" applyFill="1" applyBorder="1" applyAlignment="1" applyProtection="1">
      <alignment horizontal="center"/>
      <protection locked="0"/>
    </xf>
    <xf numFmtId="1" fontId="167" fillId="48" borderId="5" xfId="8733" applyNumberFormat="1" applyFont="1" applyFill="1" applyBorder="1" applyAlignment="1" applyProtection="1">
      <alignment horizontal="center"/>
      <protection locked="0"/>
    </xf>
    <xf numFmtId="1" fontId="155" fillId="44" borderId="3" xfId="8733" applyNumberFormat="1" applyFont="1" applyFill="1" applyBorder="1" applyAlignment="1">
      <alignment horizontal="center"/>
    </xf>
    <xf numFmtId="1" fontId="155" fillId="44" borderId="4" xfId="8733" applyNumberFormat="1" applyFont="1" applyFill="1" applyBorder="1" applyAlignment="1">
      <alignment horizontal="center"/>
    </xf>
    <xf numFmtId="1" fontId="155" fillId="44" borderId="5" xfId="8733" applyNumberFormat="1" applyFont="1" applyFill="1" applyBorder="1" applyAlignment="1">
      <alignment horizontal="center"/>
    </xf>
    <xf numFmtId="9" fontId="155" fillId="44" borderId="3" xfId="8735" applyFont="1" applyFill="1" applyBorder="1" applyAlignment="1">
      <alignment horizontal="center"/>
    </xf>
    <xf numFmtId="9" fontId="155" fillId="44" borderId="4" xfId="8735" applyFont="1" applyFill="1" applyBorder="1" applyAlignment="1">
      <alignment horizontal="center"/>
    </xf>
    <xf numFmtId="9" fontId="155" fillId="44" borderId="81" xfId="8735" applyFont="1" applyFill="1" applyBorder="1" applyAlignment="1">
      <alignment horizontal="center"/>
    </xf>
    <xf numFmtId="0" fontId="162" fillId="48" borderId="69" xfId="8733" applyFont="1" applyFill="1" applyBorder="1" applyAlignment="1" applyProtection="1">
      <alignment horizontal="right"/>
      <protection locked="0"/>
    </xf>
    <xf numFmtId="0" fontId="162" fillId="48" borderId="70" xfId="8733" applyFont="1" applyFill="1" applyBorder="1" applyAlignment="1" applyProtection="1">
      <alignment horizontal="right"/>
      <protection locked="0"/>
    </xf>
    <xf numFmtId="0" fontId="167" fillId="48" borderId="70" xfId="8733" applyFont="1" applyFill="1" applyBorder="1" applyAlignment="1" applyProtection="1">
      <alignment horizontal="center"/>
      <protection locked="0"/>
    </xf>
    <xf numFmtId="9" fontId="155" fillId="44" borderId="94" xfId="8735" applyFont="1" applyFill="1" applyBorder="1" applyAlignment="1">
      <alignment horizontal="center"/>
    </xf>
    <xf numFmtId="9" fontId="155" fillId="44" borderId="86" xfId="8735" applyFont="1" applyFill="1" applyBorder="1" applyAlignment="1">
      <alignment horizontal="center"/>
    </xf>
    <xf numFmtId="9" fontId="155" fillId="44" borderId="85" xfId="8735" applyFont="1" applyFill="1" applyBorder="1" applyAlignment="1">
      <alignment horizontal="center"/>
    </xf>
    <xf numFmtId="0" fontId="167" fillId="48" borderId="11" xfId="8733" applyFont="1" applyFill="1" applyBorder="1" applyAlignment="1" applyProtection="1">
      <alignment horizontal="center"/>
      <protection locked="0"/>
    </xf>
    <xf numFmtId="1" fontId="167" fillId="48" borderId="11" xfId="8733" applyNumberFormat="1" applyFont="1" applyFill="1" applyBorder="1" applyAlignment="1" applyProtection="1">
      <alignment horizontal="center"/>
      <protection locked="0"/>
    </xf>
    <xf numFmtId="0" fontId="163" fillId="44" borderId="101" xfId="8733" applyFont="1" applyFill="1" applyBorder="1" applyAlignment="1">
      <alignment horizontal="center"/>
    </xf>
    <xf numFmtId="0" fontId="163" fillId="44" borderId="42" xfId="8733" applyFont="1" applyFill="1" applyBorder="1" applyAlignment="1">
      <alignment horizontal="center"/>
    </xf>
    <xf numFmtId="0" fontId="163" fillId="44" borderId="96" xfId="8733"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3" applyFont="1" applyFill="1" applyBorder="1" applyAlignment="1">
      <alignment horizontal="center"/>
    </xf>
    <xf numFmtId="0" fontId="156" fillId="45" borderId="79" xfId="8733" applyFont="1" applyFill="1" applyBorder="1" applyAlignment="1">
      <alignment horizontal="center"/>
    </xf>
    <xf numFmtId="0" fontId="156" fillId="45" borderId="78" xfId="8733" applyFont="1" applyFill="1" applyBorder="1" applyAlignment="1">
      <alignment horizontal="center"/>
    </xf>
    <xf numFmtId="0" fontId="155" fillId="45" borderId="98" xfId="8733" applyFont="1" applyFill="1" applyBorder="1" applyAlignment="1">
      <alignment horizontal="center" vertical="center" wrapText="1"/>
    </xf>
    <xf numFmtId="0" fontId="155" fillId="45" borderId="13" xfId="8733" applyFont="1" applyFill="1" applyBorder="1" applyAlignment="1">
      <alignment horizontal="center" vertical="center"/>
    </xf>
    <xf numFmtId="0" fontId="155" fillId="45" borderId="72" xfId="8733" applyFont="1" applyFill="1" applyBorder="1" applyAlignment="1">
      <alignment horizontal="center" vertical="center"/>
    </xf>
    <xf numFmtId="0" fontId="155" fillId="45" borderId="11" xfId="8733" applyFont="1" applyFill="1" applyBorder="1" applyAlignment="1">
      <alignment horizontal="center" vertical="center"/>
    </xf>
    <xf numFmtId="0" fontId="163" fillId="45" borderId="13"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11" xfId="8733" applyFont="1" applyFill="1" applyBorder="1" applyAlignment="1">
      <alignment horizontal="center" vertical="center"/>
    </xf>
    <xf numFmtId="0" fontId="163" fillId="45" borderId="9" xfId="8733" applyFont="1" applyFill="1" applyBorder="1" applyAlignment="1">
      <alignment horizontal="center" vertical="center"/>
    </xf>
    <xf numFmtId="0" fontId="163" fillId="45" borderId="3" xfId="8733" applyFont="1" applyFill="1" applyBorder="1" applyAlignment="1">
      <alignment horizontal="center" vertic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5" fillId="45" borderId="65" xfId="8733" applyFont="1" applyFill="1" applyBorder="1" applyAlignment="1">
      <alignment horizontal="center" vertical="center" wrapText="1"/>
    </xf>
    <xf numFmtId="0" fontId="155" fillId="45" borderId="29" xfId="8733" applyFont="1" applyFill="1" applyBorder="1" applyAlignment="1">
      <alignment horizontal="center" vertical="center" wrapText="1"/>
    </xf>
    <xf numFmtId="0" fontId="155" fillId="45" borderId="31" xfId="8733" applyFont="1" applyFill="1" applyBorder="1" applyAlignment="1">
      <alignment horizontal="center" vertical="center" wrapText="1"/>
    </xf>
    <xf numFmtId="0" fontId="155" fillId="45" borderId="73" xfId="8733" applyFont="1" applyFill="1" applyBorder="1" applyAlignment="1">
      <alignment horizontal="center" vertical="center" wrapText="1"/>
    </xf>
    <xf numFmtId="0" fontId="155" fillId="45" borderId="42" xfId="8733" applyFont="1" applyFill="1" applyBorder="1" applyAlignment="1">
      <alignment horizontal="center" vertical="center" wrapText="1"/>
    </xf>
    <xf numFmtId="0" fontId="155" fillId="45" borderId="44" xfId="8733" applyFont="1" applyFill="1" applyBorder="1" applyAlignment="1">
      <alignment horizontal="center" vertical="center" wrapText="1"/>
    </xf>
    <xf numFmtId="9" fontId="163" fillId="48" borderId="13" xfId="8733" applyNumberFormat="1" applyFont="1" applyFill="1" applyBorder="1" applyAlignment="1" applyProtection="1">
      <alignment horizontal="center"/>
      <protection locked="0"/>
    </xf>
    <xf numFmtId="0" fontId="163" fillId="44" borderId="73" xfId="8733" applyFont="1" applyFill="1" applyBorder="1" applyAlignment="1">
      <alignment horizontal="center"/>
    </xf>
    <xf numFmtId="0" fontId="155" fillId="44" borderId="9" xfId="8733" applyFont="1" applyFill="1" applyBorder="1" applyAlignment="1">
      <alignment horizontal="center"/>
    </xf>
    <xf numFmtId="0" fontId="155" fillId="44" borderId="6" xfId="8733" applyFont="1" applyFill="1" applyBorder="1" applyAlignment="1">
      <alignment horizontal="center"/>
    </xf>
    <xf numFmtId="0" fontId="155" fillId="44" borderId="82" xfId="8733" applyFont="1" applyFill="1" applyBorder="1" applyAlignment="1">
      <alignment horizontal="center"/>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9" fontId="155" fillId="48" borderId="9" xfId="8733" applyNumberFormat="1" applyFont="1" applyFill="1" applyBorder="1" applyAlignment="1" applyProtection="1">
      <alignment horizontal="center"/>
      <protection locked="0"/>
    </xf>
    <xf numFmtId="9" fontId="155" fillId="48" borderId="6" xfId="8733" applyNumberFormat="1" applyFont="1" applyFill="1" applyBorder="1" applyAlignment="1" applyProtection="1">
      <alignment horizontal="center"/>
      <protection locked="0"/>
    </xf>
    <xf numFmtId="9" fontId="155" fillId="48" borderId="10" xfId="8733" applyNumberFormat="1" applyFont="1" applyFill="1" applyBorder="1" applyAlignment="1" applyProtection="1">
      <alignment horizontal="center"/>
      <protection locked="0"/>
    </xf>
    <xf numFmtId="0" fontId="155" fillId="44" borderId="10" xfId="8733" applyFont="1" applyFill="1" applyBorder="1" applyAlignment="1">
      <alignment horizontal="center"/>
    </xf>
    <xf numFmtId="0" fontId="162" fillId="48" borderId="3" xfId="8733" applyFont="1" applyFill="1" applyBorder="1" applyAlignment="1" applyProtection="1">
      <alignment horizontal="center"/>
      <protection locked="0"/>
    </xf>
    <xf numFmtId="0" fontId="162" fillId="48" borderId="4" xfId="8733" applyFont="1" applyFill="1" applyBorder="1" applyAlignment="1" applyProtection="1">
      <alignment horizontal="center"/>
      <protection locked="0"/>
    </xf>
    <xf numFmtId="0" fontId="162" fillId="48" borderId="5" xfId="8733" applyFont="1" applyFill="1" applyBorder="1" applyAlignment="1" applyProtection="1">
      <alignment horizontal="center"/>
      <protection locked="0"/>
    </xf>
    <xf numFmtId="9" fontId="163" fillId="44" borderId="3" xfId="8733" applyNumberFormat="1" applyFont="1" applyFill="1" applyBorder="1" applyAlignment="1">
      <alignment horizontal="center"/>
    </xf>
    <xf numFmtId="9" fontId="163" fillId="44" borderId="4" xfId="8733" applyNumberFormat="1" applyFont="1" applyFill="1" applyBorder="1" applyAlignment="1">
      <alignment horizontal="center"/>
    </xf>
    <xf numFmtId="9" fontId="163" fillId="44" borderId="81" xfId="8733" applyNumberFormat="1" applyFont="1" applyFill="1" applyBorder="1" applyAlignment="1">
      <alignment horizontal="center"/>
    </xf>
    <xf numFmtId="0" fontId="163" fillId="44" borderId="87" xfId="8733" applyFont="1" applyFill="1" applyBorder="1" applyAlignment="1">
      <alignment horizontal="center"/>
    </xf>
    <xf numFmtId="0" fontId="163" fillId="44" borderId="86" xfId="8733" applyFont="1" applyFill="1" applyBorder="1" applyAlignment="1">
      <alignment horizontal="center"/>
    </xf>
    <xf numFmtId="0" fontId="163" fillId="44" borderId="95" xfId="8733" applyFont="1" applyFill="1" applyBorder="1" applyAlignment="1">
      <alignment horizontal="center"/>
    </xf>
    <xf numFmtId="0" fontId="162" fillId="44" borderId="94"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9" fontId="163" fillId="44" borderId="94" xfId="8733" applyNumberFormat="1" applyFont="1" applyFill="1" applyBorder="1" applyAlignment="1">
      <alignment horizontal="center"/>
    </xf>
    <xf numFmtId="9" fontId="163" fillId="44" borderId="86" xfId="8733" applyNumberFormat="1" applyFont="1" applyFill="1" applyBorder="1" applyAlignment="1">
      <alignment horizontal="center"/>
    </xf>
    <xf numFmtId="9" fontId="163" fillId="44" borderId="85" xfId="8733" applyNumberFormat="1" applyFont="1" applyFill="1" applyBorder="1" applyAlignment="1">
      <alignment horizontal="center"/>
    </xf>
    <xf numFmtId="9" fontId="162" fillId="48" borderId="90" xfId="8733" applyNumberFormat="1" applyFont="1" applyFill="1" applyBorder="1" applyAlignment="1" applyProtection="1">
      <alignment horizontal="center"/>
      <protection locked="0"/>
    </xf>
    <xf numFmtId="9" fontId="162" fillId="48" borderId="4" xfId="8733" applyNumberFormat="1" applyFont="1" applyFill="1" applyBorder="1" applyAlignment="1" applyProtection="1">
      <alignment horizontal="center"/>
      <protection locked="0"/>
    </xf>
    <xf numFmtId="9" fontId="162" fillId="48" borderId="5" xfId="8733" applyNumberFormat="1" applyFont="1" applyFill="1" applyBorder="1" applyAlignment="1" applyProtection="1">
      <alignment horizontal="center"/>
      <protection locked="0"/>
    </xf>
    <xf numFmtId="0" fontId="162" fillId="44" borderId="3" xfId="8733" applyFont="1" applyFill="1" applyBorder="1" applyAlignment="1">
      <alignment horizontal="center"/>
    </xf>
    <xf numFmtId="0" fontId="162" fillId="44" borderId="4" xfId="8733" applyFont="1" applyFill="1" applyBorder="1" applyAlignment="1">
      <alignment horizontal="center"/>
    </xf>
    <xf numFmtId="0" fontId="162" fillId="44" borderId="5" xfId="8733" applyFont="1" applyFill="1" applyBorder="1" applyAlignment="1">
      <alignment horizontal="center"/>
    </xf>
    <xf numFmtId="0" fontId="92" fillId="45" borderId="80" xfId="8733" applyFont="1" applyFill="1" applyBorder="1" applyAlignment="1">
      <alignment horizontal="right"/>
    </xf>
    <xf numFmtId="0" fontId="92" fillId="45" borderId="79" xfId="8733" applyFont="1" applyFill="1" applyBorder="1" applyAlignment="1">
      <alignment horizontal="right"/>
    </xf>
    <xf numFmtId="0" fontId="9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3" fillId="45" borderId="11" xfId="8733" applyFont="1" applyFill="1" applyBorder="1" applyAlignment="1">
      <alignment horizontal="right"/>
    </xf>
    <xf numFmtId="14" fontId="159" fillId="48" borderId="11" xfId="8733" applyNumberFormat="1" applyFont="1" applyFill="1" applyBorder="1" applyAlignment="1" applyProtection="1">
      <alignment horizontal="center" vertical="center"/>
      <protection locked="0"/>
    </xf>
    <xf numFmtId="0" fontId="159" fillId="48" borderId="11" xfId="8733" applyFont="1" applyFill="1" applyBorder="1" applyAlignment="1" applyProtection="1">
      <alignment horizontal="center" vertical="center"/>
      <protection locked="0"/>
    </xf>
    <xf numFmtId="0" fontId="163" fillId="45" borderId="97" xfId="8733" applyFont="1" applyFill="1" applyBorder="1" applyAlignment="1">
      <alignment horizontal="center"/>
    </xf>
    <xf numFmtId="0" fontId="163" fillId="45" borderId="2" xfId="8733" applyFont="1" applyFill="1" applyBorder="1" applyAlignment="1">
      <alignment horizontal="center"/>
    </xf>
    <xf numFmtId="0" fontId="163" fillId="45" borderId="7" xfId="8733" applyFont="1" applyFill="1" applyBorder="1" applyAlignment="1">
      <alignment horizontal="center"/>
    </xf>
    <xf numFmtId="0" fontId="163" fillId="45" borderId="3" xfId="8733" applyFont="1" applyFill="1" applyBorder="1" applyAlignment="1">
      <alignment horizontal="center"/>
    </xf>
    <xf numFmtId="0" fontId="163" fillId="45" borderId="4" xfId="8733" applyFont="1" applyFill="1" applyBorder="1" applyAlignment="1">
      <alignment horizontal="center"/>
    </xf>
    <xf numFmtId="0" fontId="163" fillId="45" borderId="5" xfId="8733" applyFont="1" applyFill="1" applyBorder="1" applyAlignment="1">
      <alignment horizontal="center"/>
    </xf>
    <xf numFmtId="0" fontId="163" fillId="45" borderId="81" xfId="8733" applyFont="1" applyFill="1" applyBorder="1" applyAlignment="1">
      <alignment horizontal="center"/>
    </xf>
    <xf numFmtId="0" fontId="92" fillId="45" borderId="80" xfId="8733" applyFont="1" applyFill="1" applyBorder="1" applyAlignment="1">
      <alignment horizontal="center"/>
    </xf>
    <xf numFmtId="0" fontId="92" fillId="45" borderId="79" xfId="8733" applyFont="1" applyFill="1" applyBorder="1" applyAlignment="1">
      <alignment horizontal="center"/>
    </xf>
    <xf numFmtId="0" fontId="92" fillId="45" borderId="78" xfId="8733" applyFont="1" applyFill="1" applyBorder="1" applyAlignment="1">
      <alignment horizontal="center"/>
    </xf>
    <xf numFmtId="0" fontId="159" fillId="48" borderId="80" xfId="8733" applyFont="1" applyFill="1" applyBorder="1" applyAlignment="1" applyProtection="1">
      <alignment horizontal="center"/>
      <protection locked="0"/>
    </xf>
    <xf numFmtId="0" fontId="159" fillId="48" borderId="79" xfId="8733" applyFont="1" applyFill="1" applyBorder="1" applyAlignment="1" applyProtection="1">
      <alignment horizontal="center"/>
      <protection locked="0"/>
    </xf>
    <xf numFmtId="0" fontId="15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60" fillId="45" borderId="11" xfId="8733" applyFont="1" applyFill="1" applyBorder="1" applyAlignment="1">
      <alignment horizontal="right" wrapText="1"/>
    </xf>
    <xf numFmtId="0" fontId="166" fillId="45" borderId="11" xfId="8733" applyFont="1" applyFill="1" applyBorder="1" applyAlignment="1">
      <alignment horizontal="right"/>
    </xf>
    <xf numFmtId="14" fontId="159" fillId="48" borderId="11" xfId="8733" applyNumberFormat="1" applyFont="1" applyFill="1" applyBorder="1" applyAlignment="1" applyProtection="1">
      <alignment horizontal="center"/>
      <protection locked="0"/>
    </xf>
    <xf numFmtId="0" fontId="159" fillId="48" borderId="11" xfId="8733" applyFont="1" applyFill="1" applyBorder="1" applyAlignment="1" applyProtection="1">
      <alignment horizontal="center"/>
      <protection locked="0"/>
    </xf>
    <xf numFmtId="168" fontId="164" fillId="44" borderId="11" xfId="8734" applyNumberFormat="1" applyFont="1" applyFill="1" applyBorder="1" applyAlignment="1" applyProtection="1">
      <alignment horizontal="left"/>
    </xf>
    <xf numFmtId="0" fontId="159" fillId="44" borderId="80" xfId="8733" applyFont="1" applyFill="1" applyBorder="1" applyAlignment="1">
      <alignment horizontal="left"/>
    </xf>
    <xf numFmtId="0" fontId="159" fillId="44" borderId="79" xfId="8733" applyFont="1" applyFill="1" applyBorder="1" applyAlignment="1">
      <alignment horizontal="left"/>
    </xf>
    <xf numFmtId="0" fontId="159" fillId="44" borderId="78" xfId="8733" applyFont="1" applyFill="1" applyBorder="1" applyAlignment="1">
      <alignment horizontal="left"/>
    </xf>
    <xf numFmtId="0" fontId="160" fillId="45" borderId="11" xfId="8733" applyFont="1" applyFill="1" applyBorder="1" applyAlignment="1">
      <alignment horizontal="right"/>
    </xf>
    <xf numFmtId="1" fontId="15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71" fillId="51" borderId="65" xfId="8733" applyFont="1" applyFill="1" applyBorder="1" applyAlignment="1">
      <alignment horizontal="center"/>
    </xf>
    <xf numFmtId="0" fontId="171" fillId="51" borderId="29" xfId="8733" applyFont="1" applyFill="1" applyBorder="1" applyAlignment="1">
      <alignment horizontal="center"/>
    </xf>
    <xf numFmtId="0" fontId="171" fillId="51" borderId="31" xfId="8733" applyFont="1" applyFill="1" applyBorder="1" applyAlignment="1">
      <alignment horizontal="center"/>
    </xf>
    <xf numFmtId="0" fontId="156" fillId="48" borderId="66" xfId="8733" applyFont="1" applyFill="1" applyBorder="1" applyAlignment="1">
      <alignment horizontal="center"/>
    </xf>
    <xf numFmtId="0" fontId="156" fillId="48" borderId="0" xfId="8733" applyFont="1" applyFill="1" applyAlignment="1">
      <alignment horizontal="center"/>
    </xf>
    <xf numFmtId="0" fontId="15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9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9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46"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12" fillId="0" borderId="55" xfId="4496" applyNumberFormat="1" applyFont="1" applyBorder="1" applyAlignment="1">
      <alignment horizontal="center" vertical="top" wrapText="1"/>
    </xf>
    <xf numFmtId="165" fontId="112" fillId="0" borderId="6" xfId="4496" applyNumberFormat="1" applyFont="1" applyBorder="1" applyAlignment="1">
      <alignment horizontal="center" vertical="top" wrapText="1"/>
    </xf>
    <xf numFmtId="165" fontId="112" fillId="0" borderId="60" xfId="4496" applyNumberFormat="1" applyFont="1" applyBorder="1" applyAlignment="1">
      <alignment horizontal="center" vertical="top" wrapText="1"/>
    </xf>
    <xf numFmtId="165" fontId="112" fillId="0" borderId="4" xfId="4496" applyNumberFormat="1" applyFont="1" applyBorder="1" applyAlignment="1">
      <alignment horizontal="center" vertical="top" wrapText="1"/>
    </xf>
    <xf numFmtId="0" fontId="112" fillId="5" borderId="60" xfId="4496" applyFont="1" applyFill="1" applyBorder="1" applyAlignment="1" applyProtection="1">
      <alignment horizontal="center"/>
      <protection locked="0"/>
    </xf>
    <xf numFmtId="0" fontId="112" fillId="5" borderId="4" xfId="4496" applyFont="1" applyFill="1" applyBorder="1" applyAlignment="1" applyProtection="1">
      <alignment horizontal="center"/>
      <protection locked="0"/>
    </xf>
    <xf numFmtId="0" fontId="11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12" fillId="0" borderId="50" xfId="4496" applyFont="1" applyBorder="1" applyAlignment="1">
      <alignment horizontal="left" vertical="top" wrapText="1"/>
    </xf>
    <xf numFmtId="0" fontId="112" fillId="0" borderId="51" xfId="4496" applyFont="1" applyBorder="1" applyAlignment="1">
      <alignment horizontal="left" vertical="top" wrapText="1"/>
    </xf>
    <xf numFmtId="0" fontId="112" fillId="0" borderId="52" xfId="4496" applyFont="1" applyBorder="1" applyAlignment="1">
      <alignment horizontal="left" vertical="top" wrapText="1"/>
    </xf>
    <xf numFmtId="0" fontId="112" fillId="0" borderId="53" xfId="4496" applyFont="1" applyBorder="1" applyAlignment="1">
      <alignment horizontal="left" vertical="top" wrapText="1"/>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0" fontId="112" fillId="0" borderId="57" xfId="4496" applyFont="1" applyBorder="1" applyAlignment="1">
      <alignment horizontal="left" vertical="top" wrapText="1"/>
    </xf>
    <xf numFmtId="0" fontId="112" fillId="0" borderId="58" xfId="4496" applyFont="1" applyBorder="1" applyAlignment="1">
      <alignment horizontal="left" vertical="top" wrapText="1"/>
    </xf>
    <xf numFmtId="0" fontId="112" fillId="0" borderId="59" xfId="4496" applyFont="1" applyBorder="1" applyAlignment="1">
      <alignment horizontal="left" vertical="top" wrapText="1"/>
    </xf>
    <xf numFmtId="0" fontId="112" fillId="5" borderId="55" xfId="4496" applyFont="1" applyFill="1" applyBorder="1" applyAlignment="1" applyProtection="1">
      <alignment horizontal="center"/>
      <protection locked="0"/>
    </xf>
    <xf numFmtId="0" fontId="112" fillId="0" borderId="47" xfId="4496" applyFont="1" applyBorder="1"/>
    <xf numFmtId="0" fontId="112" fillId="0" borderId="48" xfId="4496" applyFont="1" applyBorder="1"/>
    <xf numFmtId="0" fontId="11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12" fillId="0" borderId="55" xfId="4496" applyFont="1" applyBorder="1" applyAlignment="1">
      <alignment horizontal="center" vertical="top" wrapText="1"/>
    </xf>
    <xf numFmtId="0" fontId="11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12" fillId="43" borderId="55" xfId="4496" applyFont="1" applyFill="1" applyBorder="1" applyAlignment="1" applyProtection="1">
      <alignment horizontal="left" vertical="top" wrapText="1"/>
      <protection locked="0"/>
    </xf>
    <xf numFmtId="0" fontId="112" fillId="43" borderId="6" xfId="4496" applyFont="1" applyFill="1" applyBorder="1" applyAlignment="1" applyProtection="1">
      <alignment horizontal="left" vertical="top" wrapText="1"/>
      <protection locked="0"/>
    </xf>
    <xf numFmtId="0" fontId="11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12" fillId="0" borderId="55" xfId="4496" applyNumberFormat="1" applyFont="1" applyBorder="1" applyAlignment="1">
      <alignment horizontal="center" vertical="top"/>
    </xf>
    <xf numFmtId="168" fontId="112" fillId="0" borderId="6" xfId="4496" applyNumberFormat="1" applyFont="1" applyBorder="1" applyAlignment="1">
      <alignment horizontal="center" vertical="top"/>
    </xf>
    <xf numFmtId="10" fontId="112" fillId="0" borderId="3" xfId="4496" applyNumberFormat="1" applyFont="1" applyBorder="1" applyAlignment="1">
      <alignment horizontal="center" vertical="top" wrapText="1"/>
    </xf>
    <xf numFmtId="10" fontId="112" fillId="0" borderId="4" xfId="4496" applyNumberFormat="1" applyFont="1" applyBorder="1" applyAlignment="1">
      <alignment horizontal="center" vertical="top" wrapText="1"/>
    </xf>
    <xf numFmtId="10" fontId="112" fillId="0" borderId="5" xfId="4496" applyNumberFormat="1" applyFont="1" applyBorder="1" applyAlignment="1">
      <alignment horizontal="center" vertical="top" wrapText="1"/>
    </xf>
    <xf numFmtId="1" fontId="112" fillId="0" borderId="55" xfId="4496" applyNumberFormat="1" applyFont="1" applyBorder="1" applyAlignment="1">
      <alignment horizontal="center" vertical="top" wrapText="1"/>
    </xf>
    <xf numFmtId="1" fontId="112" fillId="0" borderId="6" xfId="4496" applyNumberFormat="1" applyFont="1" applyBorder="1" applyAlignment="1">
      <alignment horizontal="center" vertical="top" wrapText="1"/>
    </xf>
    <xf numFmtId="168" fontId="112" fillId="43" borderId="55" xfId="4496" applyNumberFormat="1" applyFont="1" applyFill="1" applyBorder="1" applyAlignment="1" applyProtection="1">
      <alignment horizontal="center" vertical="top" wrapText="1"/>
      <protection locked="0"/>
    </xf>
    <xf numFmtId="168" fontId="11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46"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10" fillId="5" borderId="6" xfId="4495" applyFill="1" applyBorder="1" applyAlignment="1" applyProtection="1">
      <alignment horizontal="center"/>
      <protection locked="0"/>
    </xf>
    <xf numFmtId="0" fontId="24" fillId="0" borderId="0" xfId="4495" applyFont="1" applyAlignment="1">
      <alignment horizontal="left" vertical="top"/>
    </xf>
    <xf numFmtId="0" fontId="11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0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10" fillId="5" borderId="62" xfId="4495" applyFill="1" applyBorder="1" applyAlignment="1" applyProtection="1">
      <alignment horizontal="center"/>
      <protection locked="0"/>
    </xf>
    <xf numFmtId="0" fontId="11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2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10" fillId="5" borderId="50" xfId="4495" applyFill="1" applyBorder="1" applyAlignment="1">
      <alignment horizontal="center"/>
    </xf>
    <xf numFmtId="0" fontId="110" fillId="5" borderId="51" xfId="4495" applyFill="1" applyBorder="1" applyAlignment="1">
      <alignment horizontal="center"/>
    </xf>
    <xf numFmtId="0" fontId="46" fillId="0" borderId="51" xfId="4495" applyFont="1" applyBorder="1" applyAlignment="1">
      <alignment horizontal="left" wrapText="1"/>
    </xf>
    <xf numFmtId="0" fontId="46" fillId="0" borderId="0" xfId="4495" applyFont="1" applyAlignment="1">
      <alignment horizontal="left" wrapText="1"/>
    </xf>
    <xf numFmtId="0" fontId="110" fillId="5" borderId="53" xfId="4495" applyFill="1" applyBorder="1" applyAlignment="1">
      <alignment horizontal="center"/>
    </xf>
    <xf numFmtId="0" fontId="110" fillId="5" borderId="0" xfId="4495" applyFill="1" applyAlignment="1">
      <alignment horizontal="center"/>
    </xf>
    <xf numFmtId="0" fontId="110" fillId="5" borderId="55" xfId="4495" applyFill="1" applyBorder="1" applyAlignment="1">
      <alignment horizontal="center"/>
    </xf>
    <xf numFmtId="0" fontId="11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55" fillId="0" borderId="1" xfId="4495" applyNumberFormat="1" applyFont="1" applyBorder="1" applyAlignment="1">
      <alignment horizontal="right" vertical="center"/>
    </xf>
    <xf numFmtId="164" fontId="55" fillId="0" borderId="2" xfId="4495" applyNumberFormat="1" applyFont="1" applyBorder="1" applyAlignment="1">
      <alignment horizontal="right" vertical="center"/>
    </xf>
    <xf numFmtId="164" fontId="55" fillId="0" borderId="7" xfId="4495" applyNumberFormat="1" applyFont="1" applyBorder="1" applyAlignment="1">
      <alignment horizontal="right" vertical="center"/>
    </xf>
    <xf numFmtId="164" fontId="55" fillId="0" borderId="9" xfId="4495" applyNumberFormat="1" applyFont="1" applyBorder="1" applyAlignment="1">
      <alignment horizontal="right" vertical="center"/>
    </xf>
    <xf numFmtId="164" fontId="55" fillId="0" borderId="6" xfId="4495" applyNumberFormat="1" applyFont="1" applyBorder="1" applyAlignment="1">
      <alignment horizontal="right" vertical="center"/>
    </xf>
    <xf numFmtId="164" fontId="55" fillId="0" borderId="10" xfId="4495" applyNumberFormat="1" applyFont="1" applyBorder="1" applyAlignment="1">
      <alignment horizontal="right" vertical="center"/>
    </xf>
    <xf numFmtId="180" fontId="55" fillId="0" borderId="1" xfId="4495" applyNumberFormat="1" applyFont="1" applyBorder="1" applyAlignment="1">
      <alignment horizontal="center" vertical="center"/>
    </xf>
    <xf numFmtId="180" fontId="55" fillId="0" borderId="2" xfId="4495" applyNumberFormat="1" applyFont="1" applyBorder="1" applyAlignment="1">
      <alignment horizontal="center" vertical="center"/>
    </xf>
    <xf numFmtId="180" fontId="55" fillId="0" borderId="7" xfId="4495" applyNumberFormat="1" applyFont="1" applyBorder="1" applyAlignment="1">
      <alignment horizontal="center" vertical="center"/>
    </xf>
    <xf numFmtId="180" fontId="55" fillId="0" borderId="9" xfId="4495" applyNumberFormat="1" applyFont="1" applyBorder="1" applyAlignment="1">
      <alignment horizontal="center" vertical="center"/>
    </xf>
    <xf numFmtId="180" fontId="55" fillId="0" borderId="6" xfId="4495" applyNumberFormat="1" applyFont="1" applyBorder="1" applyAlignment="1">
      <alignment horizontal="center" vertical="center"/>
    </xf>
    <xf numFmtId="180" fontId="55" fillId="0" borderId="10" xfId="4495" applyNumberFormat="1" applyFont="1" applyBorder="1" applyAlignment="1">
      <alignment horizontal="center" vertical="center"/>
    </xf>
    <xf numFmtId="0" fontId="17" fillId="0" borderId="6" xfId="1192" applyBorder="1" applyAlignment="1">
      <alignment horizontal="right"/>
    </xf>
    <xf numFmtId="0" fontId="112" fillId="0" borderId="50" xfId="4496" applyFont="1" applyBorder="1" applyAlignment="1">
      <alignment horizontal="left" wrapText="1"/>
    </xf>
    <xf numFmtId="0" fontId="112" fillId="0" borderId="51" xfId="4496" applyFont="1" applyBorder="1" applyAlignment="1">
      <alignment horizontal="left" wrapText="1"/>
    </xf>
    <xf numFmtId="0" fontId="112" fillId="0" borderId="52" xfId="4496" applyFont="1" applyBorder="1" applyAlignment="1">
      <alignment horizontal="left" wrapText="1"/>
    </xf>
    <xf numFmtId="0" fontId="112" fillId="0" borderId="57" xfId="4496" applyFont="1" applyBorder="1" applyAlignment="1">
      <alignment horizontal="left" wrapText="1"/>
    </xf>
    <xf numFmtId="0" fontId="112" fillId="0" borderId="58" xfId="4496" applyFont="1" applyBorder="1" applyAlignment="1">
      <alignment horizontal="left" wrapText="1"/>
    </xf>
    <xf numFmtId="0" fontId="112" fillId="0" borderId="59" xfId="4496" applyFont="1" applyBorder="1" applyAlignment="1">
      <alignment horizontal="left" wrapText="1"/>
    </xf>
    <xf numFmtId="0" fontId="110" fillId="0" borderId="53" xfId="4495" applyBorder="1" applyAlignment="1">
      <alignment horizontal="center"/>
    </xf>
    <xf numFmtId="0" fontId="11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0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46" fillId="0" borderId="51" xfId="4495" applyFont="1" applyBorder="1" applyAlignment="1">
      <alignment horizontal="left" vertical="top" wrapText="1"/>
    </xf>
    <xf numFmtId="0" fontId="46"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10" fillId="5" borderId="62" xfId="4495" applyFill="1" applyBorder="1" applyAlignment="1">
      <alignment horizontal="center"/>
    </xf>
    <xf numFmtId="0" fontId="11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12" fillId="0" borderId="3" xfId="4496" applyNumberFormat="1" applyFont="1" applyBorder="1" applyAlignment="1">
      <alignment horizontal="center" vertical="top" wrapText="1"/>
    </xf>
    <xf numFmtId="165" fontId="11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32" fillId="0" borderId="0" xfId="1192" applyFont="1" applyAlignment="1">
      <alignment horizontal="center"/>
    </xf>
    <xf numFmtId="0" fontId="88" fillId="0" borderId="69" xfId="4496" applyFont="1" applyBorder="1" applyAlignment="1">
      <alignment horizontal="right"/>
    </xf>
    <xf numFmtId="0" fontId="88" fillId="0" borderId="70" xfId="4496" applyFont="1" applyBorder="1" applyAlignment="1">
      <alignment horizontal="right"/>
    </xf>
    <xf numFmtId="0" fontId="88" fillId="0" borderId="11" xfId="4496" applyFont="1" applyBorder="1"/>
    <xf numFmtId="0" fontId="88" fillId="0" borderId="76" xfId="4496" applyFont="1" applyBorder="1"/>
    <xf numFmtId="0" fontId="88" fillId="0" borderId="70" xfId="4496" applyFont="1" applyBorder="1"/>
    <xf numFmtId="0" fontId="88" fillId="0" borderId="77" xfId="4496" applyFont="1" applyBorder="1"/>
    <xf numFmtId="0" fontId="88" fillId="0" borderId="68" xfId="4496" applyFont="1" applyBorder="1"/>
    <xf numFmtId="0" fontId="88" fillId="0" borderId="71" xfId="4496" applyFont="1" applyBorder="1"/>
    <xf numFmtId="0" fontId="88" fillId="0" borderId="67" xfId="4496" applyFont="1" applyBorder="1" applyAlignment="1">
      <alignment horizontal="right"/>
    </xf>
    <xf numFmtId="0" fontId="88" fillId="0" borderId="68" xfId="4496" applyFont="1" applyBorder="1" applyAlignment="1">
      <alignment horizontal="right"/>
    </xf>
    <xf numFmtId="0" fontId="88" fillId="0" borderId="0" xfId="4496" applyFont="1" applyAlignment="1">
      <alignment horizontal="left" wrapText="1" indent="1"/>
    </xf>
    <xf numFmtId="49" fontId="126" fillId="3" borderId="0" xfId="1192" applyNumberFormat="1" applyFont="1" applyFill="1" applyAlignment="1">
      <alignment horizontal="center" vertical="center"/>
    </xf>
    <xf numFmtId="0" fontId="88" fillId="0" borderId="11" xfId="4496" applyFont="1" applyBorder="1" applyAlignment="1">
      <alignment horizontal="left" indent="1"/>
    </xf>
    <xf numFmtId="0" fontId="88"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8" fillId="0" borderId="11" xfId="4499" applyNumberFormat="1" applyFont="1" applyFill="1" applyBorder="1" applyAlignment="1" applyProtection="1">
      <alignment horizontal="left" vertical="center" indent="1"/>
    </xf>
    <xf numFmtId="49" fontId="88" fillId="45" borderId="15" xfId="4496" applyNumberFormat="1" applyFont="1" applyFill="1" applyBorder="1" applyAlignment="1">
      <alignment horizontal="center" vertical="center" wrapText="1"/>
    </xf>
    <xf numFmtId="49" fontId="88" fillId="45" borderId="13" xfId="4496" applyNumberFormat="1" applyFont="1" applyFill="1" applyBorder="1" applyAlignment="1">
      <alignment horizontal="center" vertical="center" wrapText="1"/>
    </xf>
    <xf numFmtId="0" fontId="127" fillId="0" borderId="68" xfId="4496" applyFont="1" applyBorder="1" applyAlignment="1">
      <alignment horizontal="left" indent="1"/>
    </xf>
    <xf numFmtId="168" fontId="88" fillId="0" borderId="70" xfId="4499" applyNumberFormat="1" applyFont="1" applyFill="1" applyBorder="1" applyAlignment="1" applyProtection="1">
      <alignment horizontal="left" vertical="center" indent="1"/>
    </xf>
    <xf numFmtId="0" fontId="88" fillId="0" borderId="72" xfId="4496" applyFont="1" applyBorder="1" applyAlignment="1">
      <alignment horizontal="right"/>
    </xf>
    <xf numFmtId="0" fontId="88" fillId="0" borderId="11" xfId="4496" applyFont="1" applyBorder="1" applyAlignment="1">
      <alignment horizontal="right"/>
    </xf>
    <xf numFmtId="168" fontId="88" fillId="0" borderId="13" xfId="4499" applyNumberFormat="1" applyFont="1" applyFill="1" applyBorder="1" applyAlignment="1" applyProtection="1">
      <alignment horizontal="left" vertical="center" indent="1"/>
    </xf>
    <xf numFmtId="0" fontId="88" fillId="0" borderId="3" xfId="4496" applyFont="1" applyBorder="1" applyAlignment="1">
      <alignment horizontal="left" indent="1"/>
    </xf>
    <xf numFmtId="0" fontId="88" fillId="0" borderId="4" xfId="4496" applyFont="1" applyBorder="1" applyAlignment="1">
      <alignment horizontal="left" indent="1"/>
    </xf>
    <xf numFmtId="0" fontId="88" fillId="0" borderId="5" xfId="4496" applyFont="1" applyBorder="1" applyAlignment="1">
      <alignment horizontal="left" indent="1"/>
    </xf>
    <xf numFmtId="0" fontId="88" fillId="0" borderId="3" xfId="4496" applyFont="1" applyBorder="1" applyAlignment="1">
      <alignment horizontal="left" indent="2"/>
    </xf>
    <xf numFmtId="0" fontId="88" fillId="0" borderId="4" xfId="4496" applyFont="1" applyBorder="1" applyAlignment="1">
      <alignment horizontal="left" indent="2"/>
    </xf>
    <xf numFmtId="0" fontId="88" fillId="0" borderId="5" xfId="4496" applyFont="1" applyBorder="1" applyAlignment="1">
      <alignment horizontal="left" indent="2"/>
    </xf>
    <xf numFmtId="0" fontId="88"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8" fillId="0" borderId="0" xfId="4496" applyFont="1" applyAlignment="1">
      <alignment horizontal="left" wrapText="1"/>
    </xf>
    <xf numFmtId="0" fontId="88" fillId="0" borderId="0" xfId="4496" applyFont="1" applyAlignment="1">
      <alignment horizontal="center" vertical="center" wrapText="1"/>
    </xf>
    <xf numFmtId="0" fontId="88" fillId="43" borderId="0" xfId="4496" applyFont="1" applyFill="1" applyAlignment="1" applyProtection="1">
      <alignment horizontal="left" vertical="top" wrapText="1"/>
      <protection locked="0"/>
    </xf>
    <xf numFmtId="0" fontId="8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0" fontId="17" fillId="43" borderId="0" xfId="0" applyFont="1" applyFill="1" applyAlignment="1">
      <alignment horizontal="left"/>
    </xf>
    <xf numFmtId="0" fontId="17" fillId="5" borderId="1" xfId="0" applyFont="1" applyFill="1" applyBorder="1" applyAlignment="1" applyProtection="1">
      <alignment horizontal="left" vertical="top" wrapText="1"/>
      <protection locked="0"/>
    </xf>
  </cellXfs>
  <cellStyles count="17184">
    <cellStyle name="20% - Accent1" xfId="1" builtinId="30" customBuiltin="1"/>
    <cellStyle name="20% - Accent1 10" xfId="4504" xr:uid="{00000000-0005-0000-0000-000001000000}"/>
    <cellStyle name="20% - Accent1 10 2" xfId="12954" xr:uid="{21A8ECC4-75CC-483C-A215-0F784AF3AF14}"/>
    <cellStyle name="20% - Accent1 11" xfId="8736" xr:uid="{6A84E982-D1BF-4E99-AFFD-02877283C266}"/>
    <cellStyle name="20% - Accent1 2" xfId="2" xr:uid="{00000000-0005-0000-0000-000002000000}"/>
    <cellStyle name="20% - Accent1 2 10" xfId="8737" xr:uid="{12D8C798-69CE-4BE1-88BA-ED7251473FD4}"/>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5DF8EB89-AF68-47F4-BE97-4E9290C6D615}"/>
    <cellStyle name="20% - Accent1 2 2 2 2 2 3" xfId="11298" xr:uid="{4240069B-2CD3-4265-B5CC-616404A7F9D5}"/>
    <cellStyle name="20% - Accent1 2 2 2 2 3" xfId="4921" xr:uid="{00000000-0005-0000-0000-000008000000}"/>
    <cellStyle name="20% - Accent1 2 2 2 2 3 2" xfId="13371" xr:uid="{C0404458-525E-436D-938B-AE023A5795FF}"/>
    <cellStyle name="20% - Accent1 2 2 2 2 4" xfId="9153" xr:uid="{B2FBEE4A-DC8B-4501-8FF1-5011C969EE32}"/>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E8E177FB-F8B4-4584-B501-536F45184F1A}"/>
    <cellStyle name="20% - Accent1 2 2 2 3 2 3" xfId="11711" xr:uid="{DED34B73-D053-4602-9589-0F17A94EF3E7}"/>
    <cellStyle name="20% - Accent1 2 2 2 3 3" xfId="5334" xr:uid="{00000000-0005-0000-0000-00000C000000}"/>
    <cellStyle name="20% - Accent1 2 2 2 3 3 2" xfId="13784" xr:uid="{64822323-C648-4ABE-A04E-B72A16BE7CF2}"/>
    <cellStyle name="20% - Accent1 2 2 2 3 4" xfId="9566" xr:uid="{CA6B7B18-D2DB-49E6-9D72-0F4F9C78EA2C}"/>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2C96206A-3F5B-441E-9B13-D309C69947FA}"/>
    <cellStyle name="20% - Accent1 2 2 2 4 2 3" xfId="12124" xr:uid="{40042079-4CCF-4BF6-8BC0-90E8BA1FD06E}"/>
    <cellStyle name="20% - Accent1 2 2 2 4 3" xfId="5747" xr:uid="{00000000-0005-0000-0000-000010000000}"/>
    <cellStyle name="20% - Accent1 2 2 2 4 3 2" xfId="14197" xr:uid="{300CD18A-BC3C-4C3C-A076-D1097761F353}"/>
    <cellStyle name="20% - Accent1 2 2 2 4 4" xfId="9979" xr:uid="{043ED6C3-4D18-4A57-BECD-7CE5E6E92E78}"/>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54B17EAC-6876-4CB3-94C9-3208767CAAAA}"/>
    <cellStyle name="20% - Accent1 2 2 2 5 2 3" xfId="12537" xr:uid="{9E992D09-0E3E-40CA-88E0-7D59C08B611F}"/>
    <cellStyle name="20% - Accent1 2 2 2 5 3" xfId="6160" xr:uid="{00000000-0005-0000-0000-000014000000}"/>
    <cellStyle name="20% - Accent1 2 2 2 5 3 2" xfId="14610" xr:uid="{8F3C7533-DD9B-4ED6-B918-CDDDA96C6AE6}"/>
    <cellStyle name="20% - Accent1 2 2 2 5 4" xfId="10392" xr:uid="{BC1013E7-80D8-450A-A824-926BF931E44A}"/>
    <cellStyle name="20% - Accent1 2 2 2 6" xfId="2267" xr:uid="{00000000-0005-0000-0000-000015000000}"/>
    <cellStyle name="20% - Accent1 2 2 2 6 2" xfId="6573" xr:uid="{00000000-0005-0000-0000-000016000000}"/>
    <cellStyle name="20% - Accent1 2 2 2 6 2 2" xfId="15023" xr:uid="{75B2C43E-8480-4836-8E42-BBAEAF3C8390}"/>
    <cellStyle name="20% - Accent1 2 2 2 6 3" xfId="10805" xr:uid="{E205B0D5-FFE8-435A-B0E8-1EFCBB7F3D78}"/>
    <cellStyle name="20% - Accent1 2 2 2 7" xfId="4507" xr:uid="{00000000-0005-0000-0000-000017000000}"/>
    <cellStyle name="20% - Accent1 2 2 2 7 2" xfId="12957" xr:uid="{EC5CAA84-C95A-40FA-B144-518FBBAE47DA}"/>
    <cellStyle name="20% - Accent1 2 2 2 8" xfId="8739" xr:uid="{2A35A197-543B-43AD-B769-E288631B445E}"/>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B7A0E28B-C400-4435-99BA-AA75336403C5}"/>
    <cellStyle name="20% - Accent1 2 2 3 2 3" xfId="11297" xr:uid="{3924DBDA-E170-4756-B13B-434D2AC99FDB}"/>
    <cellStyle name="20% - Accent1 2 2 3 3" xfId="4920" xr:uid="{00000000-0005-0000-0000-00001B000000}"/>
    <cellStyle name="20% - Accent1 2 2 3 3 2" xfId="13370" xr:uid="{98B91C00-B0F5-47F1-83F4-B0A2683BF51D}"/>
    <cellStyle name="20% - Accent1 2 2 3 4" xfId="9152" xr:uid="{B7DDB757-E776-48F1-9DA7-D4D7D19B5880}"/>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C501F60A-6B2A-4AC2-82F3-E41DA9E4F67C}"/>
    <cellStyle name="20% - Accent1 2 2 4 2 3" xfId="11710" xr:uid="{075F2A8B-C349-48B2-B1A4-C048F4CBB4FD}"/>
    <cellStyle name="20% - Accent1 2 2 4 3" xfId="5333" xr:uid="{00000000-0005-0000-0000-00001F000000}"/>
    <cellStyle name="20% - Accent1 2 2 4 3 2" xfId="13783" xr:uid="{A72681FE-26AA-4E7F-B55C-DA0C2D766B35}"/>
    <cellStyle name="20% - Accent1 2 2 4 4" xfId="9565" xr:uid="{F8685BAE-958F-4FB5-80DA-FCF1A838E816}"/>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F5A7B548-E80B-4B14-A1D5-DE58937333C2}"/>
    <cellStyle name="20% - Accent1 2 2 5 2 3" xfId="12123" xr:uid="{7351462A-D456-4A37-B956-7666921E81A3}"/>
    <cellStyle name="20% - Accent1 2 2 5 3" xfId="5746" xr:uid="{00000000-0005-0000-0000-000023000000}"/>
    <cellStyle name="20% - Accent1 2 2 5 3 2" xfId="14196" xr:uid="{E8FCBF0D-73E4-4326-8918-2F628FE55E1F}"/>
    <cellStyle name="20% - Accent1 2 2 5 4" xfId="9978" xr:uid="{7D16D7FC-ACA4-478E-B886-C747CD117898}"/>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69CA5DB1-BBF2-4977-854D-55721193ED4D}"/>
    <cellStyle name="20% - Accent1 2 2 6 2 3" xfId="12536" xr:uid="{057C9C7E-AC34-4641-AAFB-7F780BCBBDB8}"/>
    <cellStyle name="20% - Accent1 2 2 6 3" xfId="6159" xr:uid="{00000000-0005-0000-0000-000027000000}"/>
    <cellStyle name="20% - Accent1 2 2 6 3 2" xfId="14609" xr:uid="{D46600C6-B0C4-495D-B1A1-9664ACFC1542}"/>
    <cellStyle name="20% - Accent1 2 2 6 4" xfId="10391" xr:uid="{82B24821-CBE1-4222-8A2D-C948F14D6541}"/>
    <cellStyle name="20% - Accent1 2 2 7" xfId="2266" xr:uid="{00000000-0005-0000-0000-000028000000}"/>
    <cellStyle name="20% - Accent1 2 2 7 2" xfId="6572" xr:uid="{00000000-0005-0000-0000-000029000000}"/>
    <cellStyle name="20% - Accent1 2 2 7 2 2" xfId="15022" xr:uid="{72B898F0-F8C1-4F92-B23A-50F47835E983}"/>
    <cellStyle name="20% - Accent1 2 2 7 3" xfId="10804" xr:uid="{1325AACD-7828-480D-A4E0-70C071D92B2D}"/>
    <cellStyle name="20% - Accent1 2 2 8" xfId="4506" xr:uid="{00000000-0005-0000-0000-00002A000000}"/>
    <cellStyle name="20% - Accent1 2 2 8 2" xfId="12956" xr:uid="{5A8D8444-AAAC-4ADC-9E16-547DA9CCB04E}"/>
    <cellStyle name="20% - Accent1 2 2 9" xfId="8738" xr:uid="{ED280CEA-0FFD-4345-97B1-BCCC9BC43E1B}"/>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01BB2B6A-948E-433E-B58E-E9F41CA3AAC1}"/>
    <cellStyle name="20% - Accent1 2 3 2 2 3" xfId="11299" xr:uid="{AA64898F-3A5C-450E-94FE-763A127BAC90}"/>
    <cellStyle name="20% - Accent1 2 3 2 3" xfId="4922" xr:uid="{00000000-0005-0000-0000-00002F000000}"/>
    <cellStyle name="20% - Accent1 2 3 2 3 2" xfId="13372" xr:uid="{BD1E9C76-02A7-49B1-92C1-DBED156FDA79}"/>
    <cellStyle name="20% - Accent1 2 3 2 4" xfId="9154" xr:uid="{0BE50943-5968-4A02-90E7-1C1F29EFEBA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8089A87C-B7E2-414B-A79C-8CA6AC8C3440}"/>
    <cellStyle name="20% - Accent1 2 3 3 2 3" xfId="11712" xr:uid="{55301449-394B-4460-8A98-8D7FDD542B69}"/>
    <cellStyle name="20% - Accent1 2 3 3 3" xfId="5335" xr:uid="{00000000-0005-0000-0000-000033000000}"/>
    <cellStyle name="20% - Accent1 2 3 3 3 2" xfId="13785" xr:uid="{14043488-2E36-48AC-97E7-0B1577EF5A38}"/>
    <cellStyle name="20% - Accent1 2 3 3 4" xfId="9567" xr:uid="{216B5F00-C47B-4A36-B40C-84B740AFC8E8}"/>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E10EBEA1-505D-4AC9-9173-DABA42DAE96E}"/>
    <cellStyle name="20% - Accent1 2 3 4 2 3" xfId="12125" xr:uid="{888561F8-BE0E-4756-94FB-9EB0034FBD5D}"/>
    <cellStyle name="20% - Accent1 2 3 4 3" xfId="5748" xr:uid="{00000000-0005-0000-0000-000037000000}"/>
    <cellStyle name="20% - Accent1 2 3 4 3 2" xfId="14198" xr:uid="{DE5FD940-E62C-4A70-B85F-F0F27EEB0763}"/>
    <cellStyle name="20% - Accent1 2 3 4 4" xfId="9980" xr:uid="{2E2727B6-8719-4627-93B9-5D7EF7EEBAAB}"/>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15DB908F-0D5F-4D3F-B8E1-ABFCEF4B3E1C}"/>
    <cellStyle name="20% - Accent1 2 3 5 2 3" xfId="12538" xr:uid="{DE8ED0AE-43BA-4871-BAA9-AACBF261C74F}"/>
    <cellStyle name="20% - Accent1 2 3 5 3" xfId="6161" xr:uid="{00000000-0005-0000-0000-00003B000000}"/>
    <cellStyle name="20% - Accent1 2 3 5 3 2" xfId="14611" xr:uid="{6A121E07-C8B8-4800-9D06-34B9DB914657}"/>
    <cellStyle name="20% - Accent1 2 3 5 4" xfId="10393" xr:uid="{EF477446-5967-4A95-BDE2-8F94C46058DE}"/>
    <cellStyle name="20% - Accent1 2 3 6" xfId="2268" xr:uid="{00000000-0005-0000-0000-00003C000000}"/>
    <cellStyle name="20% - Accent1 2 3 6 2" xfId="6574" xr:uid="{00000000-0005-0000-0000-00003D000000}"/>
    <cellStyle name="20% - Accent1 2 3 6 2 2" xfId="15024" xr:uid="{DCF7B94A-162E-42F2-8C71-ADC8C0804DE7}"/>
    <cellStyle name="20% - Accent1 2 3 6 3" xfId="10806" xr:uid="{74225D1A-523D-4D2C-9D3A-480653172680}"/>
    <cellStyle name="20% - Accent1 2 3 7" xfId="4508" xr:uid="{00000000-0005-0000-0000-00003E000000}"/>
    <cellStyle name="20% - Accent1 2 3 7 2" xfId="12958" xr:uid="{1DCD896B-F21E-4AA6-95E7-2E322C4158E2}"/>
    <cellStyle name="20% - Accent1 2 3 8" xfId="8740" xr:uid="{6A5FA16C-F7B0-45A5-A267-A4F7531DFDE1}"/>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AB6F44B5-B920-46DD-885C-A19B40E3ED2F}"/>
    <cellStyle name="20% - Accent1 2 4 2 3" xfId="11296" xr:uid="{F2295782-D8DF-440F-A0AF-9DAC50B108EE}"/>
    <cellStyle name="20% - Accent1 2 4 3" xfId="4919" xr:uid="{00000000-0005-0000-0000-000042000000}"/>
    <cellStyle name="20% - Accent1 2 4 3 2" xfId="13369" xr:uid="{79F8BD0B-7F12-4675-89D4-FBA58018180D}"/>
    <cellStyle name="20% - Accent1 2 4 4" xfId="9151" xr:uid="{4D8CA3BE-4B36-4464-9A24-6EAB0A37EC8B}"/>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FCEB3AEB-6C9F-44DC-9E78-13B0EEA37132}"/>
    <cellStyle name="20% - Accent1 2 5 2 3" xfId="11709" xr:uid="{8F6E0C1A-2045-4EAC-A270-18E208EE5634}"/>
    <cellStyle name="20% - Accent1 2 5 3" xfId="5332" xr:uid="{00000000-0005-0000-0000-000046000000}"/>
    <cellStyle name="20% - Accent1 2 5 3 2" xfId="13782" xr:uid="{5F735DE4-1AD1-42B1-954E-9B2C202A7753}"/>
    <cellStyle name="20% - Accent1 2 5 4" xfId="9564" xr:uid="{33B8E6DE-4171-4B13-9AB8-61ACF0A0A605}"/>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E3AF9E4D-9B40-4924-9EE5-CC0F9951DDFC}"/>
    <cellStyle name="20% - Accent1 2 6 2 3" xfId="12122" xr:uid="{E8D3788A-9B9C-4686-9D06-2DB8CD1246FF}"/>
    <cellStyle name="20% - Accent1 2 6 3" xfId="5745" xr:uid="{00000000-0005-0000-0000-00004A000000}"/>
    <cellStyle name="20% - Accent1 2 6 3 2" xfId="14195" xr:uid="{27B6AE07-4D11-4FC6-ACD5-3492C797E98A}"/>
    <cellStyle name="20% - Accent1 2 6 4" xfId="9977" xr:uid="{5946F270-5B1C-42D8-B220-0806E0CB29AC}"/>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93449DE8-E4D4-4D98-AC0B-B80B68DB6CF8}"/>
    <cellStyle name="20% - Accent1 2 7 2 3" xfId="12535" xr:uid="{CD12CBB4-9110-4275-B1EB-05E8F396703B}"/>
    <cellStyle name="20% - Accent1 2 7 3" xfId="6158" xr:uid="{00000000-0005-0000-0000-00004E000000}"/>
    <cellStyle name="20% - Accent1 2 7 3 2" xfId="14608" xr:uid="{E0BEE64C-70A8-4922-B967-C4B0B5F4227D}"/>
    <cellStyle name="20% - Accent1 2 7 4" xfId="10390" xr:uid="{A2F2FE81-DBF9-4EE1-B52B-B2532C819C17}"/>
    <cellStyle name="20% - Accent1 2 8" xfId="2265" xr:uid="{00000000-0005-0000-0000-00004F000000}"/>
    <cellStyle name="20% - Accent1 2 8 2" xfId="6571" xr:uid="{00000000-0005-0000-0000-000050000000}"/>
    <cellStyle name="20% - Accent1 2 8 2 2" xfId="15021" xr:uid="{6A21D537-05E0-42F2-87D2-A1F3F1F6F112}"/>
    <cellStyle name="20% - Accent1 2 8 3" xfId="10803" xr:uid="{3865431A-EADF-48C3-BAFA-E8370E99E0A9}"/>
    <cellStyle name="20% - Accent1 2 9" xfId="4505" xr:uid="{00000000-0005-0000-0000-000051000000}"/>
    <cellStyle name="20% - Accent1 2 9 2" xfId="12955" xr:uid="{D6DA26CB-AADB-4F73-B2B1-95EB152EB06B}"/>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5D1C87EA-8F3E-459E-B34F-A03035C52391}"/>
    <cellStyle name="20% - Accent1 3 2 2 2 3" xfId="11301" xr:uid="{694E5D05-0B71-4ED7-9993-FF5B1C22A9D8}"/>
    <cellStyle name="20% - Accent1 3 2 2 3" xfId="4924" xr:uid="{00000000-0005-0000-0000-000057000000}"/>
    <cellStyle name="20% - Accent1 3 2 2 3 2" xfId="13374" xr:uid="{DC7183CC-EF1E-4D0D-931B-BD987B060CDF}"/>
    <cellStyle name="20% - Accent1 3 2 2 4" xfId="9156" xr:uid="{21B1813B-C608-4DE2-8325-75B1760EC481}"/>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628761AF-DB26-45C6-9DC1-81FC5ED8247D}"/>
    <cellStyle name="20% - Accent1 3 2 3 2 3" xfId="11714" xr:uid="{F4F0BD2C-5314-4FEE-AB15-468A565DB335}"/>
    <cellStyle name="20% - Accent1 3 2 3 3" xfId="5337" xr:uid="{00000000-0005-0000-0000-00005B000000}"/>
    <cellStyle name="20% - Accent1 3 2 3 3 2" xfId="13787" xr:uid="{8D3C095E-46AA-4531-9B07-FAB727BC9BBD}"/>
    <cellStyle name="20% - Accent1 3 2 3 4" xfId="9569" xr:uid="{5D2AC2F8-8FC4-4F78-A86E-371D3F37C5C2}"/>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73F5BD9D-8870-4A2F-B02D-A5F748BA19A0}"/>
    <cellStyle name="20% - Accent1 3 2 4 2 3" xfId="12127" xr:uid="{2F278426-93F9-4C0B-915E-A08BCC3C0ABD}"/>
    <cellStyle name="20% - Accent1 3 2 4 3" xfId="5750" xr:uid="{00000000-0005-0000-0000-00005F000000}"/>
    <cellStyle name="20% - Accent1 3 2 4 3 2" xfId="14200" xr:uid="{5DB955BA-7C11-465E-9C27-5F77398AFAF6}"/>
    <cellStyle name="20% - Accent1 3 2 4 4" xfId="9982" xr:uid="{9702F18F-9CD0-4C6C-91E4-40D77F6935EA}"/>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8FAF790B-0FE8-4DAC-8A3E-F2E78B940003}"/>
    <cellStyle name="20% - Accent1 3 2 5 2 3" xfId="12540" xr:uid="{01AD66C0-FAB9-4FF6-98CA-BCC37D264941}"/>
    <cellStyle name="20% - Accent1 3 2 5 3" xfId="6163" xr:uid="{00000000-0005-0000-0000-000063000000}"/>
    <cellStyle name="20% - Accent1 3 2 5 3 2" xfId="14613" xr:uid="{F5379E1E-5DC5-4733-BD5A-F3B84D0A456C}"/>
    <cellStyle name="20% - Accent1 3 2 5 4" xfId="10395" xr:uid="{25BB47B6-C924-46F9-86FA-958D07E8831F}"/>
    <cellStyle name="20% - Accent1 3 2 6" xfId="2270" xr:uid="{00000000-0005-0000-0000-000064000000}"/>
    <cellStyle name="20% - Accent1 3 2 6 2" xfId="6576" xr:uid="{00000000-0005-0000-0000-000065000000}"/>
    <cellStyle name="20% - Accent1 3 2 6 2 2" xfId="15026" xr:uid="{4921E7F5-6163-4A0B-8EC6-743180E04A32}"/>
    <cellStyle name="20% - Accent1 3 2 6 3" xfId="10808" xr:uid="{1D718F40-EA66-4D96-9E64-5E071F0C9A9A}"/>
    <cellStyle name="20% - Accent1 3 2 7" xfId="4510" xr:uid="{00000000-0005-0000-0000-000066000000}"/>
    <cellStyle name="20% - Accent1 3 2 7 2" xfId="12960" xr:uid="{A47A0E4D-C034-487A-A60D-C55D50F63E49}"/>
    <cellStyle name="20% - Accent1 3 2 8" xfId="8742" xr:uid="{F0C0FFEA-4067-4450-8CD5-2E1D9094844D}"/>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CC23D8EB-5B38-4B23-809C-EC1EF760B71C}"/>
    <cellStyle name="20% - Accent1 3 3 2 3" xfId="11300" xr:uid="{B2826CC4-54CF-4F3B-8683-F9065DF2E242}"/>
    <cellStyle name="20% - Accent1 3 3 3" xfId="4923" xr:uid="{00000000-0005-0000-0000-00006A000000}"/>
    <cellStyle name="20% - Accent1 3 3 3 2" xfId="13373" xr:uid="{D6D823D9-11D5-44D3-9D51-1CD197A9D4DD}"/>
    <cellStyle name="20% - Accent1 3 3 4" xfId="9155" xr:uid="{06005B9D-4390-4A20-B21A-76DC538C12AC}"/>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D9B78C96-12B9-44F0-9E74-105CFF86B47A}"/>
    <cellStyle name="20% - Accent1 3 4 2 3" xfId="11713" xr:uid="{D0D9F00F-BD50-4BD5-9C48-03870DA5D515}"/>
    <cellStyle name="20% - Accent1 3 4 3" xfId="5336" xr:uid="{00000000-0005-0000-0000-00006E000000}"/>
    <cellStyle name="20% - Accent1 3 4 3 2" xfId="13786" xr:uid="{05C30933-52C7-42C3-9CE2-BD20FFEB5A2B}"/>
    <cellStyle name="20% - Accent1 3 4 4" xfId="9568" xr:uid="{CD8D07B3-E344-4856-B13E-F2A3D8DF0399}"/>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2C3FCA7F-6CCF-490F-BD2E-6979898025F8}"/>
    <cellStyle name="20% - Accent1 3 5 2 3" xfId="12126" xr:uid="{85663B4F-5801-44D9-8656-CE831E6C9D69}"/>
    <cellStyle name="20% - Accent1 3 5 3" xfId="5749" xr:uid="{00000000-0005-0000-0000-000072000000}"/>
    <cellStyle name="20% - Accent1 3 5 3 2" xfId="14199" xr:uid="{6C3CC77A-E797-44AD-9AA7-8FE24F92589C}"/>
    <cellStyle name="20% - Accent1 3 5 4" xfId="9981" xr:uid="{080DC6F5-C80E-41CE-A608-71D47D571006}"/>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0CDC7125-67CD-4E9C-B9E4-2AF142B5A258}"/>
    <cellStyle name="20% - Accent1 3 6 2 3" xfId="12539" xr:uid="{52A40777-0C56-4E2F-A58B-8791303D3E9D}"/>
    <cellStyle name="20% - Accent1 3 6 3" xfId="6162" xr:uid="{00000000-0005-0000-0000-000076000000}"/>
    <cellStyle name="20% - Accent1 3 6 3 2" xfId="14612" xr:uid="{4DCBC71F-6B2F-46C0-B74C-B7B6C51EDEC9}"/>
    <cellStyle name="20% - Accent1 3 6 4" xfId="10394" xr:uid="{EB1AEEE3-77AD-439D-894B-803C3CA458E1}"/>
    <cellStyle name="20% - Accent1 3 7" xfId="2269" xr:uid="{00000000-0005-0000-0000-000077000000}"/>
    <cellStyle name="20% - Accent1 3 7 2" xfId="6575" xr:uid="{00000000-0005-0000-0000-000078000000}"/>
    <cellStyle name="20% - Accent1 3 7 2 2" xfId="15025" xr:uid="{4B1F1ACF-3742-446B-81DC-776DB11C7522}"/>
    <cellStyle name="20% - Accent1 3 7 3" xfId="10807" xr:uid="{8F0321FE-43CA-4F7F-87ED-C7CEF607A8C5}"/>
    <cellStyle name="20% - Accent1 3 8" xfId="4509" xr:uid="{00000000-0005-0000-0000-000079000000}"/>
    <cellStyle name="20% - Accent1 3 8 2" xfId="12959" xr:uid="{9F0641B7-D9FB-46D3-A64D-1D6F1CB4B1C9}"/>
    <cellStyle name="20% - Accent1 3 9" xfId="8741" xr:uid="{4445B284-3EB0-48E7-B3E5-02F964DBB5AC}"/>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312EE2FA-4CDA-4304-BB9A-DA2D20B90CE0}"/>
    <cellStyle name="20% - Accent1 4 2 2 3" xfId="11302" xr:uid="{62FCACAC-54BD-4E03-9E96-EC0D735DC8E5}"/>
    <cellStyle name="20% - Accent1 4 2 3" xfId="4925" xr:uid="{00000000-0005-0000-0000-00007E000000}"/>
    <cellStyle name="20% - Accent1 4 2 3 2" xfId="13375" xr:uid="{95A8111D-2848-4F35-BE53-8518A66B37B9}"/>
    <cellStyle name="20% - Accent1 4 2 4" xfId="9157" xr:uid="{3285D464-9156-41AB-94F9-B8AA77A80765}"/>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62711C9A-7A59-4EF5-A67E-5A927CE76D39}"/>
    <cellStyle name="20% - Accent1 4 3 2 3" xfId="11715" xr:uid="{91B56BEA-9F4E-48E2-A097-875F7F1CF9E3}"/>
    <cellStyle name="20% - Accent1 4 3 3" xfId="5338" xr:uid="{00000000-0005-0000-0000-000082000000}"/>
    <cellStyle name="20% - Accent1 4 3 3 2" xfId="13788" xr:uid="{31075951-FFA0-4DDA-9A90-65AEB04245E7}"/>
    <cellStyle name="20% - Accent1 4 3 4" xfId="9570" xr:uid="{69D8A013-7F79-4280-B0DE-00E09592ADAE}"/>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626FCE49-4098-4598-88C6-59A3D1B0DBC1}"/>
    <cellStyle name="20% - Accent1 4 4 2 3" xfId="12128" xr:uid="{CF2BEA0D-902B-4083-9C4F-A3A5739A0657}"/>
    <cellStyle name="20% - Accent1 4 4 3" xfId="5751" xr:uid="{00000000-0005-0000-0000-000086000000}"/>
    <cellStyle name="20% - Accent1 4 4 3 2" xfId="14201" xr:uid="{6AA1B7B2-A035-4B05-8E6D-4DAB1C6042C9}"/>
    <cellStyle name="20% - Accent1 4 4 4" xfId="9983" xr:uid="{6CD42EEC-4E16-47C5-B431-8E5AC3168E17}"/>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30E492A6-9E7D-4DB2-B376-E96FCB9C7D74}"/>
    <cellStyle name="20% - Accent1 4 5 2 3" xfId="12541" xr:uid="{F435EF67-5407-4529-B7A6-8E7189419D0B}"/>
    <cellStyle name="20% - Accent1 4 5 3" xfId="6164" xr:uid="{00000000-0005-0000-0000-00008A000000}"/>
    <cellStyle name="20% - Accent1 4 5 3 2" xfId="14614" xr:uid="{26779E7A-2FDC-4EBF-84A4-BC3338478D4B}"/>
    <cellStyle name="20% - Accent1 4 5 4" xfId="10396" xr:uid="{EE9EEDE7-A0CF-4B41-8136-2E3E189BDB21}"/>
    <cellStyle name="20% - Accent1 4 6" xfId="2271" xr:uid="{00000000-0005-0000-0000-00008B000000}"/>
    <cellStyle name="20% - Accent1 4 6 2" xfId="6577" xr:uid="{00000000-0005-0000-0000-00008C000000}"/>
    <cellStyle name="20% - Accent1 4 6 2 2" xfId="15027" xr:uid="{8B171E45-03B3-4B9D-9EF7-F10A61EC6544}"/>
    <cellStyle name="20% - Accent1 4 6 3" xfId="10809" xr:uid="{1B25B833-6377-4144-A27B-188585989289}"/>
    <cellStyle name="20% - Accent1 4 7" xfId="4511" xr:uid="{00000000-0005-0000-0000-00008D000000}"/>
    <cellStyle name="20% - Accent1 4 7 2" xfId="12961" xr:uid="{93F5520A-A5EE-4A52-AAFD-517408A25F2E}"/>
    <cellStyle name="20% - Accent1 4 8" xfId="8743" xr:uid="{0AEB887E-E97E-43BD-BAB9-C4DF4D49E75F}"/>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D2AA8066-EF7E-4D47-8B24-CC8AD1F39888}"/>
    <cellStyle name="20% - Accent1 5 2 3" xfId="11295" xr:uid="{E9000B4A-AB5F-4FE0-92B1-0DC6A5AA369B}"/>
    <cellStyle name="20% - Accent1 5 3" xfId="4918" xr:uid="{00000000-0005-0000-0000-000091000000}"/>
    <cellStyle name="20% - Accent1 5 3 2" xfId="13368" xr:uid="{2914E8C0-92DE-459D-BFFA-F9F0762C41FE}"/>
    <cellStyle name="20% - Accent1 5 4" xfId="9150" xr:uid="{E08844A7-FB23-475D-8638-8F1A38B77D29}"/>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B07DD64D-E240-4E59-A06A-43BC0708BC92}"/>
    <cellStyle name="20% - Accent1 6 2 3" xfId="11708" xr:uid="{E17E477F-D094-4B04-B6B2-695A327B8F92}"/>
    <cellStyle name="20% - Accent1 6 3" xfId="5331" xr:uid="{00000000-0005-0000-0000-000095000000}"/>
    <cellStyle name="20% - Accent1 6 3 2" xfId="13781" xr:uid="{78854571-F3DF-4B84-B3C0-59B5AC787AB6}"/>
    <cellStyle name="20% - Accent1 6 4" xfId="9563" xr:uid="{148B6FCC-C757-4930-BBA1-FE1B554ADFCB}"/>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8E0ADA10-5675-44D3-8386-1D6C94DEAAE4}"/>
    <cellStyle name="20% - Accent1 7 2 3" xfId="12121" xr:uid="{E0E2C722-B917-4456-BF70-D0A4ACF51F42}"/>
    <cellStyle name="20% - Accent1 7 3" xfId="5744" xr:uid="{00000000-0005-0000-0000-000099000000}"/>
    <cellStyle name="20% - Accent1 7 3 2" xfId="14194" xr:uid="{379E05C2-FB18-4983-BB8E-464553D0DD10}"/>
    <cellStyle name="20% - Accent1 7 4" xfId="9976" xr:uid="{36B472E4-5A9D-4DEB-B3A8-BEFE31FEEA59}"/>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73FCF9FE-304B-47D4-88D6-797ADF0A3701}"/>
    <cellStyle name="20% - Accent1 8 2 3" xfId="12534" xr:uid="{89856BF5-959D-475E-AABF-914B9D1B9C1C}"/>
    <cellStyle name="20% - Accent1 8 3" xfId="6157" xr:uid="{00000000-0005-0000-0000-00009D000000}"/>
    <cellStyle name="20% - Accent1 8 3 2" xfId="14607" xr:uid="{96C90985-7C92-4614-91A9-47EC7C481BC1}"/>
    <cellStyle name="20% - Accent1 8 4" xfId="10389" xr:uid="{E65BEA5E-C027-4672-BDFB-12787B012A1D}"/>
    <cellStyle name="20% - Accent1 9" xfId="2264" xr:uid="{00000000-0005-0000-0000-00009E000000}"/>
    <cellStyle name="20% - Accent1 9 2" xfId="6570" xr:uid="{00000000-0005-0000-0000-00009F000000}"/>
    <cellStyle name="20% - Accent1 9 2 2" xfId="15020" xr:uid="{75657CE1-981A-435E-85CE-0B3906133CDC}"/>
    <cellStyle name="20% - Accent1 9 3" xfId="10802" xr:uid="{704B523E-2184-4800-AECB-5F39D4497A80}"/>
    <cellStyle name="20% - Accent2" xfId="9" builtinId="34" customBuiltin="1"/>
    <cellStyle name="20% - Accent2 10" xfId="4512" xr:uid="{00000000-0005-0000-0000-0000A1000000}"/>
    <cellStyle name="20% - Accent2 10 2" xfId="12962" xr:uid="{81772168-0B4F-463F-9850-D81676F3EE19}"/>
    <cellStyle name="20% - Accent2 11" xfId="8744" xr:uid="{AD4C3908-F080-45F3-983F-4207D58EE3C5}"/>
    <cellStyle name="20% - Accent2 2" xfId="10" xr:uid="{00000000-0005-0000-0000-0000A2000000}"/>
    <cellStyle name="20% - Accent2 2 10" xfId="8745" xr:uid="{FA494C6B-E93B-4E38-A99F-61162AF657B6}"/>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AFB135BA-73A3-4D64-B6D8-5BA6A6322444}"/>
    <cellStyle name="20% - Accent2 2 2 2 2 2 3" xfId="11306" xr:uid="{4B513791-357B-4E80-8444-492ACB2F4617}"/>
    <cellStyle name="20% - Accent2 2 2 2 2 3" xfId="4929" xr:uid="{00000000-0005-0000-0000-0000A8000000}"/>
    <cellStyle name="20% - Accent2 2 2 2 2 3 2" xfId="13379" xr:uid="{F6D55EEF-BC9B-454D-9BEB-F8275FE8D257}"/>
    <cellStyle name="20% - Accent2 2 2 2 2 4" xfId="9161" xr:uid="{E40EDF53-828A-495F-A9DC-68A02A1DA428}"/>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72D6B49A-D234-49BA-988D-4D94565DC573}"/>
    <cellStyle name="20% - Accent2 2 2 2 3 2 3" xfId="11719" xr:uid="{91AAEADB-C88F-4574-A0C8-65B3AE71FC6C}"/>
    <cellStyle name="20% - Accent2 2 2 2 3 3" xfId="5342" xr:uid="{00000000-0005-0000-0000-0000AC000000}"/>
    <cellStyle name="20% - Accent2 2 2 2 3 3 2" xfId="13792" xr:uid="{F58E53DA-3246-4125-B4E6-DA72FAE53B38}"/>
    <cellStyle name="20% - Accent2 2 2 2 3 4" xfId="9574" xr:uid="{7DBB1CCC-B7FE-4F6A-8514-1F687D6754E3}"/>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D85F9D06-8800-429D-B185-F27D392250B2}"/>
    <cellStyle name="20% - Accent2 2 2 2 4 2 3" xfId="12132" xr:uid="{DEC1D272-70E5-41DC-B58D-87A531605A74}"/>
    <cellStyle name="20% - Accent2 2 2 2 4 3" xfId="5755" xr:uid="{00000000-0005-0000-0000-0000B0000000}"/>
    <cellStyle name="20% - Accent2 2 2 2 4 3 2" xfId="14205" xr:uid="{3261BF1E-DB40-4C46-9440-E04B02D23AA5}"/>
    <cellStyle name="20% - Accent2 2 2 2 4 4" xfId="9987" xr:uid="{0BFBEF30-530D-47E8-AF9F-C70E73CABF17}"/>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613B9D57-9A72-4B16-A65B-3CB28BE41C8E}"/>
    <cellStyle name="20% - Accent2 2 2 2 5 2 3" xfId="12545" xr:uid="{789843B6-DCC6-4C29-AAE6-98CD43BB62FA}"/>
    <cellStyle name="20% - Accent2 2 2 2 5 3" xfId="6168" xr:uid="{00000000-0005-0000-0000-0000B4000000}"/>
    <cellStyle name="20% - Accent2 2 2 2 5 3 2" xfId="14618" xr:uid="{873737BA-22ED-4F5C-B33A-7ACF59B5BF73}"/>
    <cellStyle name="20% - Accent2 2 2 2 5 4" xfId="10400" xr:uid="{3D0AD9CF-E876-4CDE-9A16-00B56C5AE4BE}"/>
    <cellStyle name="20% - Accent2 2 2 2 6" xfId="2275" xr:uid="{00000000-0005-0000-0000-0000B5000000}"/>
    <cellStyle name="20% - Accent2 2 2 2 6 2" xfId="6581" xr:uid="{00000000-0005-0000-0000-0000B6000000}"/>
    <cellStyle name="20% - Accent2 2 2 2 6 2 2" xfId="15031" xr:uid="{F132FA1B-F378-4FEB-920C-7D8C70FB889B}"/>
    <cellStyle name="20% - Accent2 2 2 2 6 3" xfId="10813" xr:uid="{E83A412E-6A00-4131-8F6E-A6A7C0434FB3}"/>
    <cellStyle name="20% - Accent2 2 2 2 7" xfId="4515" xr:uid="{00000000-0005-0000-0000-0000B7000000}"/>
    <cellStyle name="20% - Accent2 2 2 2 7 2" xfId="12965" xr:uid="{62600DA4-93D3-445C-B586-037208CB3576}"/>
    <cellStyle name="20% - Accent2 2 2 2 8" xfId="8747" xr:uid="{A39110C7-CB8F-4E26-BD7D-7C537BFFFE6D}"/>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8D513973-CDA7-4F2E-A53A-C3A1E7CB77C6}"/>
    <cellStyle name="20% - Accent2 2 2 3 2 3" xfId="11305" xr:uid="{2A4B14A7-F692-4E60-B7BE-A3A10DCCB512}"/>
    <cellStyle name="20% - Accent2 2 2 3 3" xfId="4928" xr:uid="{00000000-0005-0000-0000-0000BB000000}"/>
    <cellStyle name="20% - Accent2 2 2 3 3 2" xfId="13378" xr:uid="{4812159A-7DAF-49C1-9CE1-01D55F555852}"/>
    <cellStyle name="20% - Accent2 2 2 3 4" xfId="9160" xr:uid="{29B81E53-EFE3-4F5E-95DF-D933BB54D4F7}"/>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FDF3BC37-533F-4754-9B65-DFC8545C4268}"/>
    <cellStyle name="20% - Accent2 2 2 4 2 3" xfId="11718" xr:uid="{B9E88089-8010-426B-9BF5-5A745C7FE3A0}"/>
    <cellStyle name="20% - Accent2 2 2 4 3" xfId="5341" xr:uid="{00000000-0005-0000-0000-0000BF000000}"/>
    <cellStyle name="20% - Accent2 2 2 4 3 2" xfId="13791" xr:uid="{430F7A49-CD2E-44C4-96C8-A2A10BF039DC}"/>
    <cellStyle name="20% - Accent2 2 2 4 4" xfId="9573" xr:uid="{EEC6C6C2-29E6-48A1-A769-D8DC953DDD8B}"/>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018EB4C4-F463-4C61-83DD-AFFD0D34579E}"/>
    <cellStyle name="20% - Accent2 2 2 5 2 3" xfId="12131" xr:uid="{6746C96B-419F-4085-98FF-3003366F5875}"/>
    <cellStyle name="20% - Accent2 2 2 5 3" xfId="5754" xr:uid="{00000000-0005-0000-0000-0000C3000000}"/>
    <cellStyle name="20% - Accent2 2 2 5 3 2" xfId="14204" xr:uid="{24B57B21-9F68-4A34-BE91-9A63F1AFE50F}"/>
    <cellStyle name="20% - Accent2 2 2 5 4" xfId="9986" xr:uid="{C15B04C5-ACA0-4C42-A9E5-770778D0E062}"/>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D225DE3E-91BB-40A9-BD4F-5AD4BF2F1936}"/>
    <cellStyle name="20% - Accent2 2 2 6 2 3" xfId="12544" xr:uid="{DDBC77EA-C1DD-4D92-BD62-A6DA5B413492}"/>
    <cellStyle name="20% - Accent2 2 2 6 3" xfId="6167" xr:uid="{00000000-0005-0000-0000-0000C7000000}"/>
    <cellStyle name="20% - Accent2 2 2 6 3 2" xfId="14617" xr:uid="{4979E0F8-009C-454C-AB92-D9CA8A9AC712}"/>
    <cellStyle name="20% - Accent2 2 2 6 4" xfId="10399" xr:uid="{A9AC683D-EFA1-4F21-BAFE-EEAD10ABD98F}"/>
    <cellStyle name="20% - Accent2 2 2 7" xfId="2274" xr:uid="{00000000-0005-0000-0000-0000C8000000}"/>
    <cellStyle name="20% - Accent2 2 2 7 2" xfId="6580" xr:uid="{00000000-0005-0000-0000-0000C9000000}"/>
    <cellStyle name="20% - Accent2 2 2 7 2 2" xfId="15030" xr:uid="{DB2AB72A-E453-465B-A7B6-5DE5DEC3CC87}"/>
    <cellStyle name="20% - Accent2 2 2 7 3" xfId="10812" xr:uid="{C4DA2C99-A136-48B9-9336-EF54D357B60A}"/>
    <cellStyle name="20% - Accent2 2 2 8" xfId="4514" xr:uid="{00000000-0005-0000-0000-0000CA000000}"/>
    <cellStyle name="20% - Accent2 2 2 8 2" xfId="12964" xr:uid="{91159349-114C-4BE7-954D-7B831C833D5B}"/>
    <cellStyle name="20% - Accent2 2 2 9" xfId="8746" xr:uid="{7DDE903F-EB08-411A-9581-A7F54E4368F6}"/>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CF3AC8B3-A59B-4EFA-97FA-2D8E617915E4}"/>
    <cellStyle name="20% - Accent2 2 3 2 2 3" xfId="11307" xr:uid="{F1E4FA1B-3576-4A52-819A-232B8DA7ADBE}"/>
    <cellStyle name="20% - Accent2 2 3 2 3" xfId="4930" xr:uid="{00000000-0005-0000-0000-0000CF000000}"/>
    <cellStyle name="20% - Accent2 2 3 2 3 2" xfId="13380" xr:uid="{6FBA6B8E-0068-4C5B-853D-C8FAF5C934EE}"/>
    <cellStyle name="20% - Accent2 2 3 2 4" xfId="9162" xr:uid="{26FAD469-7E82-4698-A14F-8814F5DAC91A}"/>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5089BCF4-7B1D-436F-87A8-1D1B2BEE4C92}"/>
    <cellStyle name="20% - Accent2 2 3 3 2 3" xfId="11720" xr:uid="{2BADFA2E-9DB6-46B5-9F7B-61BC12845598}"/>
    <cellStyle name="20% - Accent2 2 3 3 3" xfId="5343" xr:uid="{00000000-0005-0000-0000-0000D3000000}"/>
    <cellStyle name="20% - Accent2 2 3 3 3 2" xfId="13793" xr:uid="{0A06CCDD-B387-4AC5-86F0-E4E3FEA48E21}"/>
    <cellStyle name="20% - Accent2 2 3 3 4" xfId="9575" xr:uid="{F797878F-9ABD-427E-BDE0-7E58C8B18D4B}"/>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F230D182-6F49-48BB-8943-BB88A6B97FCC}"/>
    <cellStyle name="20% - Accent2 2 3 4 2 3" xfId="12133" xr:uid="{97A45EA2-786E-4C1A-83C8-EA2F6C562877}"/>
    <cellStyle name="20% - Accent2 2 3 4 3" xfId="5756" xr:uid="{00000000-0005-0000-0000-0000D7000000}"/>
    <cellStyle name="20% - Accent2 2 3 4 3 2" xfId="14206" xr:uid="{42E830CF-95D9-4073-A571-96F9411AAE0E}"/>
    <cellStyle name="20% - Accent2 2 3 4 4" xfId="9988" xr:uid="{689E996D-764F-4AB7-8536-B218C2BAC02B}"/>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8CA20943-5F5C-4510-842D-CF0BB2E36E3D}"/>
    <cellStyle name="20% - Accent2 2 3 5 2 3" xfId="12546" xr:uid="{954AECFF-7E94-455C-95EB-35DB1F4D5B4D}"/>
    <cellStyle name="20% - Accent2 2 3 5 3" xfId="6169" xr:uid="{00000000-0005-0000-0000-0000DB000000}"/>
    <cellStyle name="20% - Accent2 2 3 5 3 2" xfId="14619" xr:uid="{20F6048A-F779-47CA-8912-87C58AE1B3C2}"/>
    <cellStyle name="20% - Accent2 2 3 5 4" xfId="10401" xr:uid="{4BA40359-1FEF-496F-8EE0-73BC1537DEBC}"/>
    <cellStyle name="20% - Accent2 2 3 6" xfId="2276" xr:uid="{00000000-0005-0000-0000-0000DC000000}"/>
    <cellStyle name="20% - Accent2 2 3 6 2" xfId="6582" xr:uid="{00000000-0005-0000-0000-0000DD000000}"/>
    <cellStyle name="20% - Accent2 2 3 6 2 2" xfId="15032" xr:uid="{C84ECC2C-57EB-4604-8AB7-A6386595939B}"/>
    <cellStyle name="20% - Accent2 2 3 6 3" xfId="10814" xr:uid="{8A61CB30-6D6D-41F5-977A-4BFE0F1D69BA}"/>
    <cellStyle name="20% - Accent2 2 3 7" xfId="4516" xr:uid="{00000000-0005-0000-0000-0000DE000000}"/>
    <cellStyle name="20% - Accent2 2 3 7 2" xfId="12966" xr:uid="{4C58FAC4-E8BB-43F5-A8C5-2187A6C8D4F3}"/>
    <cellStyle name="20% - Accent2 2 3 8" xfId="8748" xr:uid="{B19232D1-584A-49F3-9C9A-34FF28090BF7}"/>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32B1F3F4-FE47-4C91-BBAD-9181A8900C49}"/>
    <cellStyle name="20% - Accent2 2 4 2 3" xfId="11304" xr:uid="{522D4002-8ED6-45BE-954C-507187B84BE7}"/>
    <cellStyle name="20% - Accent2 2 4 3" xfId="4927" xr:uid="{00000000-0005-0000-0000-0000E2000000}"/>
    <cellStyle name="20% - Accent2 2 4 3 2" xfId="13377" xr:uid="{5E3D68A0-54B5-4009-BDFF-2E6701C61EFF}"/>
    <cellStyle name="20% - Accent2 2 4 4" xfId="9159" xr:uid="{0394B13E-77D3-4BF0-9551-80A3217471A4}"/>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07096789-F564-4F9C-A1EC-0058FB0610F0}"/>
    <cellStyle name="20% - Accent2 2 5 2 3" xfId="11717" xr:uid="{8FC4CCDA-5501-49D5-BF7D-0B3A0DB379EB}"/>
    <cellStyle name="20% - Accent2 2 5 3" xfId="5340" xr:uid="{00000000-0005-0000-0000-0000E6000000}"/>
    <cellStyle name="20% - Accent2 2 5 3 2" xfId="13790" xr:uid="{C6C1D87F-CD01-413E-948D-C864802377B6}"/>
    <cellStyle name="20% - Accent2 2 5 4" xfId="9572" xr:uid="{B454E305-B8C3-4060-9373-123AF343C4C6}"/>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38480B05-93C9-452A-B520-8055F8950BDB}"/>
    <cellStyle name="20% - Accent2 2 6 2 3" xfId="12130" xr:uid="{F87103DB-6E3D-46A2-88F9-B72E2C4320E7}"/>
    <cellStyle name="20% - Accent2 2 6 3" xfId="5753" xr:uid="{00000000-0005-0000-0000-0000EA000000}"/>
    <cellStyle name="20% - Accent2 2 6 3 2" xfId="14203" xr:uid="{71EBF50A-B613-4825-BB85-27B7669D9E72}"/>
    <cellStyle name="20% - Accent2 2 6 4" xfId="9985" xr:uid="{F7D3ACEF-1A73-43A1-9C22-BB03F6214262}"/>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2599E31F-CD11-4F35-9BA8-ACBA4AA93AD0}"/>
    <cellStyle name="20% - Accent2 2 7 2 3" xfId="12543" xr:uid="{FF5AD884-4A53-4767-9453-DF0EDE7D238C}"/>
    <cellStyle name="20% - Accent2 2 7 3" xfId="6166" xr:uid="{00000000-0005-0000-0000-0000EE000000}"/>
    <cellStyle name="20% - Accent2 2 7 3 2" xfId="14616" xr:uid="{7907E947-D742-4051-96DD-473BB8A73760}"/>
    <cellStyle name="20% - Accent2 2 7 4" xfId="10398" xr:uid="{8CDA007C-D0B5-4851-BF13-705438458134}"/>
    <cellStyle name="20% - Accent2 2 8" xfId="2273" xr:uid="{00000000-0005-0000-0000-0000EF000000}"/>
    <cellStyle name="20% - Accent2 2 8 2" xfId="6579" xr:uid="{00000000-0005-0000-0000-0000F0000000}"/>
    <cellStyle name="20% - Accent2 2 8 2 2" xfId="15029" xr:uid="{8210A334-C62D-4C67-8908-F10EA2FA7D1D}"/>
    <cellStyle name="20% - Accent2 2 8 3" xfId="10811" xr:uid="{CA4594F7-DDC2-4727-953C-67C6382D3B61}"/>
    <cellStyle name="20% - Accent2 2 9" xfId="4513" xr:uid="{00000000-0005-0000-0000-0000F1000000}"/>
    <cellStyle name="20% - Accent2 2 9 2" xfId="12963" xr:uid="{6683000E-D92B-427E-9417-B91AA0A939E8}"/>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5E7CB9C0-2EBB-437B-AC7F-F10D85FC323C}"/>
    <cellStyle name="20% - Accent2 3 2 2 2 3" xfId="11309" xr:uid="{240D909A-CB22-4EA1-BF9A-A0A334679922}"/>
    <cellStyle name="20% - Accent2 3 2 2 3" xfId="4932" xr:uid="{00000000-0005-0000-0000-0000F7000000}"/>
    <cellStyle name="20% - Accent2 3 2 2 3 2" xfId="13382" xr:uid="{7E2E1C0C-DD4D-4E4D-9FE6-BD1C8FF95E8D}"/>
    <cellStyle name="20% - Accent2 3 2 2 4" xfId="9164" xr:uid="{1282550B-8FE0-41C9-BB24-55271B0D6184}"/>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1EBBD7D1-04AE-4EC0-B0A7-ACBF997ADAAC}"/>
    <cellStyle name="20% - Accent2 3 2 3 2 3" xfId="11722" xr:uid="{231E0B5B-7870-4C89-B06B-54538CA012F1}"/>
    <cellStyle name="20% - Accent2 3 2 3 3" xfId="5345" xr:uid="{00000000-0005-0000-0000-0000FB000000}"/>
    <cellStyle name="20% - Accent2 3 2 3 3 2" xfId="13795" xr:uid="{AD263995-C982-4676-A03D-41F768A5AA19}"/>
    <cellStyle name="20% - Accent2 3 2 3 4" xfId="9577" xr:uid="{D2C092C7-AEBD-49A0-BCA9-EAF4FBEDFC94}"/>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3B9463B6-8623-407C-B761-9D56D421C74F}"/>
    <cellStyle name="20% - Accent2 3 2 4 2 3" xfId="12135" xr:uid="{9DB93C48-B313-4389-A8D8-29246E9B2181}"/>
    <cellStyle name="20% - Accent2 3 2 4 3" xfId="5758" xr:uid="{00000000-0005-0000-0000-0000FF000000}"/>
    <cellStyle name="20% - Accent2 3 2 4 3 2" xfId="14208" xr:uid="{3FDC56B1-6197-4164-9B20-2A10C376C97E}"/>
    <cellStyle name="20% - Accent2 3 2 4 4" xfId="9990" xr:uid="{CF22BD39-BCB5-4997-B430-0EBADA3B72F4}"/>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51695D5C-45A0-410E-ABC0-068B70432DF8}"/>
    <cellStyle name="20% - Accent2 3 2 5 2 3" xfId="12548" xr:uid="{19ADCC05-20CB-4C0F-A2F4-D05B070FEB50}"/>
    <cellStyle name="20% - Accent2 3 2 5 3" xfId="6171" xr:uid="{00000000-0005-0000-0000-000003010000}"/>
    <cellStyle name="20% - Accent2 3 2 5 3 2" xfId="14621" xr:uid="{22E72722-187A-446E-91BF-0F397461DC26}"/>
    <cellStyle name="20% - Accent2 3 2 5 4" xfId="10403" xr:uid="{9E1E1C5F-1BF8-4216-B99D-70080F1C5E5C}"/>
    <cellStyle name="20% - Accent2 3 2 6" xfId="2278" xr:uid="{00000000-0005-0000-0000-000004010000}"/>
    <cellStyle name="20% - Accent2 3 2 6 2" xfId="6584" xr:uid="{00000000-0005-0000-0000-000005010000}"/>
    <cellStyle name="20% - Accent2 3 2 6 2 2" xfId="15034" xr:uid="{F5B0081F-D583-4B87-9CE3-F35C17EF87AB}"/>
    <cellStyle name="20% - Accent2 3 2 6 3" xfId="10816" xr:uid="{600BD7F2-5830-4479-A819-E7E2EDB657F1}"/>
    <cellStyle name="20% - Accent2 3 2 7" xfId="4518" xr:uid="{00000000-0005-0000-0000-000006010000}"/>
    <cellStyle name="20% - Accent2 3 2 7 2" xfId="12968" xr:uid="{F8BA5217-9137-44A4-AC10-D55FF72CC1AB}"/>
    <cellStyle name="20% - Accent2 3 2 8" xfId="8750" xr:uid="{8BBCE0B0-37CE-4B5A-9EC8-925B5380798D}"/>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360CA498-0F47-4B53-A1FE-B5DFF701DD88}"/>
    <cellStyle name="20% - Accent2 3 3 2 3" xfId="11308" xr:uid="{722855D0-F5F4-4086-828B-0AD020BB2F0D}"/>
    <cellStyle name="20% - Accent2 3 3 3" xfId="4931" xr:uid="{00000000-0005-0000-0000-00000A010000}"/>
    <cellStyle name="20% - Accent2 3 3 3 2" xfId="13381" xr:uid="{300EF658-0D59-4A2C-8F36-BB22AC9C0C2D}"/>
    <cellStyle name="20% - Accent2 3 3 4" xfId="9163" xr:uid="{78BCBE99-9922-4505-8117-46AC6A3271DF}"/>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9DBA6E3E-D3D9-44B6-B380-911DFFB01ACA}"/>
    <cellStyle name="20% - Accent2 3 4 2 3" xfId="11721" xr:uid="{EED6ED33-7E6C-4CD0-814F-BAC9730922B6}"/>
    <cellStyle name="20% - Accent2 3 4 3" xfId="5344" xr:uid="{00000000-0005-0000-0000-00000E010000}"/>
    <cellStyle name="20% - Accent2 3 4 3 2" xfId="13794" xr:uid="{C9065C98-C003-4FF7-A4CF-E65BD1D31464}"/>
    <cellStyle name="20% - Accent2 3 4 4" xfId="9576" xr:uid="{FF3D7E02-6536-4D9B-A203-A522115D1B0A}"/>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A5FB9F77-748A-4BAA-AC7A-A07376DDEC19}"/>
    <cellStyle name="20% - Accent2 3 5 2 3" xfId="12134" xr:uid="{209DF79A-B78D-4671-8586-D9DDFD12C3AA}"/>
    <cellStyle name="20% - Accent2 3 5 3" xfId="5757" xr:uid="{00000000-0005-0000-0000-000012010000}"/>
    <cellStyle name="20% - Accent2 3 5 3 2" xfId="14207" xr:uid="{36528F04-29FC-4928-9103-61B0981326D5}"/>
    <cellStyle name="20% - Accent2 3 5 4" xfId="9989" xr:uid="{8D966775-ED65-42A8-AD9B-D6E48689AECD}"/>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E55989B3-5B15-4BBF-8C0F-C9B121BD8824}"/>
    <cellStyle name="20% - Accent2 3 6 2 3" xfId="12547" xr:uid="{5FB0FD02-788A-4812-AFD8-163D7612B3AF}"/>
    <cellStyle name="20% - Accent2 3 6 3" xfId="6170" xr:uid="{00000000-0005-0000-0000-000016010000}"/>
    <cellStyle name="20% - Accent2 3 6 3 2" xfId="14620" xr:uid="{168F4DA4-C13B-4DCD-9841-30E0B5DA73A7}"/>
    <cellStyle name="20% - Accent2 3 6 4" xfId="10402" xr:uid="{F4A96753-A251-4E13-AF1D-64496D93F86E}"/>
    <cellStyle name="20% - Accent2 3 7" xfId="2277" xr:uid="{00000000-0005-0000-0000-000017010000}"/>
    <cellStyle name="20% - Accent2 3 7 2" xfId="6583" xr:uid="{00000000-0005-0000-0000-000018010000}"/>
    <cellStyle name="20% - Accent2 3 7 2 2" xfId="15033" xr:uid="{2800698E-04FC-4B40-A7AE-0FD530997772}"/>
    <cellStyle name="20% - Accent2 3 7 3" xfId="10815" xr:uid="{AC3C839C-A2F6-473C-8F19-E9A5D9DA45BC}"/>
    <cellStyle name="20% - Accent2 3 8" xfId="4517" xr:uid="{00000000-0005-0000-0000-000019010000}"/>
    <cellStyle name="20% - Accent2 3 8 2" xfId="12967" xr:uid="{72E3F494-6430-428D-A0A2-B40985C79B24}"/>
    <cellStyle name="20% - Accent2 3 9" xfId="8749" xr:uid="{77C27BCB-77BF-4243-BE1E-185E03F652F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876556BB-5D5D-48DE-A343-2E5F6503882E}"/>
    <cellStyle name="20% - Accent2 4 2 2 3" xfId="11310" xr:uid="{D703026E-1753-4DE4-B0AC-57BD36FFCA4D}"/>
    <cellStyle name="20% - Accent2 4 2 3" xfId="4933" xr:uid="{00000000-0005-0000-0000-00001E010000}"/>
    <cellStyle name="20% - Accent2 4 2 3 2" xfId="13383" xr:uid="{105E6DD0-782D-4B1C-8F37-2D11A24F2D36}"/>
    <cellStyle name="20% - Accent2 4 2 4" xfId="9165" xr:uid="{7B8FF10A-BE31-4028-95E9-20D00BE624BD}"/>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13B4B59B-93C2-42F1-8E56-15795E08B442}"/>
    <cellStyle name="20% - Accent2 4 3 2 3" xfId="11723" xr:uid="{C3975109-6BF6-436F-B22D-0D33646991A2}"/>
    <cellStyle name="20% - Accent2 4 3 3" xfId="5346" xr:uid="{00000000-0005-0000-0000-000022010000}"/>
    <cellStyle name="20% - Accent2 4 3 3 2" xfId="13796" xr:uid="{6C5FCB07-F538-4CF3-B7AE-30F681D8FB1C}"/>
    <cellStyle name="20% - Accent2 4 3 4" xfId="9578" xr:uid="{3F20F358-CB68-4030-A262-1B6BA6CC4E90}"/>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FA5ABFF8-E12C-48E4-A9A4-03CEA79716B6}"/>
    <cellStyle name="20% - Accent2 4 4 2 3" xfId="12136" xr:uid="{A8686914-1A2F-4EE9-9CEF-5562D36E0A5B}"/>
    <cellStyle name="20% - Accent2 4 4 3" xfId="5759" xr:uid="{00000000-0005-0000-0000-000026010000}"/>
    <cellStyle name="20% - Accent2 4 4 3 2" xfId="14209" xr:uid="{DBDF13BE-45F0-4326-B43F-478E033D882D}"/>
    <cellStyle name="20% - Accent2 4 4 4" xfId="9991" xr:uid="{93939374-F0D1-4B93-AD7B-8FF90D90ABF1}"/>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FA279AD9-22C6-4166-9B05-72562DC9AE39}"/>
    <cellStyle name="20% - Accent2 4 5 2 3" xfId="12549" xr:uid="{B874092B-D465-4B5F-A5C9-AE312E443AFE}"/>
    <cellStyle name="20% - Accent2 4 5 3" xfId="6172" xr:uid="{00000000-0005-0000-0000-00002A010000}"/>
    <cellStyle name="20% - Accent2 4 5 3 2" xfId="14622" xr:uid="{88CB00C1-56DE-4295-9028-3186D61BBF44}"/>
    <cellStyle name="20% - Accent2 4 5 4" xfId="10404" xr:uid="{0213458F-1430-4C6E-ACB5-3312687C0A67}"/>
    <cellStyle name="20% - Accent2 4 6" xfId="2279" xr:uid="{00000000-0005-0000-0000-00002B010000}"/>
    <cellStyle name="20% - Accent2 4 6 2" xfId="6585" xr:uid="{00000000-0005-0000-0000-00002C010000}"/>
    <cellStyle name="20% - Accent2 4 6 2 2" xfId="15035" xr:uid="{D7210687-A0DC-4241-8487-1F0C08C37B7E}"/>
    <cellStyle name="20% - Accent2 4 6 3" xfId="10817" xr:uid="{9C5EB2F0-E206-45E7-8ABD-DF5A27ED800E}"/>
    <cellStyle name="20% - Accent2 4 7" xfId="4519" xr:uid="{00000000-0005-0000-0000-00002D010000}"/>
    <cellStyle name="20% - Accent2 4 7 2" xfId="12969" xr:uid="{21F809F3-04AE-4827-A38E-92DB9E221AE4}"/>
    <cellStyle name="20% - Accent2 4 8" xfId="8751" xr:uid="{AA4DB714-D29D-4A5C-BBC5-AD9E900D3124}"/>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B3EF01B9-7FE9-4A48-A4E0-6F97088DA5CC}"/>
    <cellStyle name="20% - Accent2 5 2 3" xfId="11303" xr:uid="{4DD2BED9-F617-45E5-8516-CE4053164E22}"/>
    <cellStyle name="20% - Accent2 5 3" xfId="4926" xr:uid="{00000000-0005-0000-0000-000031010000}"/>
    <cellStyle name="20% - Accent2 5 3 2" xfId="13376" xr:uid="{F5AAEABF-69EF-4DC8-ACDD-DF91C3C7D16D}"/>
    <cellStyle name="20% - Accent2 5 4" xfId="9158" xr:uid="{CD8D691E-A492-45AA-BA0B-63B920F224E2}"/>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721D33FA-C3D2-4BF3-A0CF-FF81E33DB645}"/>
    <cellStyle name="20% - Accent2 6 2 3" xfId="11716" xr:uid="{193D41A8-0183-45DC-BD96-54D2330C3F06}"/>
    <cellStyle name="20% - Accent2 6 3" xfId="5339" xr:uid="{00000000-0005-0000-0000-000035010000}"/>
    <cellStyle name="20% - Accent2 6 3 2" xfId="13789" xr:uid="{D33CD894-479E-420A-ABE8-7BFDBE94503C}"/>
    <cellStyle name="20% - Accent2 6 4" xfId="9571" xr:uid="{6F94A41E-B14A-49B2-8FAA-96BF928710B4}"/>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F0F09270-F4B1-4886-A9EC-2E0D170B2FF7}"/>
    <cellStyle name="20% - Accent2 7 2 3" xfId="12129" xr:uid="{D6C10A3D-17AE-4E8D-875B-7F0FA58D08C8}"/>
    <cellStyle name="20% - Accent2 7 3" xfId="5752" xr:uid="{00000000-0005-0000-0000-000039010000}"/>
    <cellStyle name="20% - Accent2 7 3 2" xfId="14202" xr:uid="{DB35926F-82A5-4AAA-A43F-7E32BB1E7BEE}"/>
    <cellStyle name="20% - Accent2 7 4" xfId="9984" xr:uid="{79179AC0-9A57-4156-97D3-A39884DC1FB1}"/>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FE605F89-E734-4289-8409-A144F71F88F7}"/>
    <cellStyle name="20% - Accent2 8 2 3" xfId="12542" xr:uid="{0C9C279F-CCFE-4BE9-9522-62A1EA4C1AE8}"/>
    <cellStyle name="20% - Accent2 8 3" xfId="6165" xr:uid="{00000000-0005-0000-0000-00003D010000}"/>
    <cellStyle name="20% - Accent2 8 3 2" xfId="14615" xr:uid="{1BF81049-12CC-4D69-BBDD-4273D75474DA}"/>
    <cellStyle name="20% - Accent2 8 4" xfId="10397" xr:uid="{9B936DF3-0520-4A39-A3AD-5F1E8DCCDF1E}"/>
    <cellStyle name="20% - Accent2 9" xfId="2272" xr:uid="{00000000-0005-0000-0000-00003E010000}"/>
    <cellStyle name="20% - Accent2 9 2" xfId="6578" xr:uid="{00000000-0005-0000-0000-00003F010000}"/>
    <cellStyle name="20% - Accent2 9 2 2" xfId="15028" xr:uid="{9A55813C-5B2E-416C-A219-BA34F7A0B1AC}"/>
    <cellStyle name="20% - Accent2 9 3" xfId="10810" xr:uid="{4F9979F1-2DBA-4648-AEF3-D1F574D542CE}"/>
    <cellStyle name="20% - Accent3" xfId="17" builtinId="38" customBuiltin="1"/>
    <cellStyle name="20% - Accent3 10" xfId="4520" xr:uid="{00000000-0005-0000-0000-000041010000}"/>
    <cellStyle name="20% - Accent3 10 2" xfId="12970" xr:uid="{8DE80958-2432-4363-8E02-4174583ACDD5}"/>
    <cellStyle name="20% - Accent3 11" xfId="8752" xr:uid="{B3C6D85E-F720-46B7-B839-81713872079D}"/>
    <cellStyle name="20% - Accent3 2" xfId="18" xr:uid="{00000000-0005-0000-0000-000042010000}"/>
    <cellStyle name="20% - Accent3 2 10" xfId="8753" xr:uid="{11926523-0E36-4327-A220-E79080DEE06F}"/>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6C39AD7B-AFB5-420B-9423-80338EF2057D}"/>
    <cellStyle name="20% - Accent3 2 2 2 2 2 3" xfId="11314" xr:uid="{92D85746-0641-4D91-A32E-B960D9E1005C}"/>
    <cellStyle name="20% - Accent3 2 2 2 2 3" xfId="4937" xr:uid="{00000000-0005-0000-0000-000048010000}"/>
    <cellStyle name="20% - Accent3 2 2 2 2 3 2" xfId="13387" xr:uid="{F0721B65-A119-4A9D-910D-B0853EB505F2}"/>
    <cellStyle name="20% - Accent3 2 2 2 2 4" xfId="9169" xr:uid="{D0CC4889-61E5-4748-84A9-7E952E886B67}"/>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A8EA33F5-8357-494F-A4C5-4E7FE93E34AD}"/>
    <cellStyle name="20% - Accent3 2 2 2 3 2 3" xfId="11727" xr:uid="{558C0C60-0DC4-4729-97A1-1BEDD4065683}"/>
    <cellStyle name="20% - Accent3 2 2 2 3 3" xfId="5350" xr:uid="{00000000-0005-0000-0000-00004C010000}"/>
    <cellStyle name="20% - Accent3 2 2 2 3 3 2" xfId="13800" xr:uid="{47D4AA53-448A-4838-9F72-1D4067EE2A47}"/>
    <cellStyle name="20% - Accent3 2 2 2 3 4" xfId="9582" xr:uid="{5332513F-327E-4583-BE2F-D666B5E18F26}"/>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9036B4AF-1670-49B6-BFF4-AF7AC72F7CAE}"/>
    <cellStyle name="20% - Accent3 2 2 2 4 2 3" xfId="12140" xr:uid="{FB5C30B1-3F28-41D1-9492-9B68BAD8062B}"/>
    <cellStyle name="20% - Accent3 2 2 2 4 3" xfId="5763" xr:uid="{00000000-0005-0000-0000-000050010000}"/>
    <cellStyle name="20% - Accent3 2 2 2 4 3 2" xfId="14213" xr:uid="{FD095683-CFD9-4BC6-BE21-9D40353D630A}"/>
    <cellStyle name="20% - Accent3 2 2 2 4 4" xfId="9995" xr:uid="{024875D6-0326-40DB-B933-068D1BDEBF78}"/>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FA408815-1EDD-4E33-A1AE-6C99EC67915C}"/>
    <cellStyle name="20% - Accent3 2 2 2 5 2 3" xfId="12553" xr:uid="{57379B33-75E3-406A-ABEA-5CD281B49AF2}"/>
    <cellStyle name="20% - Accent3 2 2 2 5 3" xfId="6176" xr:uid="{00000000-0005-0000-0000-000054010000}"/>
    <cellStyle name="20% - Accent3 2 2 2 5 3 2" xfId="14626" xr:uid="{40021AF7-44DD-4641-B7AF-37A3C0F2CE18}"/>
    <cellStyle name="20% - Accent3 2 2 2 5 4" xfId="10408" xr:uid="{A69A89FF-496E-462C-A885-A1B56E81BD6E}"/>
    <cellStyle name="20% - Accent3 2 2 2 6" xfId="2283" xr:uid="{00000000-0005-0000-0000-000055010000}"/>
    <cellStyle name="20% - Accent3 2 2 2 6 2" xfId="6589" xr:uid="{00000000-0005-0000-0000-000056010000}"/>
    <cellStyle name="20% - Accent3 2 2 2 6 2 2" xfId="15039" xr:uid="{7194E03D-C461-4A60-940C-93042BA62442}"/>
    <cellStyle name="20% - Accent3 2 2 2 6 3" xfId="10821" xr:uid="{59CFE52E-3498-4C48-A31F-705E24F541F4}"/>
    <cellStyle name="20% - Accent3 2 2 2 7" xfId="4523" xr:uid="{00000000-0005-0000-0000-000057010000}"/>
    <cellStyle name="20% - Accent3 2 2 2 7 2" xfId="12973" xr:uid="{B791997B-E7AF-4695-BD3F-B18B6886D94C}"/>
    <cellStyle name="20% - Accent3 2 2 2 8" xfId="8755" xr:uid="{F250DAD9-695A-41D6-B31A-C138BA0B0AE7}"/>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769491A3-E391-412F-A6C1-F0B6AFF30A2D}"/>
    <cellStyle name="20% - Accent3 2 2 3 2 3" xfId="11313" xr:uid="{7A3CC908-6AFC-410A-A163-DB54D2278E0E}"/>
    <cellStyle name="20% - Accent3 2 2 3 3" xfId="4936" xr:uid="{00000000-0005-0000-0000-00005B010000}"/>
    <cellStyle name="20% - Accent3 2 2 3 3 2" xfId="13386" xr:uid="{932386DD-EF19-4DC7-B1DF-A561E793712C}"/>
    <cellStyle name="20% - Accent3 2 2 3 4" xfId="9168" xr:uid="{F4FF4317-4F4E-430D-8F47-9990ED5346F3}"/>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26D7CCF0-B46A-4B3E-847E-AF353833C7F7}"/>
    <cellStyle name="20% - Accent3 2 2 4 2 3" xfId="11726" xr:uid="{B589B405-F2CD-44F5-AAE8-3123003F0565}"/>
    <cellStyle name="20% - Accent3 2 2 4 3" xfId="5349" xr:uid="{00000000-0005-0000-0000-00005F010000}"/>
    <cellStyle name="20% - Accent3 2 2 4 3 2" xfId="13799" xr:uid="{2BEFE43E-D4B9-4F2A-84A0-BDF5C62BE82B}"/>
    <cellStyle name="20% - Accent3 2 2 4 4" xfId="9581" xr:uid="{7989BCEF-945C-47B1-BCE6-4D2935855FDB}"/>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808AD0D0-28E7-4762-92A6-CB1C3D235BD8}"/>
    <cellStyle name="20% - Accent3 2 2 5 2 3" xfId="12139" xr:uid="{1CDC261E-1DC2-4957-9EBC-6AED483B755E}"/>
    <cellStyle name="20% - Accent3 2 2 5 3" xfId="5762" xr:uid="{00000000-0005-0000-0000-000063010000}"/>
    <cellStyle name="20% - Accent3 2 2 5 3 2" xfId="14212" xr:uid="{84A7FB9E-9A31-4639-8EF5-FA18BB094F0D}"/>
    <cellStyle name="20% - Accent3 2 2 5 4" xfId="9994" xr:uid="{75E4C511-6803-4990-A24F-EE66ECE7B09B}"/>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8B7561A9-62E6-495A-8C6D-FC38CAF0CC47}"/>
    <cellStyle name="20% - Accent3 2 2 6 2 3" xfId="12552" xr:uid="{46591E02-633F-4AAC-A0DA-D5F56E100130}"/>
    <cellStyle name="20% - Accent3 2 2 6 3" xfId="6175" xr:uid="{00000000-0005-0000-0000-000067010000}"/>
    <cellStyle name="20% - Accent3 2 2 6 3 2" xfId="14625" xr:uid="{ADB1D9F1-2C6E-4AAA-BDCC-EC766240C4DA}"/>
    <cellStyle name="20% - Accent3 2 2 6 4" xfId="10407" xr:uid="{0CEF79DB-9950-4B3C-B67B-E6BDB770E2AC}"/>
    <cellStyle name="20% - Accent3 2 2 7" xfId="2282" xr:uid="{00000000-0005-0000-0000-000068010000}"/>
    <cellStyle name="20% - Accent3 2 2 7 2" xfId="6588" xr:uid="{00000000-0005-0000-0000-000069010000}"/>
    <cellStyle name="20% - Accent3 2 2 7 2 2" xfId="15038" xr:uid="{453FD336-86DF-4F4B-BABC-0E5B4CA002C7}"/>
    <cellStyle name="20% - Accent3 2 2 7 3" xfId="10820" xr:uid="{18615FF9-D587-4256-9D75-06EF1702FCCC}"/>
    <cellStyle name="20% - Accent3 2 2 8" xfId="4522" xr:uid="{00000000-0005-0000-0000-00006A010000}"/>
    <cellStyle name="20% - Accent3 2 2 8 2" xfId="12972" xr:uid="{6A2CB8EE-0F09-4723-B018-B6897284FDDF}"/>
    <cellStyle name="20% - Accent3 2 2 9" xfId="8754" xr:uid="{416447A2-9929-4199-A4E0-593001724E4A}"/>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AF0FB2F1-39AB-444C-8766-5FFA2D862DE3}"/>
    <cellStyle name="20% - Accent3 2 3 2 2 3" xfId="11315" xr:uid="{54FB999D-41AE-4F2B-B2CE-F005A974D916}"/>
    <cellStyle name="20% - Accent3 2 3 2 3" xfId="4938" xr:uid="{00000000-0005-0000-0000-00006F010000}"/>
    <cellStyle name="20% - Accent3 2 3 2 3 2" xfId="13388" xr:uid="{E80269B7-28B6-4EB5-BDE4-591FAAA2A839}"/>
    <cellStyle name="20% - Accent3 2 3 2 4" xfId="9170" xr:uid="{2B654B9B-FA88-4C15-80BB-E58232C9FC10}"/>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623C22C2-980A-4E38-8A61-B2EFCA51D3B4}"/>
    <cellStyle name="20% - Accent3 2 3 3 2 3" xfId="11728" xr:uid="{9ABA0A41-FAEB-41B2-B2BB-8E9FF63D7EFB}"/>
    <cellStyle name="20% - Accent3 2 3 3 3" xfId="5351" xr:uid="{00000000-0005-0000-0000-000073010000}"/>
    <cellStyle name="20% - Accent3 2 3 3 3 2" xfId="13801" xr:uid="{97745CA6-BF7A-465C-9259-63485ADDF238}"/>
    <cellStyle name="20% - Accent3 2 3 3 4" xfId="9583" xr:uid="{D3C40D57-92BD-4DE1-BEF1-8E85A321B3E7}"/>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CA0082EC-17A3-43AC-9110-C0506F6ED0D8}"/>
    <cellStyle name="20% - Accent3 2 3 4 2 3" xfId="12141" xr:uid="{CE170DED-B66B-4BF0-81A9-ECE150F25644}"/>
    <cellStyle name="20% - Accent3 2 3 4 3" xfId="5764" xr:uid="{00000000-0005-0000-0000-000077010000}"/>
    <cellStyle name="20% - Accent3 2 3 4 3 2" xfId="14214" xr:uid="{345DE679-0F4C-4B78-83AE-3221131FD59B}"/>
    <cellStyle name="20% - Accent3 2 3 4 4" xfId="9996" xr:uid="{B257FCFE-FB15-4341-A2F6-3FF03C0F4BA6}"/>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DEC4C8D5-7203-48EA-80AD-B3DD0F317A6E}"/>
    <cellStyle name="20% - Accent3 2 3 5 2 3" xfId="12554" xr:uid="{1B034D09-68A7-4493-ABC6-3D65E6F5E2C7}"/>
    <cellStyle name="20% - Accent3 2 3 5 3" xfId="6177" xr:uid="{00000000-0005-0000-0000-00007B010000}"/>
    <cellStyle name="20% - Accent3 2 3 5 3 2" xfId="14627" xr:uid="{745DD898-CE05-461B-B716-8AD269320897}"/>
    <cellStyle name="20% - Accent3 2 3 5 4" xfId="10409" xr:uid="{BA22E8BB-3DF9-4496-8AF4-6428B155B21A}"/>
    <cellStyle name="20% - Accent3 2 3 6" xfId="2284" xr:uid="{00000000-0005-0000-0000-00007C010000}"/>
    <cellStyle name="20% - Accent3 2 3 6 2" xfId="6590" xr:uid="{00000000-0005-0000-0000-00007D010000}"/>
    <cellStyle name="20% - Accent3 2 3 6 2 2" xfId="15040" xr:uid="{297BDB28-ABD5-4512-9883-014D3D098AEA}"/>
    <cellStyle name="20% - Accent3 2 3 6 3" xfId="10822" xr:uid="{713BB230-9314-482B-BEB7-B2E7A586C940}"/>
    <cellStyle name="20% - Accent3 2 3 7" xfId="4524" xr:uid="{00000000-0005-0000-0000-00007E010000}"/>
    <cellStyle name="20% - Accent3 2 3 7 2" xfId="12974" xr:uid="{CF411C91-46DE-4203-AEF3-2782CCD6884E}"/>
    <cellStyle name="20% - Accent3 2 3 8" xfId="8756" xr:uid="{E73E4CE0-DEAB-4D19-B2C1-CA4CAB48E209}"/>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AADFAF30-CB04-49E4-B96A-0A567C817452}"/>
    <cellStyle name="20% - Accent3 2 4 2 3" xfId="11312" xr:uid="{44B5B284-3F35-40F9-BABE-7D93EDF0300A}"/>
    <cellStyle name="20% - Accent3 2 4 3" xfId="4935" xr:uid="{00000000-0005-0000-0000-000082010000}"/>
    <cellStyle name="20% - Accent3 2 4 3 2" xfId="13385" xr:uid="{3FA95452-9C2D-48AE-8873-2F6C2063E1FF}"/>
    <cellStyle name="20% - Accent3 2 4 4" xfId="9167" xr:uid="{7D90C743-90CC-4DEC-8F0E-74969C5384CA}"/>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6DD35810-0D3A-46F7-AE5B-87B1D9647987}"/>
    <cellStyle name="20% - Accent3 2 5 2 3" xfId="11725" xr:uid="{442139D4-94C2-494F-B8A5-0E8DFA6420D4}"/>
    <cellStyle name="20% - Accent3 2 5 3" xfId="5348" xr:uid="{00000000-0005-0000-0000-000086010000}"/>
    <cellStyle name="20% - Accent3 2 5 3 2" xfId="13798" xr:uid="{27E35CBD-3617-482F-BE11-1BDBCAB19BF4}"/>
    <cellStyle name="20% - Accent3 2 5 4" xfId="9580" xr:uid="{998E7AD9-8011-42D0-A179-01747EDE08DA}"/>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77C9CDE7-B46F-4642-B022-DFF24B8A12AB}"/>
    <cellStyle name="20% - Accent3 2 6 2 3" xfId="12138" xr:uid="{A0718FF1-3022-4D5C-A424-58AA1CA5D06F}"/>
    <cellStyle name="20% - Accent3 2 6 3" xfId="5761" xr:uid="{00000000-0005-0000-0000-00008A010000}"/>
    <cellStyle name="20% - Accent3 2 6 3 2" xfId="14211" xr:uid="{0898EE55-FFA9-4F81-A233-EFF6587B7AE5}"/>
    <cellStyle name="20% - Accent3 2 6 4" xfId="9993" xr:uid="{070C4C09-474B-4E97-AE32-D3A1E75B816C}"/>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201D330E-FA64-4F41-9F3C-BBEE1BF60D8B}"/>
    <cellStyle name="20% - Accent3 2 7 2 3" xfId="12551" xr:uid="{8C5019C8-8EFB-4FC0-8446-6BE6384F4515}"/>
    <cellStyle name="20% - Accent3 2 7 3" xfId="6174" xr:uid="{00000000-0005-0000-0000-00008E010000}"/>
    <cellStyle name="20% - Accent3 2 7 3 2" xfId="14624" xr:uid="{56342726-070D-4EA8-839D-E6F9D9E378AE}"/>
    <cellStyle name="20% - Accent3 2 7 4" xfId="10406" xr:uid="{6396567D-DAF7-4EB4-9512-E8E3C4112C38}"/>
    <cellStyle name="20% - Accent3 2 8" xfId="2281" xr:uid="{00000000-0005-0000-0000-00008F010000}"/>
    <cellStyle name="20% - Accent3 2 8 2" xfId="6587" xr:uid="{00000000-0005-0000-0000-000090010000}"/>
    <cellStyle name="20% - Accent3 2 8 2 2" xfId="15037" xr:uid="{1124964B-93F2-4D86-A149-8CF84B0651DE}"/>
    <cellStyle name="20% - Accent3 2 8 3" xfId="10819" xr:uid="{2F1250F7-E1B9-453C-B5D1-482B5B85CE86}"/>
    <cellStyle name="20% - Accent3 2 9" xfId="4521" xr:uid="{00000000-0005-0000-0000-000091010000}"/>
    <cellStyle name="20% - Accent3 2 9 2" xfId="12971" xr:uid="{FAC1438E-2964-46E6-BFBF-7E8D008BDA5C}"/>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6E16FD55-010B-44EF-825C-547A0C28CD46}"/>
    <cellStyle name="20% - Accent3 3 2 2 2 3" xfId="11317" xr:uid="{E66CE55F-2306-46A0-8279-0F6630F2BE8D}"/>
    <cellStyle name="20% - Accent3 3 2 2 3" xfId="4940" xr:uid="{00000000-0005-0000-0000-000097010000}"/>
    <cellStyle name="20% - Accent3 3 2 2 3 2" xfId="13390" xr:uid="{6BAF6778-26FB-497C-B65A-9C61B0AFEB86}"/>
    <cellStyle name="20% - Accent3 3 2 2 4" xfId="9172" xr:uid="{00330D35-940A-41D4-833A-342AEF9BF68D}"/>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48CCDC2E-5EE7-4BBA-B2F6-5265F9B46C53}"/>
    <cellStyle name="20% - Accent3 3 2 3 2 3" xfId="11730" xr:uid="{645FED1A-785E-4C67-8519-2825FC09A165}"/>
    <cellStyle name="20% - Accent3 3 2 3 3" xfId="5353" xr:uid="{00000000-0005-0000-0000-00009B010000}"/>
    <cellStyle name="20% - Accent3 3 2 3 3 2" xfId="13803" xr:uid="{8BDADDB9-424D-436C-8DF5-CB1BFBAEDBBE}"/>
    <cellStyle name="20% - Accent3 3 2 3 4" xfId="9585" xr:uid="{DFBD1220-B38E-4C54-9BEF-6E72C2952116}"/>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305C8678-578D-4431-B9D7-ED98EC48A17D}"/>
    <cellStyle name="20% - Accent3 3 2 4 2 3" xfId="12143" xr:uid="{C025D363-B5AD-4277-ACD9-12FCD6B063BC}"/>
    <cellStyle name="20% - Accent3 3 2 4 3" xfId="5766" xr:uid="{00000000-0005-0000-0000-00009F010000}"/>
    <cellStyle name="20% - Accent3 3 2 4 3 2" xfId="14216" xr:uid="{77C801B2-8E67-47C8-9E1D-751CD308778F}"/>
    <cellStyle name="20% - Accent3 3 2 4 4" xfId="9998" xr:uid="{AFF3E37D-1CC9-450B-9E38-F59B25CA15FC}"/>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08B4281E-13FA-4B3D-8AEB-DA67C0568235}"/>
    <cellStyle name="20% - Accent3 3 2 5 2 3" xfId="12556" xr:uid="{440F2E0F-78FF-4125-A88D-762EA96B8319}"/>
    <cellStyle name="20% - Accent3 3 2 5 3" xfId="6179" xr:uid="{00000000-0005-0000-0000-0000A3010000}"/>
    <cellStyle name="20% - Accent3 3 2 5 3 2" xfId="14629" xr:uid="{400B28B5-7EF3-4E53-AF62-C36B9B217C72}"/>
    <cellStyle name="20% - Accent3 3 2 5 4" xfId="10411" xr:uid="{A2C90641-F0B4-4AFF-8A69-0DBDA8A0061D}"/>
    <cellStyle name="20% - Accent3 3 2 6" xfId="2286" xr:uid="{00000000-0005-0000-0000-0000A4010000}"/>
    <cellStyle name="20% - Accent3 3 2 6 2" xfId="6592" xr:uid="{00000000-0005-0000-0000-0000A5010000}"/>
    <cellStyle name="20% - Accent3 3 2 6 2 2" xfId="15042" xr:uid="{22BD522C-46D4-4063-A7C6-C2275AE73D8F}"/>
    <cellStyle name="20% - Accent3 3 2 6 3" xfId="10824" xr:uid="{9604F881-1E90-40F3-9B8A-D39544BB484A}"/>
    <cellStyle name="20% - Accent3 3 2 7" xfId="4526" xr:uid="{00000000-0005-0000-0000-0000A6010000}"/>
    <cellStyle name="20% - Accent3 3 2 7 2" xfId="12976" xr:uid="{A81F792A-C44E-40A1-A722-2A8F28E9BDF2}"/>
    <cellStyle name="20% - Accent3 3 2 8" xfId="8758" xr:uid="{30416215-665F-4506-AB10-F4807910E85A}"/>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1558C2A8-A354-44E0-80F6-65E6329FDDCA}"/>
    <cellStyle name="20% - Accent3 3 3 2 3" xfId="11316" xr:uid="{946B5433-4ED2-486E-BD09-79D68FD4E29A}"/>
    <cellStyle name="20% - Accent3 3 3 3" xfId="4939" xr:uid="{00000000-0005-0000-0000-0000AA010000}"/>
    <cellStyle name="20% - Accent3 3 3 3 2" xfId="13389" xr:uid="{9B31B49D-462E-421A-B0AB-D4F42D4D98C0}"/>
    <cellStyle name="20% - Accent3 3 3 4" xfId="9171" xr:uid="{FE83C79F-B6B2-487F-B260-A5ACDA8BCCC0}"/>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21413994-DAB3-48E3-ACFF-BDD1E68DE769}"/>
    <cellStyle name="20% - Accent3 3 4 2 3" xfId="11729" xr:uid="{C62DBB7E-0687-4D86-AA89-DFD343FC3BF2}"/>
    <cellStyle name="20% - Accent3 3 4 3" xfId="5352" xr:uid="{00000000-0005-0000-0000-0000AE010000}"/>
    <cellStyle name="20% - Accent3 3 4 3 2" xfId="13802" xr:uid="{050BF81C-37CC-40D2-B625-D0FC8A763E6A}"/>
    <cellStyle name="20% - Accent3 3 4 4" xfId="9584" xr:uid="{1E188F28-D80F-4917-862D-200D84D2D001}"/>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A6C9F220-E475-4036-8420-F12449ECC0DA}"/>
    <cellStyle name="20% - Accent3 3 5 2 3" xfId="12142" xr:uid="{393D629A-D326-45AA-82F6-3274F48177E3}"/>
    <cellStyle name="20% - Accent3 3 5 3" xfId="5765" xr:uid="{00000000-0005-0000-0000-0000B2010000}"/>
    <cellStyle name="20% - Accent3 3 5 3 2" xfId="14215" xr:uid="{E855DD41-BB50-4C52-9C9F-D909E2DF877D}"/>
    <cellStyle name="20% - Accent3 3 5 4" xfId="9997" xr:uid="{D09AACCB-DE5D-4890-B22C-7216A3A188B5}"/>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5B9B14D5-E0E0-4122-8845-17EF0B007D1F}"/>
    <cellStyle name="20% - Accent3 3 6 2 3" xfId="12555" xr:uid="{2C113144-819F-4CAF-8D40-8762F1AD5A77}"/>
    <cellStyle name="20% - Accent3 3 6 3" xfId="6178" xr:uid="{00000000-0005-0000-0000-0000B6010000}"/>
    <cellStyle name="20% - Accent3 3 6 3 2" xfId="14628" xr:uid="{EB2CF01F-04F3-4246-A085-A7FE451305D1}"/>
    <cellStyle name="20% - Accent3 3 6 4" xfId="10410" xr:uid="{80FA08B1-D127-4618-B26F-A4C4D793FD3E}"/>
    <cellStyle name="20% - Accent3 3 7" xfId="2285" xr:uid="{00000000-0005-0000-0000-0000B7010000}"/>
    <cellStyle name="20% - Accent3 3 7 2" xfId="6591" xr:uid="{00000000-0005-0000-0000-0000B8010000}"/>
    <cellStyle name="20% - Accent3 3 7 2 2" xfId="15041" xr:uid="{5C470505-D56B-4E89-B75F-12DFD0A731DC}"/>
    <cellStyle name="20% - Accent3 3 7 3" xfId="10823" xr:uid="{BC95D7BB-C714-4864-B607-AE7D573CCF30}"/>
    <cellStyle name="20% - Accent3 3 8" xfId="4525" xr:uid="{00000000-0005-0000-0000-0000B9010000}"/>
    <cellStyle name="20% - Accent3 3 8 2" xfId="12975" xr:uid="{0E8BBF4E-84C8-4E4F-AE27-757866F3D0A9}"/>
    <cellStyle name="20% - Accent3 3 9" xfId="8757" xr:uid="{44E46F5A-6F37-4222-BDBD-6D0289DD398B}"/>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7799B8AF-154A-4FBB-AEAA-7110DC006E31}"/>
    <cellStyle name="20% - Accent3 4 2 2 3" xfId="11318" xr:uid="{6B928450-4E44-47CF-87E1-C71DF5A741A5}"/>
    <cellStyle name="20% - Accent3 4 2 3" xfId="4941" xr:uid="{00000000-0005-0000-0000-0000BE010000}"/>
    <cellStyle name="20% - Accent3 4 2 3 2" xfId="13391" xr:uid="{965F9312-830E-48E9-BB59-07E7B70D5A73}"/>
    <cellStyle name="20% - Accent3 4 2 4" xfId="9173" xr:uid="{C639335B-36C3-4D12-8F70-593A99297004}"/>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6E39C67F-F6F4-4FDC-B76F-3D026947CAC9}"/>
    <cellStyle name="20% - Accent3 4 3 2 3" xfId="11731" xr:uid="{34F73A22-C214-41F5-9A9E-C93FFF0753F2}"/>
    <cellStyle name="20% - Accent3 4 3 3" xfId="5354" xr:uid="{00000000-0005-0000-0000-0000C2010000}"/>
    <cellStyle name="20% - Accent3 4 3 3 2" xfId="13804" xr:uid="{F8C48E24-A4C5-40FD-B114-03A6B73436E4}"/>
    <cellStyle name="20% - Accent3 4 3 4" xfId="9586" xr:uid="{23282D93-2663-4791-97BB-9CE88CF45FA1}"/>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9C7C4CD1-4E2A-452A-8ACB-61F74B6639CA}"/>
    <cellStyle name="20% - Accent3 4 4 2 3" xfId="12144" xr:uid="{4F8A444F-27AE-4A98-AF91-053A83BF9C34}"/>
    <cellStyle name="20% - Accent3 4 4 3" xfId="5767" xr:uid="{00000000-0005-0000-0000-0000C6010000}"/>
    <cellStyle name="20% - Accent3 4 4 3 2" xfId="14217" xr:uid="{B5123A9A-EFD9-4AEF-B309-C71BA8F4F649}"/>
    <cellStyle name="20% - Accent3 4 4 4" xfId="9999" xr:uid="{E0A70582-69BA-466E-89BA-B19FD38FC3BA}"/>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6EA377E3-52A4-4E23-B0B5-8AB613AABF94}"/>
    <cellStyle name="20% - Accent3 4 5 2 3" xfId="12557" xr:uid="{53B79A24-B28E-4E01-A7DF-D681D7355B44}"/>
    <cellStyle name="20% - Accent3 4 5 3" xfId="6180" xr:uid="{00000000-0005-0000-0000-0000CA010000}"/>
    <cellStyle name="20% - Accent3 4 5 3 2" xfId="14630" xr:uid="{3657750E-46C2-4603-965C-89D501613B2A}"/>
    <cellStyle name="20% - Accent3 4 5 4" xfId="10412" xr:uid="{35E4F554-1446-493F-9E32-44CD1AAA5720}"/>
    <cellStyle name="20% - Accent3 4 6" xfId="2287" xr:uid="{00000000-0005-0000-0000-0000CB010000}"/>
    <cellStyle name="20% - Accent3 4 6 2" xfId="6593" xr:uid="{00000000-0005-0000-0000-0000CC010000}"/>
    <cellStyle name="20% - Accent3 4 6 2 2" xfId="15043" xr:uid="{B556AFF4-3E7B-44AE-883E-3377248A9C4C}"/>
    <cellStyle name="20% - Accent3 4 6 3" xfId="10825" xr:uid="{317362BC-A3FD-4B95-85B1-37009854EFDA}"/>
    <cellStyle name="20% - Accent3 4 7" xfId="4527" xr:uid="{00000000-0005-0000-0000-0000CD010000}"/>
    <cellStyle name="20% - Accent3 4 7 2" xfId="12977" xr:uid="{D6C7213C-BEA7-4E95-BC12-B75836098FA6}"/>
    <cellStyle name="20% - Accent3 4 8" xfId="8759" xr:uid="{0E96F10C-3FC9-49A7-8827-7727E0F57B42}"/>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04590616-7F47-477A-8394-B841A1968505}"/>
    <cellStyle name="20% - Accent3 5 2 3" xfId="11311" xr:uid="{C4D49227-4412-4720-AC15-64EAAABBF7E3}"/>
    <cellStyle name="20% - Accent3 5 3" xfId="4934" xr:uid="{00000000-0005-0000-0000-0000D1010000}"/>
    <cellStyle name="20% - Accent3 5 3 2" xfId="13384" xr:uid="{A5F60560-3417-474D-A114-6F73635CFE7E}"/>
    <cellStyle name="20% - Accent3 5 4" xfId="9166" xr:uid="{B188CD0F-626C-449E-B62B-B53E8CD86AE2}"/>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BC1D5A1B-9203-4F46-8205-6C5CA2367DEC}"/>
    <cellStyle name="20% - Accent3 6 2 3" xfId="11724" xr:uid="{7DC6A90A-7606-4B54-B718-30C75B69B2F8}"/>
    <cellStyle name="20% - Accent3 6 3" xfId="5347" xr:uid="{00000000-0005-0000-0000-0000D5010000}"/>
    <cellStyle name="20% - Accent3 6 3 2" xfId="13797" xr:uid="{FDA6A9DF-8D39-4107-8379-9A8FF85BA6F9}"/>
    <cellStyle name="20% - Accent3 6 4" xfId="9579" xr:uid="{42C1D038-76F0-4B02-A65C-65F7E1E4B1AF}"/>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9D9B479B-4F8F-449C-907F-616AF15B26AE}"/>
    <cellStyle name="20% - Accent3 7 2 3" xfId="12137" xr:uid="{35C5E241-4708-4784-A5CA-28F2638F70A6}"/>
    <cellStyle name="20% - Accent3 7 3" xfId="5760" xr:uid="{00000000-0005-0000-0000-0000D9010000}"/>
    <cellStyle name="20% - Accent3 7 3 2" xfId="14210" xr:uid="{2A4CE860-F855-4EAF-AF8F-99723BC95DC2}"/>
    <cellStyle name="20% - Accent3 7 4" xfId="9992" xr:uid="{E3044411-8C8A-4CC1-A8B9-48AA80F66868}"/>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AC773B28-DF84-4B1D-9695-72A7F3A12D0C}"/>
    <cellStyle name="20% - Accent3 8 2 3" xfId="12550" xr:uid="{11A260AA-0C87-4D6B-8615-D2F23CC326E6}"/>
    <cellStyle name="20% - Accent3 8 3" xfId="6173" xr:uid="{00000000-0005-0000-0000-0000DD010000}"/>
    <cellStyle name="20% - Accent3 8 3 2" xfId="14623" xr:uid="{F8DDE509-94A5-4BE0-872C-81130F8BD8F6}"/>
    <cellStyle name="20% - Accent3 8 4" xfId="10405" xr:uid="{742C2281-85FA-47FE-BF40-00B9CBD63806}"/>
    <cellStyle name="20% - Accent3 9" xfId="2280" xr:uid="{00000000-0005-0000-0000-0000DE010000}"/>
    <cellStyle name="20% - Accent3 9 2" xfId="6586" xr:uid="{00000000-0005-0000-0000-0000DF010000}"/>
    <cellStyle name="20% - Accent3 9 2 2" xfId="15036" xr:uid="{E27BF946-4311-4C2A-A31A-EDB96B1B9F01}"/>
    <cellStyle name="20% - Accent3 9 3" xfId="10818" xr:uid="{03AF98DF-8760-4A08-AF2D-0AC524F865CB}"/>
    <cellStyle name="20% - Accent4" xfId="25" builtinId="42" customBuiltin="1"/>
    <cellStyle name="20% - Accent4 10" xfId="4528" xr:uid="{00000000-0005-0000-0000-0000E1010000}"/>
    <cellStyle name="20% - Accent4 10 2" xfId="12978" xr:uid="{574042CF-9EC6-464C-8BBD-CA11E871C5D6}"/>
    <cellStyle name="20% - Accent4 11" xfId="8760" xr:uid="{6CBB2674-F0AB-400F-BC46-54619EC2EF29}"/>
    <cellStyle name="20% - Accent4 2" xfId="26" xr:uid="{00000000-0005-0000-0000-0000E2010000}"/>
    <cellStyle name="20% - Accent4 2 10" xfId="8761" xr:uid="{650FFF02-3289-4782-BC06-CD36DD7CE105}"/>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92CE9429-0131-4FE9-B042-B252DF4C6861}"/>
    <cellStyle name="20% - Accent4 2 2 2 2 2 3" xfId="11322" xr:uid="{0B3F0A1E-272B-40C2-98AC-89268758177D}"/>
    <cellStyle name="20% - Accent4 2 2 2 2 3" xfId="4945" xr:uid="{00000000-0005-0000-0000-0000E8010000}"/>
    <cellStyle name="20% - Accent4 2 2 2 2 3 2" xfId="13395" xr:uid="{8587504E-3240-42AE-8855-A32CB48E14B6}"/>
    <cellStyle name="20% - Accent4 2 2 2 2 4" xfId="9177" xr:uid="{583B8DDF-91F0-40FB-A965-22DC4EC87EB6}"/>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2DA5871A-7FD4-49DE-81A9-5BAD5A45E30B}"/>
    <cellStyle name="20% - Accent4 2 2 2 3 2 3" xfId="11735" xr:uid="{9BCC929D-E6D0-44D9-BAF6-E5B148A7DBD5}"/>
    <cellStyle name="20% - Accent4 2 2 2 3 3" xfId="5358" xr:uid="{00000000-0005-0000-0000-0000EC010000}"/>
    <cellStyle name="20% - Accent4 2 2 2 3 3 2" xfId="13808" xr:uid="{E6A5C802-9C82-42B2-80E1-53B24EB41CC6}"/>
    <cellStyle name="20% - Accent4 2 2 2 3 4" xfId="9590" xr:uid="{99B5EB6A-DBAC-4F8C-A0A5-BAA6F8192131}"/>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D5B14A8C-D3D0-42C1-B79B-CF496D1303D4}"/>
    <cellStyle name="20% - Accent4 2 2 2 4 2 3" xfId="12148" xr:uid="{1E5A9DDC-B304-47E6-B71D-628B5C2F2BD5}"/>
    <cellStyle name="20% - Accent4 2 2 2 4 3" xfId="5771" xr:uid="{00000000-0005-0000-0000-0000F0010000}"/>
    <cellStyle name="20% - Accent4 2 2 2 4 3 2" xfId="14221" xr:uid="{15E7666D-24AC-4D65-8C37-CEC9A9DE7871}"/>
    <cellStyle name="20% - Accent4 2 2 2 4 4" xfId="10003" xr:uid="{DD8BE98A-1591-497F-B1EF-EFF7948C5D28}"/>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80FBB359-0B29-4082-9E7A-AB8294FD8BAD}"/>
    <cellStyle name="20% - Accent4 2 2 2 5 2 3" xfId="12561" xr:uid="{2937856F-7AEE-4CC9-ADBD-C8C2E3953254}"/>
    <cellStyle name="20% - Accent4 2 2 2 5 3" xfId="6184" xr:uid="{00000000-0005-0000-0000-0000F4010000}"/>
    <cellStyle name="20% - Accent4 2 2 2 5 3 2" xfId="14634" xr:uid="{5B6F6459-D92F-4080-AE71-5E23B27B1B88}"/>
    <cellStyle name="20% - Accent4 2 2 2 5 4" xfId="10416" xr:uid="{417F26EB-A71B-4F7E-8559-59E3A0CC498B}"/>
    <cellStyle name="20% - Accent4 2 2 2 6" xfId="2291" xr:uid="{00000000-0005-0000-0000-0000F5010000}"/>
    <cellStyle name="20% - Accent4 2 2 2 6 2" xfId="6597" xr:uid="{00000000-0005-0000-0000-0000F6010000}"/>
    <cellStyle name="20% - Accent4 2 2 2 6 2 2" xfId="15047" xr:uid="{B3BAFABB-7617-49BB-BD89-D8242B889A59}"/>
    <cellStyle name="20% - Accent4 2 2 2 6 3" xfId="10829" xr:uid="{11FF7288-5443-4D55-92B3-9CD1E5A3C94F}"/>
    <cellStyle name="20% - Accent4 2 2 2 7" xfId="4531" xr:uid="{00000000-0005-0000-0000-0000F7010000}"/>
    <cellStyle name="20% - Accent4 2 2 2 7 2" xfId="12981" xr:uid="{C607599D-CCAA-4FD7-B333-AA4F6D7C4D48}"/>
    <cellStyle name="20% - Accent4 2 2 2 8" xfId="8763" xr:uid="{31DCA7AB-E31B-4AEB-92F6-8E6EAE35CD28}"/>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2B0FB2AA-8ABF-40D2-8AF3-E493964A2803}"/>
    <cellStyle name="20% - Accent4 2 2 3 2 3" xfId="11321" xr:uid="{0ED843C3-4C91-4C6C-863E-098CB86C5F1A}"/>
    <cellStyle name="20% - Accent4 2 2 3 3" xfId="4944" xr:uid="{00000000-0005-0000-0000-0000FB010000}"/>
    <cellStyle name="20% - Accent4 2 2 3 3 2" xfId="13394" xr:uid="{082DE7B7-A1F5-44F7-840F-C97A3ADE33E0}"/>
    <cellStyle name="20% - Accent4 2 2 3 4" xfId="9176" xr:uid="{694322F4-2269-4E3D-9EA2-FA950BE2A94C}"/>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E5A52F0A-EE55-4748-AF72-967CDA438136}"/>
    <cellStyle name="20% - Accent4 2 2 4 2 3" xfId="11734" xr:uid="{F8CB339A-1495-46AE-B422-B722C47A5D51}"/>
    <cellStyle name="20% - Accent4 2 2 4 3" xfId="5357" xr:uid="{00000000-0005-0000-0000-0000FF010000}"/>
    <cellStyle name="20% - Accent4 2 2 4 3 2" xfId="13807" xr:uid="{467E94CB-9250-4672-9097-0B958B6AB32F}"/>
    <cellStyle name="20% - Accent4 2 2 4 4" xfId="9589" xr:uid="{602B0DE9-3787-4F14-8880-E1DDC4B47E95}"/>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CC4A038E-F26E-4ED8-A600-510B1FA220F5}"/>
    <cellStyle name="20% - Accent4 2 2 5 2 3" xfId="12147" xr:uid="{769BD16C-C8C5-4F5E-9286-92FC81B30C1D}"/>
    <cellStyle name="20% - Accent4 2 2 5 3" xfId="5770" xr:uid="{00000000-0005-0000-0000-000003020000}"/>
    <cellStyle name="20% - Accent4 2 2 5 3 2" xfId="14220" xr:uid="{CA8461F5-DF1F-4216-A781-FCD0EEFA388A}"/>
    <cellStyle name="20% - Accent4 2 2 5 4" xfId="10002" xr:uid="{1D2F92FA-C089-4426-BE25-ED897468BAD5}"/>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4C2DF3AF-35B2-439E-857B-ADB6D1B57F2B}"/>
    <cellStyle name="20% - Accent4 2 2 6 2 3" xfId="12560" xr:uid="{B85E9BC6-A1A6-4019-9648-2CD81DDA7DCA}"/>
    <cellStyle name="20% - Accent4 2 2 6 3" xfId="6183" xr:uid="{00000000-0005-0000-0000-000007020000}"/>
    <cellStyle name="20% - Accent4 2 2 6 3 2" xfId="14633" xr:uid="{3C0B2078-7F8E-4100-A88A-DE5911FCC0AF}"/>
    <cellStyle name="20% - Accent4 2 2 6 4" xfId="10415" xr:uid="{6B7C89F0-42CE-4855-AE0F-F57E969CABEE}"/>
    <cellStyle name="20% - Accent4 2 2 7" xfId="2290" xr:uid="{00000000-0005-0000-0000-000008020000}"/>
    <cellStyle name="20% - Accent4 2 2 7 2" xfId="6596" xr:uid="{00000000-0005-0000-0000-000009020000}"/>
    <cellStyle name="20% - Accent4 2 2 7 2 2" xfId="15046" xr:uid="{F1B8A936-6116-4FD8-A1B8-A517A4D97EB8}"/>
    <cellStyle name="20% - Accent4 2 2 7 3" xfId="10828" xr:uid="{D799A2E1-291D-443C-8B0F-B3BEBDA2B218}"/>
    <cellStyle name="20% - Accent4 2 2 8" xfId="4530" xr:uid="{00000000-0005-0000-0000-00000A020000}"/>
    <cellStyle name="20% - Accent4 2 2 8 2" xfId="12980" xr:uid="{15E40C9B-C6E0-41E2-85ED-C8DC75E59CF6}"/>
    <cellStyle name="20% - Accent4 2 2 9" xfId="8762" xr:uid="{4973A876-C89E-4011-8A90-ECA2849C0976}"/>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25AB5EEA-EF9A-4797-B1B3-7DF3AED9E9F8}"/>
    <cellStyle name="20% - Accent4 2 3 2 2 3" xfId="11323" xr:uid="{CCDC7802-103D-466B-B286-C77B2783DC1D}"/>
    <cellStyle name="20% - Accent4 2 3 2 3" xfId="4946" xr:uid="{00000000-0005-0000-0000-00000F020000}"/>
    <cellStyle name="20% - Accent4 2 3 2 3 2" xfId="13396" xr:uid="{F37D6766-0719-4245-ADA7-783FE16A1EFD}"/>
    <cellStyle name="20% - Accent4 2 3 2 4" xfId="9178" xr:uid="{1F20DCF9-3BC3-4336-A3D6-9A1735A5B4F3}"/>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4EF77DB4-5E67-42DE-BBB6-6B5A0B6B67FC}"/>
    <cellStyle name="20% - Accent4 2 3 3 2 3" xfId="11736" xr:uid="{13085BE6-D4D6-4813-9D46-BE8075202E1E}"/>
    <cellStyle name="20% - Accent4 2 3 3 3" xfId="5359" xr:uid="{00000000-0005-0000-0000-000013020000}"/>
    <cellStyle name="20% - Accent4 2 3 3 3 2" xfId="13809" xr:uid="{7BE65F26-6718-4C72-936C-DB60942804F9}"/>
    <cellStyle name="20% - Accent4 2 3 3 4" xfId="9591" xr:uid="{73804393-A17E-4C15-BACD-AF75FB6A2A48}"/>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1112B34A-5AEF-4AC5-BBD7-C0FAE59C6D7B}"/>
    <cellStyle name="20% - Accent4 2 3 4 2 3" xfId="12149" xr:uid="{848E20EF-87FE-4CC6-B4AF-E3682EF77C2E}"/>
    <cellStyle name="20% - Accent4 2 3 4 3" xfId="5772" xr:uid="{00000000-0005-0000-0000-000017020000}"/>
    <cellStyle name="20% - Accent4 2 3 4 3 2" xfId="14222" xr:uid="{A45BE29F-CADE-406E-A9D7-716E94BFAC53}"/>
    <cellStyle name="20% - Accent4 2 3 4 4" xfId="10004" xr:uid="{1391065E-2D10-4FA2-97FA-36EEDDD48F61}"/>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62FE1D70-3AAC-488E-918A-A99104285E5E}"/>
    <cellStyle name="20% - Accent4 2 3 5 2 3" xfId="12562" xr:uid="{0AEC7BF4-179E-4903-B7E0-2602CEBBAC1B}"/>
    <cellStyle name="20% - Accent4 2 3 5 3" xfId="6185" xr:uid="{00000000-0005-0000-0000-00001B020000}"/>
    <cellStyle name="20% - Accent4 2 3 5 3 2" xfId="14635" xr:uid="{6F2EF165-0AD5-4DB2-959E-8DB6B469A0B1}"/>
    <cellStyle name="20% - Accent4 2 3 5 4" xfId="10417" xr:uid="{EDDFD539-91E0-46DD-AD50-2A4CFF728C02}"/>
    <cellStyle name="20% - Accent4 2 3 6" xfId="2292" xr:uid="{00000000-0005-0000-0000-00001C020000}"/>
    <cellStyle name="20% - Accent4 2 3 6 2" xfId="6598" xr:uid="{00000000-0005-0000-0000-00001D020000}"/>
    <cellStyle name="20% - Accent4 2 3 6 2 2" xfId="15048" xr:uid="{041F5274-DFF3-4C5F-9F78-2E48F65B07E3}"/>
    <cellStyle name="20% - Accent4 2 3 6 3" xfId="10830" xr:uid="{A1031597-95B7-45CC-9FEB-13CDE7DFD289}"/>
    <cellStyle name="20% - Accent4 2 3 7" xfId="4532" xr:uid="{00000000-0005-0000-0000-00001E020000}"/>
    <cellStyle name="20% - Accent4 2 3 7 2" xfId="12982" xr:uid="{1AFA68CA-8DB9-4995-A0AE-348A74CE4348}"/>
    <cellStyle name="20% - Accent4 2 3 8" xfId="8764" xr:uid="{19CA688F-6975-4D8D-811F-9F301ACE7EC9}"/>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92EA2E88-7D65-472E-A6F7-BEC8AF77258D}"/>
    <cellStyle name="20% - Accent4 2 4 2 3" xfId="11320" xr:uid="{6E6B458F-8389-4817-9E7B-A8E3C65105B6}"/>
    <cellStyle name="20% - Accent4 2 4 3" xfId="4943" xr:uid="{00000000-0005-0000-0000-000022020000}"/>
    <cellStyle name="20% - Accent4 2 4 3 2" xfId="13393" xr:uid="{98B342DF-19BA-4891-822B-BD953F0279FC}"/>
    <cellStyle name="20% - Accent4 2 4 4" xfId="9175" xr:uid="{31903793-A2D1-4EB9-9B68-803864D1CC32}"/>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53D0FA69-7FAD-4E10-A069-86AAF7F0AEF5}"/>
    <cellStyle name="20% - Accent4 2 5 2 3" xfId="11733" xr:uid="{756733EC-92F6-48F5-A6C4-C49183143CFF}"/>
    <cellStyle name="20% - Accent4 2 5 3" xfId="5356" xr:uid="{00000000-0005-0000-0000-000026020000}"/>
    <cellStyle name="20% - Accent4 2 5 3 2" xfId="13806" xr:uid="{5BEA8FB5-38DD-4878-8722-633C436E66D3}"/>
    <cellStyle name="20% - Accent4 2 5 4" xfId="9588" xr:uid="{24C28671-705C-45AA-A417-77338800FB6E}"/>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E6F6DDBE-43D8-4367-9ADD-FC277ADB48C8}"/>
    <cellStyle name="20% - Accent4 2 6 2 3" xfId="12146" xr:uid="{38273BE0-0318-45BC-B70F-2503EBEB6025}"/>
    <cellStyle name="20% - Accent4 2 6 3" xfId="5769" xr:uid="{00000000-0005-0000-0000-00002A020000}"/>
    <cellStyle name="20% - Accent4 2 6 3 2" xfId="14219" xr:uid="{E0226DA3-5EE7-45B2-90E8-F5F58242D73D}"/>
    <cellStyle name="20% - Accent4 2 6 4" xfId="10001" xr:uid="{8951167C-340D-47D4-BDEC-9ABBD8E69A18}"/>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B1B0417D-3F57-4846-B05D-145C17789D46}"/>
    <cellStyle name="20% - Accent4 2 7 2 3" xfId="12559" xr:uid="{FDCDADBE-6765-45BA-959B-C5148D5A4A27}"/>
    <cellStyle name="20% - Accent4 2 7 3" xfId="6182" xr:uid="{00000000-0005-0000-0000-00002E020000}"/>
    <cellStyle name="20% - Accent4 2 7 3 2" xfId="14632" xr:uid="{0D084606-225A-4B79-88A1-D3FF2BBE438F}"/>
    <cellStyle name="20% - Accent4 2 7 4" xfId="10414" xr:uid="{43A88BAA-C909-4881-A8FD-FB399DAF57E9}"/>
    <cellStyle name="20% - Accent4 2 8" xfId="2289" xr:uid="{00000000-0005-0000-0000-00002F020000}"/>
    <cellStyle name="20% - Accent4 2 8 2" xfId="6595" xr:uid="{00000000-0005-0000-0000-000030020000}"/>
    <cellStyle name="20% - Accent4 2 8 2 2" xfId="15045" xr:uid="{8A80A31C-238A-4E9F-8391-4DDC30EB30A5}"/>
    <cellStyle name="20% - Accent4 2 8 3" xfId="10827" xr:uid="{D9A680D1-DC4B-4BDE-BE77-EC6DBB2E74D4}"/>
    <cellStyle name="20% - Accent4 2 9" xfId="4529" xr:uid="{00000000-0005-0000-0000-000031020000}"/>
    <cellStyle name="20% - Accent4 2 9 2" xfId="12979" xr:uid="{9042B7C0-C5E9-49EA-B109-97870A7445AF}"/>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822827EB-894B-4E59-BC57-5D0F668D29DE}"/>
    <cellStyle name="20% - Accent4 3 2 2 2 3" xfId="11325" xr:uid="{511C1E4A-8189-4E1F-B67B-59B0E960A397}"/>
    <cellStyle name="20% - Accent4 3 2 2 3" xfId="4948" xr:uid="{00000000-0005-0000-0000-000037020000}"/>
    <cellStyle name="20% - Accent4 3 2 2 3 2" xfId="13398" xr:uid="{AD4C19E0-6197-4776-963E-120B35174ECE}"/>
    <cellStyle name="20% - Accent4 3 2 2 4" xfId="9180" xr:uid="{9D02CC38-46BA-40CC-8D8A-2C2E1A989C96}"/>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62535B1F-F630-4302-848B-B93E1E8F90BF}"/>
    <cellStyle name="20% - Accent4 3 2 3 2 3" xfId="11738" xr:uid="{16B76284-B9FE-46D9-B1FA-3392D176F4B4}"/>
    <cellStyle name="20% - Accent4 3 2 3 3" xfId="5361" xr:uid="{00000000-0005-0000-0000-00003B020000}"/>
    <cellStyle name="20% - Accent4 3 2 3 3 2" xfId="13811" xr:uid="{D25B356F-CC3D-4B4C-9096-B400EB9A9D90}"/>
    <cellStyle name="20% - Accent4 3 2 3 4" xfId="9593" xr:uid="{1E666DB7-BD28-4B10-A711-9039F6EB6241}"/>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09B54D82-A9C8-4826-A6A6-99534362DBA7}"/>
    <cellStyle name="20% - Accent4 3 2 4 2 3" xfId="12151" xr:uid="{B1EB1292-0AE7-49F1-BDA2-4DF82A9C14A1}"/>
    <cellStyle name="20% - Accent4 3 2 4 3" xfId="5774" xr:uid="{00000000-0005-0000-0000-00003F020000}"/>
    <cellStyle name="20% - Accent4 3 2 4 3 2" xfId="14224" xr:uid="{14C1F9CF-0265-406D-B17B-9A5F574307F7}"/>
    <cellStyle name="20% - Accent4 3 2 4 4" xfId="10006" xr:uid="{04F8E122-46D0-4581-930D-90EB9608BAD6}"/>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A5B48E54-2945-4815-A040-18B92000FF2A}"/>
    <cellStyle name="20% - Accent4 3 2 5 2 3" xfId="12564" xr:uid="{233C729E-1DE8-4AB2-AB88-6109327539CE}"/>
    <cellStyle name="20% - Accent4 3 2 5 3" xfId="6187" xr:uid="{00000000-0005-0000-0000-000043020000}"/>
    <cellStyle name="20% - Accent4 3 2 5 3 2" xfId="14637" xr:uid="{736D4ADA-4768-4C1E-A527-1D1A7E6BF2C3}"/>
    <cellStyle name="20% - Accent4 3 2 5 4" xfId="10419" xr:uid="{5FA1D7C2-2ECA-47B5-B443-337AA8666C91}"/>
    <cellStyle name="20% - Accent4 3 2 6" xfId="2294" xr:uid="{00000000-0005-0000-0000-000044020000}"/>
    <cellStyle name="20% - Accent4 3 2 6 2" xfId="6600" xr:uid="{00000000-0005-0000-0000-000045020000}"/>
    <cellStyle name="20% - Accent4 3 2 6 2 2" xfId="15050" xr:uid="{3513F21C-AA26-4B5D-BDCD-1261DD9B176C}"/>
    <cellStyle name="20% - Accent4 3 2 6 3" xfId="10832" xr:uid="{58D25D85-BA77-456B-A32F-9BF79E1C62C3}"/>
    <cellStyle name="20% - Accent4 3 2 7" xfId="4534" xr:uid="{00000000-0005-0000-0000-000046020000}"/>
    <cellStyle name="20% - Accent4 3 2 7 2" xfId="12984" xr:uid="{25F33DE9-09A1-475D-A042-B81BA67BA3A9}"/>
    <cellStyle name="20% - Accent4 3 2 8" xfId="8766" xr:uid="{CF1C346B-B407-4EFC-8931-0B7B13C07698}"/>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2309AA50-A873-4FD5-BBE6-7FCFF007A0DA}"/>
    <cellStyle name="20% - Accent4 3 3 2 3" xfId="11324" xr:uid="{013B751C-80E0-420E-9A2D-86A0C4DAF132}"/>
    <cellStyle name="20% - Accent4 3 3 3" xfId="4947" xr:uid="{00000000-0005-0000-0000-00004A020000}"/>
    <cellStyle name="20% - Accent4 3 3 3 2" xfId="13397" xr:uid="{170982E2-7805-4726-BA5F-C908D7C9CA76}"/>
    <cellStyle name="20% - Accent4 3 3 4" xfId="9179" xr:uid="{4D0CC44D-9321-4B4B-B6CF-750663890B2B}"/>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9195C4F0-6147-450B-B54E-81979E3D09BA}"/>
    <cellStyle name="20% - Accent4 3 4 2 3" xfId="11737" xr:uid="{59DB9D4B-2B62-403C-BBBE-4AC767F8B80D}"/>
    <cellStyle name="20% - Accent4 3 4 3" xfId="5360" xr:uid="{00000000-0005-0000-0000-00004E020000}"/>
    <cellStyle name="20% - Accent4 3 4 3 2" xfId="13810" xr:uid="{04C27EC8-155C-4AB0-AC7C-4023EAE13161}"/>
    <cellStyle name="20% - Accent4 3 4 4" xfId="9592" xr:uid="{C152947F-B654-4271-AB68-1CCE5DABD0B5}"/>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65233D27-F034-4114-8F4D-FB265A70A1A0}"/>
    <cellStyle name="20% - Accent4 3 5 2 3" xfId="12150" xr:uid="{3D158190-CFEC-47EB-8B1A-99D389241486}"/>
    <cellStyle name="20% - Accent4 3 5 3" xfId="5773" xr:uid="{00000000-0005-0000-0000-000052020000}"/>
    <cellStyle name="20% - Accent4 3 5 3 2" xfId="14223" xr:uid="{8B76B520-5603-47F7-9C21-AC1DA4AD158D}"/>
    <cellStyle name="20% - Accent4 3 5 4" xfId="10005" xr:uid="{8B418BF9-256A-4D76-90F0-F3CA8BE863B4}"/>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25110225-887F-484B-9CCB-991720F4DAEF}"/>
    <cellStyle name="20% - Accent4 3 6 2 3" xfId="12563" xr:uid="{EA1F6F0B-437A-41A7-851C-A44F1C1054A3}"/>
    <cellStyle name="20% - Accent4 3 6 3" xfId="6186" xr:uid="{00000000-0005-0000-0000-000056020000}"/>
    <cellStyle name="20% - Accent4 3 6 3 2" xfId="14636" xr:uid="{12E2CA77-2605-4A3C-8111-1728EC0A2F0A}"/>
    <cellStyle name="20% - Accent4 3 6 4" xfId="10418" xr:uid="{AA558F8C-D6D0-4D07-91F8-D41D1F3EC9C1}"/>
    <cellStyle name="20% - Accent4 3 7" xfId="2293" xr:uid="{00000000-0005-0000-0000-000057020000}"/>
    <cellStyle name="20% - Accent4 3 7 2" xfId="6599" xr:uid="{00000000-0005-0000-0000-000058020000}"/>
    <cellStyle name="20% - Accent4 3 7 2 2" xfId="15049" xr:uid="{6B622233-2D4C-4739-A22B-D29AD4DA2D00}"/>
    <cellStyle name="20% - Accent4 3 7 3" xfId="10831" xr:uid="{B685C947-F280-4D0D-9C89-C0B2BDEF6B83}"/>
    <cellStyle name="20% - Accent4 3 8" xfId="4533" xr:uid="{00000000-0005-0000-0000-000059020000}"/>
    <cellStyle name="20% - Accent4 3 8 2" xfId="12983" xr:uid="{91967F77-DC69-445E-A220-FDF83C647440}"/>
    <cellStyle name="20% - Accent4 3 9" xfId="8765" xr:uid="{0F78B03F-BCDD-4F91-B39A-CCDD0B5F3814}"/>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C8E412D1-2D5C-4388-BFFF-99CAD8367519}"/>
    <cellStyle name="20% - Accent4 4 2 2 3" xfId="11326" xr:uid="{FE7C19AC-F5BD-4472-B02A-5C639EEC4A0F}"/>
    <cellStyle name="20% - Accent4 4 2 3" xfId="4949" xr:uid="{00000000-0005-0000-0000-00005E020000}"/>
    <cellStyle name="20% - Accent4 4 2 3 2" xfId="13399" xr:uid="{1822915A-FB82-4D67-9A06-285FBE5F9E9A}"/>
    <cellStyle name="20% - Accent4 4 2 4" xfId="9181" xr:uid="{1FEFCC03-990F-4ADF-A6D3-4843516C1BD2}"/>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D1CF2EF1-4A92-4605-A17D-36902AE09D64}"/>
    <cellStyle name="20% - Accent4 4 3 2 3" xfId="11739" xr:uid="{51165571-07E7-4FAF-9816-46506B112B64}"/>
    <cellStyle name="20% - Accent4 4 3 3" xfId="5362" xr:uid="{00000000-0005-0000-0000-000062020000}"/>
    <cellStyle name="20% - Accent4 4 3 3 2" xfId="13812" xr:uid="{CFEBF123-02C4-4ED0-BC02-E5A314E0531E}"/>
    <cellStyle name="20% - Accent4 4 3 4" xfId="9594" xr:uid="{83F4B487-A8D1-4FCE-B5AD-A2232CFC7D03}"/>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817D3B78-A8B3-47CC-BB9A-C5C58A2E343E}"/>
    <cellStyle name="20% - Accent4 4 4 2 3" xfId="12152" xr:uid="{0DA26BB1-3945-4EE1-844B-0D5563637B30}"/>
    <cellStyle name="20% - Accent4 4 4 3" xfId="5775" xr:uid="{00000000-0005-0000-0000-000066020000}"/>
    <cellStyle name="20% - Accent4 4 4 3 2" xfId="14225" xr:uid="{BD973736-EA2D-4A81-BA55-BC08E55784D3}"/>
    <cellStyle name="20% - Accent4 4 4 4" xfId="10007" xr:uid="{B0B06379-DCE3-407B-9964-BFD46A6E2707}"/>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A93392B6-12B3-4582-88F1-0DE066AC73FC}"/>
    <cellStyle name="20% - Accent4 4 5 2 3" xfId="12565" xr:uid="{85EF5820-7A41-4119-8F49-178C8930FB8F}"/>
    <cellStyle name="20% - Accent4 4 5 3" xfId="6188" xr:uid="{00000000-0005-0000-0000-00006A020000}"/>
    <cellStyle name="20% - Accent4 4 5 3 2" xfId="14638" xr:uid="{DFF36CCD-CB28-411D-A631-FDCE444E8544}"/>
    <cellStyle name="20% - Accent4 4 5 4" xfId="10420" xr:uid="{0CA7EBC4-AB44-491B-A2A0-33933094BFAF}"/>
    <cellStyle name="20% - Accent4 4 6" xfId="2295" xr:uid="{00000000-0005-0000-0000-00006B020000}"/>
    <cellStyle name="20% - Accent4 4 6 2" xfId="6601" xr:uid="{00000000-0005-0000-0000-00006C020000}"/>
    <cellStyle name="20% - Accent4 4 6 2 2" xfId="15051" xr:uid="{2257CEAE-2437-43D1-982A-F651D149BECF}"/>
    <cellStyle name="20% - Accent4 4 6 3" xfId="10833" xr:uid="{328CFB67-74AF-4CE8-B73C-F3C7B631F4BB}"/>
    <cellStyle name="20% - Accent4 4 7" xfId="4535" xr:uid="{00000000-0005-0000-0000-00006D020000}"/>
    <cellStyle name="20% - Accent4 4 7 2" xfId="12985" xr:uid="{0F6E0745-257D-42A2-A662-93872BD7B0F4}"/>
    <cellStyle name="20% - Accent4 4 8" xfId="8767" xr:uid="{C9525BFE-000C-4A35-9521-B1DB501E36DE}"/>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E5C0A7DC-DEE3-42FF-AA86-BC60FBA60E93}"/>
    <cellStyle name="20% - Accent4 5 2 3" xfId="11319" xr:uid="{E53ED05D-C3B4-4FD8-BFEB-A1E23CA646F5}"/>
    <cellStyle name="20% - Accent4 5 3" xfId="4942" xr:uid="{00000000-0005-0000-0000-000071020000}"/>
    <cellStyle name="20% - Accent4 5 3 2" xfId="13392" xr:uid="{0B2EA972-0771-4E07-9BFF-F0A36A4BF01A}"/>
    <cellStyle name="20% - Accent4 5 4" xfId="9174" xr:uid="{DE34B48A-8919-4674-A094-9A54A0E0158A}"/>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8D0408DE-710D-4EFF-9B56-A6040B79453A}"/>
    <cellStyle name="20% - Accent4 6 2 3" xfId="11732" xr:uid="{B53BDEB0-8907-4C0D-A505-97556CF98FF2}"/>
    <cellStyle name="20% - Accent4 6 3" xfId="5355" xr:uid="{00000000-0005-0000-0000-000075020000}"/>
    <cellStyle name="20% - Accent4 6 3 2" xfId="13805" xr:uid="{7184BF10-EBBB-4569-A375-B7098199405B}"/>
    <cellStyle name="20% - Accent4 6 4" xfId="9587" xr:uid="{8C37EF48-81C8-45EA-821B-6D1A00B16F5D}"/>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0A34280F-02E3-4A2F-8BBA-4319672BD775}"/>
    <cellStyle name="20% - Accent4 7 2 3" xfId="12145" xr:uid="{EF9E622B-908D-40A3-AACC-2591407FB3C3}"/>
    <cellStyle name="20% - Accent4 7 3" xfId="5768" xr:uid="{00000000-0005-0000-0000-000079020000}"/>
    <cellStyle name="20% - Accent4 7 3 2" xfId="14218" xr:uid="{93F3D933-433C-4D40-A42A-4267E63E06BE}"/>
    <cellStyle name="20% - Accent4 7 4" xfId="10000" xr:uid="{158C8C54-565E-4E14-B2BC-7B54B2496735}"/>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52EFDED9-B891-4EA1-9F76-845FB3E1AE33}"/>
    <cellStyle name="20% - Accent4 8 2 3" xfId="12558" xr:uid="{E2B44B3F-CCFA-41FB-87D1-F40AB36F8A3C}"/>
    <cellStyle name="20% - Accent4 8 3" xfId="6181" xr:uid="{00000000-0005-0000-0000-00007D020000}"/>
    <cellStyle name="20% - Accent4 8 3 2" xfId="14631" xr:uid="{384D015C-445D-4CB9-A73C-F7A04BCCEB60}"/>
    <cellStyle name="20% - Accent4 8 4" xfId="10413" xr:uid="{EA40E586-54D8-45DD-9515-6962B30C46EF}"/>
    <cellStyle name="20% - Accent4 9" xfId="2288" xr:uid="{00000000-0005-0000-0000-00007E020000}"/>
    <cellStyle name="20% - Accent4 9 2" xfId="6594" xr:uid="{00000000-0005-0000-0000-00007F020000}"/>
    <cellStyle name="20% - Accent4 9 2 2" xfId="15044" xr:uid="{38F461B6-71E5-40CF-9460-C1F46F5EEEED}"/>
    <cellStyle name="20% - Accent4 9 3" xfId="10826" xr:uid="{F7E3009C-4166-4414-90F6-6D6E8BCF5383}"/>
    <cellStyle name="20% - Accent5" xfId="33" builtinId="46" customBuiltin="1"/>
    <cellStyle name="20% - Accent5 10" xfId="4536" xr:uid="{00000000-0005-0000-0000-000081020000}"/>
    <cellStyle name="20% - Accent5 10 2" xfId="12986" xr:uid="{C4890F7F-C571-4766-B9B8-D5E54E9C6BF1}"/>
    <cellStyle name="20% - Accent5 11" xfId="8768" xr:uid="{FA91AB0C-95A1-4BB2-AE8C-B75FB62323B7}"/>
    <cellStyle name="20% - Accent5 2" xfId="34" xr:uid="{00000000-0005-0000-0000-000082020000}"/>
    <cellStyle name="20% - Accent5 2 10" xfId="8769" xr:uid="{700C68F3-BD45-4D6A-9A06-B76098BFCCC1}"/>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84B8CAAD-10B0-462E-89B3-E92897278DDB}"/>
    <cellStyle name="20% - Accent5 2 2 2 2 2 3" xfId="11330" xr:uid="{64858EE4-7BF5-46E8-B5FD-C161C65DCE8A}"/>
    <cellStyle name="20% - Accent5 2 2 2 2 3" xfId="4953" xr:uid="{00000000-0005-0000-0000-000088020000}"/>
    <cellStyle name="20% - Accent5 2 2 2 2 3 2" xfId="13403" xr:uid="{4F00CC66-4EED-46B5-AF05-57EC9526F10A}"/>
    <cellStyle name="20% - Accent5 2 2 2 2 4" xfId="9185" xr:uid="{B34AC179-3728-462B-A25D-045F877CD145}"/>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BC92BF32-D942-4AEC-A2DF-FE94BB5BEA0B}"/>
    <cellStyle name="20% - Accent5 2 2 2 3 2 3" xfId="11743" xr:uid="{B3571142-8872-4581-A494-C7A267F9B045}"/>
    <cellStyle name="20% - Accent5 2 2 2 3 3" xfId="5366" xr:uid="{00000000-0005-0000-0000-00008C020000}"/>
    <cellStyle name="20% - Accent5 2 2 2 3 3 2" xfId="13816" xr:uid="{65B1C4E1-BE4B-4629-9525-C993E9700773}"/>
    <cellStyle name="20% - Accent5 2 2 2 3 4" xfId="9598" xr:uid="{18B6C3AD-40F8-4EEA-807F-4AF21120B4EF}"/>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959BCFDA-125E-4A3F-9B26-EE3257982FAB}"/>
    <cellStyle name="20% - Accent5 2 2 2 4 2 3" xfId="12156" xr:uid="{0D9073C9-8B8B-4167-8787-E3CCB8105935}"/>
    <cellStyle name="20% - Accent5 2 2 2 4 3" xfId="5779" xr:uid="{00000000-0005-0000-0000-000090020000}"/>
    <cellStyle name="20% - Accent5 2 2 2 4 3 2" xfId="14229" xr:uid="{94CC222B-8BE0-4349-B651-773E988B91A9}"/>
    <cellStyle name="20% - Accent5 2 2 2 4 4" xfId="10011" xr:uid="{73FF5078-7F4E-438C-9E3A-8B5EC35CD228}"/>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41CA8EEC-C111-4EC7-AF6F-74AC38E03E00}"/>
    <cellStyle name="20% - Accent5 2 2 2 5 2 3" xfId="12569" xr:uid="{563BC049-AB14-400F-A45F-05D160EA97F2}"/>
    <cellStyle name="20% - Accent5 2 2 2 5 3" xfId="6192" xr:uid="{00000000-0005-0000-0000-000094020000}"/>
    <cellStyle name="20% - Accent5 2 2 2 5 3 2" xfId="14642" xr:uid="{C90A6EAF-C80D-4AE6-B480-2DB8DE19C1CB}"/>
    <cellStyle name="20% - Accent5 2 2 2 5 4" xfId="10424" xr:uid="{7727AF15-4219-4763-9BEB-A28DACAD7181}"/>
    <cellStyle name="20% - Accent5 2 2 2 6" xfId="2299" xr:uid="{00000000-0005-0000-0000-000095020000}"/>
    <cellStyle name="20% - Accent5 2 2 2 6 2" xfId="6605" xr:uid="{00000000-0005-0000-0000-000096020000}"/>
    <cellStyle name="20% - Accent5 2 2 2 6 2 2" xfId="15055" xr:uid="{79FD1982-D15D-458A-B365-6384486DA628}"/>
    <cellStyle name="20% - Accent5 2 2 2 6 3" xfId="10837" xr:uid="{FB3BD839-7CB4-4F9D-83B2-A7D993468940}"/>
    <cellStyle name="20% - Accent5 2 2 2 7" xfId="4539" xr:uid="{00000000-0005-0000-0000-000097020000}"/>
    <cellStyle name="20% - Accent5 2 2 2 7 2" xfId="12989" xr:uid="{38C36B41-2EDD-4A68-A813-02574BD201C1}"/>
    <cellStyle name="20% - Accent5 2 2 2 8" xfId="8771" xr:uid="{B0DE664C-91C1-4FE5-B5D9-14201E61A0F6}"/>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7AFB0B6A-4FB6-4CDC-80B6-52684E9F3F5D}"/>
    <cellStyle name="20% - Accent5 2 2 3 2 3" xfId="11329" xr:uid="{9852ADC9-86EB-40C5-A38A-C28D94116932}"/>
    <cellStyle name="20% - Accent5 2 2 3 3" xfId="4952" xr:uid="{00000000-0005-0000-0000-00009B020000}"/>
    <cellStyle name="20% - Accent5 2 2 3 3 2" xfId="13402" xr:uid="{F94643E4-276B-48F8-B420-E183205CC73C}"/>
    <cellStyle name="20% - Accent5 2 2 3 4" xfId="9184" xr:uid="{ECD7F59B-D75B-4268-A571-4DEDE33F6E8E}"/>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B3293A0C-5F77-48AD-B6EB-A172AD9B198D}"/>
    <cellStyle name="20% - Accent5 2 2 4 2 3" xfId="11742" xr:uid="{CA926681-9C36-49E3-84F0-EAE4301971EF}"/>
    <cellStyle name="20% - Accent5 2 2 4 3" xfId="5365" xr:uid="{00000000-0005-0000-0000-00009F020000}"/>
    <cellStyle name="20% - Accent5 2 2 4 3 2" xfId="13815" xr:uid="{FF5AD43D-4C51-4DDA-9EF6-97FCEB7F629F}"/>
    <cellStyle name="20% - Accent5 2 2 4 4" xfId="9597" xr:uid="{65891C42-B28C-4705-9BE8-6BFAD8407EA2}"/>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987A3020-C179-4A1A-8626-707806217614}"/>
    <cellStyle name="20% - Accent5 2 2 5 2 3" xfId="12155" xr:uid="{4A21B7C2-DEAB-4DC9-A9DC-CDF47754568B}"/>
    <cellStyle name="20% - Accent5 2 2 5 3" xfId="5778" xr:uid="{00000000-0005-0000-0000-0000A3020000}"/>
    <cellStyle name="20% - Accent5 2 2 5 3 2" xfId="14228" xr:uid="{9E561226-4BC9-4342-975F-436F246B0548}"/>
    <cellStyle name="20% - Accent5 2 2 5 4" xfId="10010" xr:uid="{A080593B-388F-4E37-A23E-372AA425FA1B}"/>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48519491-76E8-4F74-92B1-73C5A838B226}"/>
    <cellStyle name="20% - Accent5 2 2 6 2 3" xfId="12568" xr:uid="{A3300066-1D7D-4216-94BC-0567F41892D2}"/>
    <cellStyle name="20% - Accent5 2 2 6 3" xfId="6191" xr:uid="{00000000-0005-0000-0000-0000A7020000}"/>
    <cellStyle name="20% - Accent5 2 2 6 3 2" xfId="14641" xr:uid="{68B86222-9E21-471A-9BD7-514CF7D71ED1}"/>
    <cellStyle name="20% - Accent5 2 2 6 4" xfId="10423" xr:uid="{D2D8C86E-216A-42BA-9645-1FC45EFA121F}"/>
    <cellStyle name="20% - Accent5 2 2 7" xfId="2298" xr:uid="{00000000-0005-0000-0000-0000A8020000}"/>
    <cellStyle name="20% - Accent5 2 2 7 2" xfId="6604" xr:uid="{00000000-0005-0000-0000-0000A9020000}"/>
    <cellStyle name="20% - Accent5 2 2 7 2 2" xfId="15054" xr:uid="{E9250D92-2C5E-4DEA-9862-00C8943F2C1D}"/>
    <cellStyle name="20% - Accent5 2 2 7 3" xfId="10836" xr:uid="{5387EB3D-273E-4CB8-8552-C2DA09AE8DFB}"/>
    <cellStyle name="20% - Accent5 2 2 8" xfId="4538" xr:uid="{00000000-0005-0000-0000-0000AA020000}"/>
    <cellStyle name="20% - Accent5 2 2 8 2" xfId="12988" xr:uid="{7B91F5EF-CD72-4215-B69F-00BD170DCDFD}"/>
    <cellStyle name="20% - Accent5 2 2 9" xfId="8770" xr:uid="{BCD9989F-25C0-43F1-B04A-62E74C361EA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F1069666-4DC2-4589-8CD5-682C47AAC535}"/>
    <cellStyle name="20% - Accent5 2 3 2 2 3" xfId="11331" xr:uid="{82EE8ECC-16F9-470C-B72E-A0B500DDEC6A}"/>
    <cellStyle name="20% - Accent5 2 3 2 3" xfId="4954" xr:uid="{00000000-0005-0000-0000-0000AF020000}"/>
    <cellStyle name="20% - Accent5 2 3 2 3 2" xfId="13404" xr:uid="{F0256D24-ECC8-4388-B86B-958C31FDCEB4}"/>
    <cellStyle name="20% - Accent5 2 3 2 4" xfId="9186" xr:uid="{CB6B4BA0-4642-4D0F-B818-048A27CAF68E}"/>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494B8FE2-8BEC-475F-9096-24B43F212EB8}"/>
    <cellStyle name="20% - Accent5 2 3 3 2 3" xfId="11744" xr:uid="{45D175B4-053F-4DC3-BAF0-F7C5E3A01A36}"/>
    <cellStyle name="20% - Accent5 2 3 3 3" xfId="5367" xr:uid="{00000000-0005-0000-0000-0000B3020000}"/>
    <cellStyle name="20% - Accent5 2 3 3 3 2" xfId="13817" xr:uid="{E8311F9A-AB44-4299-A173-06CB380289CF}"/>
    <cellStyle name="20% - Accent5 2 3 3 4" xfId="9599" xr:uid="{F390739D-F7F0-4C3C-A3EA-41060709CAB0}"/>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485A2249-466B-4072-BF71-A5B9A3F24F27}"/>
    <cellStyle name="20% - Accent5 2 3 4 2 3" xfId="12157" xr:uid="{A6E2E3B0-6C08-4601-9903-13598B3D59B8}"/>
    <cellStyle name="20% - Accent5 2 3 4 3" xfId="5780" xr:uid="{00000000-0005-0000-0000-0000B7020000}"/>
    <cellStyle name="20% - Accent5 2 3 4 3 2" xfId="14230" xr:uid="{93CCE451-AEAF-4183-B98C-FD7943DA21F2}"/>
    <cellStyle name="20% - Accent5 2 3 4 4" xfId="10012" xr:uid="{8EC0936B-7EF7-4EF7-B101-77C1C239C8EE}"/>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A7DED700-9A4B-40D4-B03C-6B49D2330630}"/>
    <cellStyle name="20% - Accent5 2 3 5 2 3" xfId="12570" xr:uid="{58276905-7D17-4D7E-B13D-DCD4C2A26AD4}"/>
    <cellStyle name="20% - Accent5 2 3 5 3" xfId="6193" xr:uid="{00000000-0005-0000-0000-0000BB020000}"/>
    <cellStyle name="20% - Accent5 2 3 5 3 2" xfId="14643" xr:uid="{1AED2597-8B38-4647-81EC-A4DB018BD59E}"/>
    <cellStyle name="20% - Accent5 2 3 5 4" xfId="10425" xr:uid="{9734944A-5AEC-4CD2-85F7-3E8E9AFE32D5}"/>
    <cellStyle name="20% - Accent5 2 3 6" xfId="2300" xr:uid="{00000000-0005-0000-0000-0000BC020000}"/>
    <cellStyle name="20% - Accent5 2 3 6 2" xfId="6606" xr:uid="{00000000-0005-0000-0000-0000BD020000}"/>
    <cellStyle name="20% - Accent5 2 3 6 2 2" xfId="15056" xr:uid="{4AD88AAC-2138-47AE-84D9-ED027F6DC75B}"/>
    <cellStyle name="20% - Accent5 2 3 6 3" xfId="10838" xr:uid="{4F798EB5-DD88-44D8-9D70-89865D877046}"/>
    <cellStyle name="20% - Accent5 2 3 7" xfId="4540" xr:uid="{00000000-0005-0000-0000-0000BE020000}"/>
    <cellStyle name="20% - Accent5 2 3 7 2" xfId="12990" xr:uid="{E15B2E19-1B5D-4F7B-97E5-6F6819E6E740}"/>
    <cellStyle name="20% - Accent5 2 3 8" xfId="8772" xr:uid="{D6F7BE5D-3E68-4069-B773-4779DBC05348}"/>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496F907B-0F2E-44AC-951A-A717C6D53D1F}"/>
    <cellStyle name="20% - Accent5 2 4 2 3" xfId="11328" xr:uid="{3501B7FE-4510-4007-8167-A5A74055CCE0}"/>
    <cellStyle name="20% - Accent5 2 4 3" xfId="4951" xr:uid="{00000000-0005-0000-0000-0000C2020000}"/>
    <cellStyle name="20% - Accent5 2 4 3 2" xfId="13401" xr:uid="{4973BC33-7581-44D0-9107-B32B7F615AEA}"/>
    <cellStyle name="20% - Accent5 2 4 4" xfId="9183" xr:uid="{5FB7ECD2-F707-46FD-9BFE-3DC7797123C1}"/>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C718DC8D-D213-410E-BC4A-F4C21CF5C265}"/>
    <cellStyle name="20% - Accent5 2 5 2 3" xfId="11741" xr:uid="{16187366-94F0-4B75-B878-A28F23FADB04}"/>
    <cellStyle name="20% - Accent5 2 5 3" xfId="5364" xr:uid="{00000000-0005-0000-0000-0000C6020000}"/>
    <cellStyle name="20% - Accent5 2 5 3 2" xfId="13814" xr:uid="{99170FB7-7DD9-4E05-AD22-09B8637A6EF1}"/>
    <cellStyle name="20% - Accent5 2 5 4" xfId="9596" xr:uid="{5A4CA2A1-BAF3-45D8-8C69-58813B9C8E4C}"/>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A5887250-2D3A-4BE1-84CB-56B9DC435433}"/>
    <cellStyle name="20% - Accent5 2 6 2 3" xfId="12154" xr:uid="{2B53B849-A731-472F-80E7-5BD2D59CA576}"/>
    <cellStyle name="20% - Accent5 2 6 3" xfId="5777" xr:uid="{00000000-0005-0000-0000-0000CA020000}"/>
    <cellStyle name="20% - Accent5 2 6 3 2" xfId="14227" xr:uid="{E5CC549E-B677-49B8-9CE8-F5EB35AEC223}"/>
    <cellStyle name="20% - Accent5 2 6 4" xfId="10009" xr:uid="{87A7FA77-92F6-4F6D-8EC7-E895ACF8F85D}"/>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46D8C48E-9C79-441A-9D2B-FF1B5337F057}"/>
    <cellStyle name="20% - Accent5 2 7 2 3" xfId="12567" xr:uid="{ACB022B9-0B4B-4A87-9214-CD532656B240}"/>
    <cellStyle name="20% - Accent5 2 7 3" xfId="6190" xr:uid="{00000000-0005-0000-0000-0000CE020000}"/>
    <cellStyle name="20% - Accent5 2 7 3 2" xfId="14640" xr:uid="{88D5C727-AD7B-4BA2-B9A3-C241E28928DC}"/>
    <cellStyle name="20% - Accent5 2 7 4" xfId="10422" xr:uid="{4ECA05C2-5610-4E0D-9F29-A7CDAEA24484}"/>
    <cellStyle name="20% - Accent5 2 8" xfId="2297" xr:uid="{00000000-0005-0000-0000-0000CF020000}"/>
    <cellStyle name="20% - Accent5 2 8 2" xfId="6603" xr:uid="{00000000-0005-0000-0000-0000D0020000}"/>
    <cellStyle name="20% - Accent5 2 8 2 2" xfId="15053" xr:uid="{7C1BC9C8-DE8E-4B4A-992F-A1EB84542DC5}"/>
    <cellStyle name="20% - Accent5 2 8 3" xfId="10835" xr:uid="{0D2BCF0A-32FD-465E-8EF0-64C15B66CAF7}"/>
    <cellStyle name="20% - Accent5 2 9" xfId="4537" xr:uid="{00000000-0005-0000-0000-0000D1020000}"/>
    <cellStyle name="20% - Accent5 2 9 2" xfId="12987" xr:uid="{D280D389-61FA-4F13-AE55-E1650CF0B3B9}"/>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42FF2963-8E9B-464B-9856-9727C83DA80C}"/>
    <cellStyle name="20% - Accent5 3 2 2 2 3" xfId="11333" xr:uid="{B3530148-A493-43F0-9943-6AF675473009}"/>
    <cellStyle name="20% - Accent5 3 2 2 3" xfId="4956" xr:uid="{00000000-0005-0000-0000-0000D7020000}"/>
    <cellStyle name="20% - Accent5 3 2 2 3 2" xfId="13406" xr:uid="{1C73E9FB-FE56-4CC3-9A60-8D5BC7D495C1}"/>
    <cellStyle name="20% - Accent5 3 2 2 4" xfId="9188" xr:uid="{E8C8E9BD-1630-4462-AB22-1B641394A574}"/>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7BF5E0AA-8B62-412E-8906-423BCBBC682B}"/>
    <cellStyle name="20% - Accent5 3 2 3 2 3" xfId="11746" xr:uid="{3F6F8907-9CC7-4F8D-A372-E1AFA46CFE5F}"/>
    <cellStyle name="20% - Accent5 3 2 3 3" xfId="5369" xr:uid="{00000000-0005-0000-0000-0000DB020000}"/>
    <cellStyle name="20% - Accent5 3 2 3 3 2" xfId="13819" xr:uid="{360FEC4D-7A7E-4819-BEC0-0F00D9B699E3}"/>
    <cellStyle name="20% - Accent5 3 2 3 4" xfId="9601" xr:uid="{4E88D2E8-380E-41CB-9CF8-40CFC090E62F}"/>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90F55833-CEA1-47CF-BD68-60D0D1FD9C47}"/>
    <cellStyle name="20% - Accent5 3 2 4 2 3" xfId="12159" xr:uid="{176A446D-7387-4FAB-B29B-D063A8A076C9}"/>
    <cellStyle name="20% - Accent5 3 2 4 3" xfId="5782" xr:uid="{00000000-0005-0000-0000-0000DF020000}"/>
    <cellStyle name="20% - Accent5 3 2 4 3 2" xfId="14232" xr:uid="{91A9058E-57D0-423D-8F0D-440C5CB6DAEC}"/>
    <cellStyle name="20% - Accent5 3 2 4 4" xfId="10014" xr:uid="{394D0069-56A7-4825-9347-3D46ECD86C67}"/>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D2DBD57A-CAAB-45A2-A46D-6FD7771BE950}"/>
    <cellStyle name="20% - Accent5 3 2 5 2 3" xfId="12572" xr:uid="{20EACF77-0EBD-4D55-86DE-7DE39E9BC1D9}"/>
    <cellStyle name="20% - Accent5 3 2 5 3" xfId="6195" xr:uid="{00000000-0005-0000-0000-0000E3020000}"/>
    <cellStyle name="20% - Accent5 3 2 5 3 2" xfId="14645" xr:uid="{134C312B-9489-40DE-83D8-65AB28F8183C}"/>
    <cellStyle name="20% - Accent5 3 2 5 4" xfId="10427" xr:uid="{9A4941AF-E7BD-4B06-9BFD-143C1FDDE309}"/>
    <cellStyle name="20% - Accent5 3 2 6" xfId="2302" xr:uid="{00000000-0005-0000-0000-0000E4020000}"/>
    <cellStyle name="20% - Accent5 3 2 6 2" xfId="6608" xr:uid="{00000000-0005-0000-0000-0000E5020000}"/>
    <cellStyle name="20% - Accent5 3 2 6 2 2" xfId="15058" xr:uid="{34306AD1-7334-4BEA-A5F3-69CDF8603288}"/>
    <cellStyle name="20% - Accent5 3 2 6 3" xfId="10840" xr:uid="{8C112697-8F1F-495B-90AF-6A1139514312}"/>
    <cellStyle name="20% - Accent5 3 2 7" xfId="4542" xr:uid="{00000000-0005-0000-0000-0000E6020000}"/>
    <cellStyle name="20% - Accent5 3 2 7 2" xfId="12992" xr:uid="{9134D290-064A-4402-BA62-3A6FF73A6B89}"/>
    <cellStyle name="20% - Accent5 3 2 8" xfId="8774" xr:uid="{8A1EEEC4-1188-4F6E-B672-305FB4177D6A}"/>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09257570-DF0E-4E9D-AE2C-D47156D99855}"/>
    <cellStyle name="20% - Accent5 3 3 2 3" xfId="11332" xr:uid="{8C2DD757-11BE-48A2-93CC-1DC275CEC681}"/>
    <cellStyle name="20% - Accent5 3 3 3" xfId="4955" xr:uid="{00000000-0005-0000-0000-0000EA020000}"/>
    <cellStyle name="20% - Accent5 3 3 3 2" xfId="13405" xr:uid="{CE4F1E8D-6420-43C4-9448-928BAF219A1A}"/>
    <cellStyle name="20% - Accent5 3 3 4" xfId="9187" xr:uid="{4953E994-4F0B-4E14-80A7-321C8C14B982}"/>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C6E5F1DA-F7C2-43D1-B34F-FEA0417FA9EA}"/>
    <cellStyle name="20% - Accent5 3 4 2 3" xfId="11745" xr:uid="{A5DC714D-C111-414D-AA66-BB11675739AC}"/>
    <cellStyle name="20% - Accent5 3 4 3" xfId="5368" xr:uid="{00000000-0005-0000-0000-0000EE020000}"/>
    <cellStyle name="20% - Accent5 3 4 3 2" xfId="13818" xr:uid="{B5934D9A-5202-42DA-8C12-C67010530EA7}"/>
    <cellStyle name="20% - Accent5 3 4 4" xfId="9600" xr:uid="{F8932FF1-50BF-4B2F-A04D-BF1653FFBE7F}"/>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2829B35D-B65B-4A2D-B942-035E10ACFD8F}"/>
    <cellStyle name="20% - Accent5 3 5 2 3" xfId="12158" xr:uid="{37991CA6-7B70-45D6-985C-CBAF61C8EBBF}"/>
    <cellStyle name="20% - Accent5 3 5 3" xfId="5781" xr:uid="{00000000-0005-0000-0000-0000F2020000}"/>
    <cellStyle name="20% - Accent5 3 5 3 2" xfId="14231" xr:uid="{0B5F3F16-B18E-4284-89CA-0237E65FCF51}"/>
    <cellStyle name="20% - Accent5 3 5 4" xfId="10013" xr:uid="{977F804C-7592-49DA-88D2-59E91961B4EA}"/>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390585E4-75C7-40D7-8150-DB34DBFE09D0}"/>
    <cellStyle name="20% - Accent5 3 6 2 3" xfId="12571" xr:uid="{C1FB8D05-4380-4596-8C32-F65179E5E400}"/>
    <cellStyle name="20% - Accent5 3 6 3" xfId="6194" xr:uid="{00000000-0005-0000-0000-0000F6020000}"/>
    <cellStyle name="20% - Accent5 3 6 3 2" xfId="14644" xr:uid="{5FCC365B-0F1E-4E77-B75D-70D7C02FCF81}"/>
    <cellStyle name="20% - Accent5 3 6 4" xfId="10426" xr:uid="{7E8B9D5B-9D1E-4066-A15C-6DF40B11CFED}"/>
    <cellStyle name="20% - Accent5 3 7" xfId="2301" xr:uid="{00000000-0005-0000-0000-0000F7020000}"/>
    <cellStyle name="20% - Accent5 3 7 2" xfId="6607" xr:uid="{00000000-0005-0000-0000-0000F8020000}"/>
    <cellStyle name="20% - Accent5 3 7 2 2" xfId="15057" xr:uid="{22F95C12-5588-4ED1-B24F-D0FEE6344CBF}"/>
    <cellStyle name="20% - Accent5 3 7 3" xfId="10839" xr:uid="{439591BC-B9DB-4C39-8F23-A43303899E2E}"/>
    <cellStyle name="20% - Accent5 3 8" xfId="4541" xr:uid="{00000000-0005-0000-0000-0000F9020000}"/>
    <cellStyle name="20% - Accent5 3 8 2" xfId="12991" xr:uid="{1739899B-108F-497E-B7F9-3EC2EA075385}"/>
    <cellStyle name="20% - Accent5 3 9" xfId="8773" xr:uid="{FFE85577-F4D8-4638-8B95-0DEA34534CA3}"/>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7EAF0328-7B46-4D35-B409-B844CADE44F7}"/>
    <cellStyle name="20% - Accent5 4 2 2 3" xfId="11334" xr:uid="{F704C165-00CE-451E-AD38-394D4D479301}"/>
    <cellStyle name="20% - Accent5 4 2 3" xfId="4957" xr:uid="{00000000-0005-0000-0000-0000FE020000}"/>
    <cellStyle name="20% - Accent5 4 2 3 2" xfId="13407" xr:uid="{4CA48623-6D88-4718-AE0E-74A579500BFC}"/>
    <cellStyle name="20% - Accent5 4 2 4" xfId="9189" xr:uid="{6BCE42E9-C552-4403-B068-52829A479149}"/>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E796B606-A450-4F94-85DF-609CFB86D000}"/>
    <cellStyle name="20% - Accent5 4 3 2 3" xfId="11747" xr:uid="{B91174FB-3249-4385-8ABE-FDE38499F38B}"/>
    <cellStyle name="20% - Accent5 4 3 3" xfId="5370" xr:uid="{00000000-0005-0000-0000-000002030000}"/>
    <cellStyle name="20% - Accent5 4 3 3 2" xfId="13820" xr:uid="{60318201-E373-41F3-B0C3-734D47053B29}"/>
    <cellStyle name="20% - Accent5 4 3 4" xfId="9602" xr:uid="{5D4FAB6F-E890-4C1A-92EB-AA7C02C899CD}"/>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AF47C5D2-9D07-4F3F-B2E7-7B02C1E84C36}"/>
    <cellStyle name="20% - Accent5 4 4 2 3" xfId="12160" xr:uid="{A401ACE0-AF8B-49B3-AB6A-B3DB9D6C7182}"/>
    <cellStyle name="20% - Accent5 4 4 3" xfId="5783" xr:uid="{00000000-0005-0000-0000-000006030000}"/>
    <cellStyle name="20% - Accent5 4 4 3 2" xfId="14233" xr:uid="{C915A312-7682-4EFD-96CE-2BB3E08AE8EE}"/>
    <cellStyle name="20% - Accent5 4 4 4" xfId="10015" xr:uid="{9E1757BD-4DDB-4BDE-8DDD-0E6239E1535A}"/>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4CFF9A32-2E66-400C-9DE2-8A0A5F35E27B}"/>
    <cellStyle name="20% - Accent5 4 5 2 3" xfId="12573" xr:uid="{17CEE1A9-3DF3-4539-8847-5A9BE05D6104}"/>
    <cellStyle name="20% - Accent5 4 5 3" xfId="6196" xr:uid="{00000000-0005-0000-0000-00000A030000}"/>
    <cellStyle name="20% - Accent5 4 5 3 2" xfId="14646" xr:uid="{888E13E8-EAF8-4C00-87B9-FE54200A53AB}"/>
    <cellStyle name="20% - Accent5 4 5 4" xfId="10428" xr:uid="{2EAD8FB1-62F1-49FE-890A-7868930E355D}"/>
    <cellStyle name="20% - Accent5 4 6" xfId="2303" xr:uid="{00000000-0005-0000-0000-00000B030000}"/>
    <cellStyle name="20% - Accent5 4 6 2" xfId="6609" xr:uid="{00000000-0005-0000-0000-00000C030000}"/>
    <cellStyle name="20% - Accent5 4 6 2 2" xfId="15059" xr:uid="{12BFC5F5-31E8-44BA-96E0-8E74D165EEBD}"/>
    <cellStyle name="20% - Accent5 4 6 3" xfId="10841" xr:uid="{1E961B1F-07CD-4365-B122-03FA1501B21F}"/>
    <cellStyle name="20% - Accent5 4 7" xfId="4543" xr:uid="{00000000-0005-0000-0000-00000D030000}"/>
    <cellStyle name="20% - Accent5 4 7 2" xfId="12993" xr:uid="{D22F0771-3205-4687-844C-6E494C99DA38}"/>
    <cellStyle name="20% - Accent5 4 8" xfId="8775" xr:uid="{95B10C1C-407F-446D-AA42-A83DBD4E21DD}"/>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E3F802B7-A713-47E4-92BD-58C6577F20A4}"/>
    <cellStyle name="20% - Accent5 5 2 3" xfId="11327" xr:uid="{DF909F66-D2DC-4D42-9888-0331F367BF2E}"/>
    <cellStyle name="20% - Accent5 5 3" xfId="4950" xr:uid="{00000000-0005-0000-0000-000011030000}"/>
    <cellStyle name="20% - Accent5 5 3 2" xfId="13400" xr:uid="{1F70B9C9-74D4-48C7-955C-51A6F03AADD8}"/>
    <cellStyle name="20% - Accent5 5 4" xfId="9182" xr:uid="{B93FE199-2334-4CCB-A843-9170E83B4652}"/>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0CE15B4F-1ACD-4BA0-B0C9-D88FF21DF210}"/>
    <cellStyle name="20% - Accent5 6 2 3" xfId="11740" xr:uid="{E15E67EE-92D6-4C9C-8C8D-419324549AEC}"/>
    <cellStyle name="20% - Accent5 6 3" xfId="5363" xr:uid="{00000000-0005-0000-0000-000015030000}"/>
    <cellStyle name="20% - Accent5 6 3 2" xfId="13813" xr:uid="{D53C791E-E9D7-482C-8C2A-97DF959CD732}"/>
    <cellStyle name="20% - Accent5 6 4" xfId="9595" xr:uid="{B3FADF4F-2A9D-47FB-ACC2-9B8C7B21CD9F}"/>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A1757244-68C3-4F66-9457-6901BCCED548}"/>
    <cellStyle name="20% - Accent5 7 2 3" xfId="12153" xr:uid="{8B1D7993-32A6-47C9-8328-AA14B23493C1}"/>
    <cellStyle name="20% - Accent5 7 3" xfId="5776" xr:uid="{00000000-0005-0000-0000-000019030000}"/>
    <cellStyle name="20% - Accent5 7 3 2" xfId="14226" xr:uid="{8B70B66E-1DDD-42CD-84FC-A96CA653F26C}"/>
    <cellStyle name="20% - Accent5 7 4" xfId="10008" xr:uid="{CE7F1D49-91F0-47B3-8A2C-F0558759FAC3}"/>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E4667387-0111-4D59-BD06-7384E7852088}"/>
    <cellStyle name="20% - Accent5 8 2 3" xfId="12566" xr:uid="{9DA032A2-A1C2-4DA5-9F12-1DA8CC32C0F9}"/>
    <cellStyle name="20% - Accent5 8 3" xfId="6189" xr:uid="{00000000-0005-0000-0000-00001D030000}"/>
    <cellStyle name="20% - Accent5 8 3 2" xfId="14639" xr:uid="{4AF89543-23FC-4A13-A776-F3549D1BA4A5}"/>
    <cellStyle name="20% - Accent5 8 4" xfId="10421" xr:uid="{994BA774-53B2-4CA7-86AE-BF575982B475}"/>
    <cellStyle name="20% - Accent5 9" xfId="2296" xr:uid="{00000000-0005-0000-0000-00001E030000}"/>
    <cellStyle name="20% - Accent5 9 2" xfId="6602" xr:uid="{00000000-0005-0000-0000-00001F030000}"/>
    <cellStyle name="20% - Accent5 9 2 2" xfId="15052" xr:uid="{660A18AD-6509-43CD-8483-5ACC2A32ADF4}"/>
    <cellStyle name="20% - Accent5 9 3" xfId="10834" xr:uid="{F590DACA-EDB8-453F-857F-FFF0D7C919F7}"/>
    <cellStyle name="20% - Accent6" xfId="41" builtinId="50" customBuiltin="1"/>
    <cellStyle name="20% - Accent6 10" xfId="4544" xr:uid="{00000000-0005-0000-0000-000021030000}"/>
    <cellStyle name="20% - Accent6 10 2" xfId="12994" xr:uid="{42D3C808-4855-4BA5-B448-144B602920C9}"/>
    <cellStyle name="20% - Accent6 11" xfId="8776" xr:uid="{8BEE8199-A162-447E-8654-C4603A36D04A}"/>
    <cellStyle name="20% - Accent6 2" xfId="42" xr:uid="{00000000-0005-0000-0000-000022030000}"/>
    <cellStyle name="20% - Accent6 2 10" xfId="8777" xr:uid="{54434517-20D0-4D69-8E51-0E279FA4B36D}"/>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19A60BC9-2061-4D4B-92CF-037477257706}"/>
    <cellStyle name="20% - Accent6 2 2 2 2 2 3" xfId="11338" xr:uid="{2B201B3C-3D90-4759-9EA5-9C6D63CE14AF}"/>
    <cellStyle name="20% - Accent6 2 2 2 2 3" xfId="4961" xr:uid="{00000000-0005-0000-0000-000028030000}"/>
    <cellStyle name="20% - Accent6 2 2 2 2 3 2" xfId="13411" xr:uid="{DC687F26-D00E-4C07-A7B3-E9F90F3F0D0E}"/>
    <cellStyle name="20% - Accent6 2 2 2 2 4" xfId="9193" xr:uid="{D97E833D-2A0A-4A68-992D-13943BD345D1}"/>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39B6CC90-2D01-43AA-8DDD-09B6B8E93DF8}"/>
    <cellStyle name="20% - Accent6 2 2 2 3 2 3" xfId="11751" xr:uid="{B9C440AA-E809-4661-8CB8-2E01D6C95447}"/>
    <cellStyle name="20% - Accent6 2 2 2 3 3" xfId="5374" xr:uid="{00000000-0005-0000-0000-00002C030000}"/>
    <cellStyle name="20% - Accent6 2 2 2 3 3 2" xfId="13824" xr:uid="{EFC58DC1-B2B1-4CA7-9755-8E3B09C25A72}"/>
    <cellStyle name="20% - Accent6 2 2 2 3 4" xfId="9606" xr:uid="{11C35CFD-3E97-42BF-8250-0BF377E96613}"/>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FB32D227-19FA-41C8-9AC7-377280317765}"/>
    <cellStyle name="20% - Accent6 2 2 2 4 2 3" xfId="12164" xr:uid="{4D1E2775-4C5C-4331-8FF4-634130A51FEE}"/>
    <cellStyle name="20% - Accent6 2 2 2 4 3" xfId="5787" xr:uid="{00000000-0005-0000-0000-000030030000}"/>
    <cellStyle name="20% - Accent6 2 2 2 4 3 2" xfId="14237" xr:uid="{FB2DC7B7-F8F4-44C1-9524-7B0D00327C8F}"/>
    <cellStyle name="20% - Accent6 2 2 2 4 4" xfId="10019" xr:uid="{E8B3EA4E-5BB7-4400-8321-EE091E659F85}"/>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F04E823A-7D64-4E80-A261-ED279FE40FD9}"/>
    <cellStyle name="20% - Accent6 2 2 2 5 2 3" xfId="12577" xr:uid="{D83D7916-1D07-4DD3-8DA0-E16B77E9B44C}"/>
    <cellStyle name="20% - Accent6 2 2 2 5 3" xfId="6200" xr:uid="{00000000-0005-0000-0000-000034030000}"/>
    <cellStyle name="20% - Accent6 2 2 2 5 3 2" xfId="14650" xr:uid="{E96674FA-6E45-4BF4-B38B-7A0CEA37C253}"/>
    <cellStyle name="20% - Accent6 2 2 2 5 4" xfId="10432" xr:uid="{1353C5B5-8F14-4EEA-9123-485D38D7100B}"/>
    <cellStyle name="20% - Accent6 2 2 2 6" xfId="2307" xr:uid="{00000000-0005-0000-0000-000035030000}"/>
    <cellStyle name="20% - Accent6 2 2 2 6 2" xfId="6613" xr:uid="{00000000-0005-0000-0000-000036030000}"/>
    <cellStyle name="20% - Accent6 2 2 2 6 2 2" xfId="15063" xr:uid="{50E7A6C6-E673-49EF-B00C-0E2924DE7695}"/>
    <cellStyle name="20% - Accent6 2 2 2 6 3" xfId="10845" xr:uid="{6675E8D1-B9CA-42C3-B32F-E1C84E5EDDB2}"/>
    <cellStyle name="20% - Accent6 2 2 2 7" xfId="4547" xr:uid="{00000000-0005-0000-0000-000037030000}"/>
    <cellStyle name="20% - Accent6 2 2 2 7 2" xfId="12997" xr:uid="{2346CC49-167E-442B-B5CD-A6712D757AB8}"/>
    <cellStyle name="20% - Accent6 2 2 2 8" xfId="8779" xr:uid="{F5CA04D7-CE58-4B1A-803C-57F0BB74780D}"/>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B434246D-6BC3-4C60-AE99-402498AB85D1}"/>
    <cellStyle name="20% - Accent6 2 2 3 2 3" xfId="11337" xr:uid="{2276B83D-32D3-47AD-A92D-24E588DA29FA}"/>
    <cellStyle name="20% - Accent6 2 2 3 3" xfId="4960" xr:uid="{00000000-0005-0000-0000-00003B030000}"/>
    <cellStyle name="20% - Accent6 2 2 3 3 2" xfId="13410" xr:uid="{6C2F7D20-32A2-4013-8948-C20F44A928AD}"/>
    <cellStyle name="20% - Accent6 2 2 3 4" xfId="9192" xr:uid="{BDF25281-BF84-4AB5-9558-B869F89BE460}"/>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DEBF9B9A-F3ED-47A2-8C3D-E80B381AE9E9}"/>
    <cellStyle name="20% - Accent6 2 2 4 2 3" xfId="11750" xr:uid="{8C87196C-8B7C-4345-AE67-16F58142B08C}"/>
    <cellStyle name="20% - Accent6 2 2 4 3" xfId="5373" xr:uid="{00000000-0005-0000-0000-00003F030000}"/>
    <cellStyle name="20% - Accent6 2 2 4 3 2" xfId="13823" xr:uid="{9969C9A7-B432-4A69-8C55-7FDB0EB63272}"/>
    <cellStyle name="20% - Accent6 2 2 4 4" xfId="9605" xr:uid="{1B35D4F1-97FB-4C12-83D4-69F7666C8971}"/>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D5C5AAE5-8F1F-42FA-89E4-93509CC7EAF4}"/>
    <cellStyle name="20% - Accent6 2 2 5 2 3" xfId="12163" xr:uid="{D65BD633-767C-408A-97F4-98DE7EEB1CFA}"/>
    <cellStyle name="20% - Accent6 2 2 5 3" xfId="5786" xr:uid="{00000000-0005-0000-0000-000043030000}"/>
    <cellStyle name="20% - Accent6 2 2 5 3 2" xfId="14236" xr:uid="{1860404F-570A-43B4-87B7-4C72B046E24E}"/>
    <cellStyle name="20% - Accent6 2 2 5 4" xfId="10018" xr:uid="{9B81EEF8-2959-4504-8093-76B4B379EAB2}"/>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F7150796-D9EB-4316-8F54-9C343103B4B5}"/>
    <cellStyle name="20% - Accent6 2 2 6 2 3" xfId="12576" xr:uid="{4292DA42-528F-4F9D-9F25-49F8286E2398}"/>
    <cellStyle name="20% - Accent6 2 2 6 3" xfId="6199" xr:uid="{00000000-0005-0000-0000-000047030000}"/>
    <cellStyle name="20% - Accent6 2 2 6 3 2" xfId="14649" xr:uid="{3A9BACE0-2055-4458-AD03-270E31F620B4}"/>
    <cellStyle name="20% - Accent6 2 2 6 4" xfId="10431" xr:uid="{BDCE36F1-BA2E-46F9-A59A-04E20638EB76}"/>
    <cellStyle name="20% - Accent6 2 2 7" xfId="2306" xr:uid="{00000000-0005-0000-0000-000048030000}"/>
    <cellStyle name="20% - Accent6 2 2 7 2" xfId="6612" xr:uid="{00000000-0005-0000-0000-000049030000}"/>
    <cellStyle name="20% - Accent6 2 2 7 2 2" xfId="15062" xr:uid="{57E06014-2EE5-4C82-99AD-CBD8A10E912F}"/>
    <cellStyle name="20% - Accent6 2 2 7 3" xfId="10844" xr:uid="{5AC6A3C1-7612-42FD-B61B-9A1285577462}"/>
    <cellStyle name="20% - Accent6 2 2 8" xfId="4546" xr:uid="{00000000-0005-0000-0000-00004A030000}"/>
    <cellStyle name="20% - Accent6 2 2 8 2" xfId="12996" xr:uid="{C3F084CD-2FC8-4179-9F98-59AD7E9AFABE}"/>
    <cellStyle name="20% - Accent6 2 2 9" xfId="8778" xr:uid="{9337C9CB-E1CA-4425-97C2-D8C7C5D7E9DA}"/>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AF065814-E11A-4F27-B6B8-B49A2CFBEAEB}"/>
    <cellStyle name="20% - Accent6 2 3 2 2 3" xfId="11339" xr:uid="{2BD64A8F-E3BF-4C6A-A88C-EC158151FA66}"/>
    <cellStyle name="20% - Accent6 2 3 2 3" xfId="4962" xr:uid="{00000000-0005-0000-0000-00004F030000}"/>
    <cellStyle name="20% - Accent6 2 3 2 3 2" xfId="13412" xr:uid="{B7A9B5E1-65B9-49CF-AC37-196E15D6EA42}"/>
    <cellStyle name="20% - Accent6 2 3 2 4" xfId="9194" xr:uid="{C030D93F-3EEB-472F-9344-244BBF0C16E6}"/>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788074CC-B866-4ED0-9BE8-D68B990FD8EF}"/>
    <cellStyle name="20% - Accent6 2 3 3 2 3" xfId="11752" xr:uid="{0F385BCD-D6FC-4EEE-BD13-FD0CDD3A27FE}"/>
    <cellStyle name="20% - Accent6 2 3 3 3" xfId="5375" xr:uid="{00000000-0005-0000-0000-000053030000}"/>
    <cellStyle name="20% - Accent6 2 3 3 3 2" xfId="13825" xr:uid="{DFAEB79B-01BF-439C-BA21-144FD79300D9}"/>
    <cellStyle name="20% - Accent6 2 3 3 4" xfId="9607" xr:uid="{CAF7ADCD-DB8F-47AE-B1BF-3A4F8C9E3FCF}"/>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AFBBD207-76F6-41F3-8B18-946CC482AEA6}"/>
    <cellStyle name="20% - Accent6 2 3 4 2 3" xfId="12165" xr:uid="{C591ED18-F7BC-4D64-AE22-87C38664AD1F}"/>
    <cellStyle name="20% - Accent6 2 3 4 3" xfId="5788" xr:uid="{00000000-0005-0000-0000-000057030000}"/>
    <cellStyle name="20% - Accent6 2 3 4 3 2" xfId="14238" xr:uid="{23134E47-DBFB-4E91-AC4C-D7D7D5830DEA}"/>
    <cellStyle name="20% - Accent6 2 3 4 4" xfId="10020" xr:uid="{5D1E8E4E-4C35-4973-BB76-5F2A6FC643B1}"/>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8ABA2893-063B-45CC-A071-011D5BA51EAC}"/>
    <cellStyle name="20% - Accent6 2 3 5 2 3" xfId="12578" xr:uid="{B2727BE8-EEFD-4A62-B394-00D347F6DBA2}"/>
    <cellStyle name="20% - Accent6 2 3 5 3" xfId="6201" xr:uid="{00000000-0005-0000-0000-00005B030000}"/>
    <cellStyle name="20% - Accent6 2 3 5 3 2" xfId="14651" xr:uid="{579AC704-5867-479E-914D-560550A12E6E}"/>
    <cellStyle name="20% - Accent6 2 3 5 4" xfId="10433" xr:uid="{A6465BF3-6116-4EA4-9681-AF29139A3F3C}"/>
    <cellStyle name="20% - Accent6 2 3 6" xfId="2308" xr:uid="{00000000-0005-0000-0000-00005C030000}"/>
    <cellStyle name="20% - Accent6 2 3 6 2" xfId="6614" xr:uid="{00000000-0005-0000-0000-00005D030000}"/>
    <cellStyle name="20% - Accent6 2 3 6 2 2" xfId="15064" xr:uid="{91CB0FCA-F782-42EB-97F5-ED1D357976A7}"/>
    <cellStyle name="20% - Accent6 2 3 6 3" xfId="10846" xr:uid="{58CB9153-7377-48D7-9959-5393B6B29FF7}"/>
    <cellStyle name="20% - Accent6 2 3 7" xfId="4548" xr:uid="{00000000-0005-0000-0000-00005E030000}"/>
    <cellStyle name="20% - Accent6 2 3 7 2" xfId="12998" xr:uid="{D7AA91CA-D45F-47E8-A179-B7DDE8C8B6EF}"/>
    <cellStyle name="20% - Accent6 2 3 8" xfId="8780" xr:uid="{A1BB7097-5A40-4F12-B89F-BC4A862BB3B2}"/>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9A750714-01BE-432B-A0B5-B9C17E715C2A}"/>
    <cellStyle name="20% - Accent6 2 4 2 3" xfId="11336" xr:uid="{D9820263-D828-42CD-B6D9-71CF19614185}"/>
    <cellStyle name="20% - Accent6 2 4 3" xfId="4959" xr:uid="{00000000-0005-0000-0000-000062030000}"/>
    <cellStyle name="20% - Accent6 2 4 3 2" xfId="13409" xr:uid="{D74FE9BF-A676-443E-8381-98503CFE9CF0}"/>
    <cellStyle name="20% - Accent6 2 4 4" xfId="9191" xr:uid="{2CD4F499-351E-414B-8631-C91ABF7E1432}"/>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E448041F-E439-4DF7-AECC-773137689E85}"/>
    <cellStyle name="20% - Accent6 2 5 2 3" xfId="11749" xr:uid="{C2C24E8B-682D-45DD-A57B-F9A5C293356D}"/>
    <cellStyle name="20% - Accent6 2 5 3" xfId="5372" xr:uid="{00000000-0005-0000-0000-000066030000}"/>
    <cellStyle name="20% - Accent6 2 5 3 2" xfId="13822" xr:uid="{2AE212DB-FBF3-46E7-A0BF-7B738ED7EFC4}"/>
    <cellStyle name="20% - Accent6 2 5 4" xfId="9604" xr:uid="{2786185F-5505-45FB-B1A3-4A643F7CAA8B}"/>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6DA6F83A-B9A2-4A5A-BF1C-5BA9BBD425F9}"/>
    <cellStyle name="20% - Accent6 2 6 2 3" xfId="12162" xr:uid="{B2F07072-97FA-4B1E-B3CE-F45166726D29}"/>
    <cellStyle name="20% - Accent6 2 6 3" xfId="5785" xr:uid="{00000000-0005-0000-0000-00006A030000}"/>
    <cellStyle name="20% - Accent6 2 6 3 2" xfId="14235" xr:uid="{C10C6522-3BB1-48EE-86E6-DFEBB84E6A48}"/>
    <cellStyle name="20% - Accent6 2 6 4" xfId="10017" xr:uid="{89AB9131-B8C7-4A82-9924-181EBD5684C7}"/>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74AA11B1-5360-4549-AE6C-E60A04F71EFA}"/>
    <cellStyle name="20% - Accent6 2 7 2 3" xfId="12575" xr:uid="{F29A44C5-72B8-4338-B616-7A9EB21821F3}"/>
    <cellStyle name="20% - Accent6 2 7 3" xfId="6198" xr:uid="{00000000-0005-0000-0000-00006E030000}"/>
    <cellStyle name="20% - Accent6 2 7 3 2" xfId="14648" xr:uid="{7DC2FB11-9A9B-42F7-B398-7F4FD547CD7B}"/>
    <cellStyle name="20% - Accent6 2 7 4" xfId="10430" xr:uid="{B6DF630B-9378-4B59-8C1F-0F3BD9498C33}"/>
    <cellStyle name="20% - Accent6 2 8" xfId="2305" xr:uid="{00000000-0005-0000-0000-00006F030000}"/>
    <cellStyle name="20% - Accent6 2 8 2" xfId="6611" xr:uid="{00000000-0005-0000-0000-000070030000}"/>
    <cellStyle name="20% - Accent6 2 8 2 2" xfId="15061" xr:uid="{F0848668-DA11-43D1-9B24-03010CA359F0}"/>
    <cellStyle name="20% - Accent6 2 8 3" xfId="10843" xr:uid="{596A7EBC-8CF5-4F59-ACDF-3DF1A1E46BE4}"/>
    <cellStyle name="20% - Accent6 2 9" xfId="4545" xr:uid="{00000000-0005-0000-0000-000071030000}"/>
    <cellStyle name="20% - Accent6 2 9 2" xfId="12995" xr:uid="{10DAA45E-F135-4BA2-B922-CF240EED92DC}"/>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D233F49E-6430-4F0F-9502-0819991D6F05}"/>
    <cellStyle name="20% - Accent6 3 2 2 2 3" xfId="11341" xr:uid="{816D1233-CEBE-41B4-8F2B-91FEB636F30D}"/>
    <cellStyle name="20% - Accent6 3 2 2 3" xfId="4964" xr:uid="{00000000-0005-0000-0000-000077030000}"/>
    <cellStyle name="20% - Accent6 3 2 2 3 2" xfId="13414" xr:uid="{9C0EC74A-7762-4184-B138-2BDD850B30AB}"/>
    <cellStyle name="20% - Accent6 3 2 2 4" xfId="9196" xr:uid="{13A7E5DF-CA37-402C-876A-6151BF70C770}"/>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4EA21816-3A2A-4172-AD22-CEFA102C3865}"/>
    <cellStyle name="20% - Accent6 3 2 3 2 3" xfId="11754" xr:uid="{64859FFE-FEEE-4520-912C-528B0A4CBC40}"/>
    <cellStyle name="20% - Accent6 3 2 3 3" xfId="5377" xr:uid="{00000000-0005-0000-0000-00007B030000}"/>
    <cellStyle name="20% - Accent6 3 2 3 3 2" xfId="13827" xr:uid="{541E9F48-2161-465F-BFA9-87F0E0B2EAF7}"/>
    <cellStyle name="20% - Accent6 3 2 3 4" xfId="9609" xr:uid="{015C331B-F295-4EE7-A649-8C60FFEA9AA1}"/>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91222EFA-C821-4991-A0C1-BE8D1B3B2346}"/>
    <cellStyle name="20% - Accent6 3 2 4 2 3" xfId="12167" xr:uid="{F0521F5F-C0A2-4812-87B9-2390F423794E}"/>
    <cellStyle name="20% - Accent6 3 2 4 3" xfId="5790" xr:uid="{00000000-0005-0000-0000-00007F030000}"/>
    <cellStyle name="20% - Accent6 3 2 4 3 2" xfId="14240" xr:uid="{67912B13-B6D4-4D64-969A-EB50410A2164}"/>
    <cellStyle name="20% - Accent6 3 2 4 4" xfId="10022" xr:uid="{BB8F40C6-7BE3-4BCC-AB4F-0F13E4E82478}"/>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C0ACC94F-806D-48A3-A9AB-5BEBD9D27347}"/>
    <cellStyle name="20% - Accent6 3 2 5 2 3" xfId="12580" xr:uid="{4BB18B53-5E2E-4638-883F-3BDE10E113BD}"/>
    <cellStyle name="20% - Accent6 3 2 5 3" xfId="6203" xr:uid="{00000000-0005-0000-0000-000083030000}"/>
    <cellStyle name="20% - Accent6 3 2 5 3 2" xfId="14653" xr:uid="{95A0BB54-FA56-4818-99BA-5B472FB15FEF}"/>
    <cellStyle name="20% - Accent6 3 2 5 4" xfId="10435" xr:uid="{E61EDE8E-9CB5-4B15-9EFA-92DDE9A2B599}"/>
    <cellStyle name="20% - Accent6 3 2 6" xfId="2310" xr:uid="{00000000-0005-0000-0000-000084030000}"/>
    <cellStyle name="20% - Accent6 3 2 6 2" xfId="6616" xr:uid="{00000000-0005-0000-0000-000085030000}"/>
    <cellStyle name="20% - Accent6 3 2 6 2 2" xfId="15066" xr:uid="{3AB372D4-34A0-4E8C-ACC0-72B931C52CDB}"/>
    <cellStyle name="20% - Accent6 3 2 6 3" xfId="10848" xr:uid="{EC0EE95E-88C0-4F56-9C5B-DB1286B5895F}"/>
    <cellStyle name="20% - Accent6 3 2 7" xfId="4550" xr:uid="{00000000-0005-0000-0000-000086030000}"/>
    <cellStyle name="20% - Accent6 3 2 7 2" xfId="13000" xr:uid="{A5EA1140-1C1C-4AF4-A847-FC5220E31D49}"/>
    <cellStyle name="20% - Accent6 3 2 8" xfId="8782" xr:uid="{C9BD211D-EFD9-428B-95E5-A6BD407AF1C8}"/>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C842CAEA-4C41-4A83-8E50-A26109BD12E1}"/>
    <cellStyle name="20% - Accent6 3 3 2 3" xfId="11340" xr:uid="{873A0A66-A013-496F-AA3D-D26CB4E1A92F}"/>
    <cellStyle name="20% - Accent6 3 3 3" xfId="4963" xr:uid="{00000000-0005-0000-0000-00008A030000}"/>
    <cellStyle name="20% - Accent6 3 3 3 2" xfId="13413" xr:uid="{3F6FC3A3-83A4-4225-95E1-B597FB2C36D2}"/>
    <cellStyle name="20% - Accent6 3 3 4" xfId="9195" xr:uid="{DCDF2E1D-9B6A-44B5-A1AF-0C6277AA08F1}"/>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6349F002-4418-4E96-ACCA-8393F27B385E}"/>
    <cellStyle name="20% - Accent6 3 4 2 3" xfId="11753" xr:uid="{12D9CAD1-D630-43B7-975F-CAA701EA4532}"/>
    <cellStyle name="20% - Accent6 3 4 3" xfId="5376" xr:uid="{00000000-0005-0000-0000-00008E030000}"/>
    <cellStyle name="20% - Accent6 3 4 3 2" xfId="13826" xr:uid="{88CE3C44-D4D4-45EE-AE4C-FB6629FFEF47}"/>
    <cellStyle name="20% - Accent6 3 4 4" xfId="9608" xr:uid="{749E7DC7-E700-45D2-BAED-5B01DEA28190}"/>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F78B1A1C-25DF-4095-8D1A-D28E35ABC37A}"/>
    <cellStyle name="20% - Accent6 3 5 2 3" xfId="12166" xr:uid="{5D76ED56-67BB-4F68-A1FE-649D4C3D1FEE}"/>
    <cellStyle name="20% - Accent6 3 5 3" xfId="5789" xr:uid="{00000000-0005-0000-0000-000092030000}"/>
    <cellStyle name="20% - Accent6 3 5 3 2" xfId="14239" xr:uid="{F9549C19-3E74-4E9D-9B18-B3E1C84F2D96}"/>
    <cellStyle name="20% - Accent6 3 5 4" xfId="10021" xr:uid="{57781C19-1E96-4BB1-A2BB-369FEE9F596F}"/>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06E50CDA-CA99-4AB3-A99B-E2D657B33C1C}"/>
    <cellStyle name="20% - Accent6 3 6 2 3" xfId="12579" xr:uid="{FD70CD6D-ACD3-4D2E-A8C1-63CB51AE1186}"/>
    <cellStyle name="20% - Accent6 3 6 3" xfId="6202" xr:uid="{00000000-0005-0000-0000-000096030000}"/>
    <cellStyle name="20% - Accent6 3 6 3 2" xfId="14652" xr:uid="{1BE68495-AA99-4274-AFC3-84612E8BE82B}"/>
    <cellStyle name="20% - Accent6 3 6 4" xfId="10434" xr:uid="{F08097CB-D2BF-4125-A413-A30608147DF5}"/>
    <cellStyle name="20% - Accent6 3 7" xfId="2309" xr:uid="{00000000-0005-0000-0000-000097030000}"/>
    <cellStyle name="20% - Accent6 3 7 2" xfId="6615" xr:uid="{00000000-0005-0000-0000-000098030000}"/>
    <cellStyle name="20% - Accent6 3 7 2 2" xfId="15065" xr:uid="{E88B3332-04A5-48BA-BED0-09311CAD1EAE}"/>
    <cellStyle name="20% - Accent6 3 7 3" xfId="10847" xr:uid="{24297677-B417-4AB5-AE6F-9D6F47C51020}"/>
    <cellStyle name="20% - Accent6 3 8" xfId="4549" xr:uid="{00000000-0005-0000-0000-000099030000}"/>
    <cellStyle name="20% - Accent6 3 8 2" xfId="12999" xr:uid="{72A8B322-DEF0-40C6-B300-8359EFBDBFF4}"/>
    <cellStyle name="20% - Accent6 3 9" xfId="8781" xr:uid="{B1766312-F88F-4617-BB5C-4704E68C187D}"/>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F7E72B70-38E2-4776-8646-968C62DAB044}"/>
    <cellStyle name="20% - Accent6 4 2 2 3" xfId="11342" xr:uid="{FACB7A62-B09C-418C-AE29-BE7B0AC38776}"/>
    <cellStyle name="20% - Accent6 4 2 3" xfId="4965" xr:uid="{00000000-0005-0000-0000-00009E030000}"/>
    <cellStyle name="20% - Accent6 4 2 3 2" xfId="13415" xr:uid="{B64F3CE4-CDD3-4288-806F-D765D8174622}"/>
    <cellStyle name="20% - Accent6 4 2 4" xfId="9197" xr:uid="{B62C04D9-1007-4B10-8FCD-40F2536FDF44}"/>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AD660A53-2CB2-4DA4-9FEF-62912FC0D344}"/>
    <cellStyle name="20% - Accent6 4 3 2 3" xfId="11755" xr:uid="{CB6ACD2A-4193-4601-AF4E-063D16F9F8C7}"/>
    <cellStyle name="20% - Accent6 4 3 3" xfId="5378" xr:uid="{00000000-0005-0000-0000-0000A2030000}"/>
    <cellStyle name="20% - Accent6 4 3 3 2" xfId="13828" xr:uid="{F95D5449-4515-4CC8-9313-3BA52E8C95DF}"/>
    <cellStyle name="20% - Accent6 4 3 4" xfId="9610" xr:uid="{042CB77C-0999-482E-95A8-780C16A4AFDE}"/>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CE97AC09-E024-4E86-8A13-D259EA6A4DA4}"/>
    <cellStyle name="20% - Accent6 4 4 2 3" xfId="12168" xr:uid="{F0B26654-EB21-4216-86FA-8172B990F41F}"/>
    <cellStyle name="20% - Accent6 4 4 3" xfId="5791" xr:uid="{00000000-0005-0000-0000-0000A6030000}"/>
    <cellStyle name="20% - Accent6 4 4 3 2" xfId="14241" xr:uid="{7BEBB15F-D7B1-4F4A-A7DB-282CCDA8D42B}"/>
    <cellStyle name="20% - Accent6 4 4 4" xfId="10023" xr:uid="{4A3D878C-A1EA-4A99-ADBC-19182BE3DBBA}"/>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9097E2A9-4FC3-4EA9-99C3-DBCBB0E2611C}"/>
    <cellStyle name="20% - Accent6 4 5 2 3" xfId="12581" xr:uid="{3A173528-3DA7-4803-8486-47A596BD6138}"/>
    <cellStyle name="20% - Accent6 4 5 3" xfId="6204" xr:uid="{00000000-0005-0000-0000-0000AA030000}"/>
    <cellStyle name="20% - Accent6 4 5 3 2" xfId="14654" xr:uid="{293B55DE-3B49-4FC4-8F76-FD7E50C63273}"/>
    <cellStyle name="20% - Accent6 4 5 4" xfId="10436" xr:uid="{6C856E71-85ED-45F6-8B42-F5E52B80D1C0}"/>
    <cellStyle name="20% - Accent6 4 6" xfId="2311" xr:uid="{00000000-0005-0000-0000-0000AB030000}"/>
    <cellStyle name="20% - Accent6 4 6 2" xfId="6617" xr:uid="{00000000-0005-0000-0000-0000AC030000}"/>
    <cellStyle name="20% - Accent6 4 6 2 2" xfId="15067" xr:uid="{2BEE15F3-B8EF-410E-9DE2-8F4E52733701}"/>
    <cellStyle name="20% - Accent6 4 6 3" xfId="10849" xr:uid="{88393B2A-37D3-4F41-A6D9-D1E959A9B688}"/>
    <cellStyle name="20% - Accent6 4 7" xfId="4551" xr:uid="{00000000-0005-0000-0000-0000AD030000}"/>
    <cellStyle name="20% - Accent6 4 7 2" xfId="13001" xr:uid="{3654CA6D-B48F-41D3-9EB1-C210E1F295F0}"/>
    <cellStyle name="20% - Accent6 4 8" xfId="8783" xr:uid="{9468EF1E-11E6-4D5E-BD4E-638B600E35F8}"/>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CD198E54-9774-4201-AA33-90465C91A03B}"/>
    <cellStyle name="20% - Accent6 5 2 3" xfId="11335" xr:uid="{0DDB340A-CB63-46FB-9B9C-364DE2EF8880}"/>
    <cellStyle name="20% - Accent6 5 3" xfId="4958" xr:uid="{00000000-0005-0000-0000-0000B1030000}"/>
    <cellStyle name="20% - Accent6 5 3 2" xfId="13408" xr:uid="{A4B5AFBE-8B08-4307-9746-A3BCA0CEA669}"/>
    <cellStyle name="20% - Accent6 5 4" xfId="9190" xr:uid="{9D7EFDEF-5564-45E4-81BE-C753D7EF489F}"/>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AB708866-0AB2-4054-A17F-0190E2169F69}"/>
    <cellStyle name="20% - Accent6 6 2 3" xfId="11748" xr:uid="{65269EDD-A134-4863-B4DF-4E89C32554EE}"/>
    <cellStyle name="20% - Accent6 6 3" xfId="5371" xr:uid="{00000000-0005-0000-0000-0000B5030000}"/>
    <cellStyle name="20% - Accent6 6 3 2" xfId="13821" xr:uid="{0929B0DE-73DC-4CCF-8448-A4DAC6ED6570}"/>
    <cellStyle name="20% - Accent6 6 4" xfId="9603" xr:uid="{35F54D42-2BD9-40E8-8170-E691395FEBA5}"/>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2EBD8DD9-D971-41D0-991A-811DF1C50B62}"/>
    <cellStyle name="20% - Accent6 7 2 3" xfId="12161" xr:uid="{44E7BDDA-09F0-4333-8C99-4F84BE706347}"/>
    <cellStyle name="20% - Accent6 7 3" xfId="5784" xr:uid="{00000000-0005-0000-0000-0000B9030000}"/>
    <cellStyle name="20% - Accent6 7 3 2" xfId="14234" xr:uid="{A65E9810-B976-41AC-93A1-A5A73C32E873}"/>
    <cellStyle name="20% - Accent6 7 4" xfId="10016" xr:uid="{06026027-CAEA-490C-859A-C68D6A6ECED9}"/>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733F3B5B-4EA1-445E-87DC-C7BEF8FFCA11}"/>
    <cellStyle name="20% - Accent6 8 2 3" xfId="12574" xr:uid="{A9B43817-35A7-4D4E-AABE-F9E1938FA99A}"/>
    <cellStyle name="20% - Accent6 8 3" xfId="6197" xr:uid="{00000000-0005-0000-0000-0000BD030000}"/>
    <cellStyle name="20% - Accent6 8 3 2" xfId="14647" xr:uid="{512C70D2-387B-4006-BF49-59E622A3D47D}"/>
    <cellStyle name="20% - Accent6 8 4" xfId="10429" xr:uid="{11A6BA38-D6D6-4A4C-9716-199C612FA039}"/>
    <cellStyle name="20% - Accent6 9" xfId="2304" xr:uid="{00000000-0005-0000-0000-0000BE030000}"/>
    <cellStyle name="20% - Accent6 9 2" xfId="6610" xr:uid="{00000000-0005-0000-0000-0000BF030000}"/>
    <cellStyle name="20% - Accent6 9 2 2" xfId="15060" xr:uid="{7A734AD7-2F8C-4C68-B0D6-2676DC2C7EF7}"/>
    <cellStyle name="20% - Accent6 9 3" xfId="10842" xr:uid="{132D1002-0767-4808-936E-3F82DBF9E3D4}"/>
    <cellStyle name="40% - Accent1" xfId="49" builtinId="31" customBuiltin="1"/>
    <cellStyle name="40% - Accent1 10" xfId="4552" xr:uid="{00000000-0005-0000-0000-0000C1030000}"/>
    <cellStyle name="40% - Accent1 10 2" xfId="13002" xr:uid="{EAC1717C-CA8F-4E34-8D22-A90EC3F1A462}"/>
    <cellStyle name="40% - Accent1 11" xfId="8784" xr:uid="{1DB3966D-EC21-4575-AE93-3AA87FFC7270}"/>
    <cellStyle name="40% - Accent1 2" xfId="50" xr:uid="{00000000-0005-0000-0000-0000C2030000}"/>
    <cellStyle name="40% - Accent1 2 10" xfId="8785" xr:uid="{5F6FFEED-59ED-4F9A-AF8D-DC4FD7F5409B}"/>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B546C0D3-7602-4164-8E62-472B526A02D2}"/>
    <cellStyle name="40% - Accent1 2 2 2 2 2 3" xfId="11346" xr:uid="{EBDD3675-8DC9-45AD-B814-75210A44FAF2}"/>
    <cellStyle name="40% - Accent1 2 2 2 2 3" xfId="4969" xr:uid="{00000000-0005-0000-0000-0000C8030000}"/>
    <cellStyle name="40% - Accent1 2 2 2 2 3 2" xfId="13419" xr:uid="{8015BB02-C95E-45C0-BCB6-8BB8CDDFCD3A}"/>
    <cellStyle name="40% - Accent1 2 2 2 2 4" xfId="9201" xr:uid="{9C05473C-F04C-469D-8E76-720876095BB9}"/>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5BE676A7-97A9-43C9-B678-489B5EBD92A6}"/>
    <cellStyle name="40% - Accent1 2 2 2 3 2 3" xfId="11759" xr:uid="{9B7B06F4-F137-4670-9ECA-0DCC381050BB}"/>
    <cellStyle name="40% - Accent1 2 2 2 3 3" xfId="5382" xr:uid="{00000000-0005-0000-0000-0000CC030000}"/>
    <cellStyle name="40% - Accent1 2 2 2 3 3 2" xfId="13832" xr:uid="{79D69A26-DAC6-4A1B-8D80-76F867D6C76F}"/>
    <cellStyle name="40% - Accent1 2 2 2 3 4" xfId="9614" xr:uid="{CB1FCC48-DB3F-4248-82D5-FBFFFFBC6AFB}"/>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6B5DDF02-48D2-44CF-806F-8B75A5135B5D}"/>
    <cellStyle name="40% - Accent1 2 2 2 4 2 3" xfId="12172" xr:uid="{AD723EC0-CF9A-40D2-ADDF-CE42F256980F}"/>
    <cellStyle name="40% - Accent1 2 2 2 4 3" xfId="5795" xr:uid="{00000000-0005-0000-0000-0000D0030000}"/>
    <cellStyle name="40% - Accent1 2 2 2 4 3 2" xfId="14245" xr:uid="{61376EA6-FDB3-4B43-97C5-08049B616AB7}"/>
    <cellStyle name="40% - Accent1 2 2 2 4 4" xfId="10027" xr:uid="{66972D11-12A2-4F07-913D-059A36FC4852}"/>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00540286-4660-4CF0-87A8-04CECD56F1F0}"/>
    <cellStyle name="40% - Accent1 2 2 2 5 2 3" xfId="12585" xr:uid="{74F25F32-06EF-4AC4-9B70-17ED358A9B19}"/>
    <cellStyle name="40% - Accent1 2 2 2 5 3" xfId="6208" xr:uid="{00000000-0005-0000-0000-0000D4030000}"/>
    <cellStyle name="40% - Accent1 2 2 2 5 3 2" xfId="14658" xr:uid="{B4B49E3B-2C91-437A-9334-916B75FD10F4}"/>
    <cellStyle name="40% - Accent1 2 2 2 5 4" xfId="10440" xr:uid="{D85765FA-B579-45E7-9CF9-4410775EE087}"/>
    <cellStyle name="40% - Accent1 2 2 2 6" xfId="2315" xr:uid="{00000000-0005-0000-0000-0000D5030000}"/>
    <cellStyle name="40% - Accent1 2 2 2 6 2" xfId="6621" xr:uid="{00000000-0005-0000-0000-0000D6030000}"/>
    <cellStyle name="40% - Accent1 2 2 2 6 2 2" xfId="15071" xr:uid="{F7519877-E0F6-4CF5-BB35-02165245B232}"/>
    <cellStyle name="40% - Accent1 2 2 2 6 3" xfId="10853" xr:uid="{2F8E4E8D-8CCE-4D93-98C3-9CE7852C419E}"/>
    <cellStyle name="40% - Accent1 2 2 2 7" xfId="4555" xr:uid="{00000000-0005-0000-0000-0000D7030000}"/>
    <cellStyle name="40% - Accent1 2 2 2 7 2" xfId="13005" xr:uid="{1C243B6E-66BD-426B-9F91-8E6A63C46381}"/>
    <cellStyle name="40% - Accent1 2 2 2 8" xfId="8787" xr:uid="{0CB9B2E1-F56C-4101-ADB5-1FDF6BE95F6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53CB3255-F0C9-470F-B0B2-D6021C64774A}"/>
    <cellStyle name="40% - Accent1 2 2 3 2 3" xfId="11345" xr:uid="{4E8727A8-6571-4128-AE97-FA79FAD1F96F}"/>
    <cellStyle name="40% - Accent1 2 2 3 3" xfId="4968" xr:uid="{00000000-0005-0000-0000-0000DB030000}"/>
    <cellStyle name="40% - Accent1 2 2 3 3 2" xfId="13418" xr:uid="{2BC4DC35-58E5-4901-97EC-3B3A40CFEB8C}"/>
    <cellStyle name="40% - Accent1 2 2 3 4" xfId="9200" xr:uid="{2543B154-5344-45DF-9003-066FFEDEDDF0}"/>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1435C624-436D-492C-8E4B-E68C16470743}"/>
    <cellStyle name="40% - Accent1 2 2 4 2 3" xfId="11758" xr:uid="{FEF6156A-BADB-4329-BD85-97A3F968DCD5}"/>
    <cellStyle name="40% - Accent1 2 2 4 3" xfId="5381" xr:uid="{00000000-0005-0000-0000-0000DF030000}"/>
    <cellStyle name="40% - Accent1 2 2 4 3 2" xfId="13831" xr:uid="{C4B5D302-6A1D-41B4-B7D0-D55F256A97BC}"/>
    <cellStyle name="40% - Accent1 2 2 4 4" xfId="9613" xr:uid="{D8E2808A-F403-45D0-9998-950082898649}"/>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62034FB6-26D9-41A4-95E3-3DC7FAA42487}"/>
    <cellStyle name="40% - Accent1 2 2 5 2 3" xfId="12171" xr:uid="{3A529F7A-F706-46A7-9A5B-9E0F55DF66E6}"/>
    <cellStyle name="40% - Accent1 2 2 5 3" xfId="5794" xr:uid="{00000000-0005-0000-0000-0000E3030000}"/>
    <cellStyle name="40% - Accent1 2 2 5 3 2" xfId="14244" xr:uid="{1CCA993B-0AC3-431E-85B1-D1359CBE9A72}"/>
    <cellStyle name="40% - Accent1 2 2 5 4" xfId="10026" xr:uid="{18C454BE-C547-47FD-BA91-BC6DC75B32D7}"/>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652BFA04-D7EB-4131-A975-FEADF33EDEF1}"/>
    <cellStyle name="40% - Accent1 2 2 6 2 3" xfId="12584" xr:uid="{B201DDFD-F165-420E-B3A6-12E3D4F891FF}"/>
    <cellStyle name="40% - Accent1 2 2 6 3" xfId="6207" xr:uid="{00000000-0005-0000-0000-0000E7030000}"/>
    <cellStyle name="40% - Accent1 2 2 6 3 2" xfId="14657" xr:uid="{16BD88F0-7E88-4070-A234-3006FC2BB63E}"/>
    <cellStyle name="40% - Accent1 2 2 6 4" xfId="10439" xr:uid="{C81B2D4E-ECA8-47AC-B557-E3A6F2D809E4}"/>
    <cellStyle name="40% - Accent1 2 2 7" xfId="2314" xr:uid="{00000000-0005-0000-0000-0000E8030000}"/>
    <cellStyle name="40% - Accent1 2 2 7 2" xfId="6620" xr:uid="{00000000-0005-0000-0000-0000E9030000}"/>
    <cellStyle name="40% - Accent1 2 2 7 2 2" xfId="15070" xr:uid="{552E1625-7E31-4539-AE02-6E71890B1B1C}"/>
    <cellStyle name="40% - Accent1 2 2 7 3" xfId="10852" xr:uid="{4E6A2C90-0502-4AEB-8D31-C629F3E72037}"/>
    <cellStyle name="40% - Accent1 2 2 8" xfId="4554" xr:uid="{00000000-0005-0000-0000-0000EA030000}"/>
    <cellStyle name="40% - Accent1 2 2 8 2" xfId="13004" xr:uid="{F744C7B4-88E4-4257-8F6F-D159780B456F}"/>
    <cellStyle name="40% - Accent1 2 2 9" xfId="8786" xr:uid="{922B14C1-503D-4C53-BE77-055D60CA683B}"/>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7E6F282C-3C59-4283-ADBB-0830C3EB0BD9}"/>
    <cellStyle name="40% - Accent1 2 3 2 2 3" xfId="11347" xr:uid="{8121F767-4F1A-4573-866D-6FDA9BFA7F8F}"/>
    <cellStyle name="40% - Accent1 2 3 2 3" xfId="4970" xr:uid="{00000000-0005-0000-0000-0000EF030000}"/>
    <cellStyle name="40% - Accent1 2 3 2 3 2" xfId="13420" xr:uid="{4CDED081-8E95-4E24-8418-09B50779E56C}"/>
    <cellStyle name="40% - Accent1 2 3 2 4" xfId="9202" xr:uid="{A5016D3D-AC14-41A3-9734-9A3CD24FEDFE}"/>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FD012F9A-04E8-4EAC-96F4-47538123D747}"/>
    <cellStyle name="40% - Accent1 2 3 3 2 3" xfId="11760" xr:uid="{22AB37BE-3A25-471E-A2A6-8F90E62B3B97}"/>
    <cellStyle name="40% - Accent1 2 3 3 3" xfId="5383" xr:uid="{00000000-0005-0000-0000-0000F3030000}"/>
    <cellStyle name="40% - Accent1 2 3 3 3 2" xfId="13833" xr:uid="{0C15D90F-70FC-4F3F-951C-3AC567234104}"/>
    <cellStyle name="40% - Accent1 2 3 3 4" xfId="9615" xr:uid="{42D9AF9E-EDA9-4D2D-8831-2A6AE7FFE1F8}"/>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EB1A7F8D-C27F-4DC2-ABCC-F80E3131EF1A}"/>
    <cellStyle name="40% - Accent1 2 3 4 2 3" xfId="12173" xr:uid="{04F17097-B3C1-4730-B5E6-05E312CE2F58}"/>
    <cellStyle name="40% - Accent1 2 3 4 3" xfId="5796" xr:uid="{00000000-0005-0000-0000-0000F7030000}"/>
    <cellStyle name="40% - Accent1 2 3 4 3 2" xfId="14246" xr:uid="{E93660C8-626A-410A-B19B-046FAD2300CC}"/>
    <cellStyle name="40% - Accent1 2 3 4 4" xfId="10028" xr:uid="{09B0A920-6969-4023-BF24-D2B7512790DA}"/>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7F2DEEDB-5866-480B-BE6C-C76930C1F229}"/>
    <cellStyle name="40% - Accent1 2 3 5 2 3" xfId="12586" xr:uid="{B8463378-525C-45F7-9CDC-2D0D59A30B6F}"/>
    <cellStyle name="40% - Accent1 2 3 5 3" xfId="6209" xr:uid="{00000000-0005-0000-0000-0000FB030000}"/>
    <cellStyle name="40% - Accent1 2 3 5 3 2" xfId="14659" xr:uid="{F87E118E-4C24-47AE-80CE-0AF3B82B8788}"/>
    <cellStyle name="40% - Accent1 2 3 5 4" xfId="10441" xr:uid="{07942486-9543-4F7E-ABFD-6EC3EDB3A9B5}"/>
    <cellStyle name="40% - Accent1 2 3 6" xfId="2316" xr:uid="{00000000-0005-0000-0000-0000FC030000}"/>
    <cellStyle name="40% - Accent1 2 3 6 2" xfId="6622" xr:uid="{00000000-0005-0000-0000-0000FD030000}"/>
    <cellStyle name="40% - Accent1 2 3 6 2 2" xfId="15072" xr:uid="{509E330E-E9DB-41FB-AEEA-64FE9E5F36A5}"/>
    <cellStyle name="40% - Accent1 2 3 6 3" xfId="10854" xr:uid="{3A227474-D29E-49EB-B3F0-4ACA4030296A}"/>
    <cellStyle name="40% - Accent1 2 3 7" xfId="4556" xr:uid="{00000000-0005-0000-0000-0000FE030000}"/>
    <cellStyle name="40% - Accent1 2 3 7 2" xfId="13006" xr:uid="{D4D3F4F0-965E-47AD-833A-088DE3C9AC13}"/>
    <cellStyle name="40% - Accent1 2 3 8" xfId="8788" xr:uid="{B76F4CB2-2663-4352-8A0E-0A3B40DC81EC}"/>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CADC0AAE-8B7E-4BD9-B77D-E2C2B7BB29D1}"/>
    <cellStyle name="40% - Accent1 2 4 2 3" xfId="11344" xr:uid="{4A6BC4DE-CC39-4F47-9074-C431A9BFF108}"/>
    <cellStyle name="40% - Accent1 2 4 3" xfId="4967" xr:uid="{00000000-0005-0000-0000-000002040000}"/>
    <cellStyle name="40% - Accent1 2 4 3 2" xfId="13417" xr:uid="{423B8EC4-7C62-49E5-A617-9F4EDC4F7D98}"/>
    <cellStyle name="40% - Accent1 2 4 4" xfId="9199" xr:uid="{B7301249-A11D-41CC-9C6C-9378471D2BA4}"/>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5C1B14FB-443B-4F93-9665-92E27B245E2C}"/>
    <cellStyle name="40% - Accent1 2 5 2 3" xfId="11757" xr:uid="{C3D86B4A-D58C-4DDB-B695-8681FE086921}"/>
    <cellStyle name="40% - Accent1 2 5 3" xfId="5380" xr:uid="{00000000-0005-0000-0000-000006040000}"/>
    <cellStyle name="40% - Accent1 2 5 3 2" xfId="13830" xr:uid="{C0EE1126-EAC9-4366-A078-BC31FFEDB167}"/>
    <cellStyle name="40% - Accent1 2 5 4" xfId="9612" xr:uid="{06BB0D20-3B87-4AC8-8FFB-E255C683B5A4}"/>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CD94532C-E019-4B1F-8425-28B28BE3A01E}"/>
    <cellStyle name="40% - Accent1 2 6 2 3" xfId="12170" xr:uid="{D6D96397-F337-4351-9143-F6A18189794B}"/>
    <cellStyle name="40% - Accent1 2 6 3" xfId="5793" xr:uid="{00000000-0005-0000-0000-00000A040000}"/>
    <cellStyle name="40% - Accent1 2 6 3 2" xfId="14243" xr:uid="{3D2174F2-D570-483D-A820-43CBB7E3C597}"/>
    <cellStyle name="40% - Accent1 2 6 4" xfId="10025" xr:uid="{7CAF45EE-5D9A-493B-B88B-D4B896F4D831}"/>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BAC65B09-AEF1-4621-BA2A-7E67F45BB4C8}"/>
    <cellStyle name="40% - Accent1 2 7 2 3" xfId="12583" xr:uid="{10A7303F-C2BB-4967-AA39-A36582C9D3B6}"/>
    <cellStyle name="40% - Accent1 2 7 3" xfId="6206" xr:uid="{00000000-0005-0000-0000-00000E040000}"/>
    <cellStyle name="40% - Accent1 2 7 3 2" xfId="14656" xr:uid="{54766C2E-CCC0-40A9-8DE0-DABA688E987B}"/>
    <cellStyle name="40% - Accent1 2 7 4" xfId="10438" xr:uid="{5F91410F-F4C5-4F65-AE96-9DFDF05A09D9}"/>
    <cellStyle name="40% - Accent1 2 8" xfId="2313" xr:uid="{00000000-0005-0000-0000-00000F040000}"/>
    <cellStyle name="40% - Accent1 2 8 2" xfId="6619" xr:uid="{00000000-0005-0000-0000-000010040000}"/>
    <cellStyle name="40% - Accent1 2 8 2 2" xfId="15069" xr:uid="{BB161BC6-8708-4F11-93CE-DBFD0700AF87}"/>
    <cellStyle name="40% - Accent1 2 8 3" xfId="10851" xr:uid="{F8797BE1-11FE-45A6-9BED-A0C7606094E0}"/>
    <cellStyle name="40% - Accent1 2 9" xfId="4553" xr:uid="{00000000-0005-0000-0000-000011040000}"/>
    <cellStyle name="40% - Accent1 2 9 2" xfId="13003" xr:uid="{8748B1CC-7D88-4729-AD80-B55279220ACF}"/>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D34E44C1-EE6F-4081-A9F3-6D64FDE6EFED}"/>
    <cellStyle name="40% - Accent1 3 2 2 2 3" xfId="11349" xr:uid="{970F2EBD-3DC3-45F4-A0A2-2176E35D8294}"/>
    <cellStyle name="40% - Accent1 3 2 2 3" xfId="4972" xr:uid="{00000000-0005-0000-0000-000017040000}"/>
    <cellStyle name="40% - Accent1 3 2 2 3 2" xfId="13422" xr:uid="{C30EEB2B-AD34-4F5F-A238-63C01B9AE120}"/>
    <cellStyle name="40% - Accent1 3 2 2 4" xfId="9204" xr:uid="{009D4A55-609D-4BED-941D-2619E241FA38}"/>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2DBBBB3B-3128-4C22-82C2-CEFE01DD4CD4}"/>
    <cellStyle name="40% - Accent1 3 2 3 2 3" xfId="11762" xr:uid="{DF3AA277-48F6-44EB-A39D-B86BD72F9E16}"/>
    <cellStyle name="40% - Accent1 3 2 3 3" xfId="5385" xr:uid="{00000000-0005-0000-0000-00001B040000}"/>
    <cellStyle name="40% - Accent1 3 2 3 3 2" xfId="13835" xr:uid="{0F320FE1-8761-445A-B6DA-2D0A86571ADC}"/>
    <cellStyle name="40% - Accent1 3 2 3 4" xfId="9617" xr:uid="{3EE7927E-7E33-416C-A639-FEED50C1CBCB}"/>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3D7A5265-DF1B-4C8E-8638-8D6424FBFC16}"/>
    <cellStyle name="40% - Accent1 3 2 4 2 3" xfId="12175" xr:uid="{208512D1-8798-4658-A3A7-45CF75BDA214}"/>
    <cellStyle name="40% - Accent1 3 2 4 3" xfId="5798" xr:uid="{00000000-0005-0000-0000-00001F040000}"/>
    <cellStyle name="40% - Accent1 3 2 4 3 2" xfId="14248" xr:uid="{75B78C40-6369-44B8-B6EE-680C3880989C}"/>
    <cellStyle name="40% - Accent1 3 2 4 4" xfId="10030" xr:uid="{F6D70433-9484-43CF-B49B-BA9FB990758D}"/>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D24AA276-751E-44FA-9B1E-8713C68A1A44}"/>
    <cellStyle name="40% - Accent1 3 2 5 2 3" xfId="12588" xr:uid="{34DD0507-D90F-4AC4-889F-7C618E249A53}"/>
    <cellStyle name="40% - Accent1 3 2 5 3" xfId="6211" xr:uid="{00000000-0005-0000-0000-000023040000}"/>
    <cellStyle name="40% - Accent1 3 2 5 3 2" xfId="14661" xr:uid="{62918072-75A7-4110-A777-3A18507CEA41}"/>
    <cellStyle name="40% - Accent1 3 2 5 4" xfId="10443" xr:uid="{E4C61C3A-00EC-46E7-8FAE-F4B50F1D7726}"/>
    <cellStyle name="40% - Accent1 3 2 6" xfId="2318" xr:uid="{00000000-0005-0000-0000-000024040000}"/>
    <cellStyle name="40% - Accent1 3 2 6 2" xfId="6624" xr:uid="{00000000-0005-0000-0000-000025040000}"/>
    <cellStyle name="40% - Accent1 3 2 6 2 2" xfId="15074" xr:uid="{0694C4B9-0C26-42E6-81EF-F8811CA7B08F}"/>
    <cellStyle name="40% - Accent1 3 2 6 3" xfId="10856" xr:uid="{75442460-D2D1-488B-AFE1-C007DD83F3C8}"/>
    <cellStyle name="40% - Accent1 3 2 7" xfId="4558" xr:uid="{00000000-0005-0000-0000-000026040000}"/>
    <cellStyle name="40% - Accent1 3 2 7 2" xfId="13008" xr:uid="{E5E61DDD-0F56-424F-BCB9-57E2411EB660}"/>
    <cellStyle name="40% - Accent1 3 2 8" xfId="8790" xr:uid="{97C3C4DA-542D-478D-AB92-F5A28A6B9CCC}"/>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5A93FC4A-BE87-495A-9433-1A290CD38E62}"/>
    <cellStyle name="40% - Accent1 3 3 2 3" xfId="11348" xr:uid="{FF3925D4-2CAC-4857-B21B-957E343EE6AC}"/>
    <cellStyle name="40% - Accent1 3 3 3" xfId="4971" xr:uid="{00000000-0005-0000-0000-00002A040000}"/>
    <cellStyle name="40% - Accent1 3 3 3 2" xfId="13421" xr:uid="{6FD744AB-B89B-4154-BA0B-2CA498B61532}"/>
    <cellStyle name="40% - Accent1 3 3 4" xfId="9203" xr:uid="{BB0F2DFB-5434-40BC-B51A-842AFB0C965F}"/>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73704D3A-6CCB-49D5-82A4-43D9F0DA7241}"/>
    <cellStyle name="40% - Accent1 3 4 2 3" xfId="11761" xr:uid="{46A6D4CD-83B3-4762-B7ED-E1D3D91E5FAB}"/>
    <cellStyle name="40% - Accent1 3 4 3" xfId="5384" xr:uid="{00000000-0005-0000-0000-00002E040000}"/>
    <cellStyle name="40% - Accent1 3 4 3 2" xfId="13834" xr:uid="{B08959FF-752A-4D1E-B595-984BEE457A89}"/>
    <cellStyle name="40% - Accent1 3 4 4" xfId="9616" xr:uid="{F13E1981-3A86-4A4D-AD92-10AF7B356B20}"/>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F7429564-EB76-41C5-8B88-990EBB83BA05}"/>
    <cellStyle name="40% - Accent1 3 5 2 3" xfId="12174" xr:uid="{F8FB7D4C-617E-41CA-B64E-F74E55F3BDB1}"/>
    <cellStyle name="40% - Accent1 3 5 3" xfId="5797" xr:uid="{00000000-0005-0000-0000-000032040000}"/>
    <cellStyle name="40% - Accent1 3 5 3 2" xfId="14247" xr:uid="{2A70E620-2B19-4E01-916D-7236A20D0DCA}"/>
    <cellStyle name="40% - Accent1 3 5 4" xfId="10029" xr:uid="{0C5A0CEE-BCEF-47F8-BBDD-4C6CA859CD44}"/>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C9AFE748-5DC8-4CC4-B30B-3FD1D8A719B8}"/>
    <cellStyle name="40% - Accent1 3 6 2 3" xfId="12587" xr:uid="{2C2B1B6B-594A-43E5-8122-3206D6176FD3}"/>
    <cellStyle name="40% - Accent1 3 6 3" xfId="6210" xr:uid="{00000000-0005-0000-0000-000036040000}"/>
    <cellStyle name="40% - Accent1 3 6 3 2" xfId="14660" xr:uid="{AC577848-5792-4065-852E-FAC8F3B619ED}"/>
    <cellStyle name="40% - Accent1 3 6 4" xfId="10442" xr:uid="{CB7AA076-BD6A-47D3-8DB2-F42AF6171506}"/>
    <cellStyle name="40% - Accent1 3 7" xfId="2317" xr:uid="{00000000-0005-0000-0000-000037040000}"/>
    <cellStyle name="40% - Accent1 3 7 2" xfId="6623" xr:uid="{00000000-0005-0000-0000-000038040000}"/>
    <cellStyle name="40% - Accent1 3 7 2 2" xfId="15073" xr:uid="{6A47ABD2-FD2E-4A0A-ABAB-E8F46C4856E7}"/>
    <cellStyle name="40% - Accent1 3 7 3" xfId="10855" xr:uid="{8C9CB325-D805-4899-BCC6-22E17286AA6D}"/>
    <cellStyle name="40% - Accent1 3 8" xfId="4557" xr:uid="{00000000-0005-0000-0000-000039040000}"/>
    <cellStyle name="40% - Accent1 3 8 2" xfId="13007" xr:uid="{FEEA0A2B-4E2C-4E28-8E33-6F3815086AD8}"/>
    <cellStyle name="40% - Accent1 3 9" xfId="8789" xr:uid="{258AD947-4301-4671-9F87-2A1A08DB4A3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05A704E0-4FFA-4C65-87D9-2F432E7624CA}"/>
    <cellStyle name="40% - Accent1 4 2 2 3" xfId="11350" xr:uid="{F9B8C7D0-4B95-4930-A42D-256A1B70356B}"/>
    <cellStyle name="40% - Accent1 4 2 3" xfId="4973" xr:uid="{00000000-0005-0000-0000-00003E040000}"/>
    <cellStyle name="40% - Accent1 4 2 3 2" xfId="13423" xr:uid="{4EE0543C-BC39-42D7-A3D8-4CE88A4AC69A}"/>
    <cellStyle name="40% - Accent1 4 2 4" xfId="9205" xr:uid="{CA0B90C4-E7BE-49F9-BF1F-5E4EC34A70A5}"/>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262EA174-0D68-4277-B549-3838351AFBF4}"/>
    <cellStyle name="40% - Accent1 4 3 2 3" xfId="11763" xr:uid="{CF81D55A-F710-4703-A14D-CE257795264C}"/>
    <cellStyle name="40% - Accent1 4 3 3" xfId="5386" xr:uid="{00000000-0005-0000-0000-000042040000}"/>
    <cellStyle name="40% - Accent1 4 3 3 2" xfId="13836" xr:uid="{5D867A51-5093-40D0-BE50-55C67D3DD4B5}"/>
    <cellStyle name="40% - Accent1 4 3 4" xfId="9618" xr:uid="{B43C2BD6-916C-428C-A48E-C7F611AE19F0}"/>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2DE1D0B6-8F23-4EEB-A97E-F8CAEC347558}"/>
    <cellStyle name="40% - Accent1 4 4 2 3" xfId="12176" xr:uid="{60A6B691-D0A3-4757-8ADE-559483008DDE}"/>
    <cellStyle name="40% - Accent1 4 4 3" xfId="5799" xr:uid="{00000000-0005-0000-0000-000046040000}"/>
    <cellStyle name="40% - Accent1 4 4 3 2" xfId="14249" xr:uid="{E710C4E3-C3D4-4A1E-99DF-ABE737548473}"/>
    <cellStyle name="40% - Accent1 4 4 4" xfId="10031" xr:uid="{F150F390-EB31-48A1-B50A-F29C746AFFA0}"/>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F6A23777-27F8-43B1-BA05-A232A5E437EE}"/>
    <cellStyle name="40% - Accent1 4 5 2 3" xfId="12589" xr:uid="{7EA7329E-8FA9-4760-9B42-DBDE70D76954}"/>
    <cellStyle name="40% - Accent1 4 5 3" xfId="6212" xr:uid="{00000000-0005-0000-0000-00004A040000}"/>
    <cellStyle name="40% - Accent1 4 5 3 2" xfId="14662" xr:uid="{071286B2-8F57-40D4-8039-20392AFEAB2E}"/>
    <cellStyle name="40% - Accent1 4 5 4" xfId="10444" xr:uid="{EC023C74-ED91-4C2D-A7FB-A81536EC2F3C}"/>
    <cellStyle name="40% - Accent1 4 6" xfId="2319" xr:uid="{00000000-0005-0000-0000-00004B040000}"/>
    <cellStyle name="40% - Accent1 4 6 2" xfId="6625" xr:uid="{00000000-0005-0000-0000-00004C040000}"/>
    <cellStyle name="40% - Accent1 4 6 2 2" xfId="15075" xr:uid="{AD59A27C-3DC4-4966-B4AA-06DE373D898B}"/>
    <cellStyle name="40% - Accent1 4 6 3" xfId="10857" xr:uid="{F1C43319-73D4-46C2-994D-9FB668926121}"/>
    <cellStyle name="40% - Accent1 4 7" xfId="4559" xr:uid="{00000000-0005-0000-0000-00004D040000}"/>
    <cellStyle name="40% - Accent1 4 7 2" xfId="13009" xr:uid="{250EAB9B-CE78-4586-A55F-2F1520C96724}"/>
    <cellStyle name="40% - Accent1 4 8" xfId="8791" xr:uid="{14B81725-B85F-488A-9D09-79CA3B9C4513}"/>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23A4285A-74FE-48C5-9FB0-470F90D034DE}"/>
    <cellStyle name="40% - Accent1 5 2 3" xfId="11343" xr:uid="{39901400-228E-464B-9DF4-1243133810F9}"/>
    <cellStyle name="40% - Accent1 5 3" xfId="4966" xr:uid="{00000000-0005-0000-0000-000051040000}"/>
    <cellStyle name="40% - Accent1 5 3 2" xfId="13416" xr:uid="{F1CE88A5-2B8A-49A7-A46B-109B3D7F9805}"/>
    <cellStyle name="40% - Accent1 5 4" xfId="9198" xr:uid="{E8BBF122-9B46-4883-8828-3C1180978BE4}"/>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76B9FE8B-E236-4F24-90F5-509E5E81ABAE}"/>
    <cellStyle name="40% - Accent1 6 2 3" xfId="11756" xr:uid="{B1E16B2A-936D-4147-8629-795B62CAD80D}"/>
    <cellStyle name="40% - Accent1 6 3" xfId="5379" xr:uid="{00000000-0005-0000-0000-000055040000}"/>
    <cellStyle name="40% - Accent1 6 3 2" xfId="13829" xr:uid="{C700019D-C6CD-47EE-876D-5F1783221EF8}"/>
    <cellStyle name="40% - Accent1 6 4" xfId="9611" xr:uid="{752F4ED8-4E9F-4265-8CDC-EAA6880EB7E9}"/>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EF5015EE-BBC6-4C84-A2F3-E5FA54D1E761}"/>
    <cellStyle name="40% - Accent1 7 2 3" xfId="12169" xr:uid="{029BE8D9-C468-4EF2-A196-B520BD3078A2}"/>
    <cellStyle name="40% - Accent1 7 3" xfId="5792" xr:uid="{00000000-0005-0000-0000-000059040000}"/>
    <cellStyle name="40% - Accent1 7 3 2" xfId="14242" xr:uid="{D00520D0-8F0B-48FF-B0C1-9D5CF5836C33}"/>
    <cellStyle name="40% - Accent1 7 4" xfId="10024" xr:uid="{32D68E47-1419-41E7-8468-FEE15BD90CA6}"/>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76357DF9-CEB7-4C15-918B-6CF75F70BA3F}"/>
    <cellStyle name="40% - Accent1 8 2 3" xfId="12582" xr:uid="{6C6CAFE6-E34A-4658-9791-6FDA1949F3CB}"/>
    <cellStyle name="40% - Accent1 8 3" xfId="6205" xr:uid="{00000000-0005-0000-0000-00005D040000}"/>
    <cellStyle name="40% - Accent1 8 3 2" xfId="14655" xr:uid="{CCA78C71-D83B-4785-93C6-A7DA945BE003}"/>
    <cellStyle name="40% - Accent1 8 4" xfId="10437" xr:uid="{8F946646-1476-4CDF-A412-2D30FA5B1447}"/>
    <cellStyle name="40% - Accent1 9" xfId="2312" xr:uid="{00000000-0005-0000-0000-00005E040000}"/>
    <cellStyle name="40% - Accent1 9 2" xfId="6618" xr:uid="{00000000-0005-0000-0000-00005F040000}"/>
    <cellStyle name="40% - Accent1 9 2 2" xfId="15068" xr:uid="{127687BF-B8FA-4F09-8B0D-5A86B4C93386}"/>
    <cellStyle name="40% - Accent1 9 3" xfId="10850" xr:uid="{B9F52B8B-653C-4D0B-B74C-B4C3CC4C36E4}"/>
    <cellStyle name="40% - Accent2" xfId="57" builtinId="35" customBuiltin="1"/>
    <cellStyle name="40% - Accent2 10" xfId="4560" xr:uid="{00000000-0005-0000-0000-000061040000}"/>
    <cellStyle name="40% - Accent2 10 2" xfId="13010" xr:uid="{0EA05841-BE3D-49B0-BD75-CD803C6C659B}"/>
    <cellStyle name="40% - Accent2 11" xfId="8792" xr:uid="{A493E414-6A00-43FA-BADB-2ABCADBC9A6D}"/>
    <cellStyle name="40% - Accent2 2" xfId="58" xr:uid="{00000000-0005-0000-0000-000062040000}"/>
    <cellStyle name="40% - Accent2 2 10" xfId="8793" xr:uid="{71EBFCC1-92FE-43AC-928E-0DC604F99B42}"/>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4D426E60-B381-480B-8627-8682B3AE3194}"/>
    <cellStyle name="40% - Accent2 2 2 2 2 2 3" xfId="11354" xr:uid="{0698E778-0656-4021-9937-4F5079C9DCE5}"/>
    <cellStyle name="40% - Accent2 2 2 2 2 3" xfId="4977" xr:uid="{00000000-0005-0000-0000-000068040000}"/>
    <cellStyle name="40% - Accent2 2 2 2 2 3 2" xfId="13427" xr:uid="{D7455444-A6C0-43EA-8C42-F295A8514AA9}"/>
    <cellStyle name="40% - Accent2 2 2 2 2 4" xfId="9209" xr:uid="{B781085B-468A-4C31-8324-37ED37922E28}"/>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1651B48C-2A88-4D27-9C27-7B84C850CDEA}"/>
    <cellStyle name="40% - Accent2 2 2 2 3 2 3" xfId="11767" xr:uid="{78232E59-D724-489D-B57E-8E8E87BC0CE1}"/>
    <cellStyle name="40% - Accent2 2 2 2 3 3" xfId="5390" xr:uid="{00000000-0005-0000-0000-00006C040000}"/>
    <cellStyle name="40% - Accent2 2 2 2 3 3 2" xfId="13840" xr:uid="{13268CE4-59A6-49B6-9E70-EDE2FC2EA015}"/>
    <cellStyle name="40% - Accent2 2 2 2 3 4" xfId="9622" xr:uid="{4831120C-C9D2-4DEC-9B7E-E8338D3CC0F4}"/>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3126A830-2ECA-4310-BF64-002A758397B1}"/>
    <cellStyle name="40% - Accent2 2 2 2 4 2 3" xfId="12180" xr:uid="{DBC086CD-A179-4B5D-9B99-0FEE3D1FC3A5}"/>
    <cellStyle name="40% - Accent2 2 2 2 4 3" xfId="5803" xr:uid="{00000000-0005-0000-0000-000070040000}"/>
    <cellStyle name="40% - Accent2 2 2 2 4 3 2" xfId="14253" xr:uid="{FA801CFD-16DC-40CE-9033-574803DF6AED}"/>
    <cellStyle name="40% - Accent2 2 2 2 4 4" xfId="10035" xr:uid="{89A32387-818A-41E9-8BCA-2E70F1A0B5CB}"/>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7D56D597-4BD5-4353-827F-C9AE33A887A0}"/>
    <cellStyle name="40% - Accent2 2 2 2 5 2 3" xfId="12593" xr:uid="{55EC8762-8F1D-4A72-AEDC-D6E20910DE7F}"/>
    <cellStyle name="40% - Accent2 2 2 2 5 3" xfId="6216" xr:uid="{00000000-0005-0000-0000-000074040000}"/>
    <cellStyle name="40% - Accent2 2 2 2 5 3 2" xfId="14666" xr:uid="{3A8CAE38-97C9-4819-B22A-A57521C78F5D}"/>
    <cellStyle name="40% - Accent2 2 2 2 5 4" xfId="10448" xr:uid="{ED055699-7AF4-48F8-A6EE-0B5B24B39D27}"/>
    <cellStyle name="40% - Accent2 2 2 2 6" xfId="2323" xr:uid="{00000000-0005-0000-0000-000075040000}"/>
    <cellStyle name="40% - Accent2 2 2 2 6 2" xfId="6629" xr:uid="{00000000-0005-0000-0000-000076040000}"/>
    <cellStyle name="40% - Accent2 2 2 2 6 2 2" xfId="15079" xr:uid="{77BDA280-0EE7-472F-88C2-6CA09486DC4E}"/>
    <cellStyle name="40% - Accent2 2 2 2 6 3" xfId="10861" xr:uid="{1F681DE2-2966-4EBE-AFB4-4615C5F6A307}"/>
    <cellStyle name="40% - Accent2 2 2 2 7" xfId="4563" xr:uid="{00000000-0005-0000-0000-000077040000}"/>
    <cellStyle name="40% - Accent2 2 2 2 7 2" xfId="13013" xr:uid="{7E29254D-B143-42AB-BF41-45FAEEEA8224}"/>
    <cellStyle name="40% - Accent2 2 2 2 8" xfId="8795" xr:uid="{742FF456-C015-44D5-A9D0-55B27201E35F}"/>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18D737F3-B890-440E-A400-ACF65CB0AB4D}"/>
    <cellStyle name="40% - Accent2 2 2 3 2 3" xfId="11353" xr:uid="{11903B72-B191-4FF2-B5A9-568E045B623B}"/>
    <cellStyle name="40% - Accent2 2 2 3 3" xfId="4976" xr:uid="{00000000-0005-0000-0000-00007B040000}"/>
    <cellStyle name="40% - Accent2 2 2 3 3 2" xfId="13426" xr:uid="{C9215909-B4AC-42ED-BA7B-2454F950FC8E}"/>
    <cellStyle name="40% - Accent2 2 2 3 4" xfId="9208" xr:uid="{97FA5C24-02CB-4A38-8B64-47D06E4C0195}"/>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DD6F16DE-09DB-4FB3-A59B-26C663251CAF}"/>
    <cellStyle name="40% - Accent2 2 2 4 2 3" xfId="11766" xr:uid="{4CD7DB08-BA4E-4246-B029-8829535C7AA0}"/>
    <cellStyle name="40% - Accent2 2 2 4 3" xfId="5389" xr:uid="{00000000-0005-0000-0000-00007F040000}"/>
    <cellStyle name="40% - Accent2 2 2 4 3 2" xfId="13839" xr:uid="{E8D8D226-21C2-4DE2-B13A-02D8BC7AB8D7}"/>
    <cellStyle name="40% - Accent2 2 2 4 4" xfId="9621" xr:uid="{4FFF954C-A405-4AC8-B977-286E9E0BCEF7}"/>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6044C594-D4DD-4575-8BD1-9E74A4C4CBDA}"/>
    <cellStyle name="40% - Accent2 2 2 5 2 3" xfId="12179" xr:uid="{D476809A-658A-4406-B438-6D85A770531C}"/>
    <cellStyle name="40% - Accent2 2 2 5 3" xfId="5802" xr:uid="{00000000-0005-0000-0000-000083040000}"/>
    <cellStyle name="40% - Accent2 2 2 5 3 2" xfId="14252" xr:uid="{2B0D98FE-50CF-4F77-A010-A4E6725771DA}"/>
    <cellStyle name="40% - Accent2 2 2 5 4" xfId="10034" xr:uid="{63DB4ED5-0363-461A-B9E0-1B85FE91B24A}"/>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659BA7FB-9226-47A1-B145-64F9800BA104}"/>
    <cellStyle name="40% - Accent2 2 2 6 2 3" xfId="12592" xr:uid="{0E4B7717-2480-4E63-BF29-C3F30E1EF1F9}"/>
    <cellStyle name="40% - Accent2 2 2 6 3" xfId="6215" xr:uid="{00000000-0005-0000-0000-000087040000}"/>
    <cellStyle name="40% - Accent2 2 2 6 3 2" xfId="14665" xr:uid="{4319DC28-B33D-4EDE-8970-62318ECC6774}"/>
    <cellStyle name="40% - Accent2 2 2 6 4" xfId="10447" xr:uid="{8A6C5C33-8839-4EF8-9A9F-0D8CBC0A98B7}"/>
    <cellStyle name="40% - Accent2 2 2 7" xfId="2322" xr:uid="{00000000-0005-0000-0000-000088040000}"/>
    <cellStyle name="40% - Accent2 2 2 7 2" xfId="6628" xr:uid="{00000000-0005-0000-0000-000089040000}"/>
    <cellStyle name="40% - Accent2 2 2 7 2 2" xfId="15078" xr:uid="{1815B1E0-09B7-4E5B-B1B8-A3373A31D6C5}"/>
    <cellStyle name="40% - Accent2 2 2 7 3" xfId="10860" xr:uid="{7160650D-60CD-4A2A-BB79-C97C3D3113A8}"/>
    <cellStyle name="40% - Accent2 2 2 8" xfId="4562" xr:uid="{00000000-0005-0000-0000-00008A040000}"/>
    <cellStyle name="40% - Accent2 2 2 8 2" xfId="13012" xr:uid="{5DA5979E-18E7-4FB5-9ACB-C5590649BCA3}"/>
    <cellStyle name="40% - Accent2 2 2 9" xfId="8794" xr:uid="{4C7531DE-4C38-4354-AC7D-494AC1199233}"/>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2EEDD812-70ED-4D8E-BB1D-3CC1669D1087}"/>
    <cellStyle name="40% - Accent2 2 3 2 2 3" xfId="11355" xr:uid="{A2083F29-DC74-4472-B235-CA0743898AFC}"/>
    <cellStyle name="40% - Accent2 2 3 2 3" xfId="4978" xr:uid="{00000000-0005-0000-0000-00008F040000}"/>
    <cellStyle name="40% - Accent2 2 3 2 3 2" xfId="13428" xr:uid="{7CD487F2-5D5F-4BC7-A953-1B6E8461DE23}"/>
    <cellStyle name="40% - Accent2 2 3 2 4" xfId="9210" xr:uid="{64A8DED0-4370-48F5-AB23-2C6B4D0BF54B}"/>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BD5538DD-5777-460E-A0B6-CC3E193FD218}"/>
    <cellStyle name="40% - Accent2 2 3 3 2 3" xfId="11768" xr:uid="{CA0B5073-FFF1-43AE-A4A2-AE547AF0321D}"/>
    <cellStyle name="40% - Accent2 2 3 3 3" xfId="5391" xr:uid="{00000000-0005-0000-0000-000093040000}"/>
    <cellStyle name="40% - Accent2 2 3 3 3 2" xfId="13841" xr:uid="{B8F86094-EF19-4CB3-B1A2-E14F9ED1F987}"/>
    <cellStyle name="40% - Accent2 2 3 3 4" xfId="9623" xr:uid="{B95DAB37-EF9F-46F0-B098-339D1E1B9DCF}"/>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3700E49D-CC11-4A79-8EE2-D680693EA2F0}"/>
    <cellStyle name="40% - Accent2 2 3 4 2 3" xfId="12181" xr:uid="{F08D69ED-7AF6-483B-AE9B-181AA332AF3D}"/>
    <cellStyle name="40% - Accent2 2 3 4 3" xfId="5804" xr:uid="{00000000-0005-0000-0000-000097040000}"/>
    <cellStyle name="40% - Accent2 2 3 4 3 2" xfId="14254" xr:uid="{55675862-F2EB-4D8B-99C8-F942AD7AADF9}"/>
    <cellStyle name="40% - Accent2 2 3 4 4" xfId="10036" xr:uid="{8104344E-5248-498E-BECA-D64544F8346B}"/>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C3576B60-6BE6-4673-A71D-C18C8B6D2CB4}"/>
    <cellStyle name="40% - Accent2 2 3 5 2 3" xfId="12594" xr:uid="{DE9D45BC-36F1-4B5D-982E-26768CAB2D0E}"/>
    <cellStyle name="40% - Accent2 2 3 5 3" xfId="6217" xr:uid="{00000000-0005-0000-0000-00009B040000}"/>
    <cellStyle name="40% - Accent2 2 3 5 3 2" xfId="14667" xr:uid="{CE00B0DB-ABA2-466F-ABE7-BA7F7BF15581}"/>
    <cellStyle name="40% - Accent2 2 3 5 4" xfId="10449" xr:uid="{772C123E-C7DD-4278-BAF6-7093795FB175}"/>
    <cellStyle name="40% - Accent2 2 3 6" xfId="2324" xr:uid="{00000000-0005-0000-0000-00009C040000}"/>
    <cellStyle name="40% - Accent2 2 3 6 2" xfId="6630" xr:uid="{00000000-0005-0000-0000-00009D040000}"/>
    <cellStyle name="40% - Accent2 2 3 6 2 2" xfId="15080" xr:uid="{7B3A1C3A-3A2B-4303-A8E2-B0CDFD41FCBB}"/>
    <cellStyle name="40% - Accent2 2 3 6 3" xfId="10862" xr:uid="{BDC3DB23-CD8B-4240-B653-61D29C319FBA}"/>
    <cellStyle name="40% - Accent2 2 3 7" xfId="4564" xr:uid="{00000000-0005-0000-0000-00009E040000}"/>
    <cellStyle name="40% - Accent2 2 3 7 2" xfId="13014" xr:uid="{FEC3BD34-9435-4144-B273-AB4BC57AB6B6}"/>
    <cellStyle name="40% - Accent2 2 3 8" xfId="8796" xr:uid="{21232E43-E17C-4AF1-888C-98F1CADA1629}"/>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D592FEB3-5A1C-4D39-B24D-E30D988F7375}"/>
    <cellStyle name="40% - Accent2 2 4 2 3" xfId="11352" xr:uid="{870EA440-BC7E-40DA-B1F1-90C326A74377}"/>
    <cellStyle name="40% - Accent2 2 4 3" xfId="4975" xr:uid="{00000000-0005-0000-0000-0000A2040000}"/>
    <cellStyle name="40% - Accent2 2 4 3 2" xfId="13425" xr:uid="{688115CF-1A94-40A1-8A96-15C8F28D8B73}"/>
    <cellStyle name="40% - Accent2 2 4 4" xfId="9207" xr:uid="{DB653CEE-FD6E-4CB5-837C-FC9771D16759}"/>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4207269C-67D7-4EA2-B3DA-C4D1892D045C}"/>
    <cellStyle name="40% - Accent2 2 5 2 3" xfId="11765" xr:uid="{AC46343B-468D-497A-A591-D5A9558146A9}"/>
    <cellStyle name="40% - Accent2 2 5 3" xfId="5388" xr:uid="{00000000-0005-0000-0000-0000A6040000}"/>
    <cellStyle name="40% - Accent2 2 5 3 2" xfId="13838" xr:uid="{305C4C44-F026-4891-9D3E-9EDD2B2FE32F}"/>
    <cellStyle name="40% - Accent2 2 5 4" xfId="9620" xr:uid="{CD67ED12-A693-4BE2-AA1C-9D98DDB45117}"/>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44A57AFB-5A65-4116-AD64-24BE8A172C2C}"/>
    <cellStyle name="40% - Accent2 2 6 2 3" xfId="12178" xr:uid="{6181771C-06DE-472F-B33D-7C18B84A1E90}"/>
    <cellStyle name="40% - Accent2 2 6 3" xfId="5801" xr:uid="{00000000-0005-0000-0000-0000AA040000}"/>
    <cellStyle name="40% - Accent2 2 6 3 2" xfId="14251" xr:uid="{0F5242B7-43B1-425A-8A54-30868C9E60C9}"/>
    <cellStyle name="40% - Accent2 2 6 4" xfId="10033" xr:uid="{19216997-EDD1-4246-96DC-58289E17D949}"/>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670B8BA8-36FA-40E8-8B77-27AA103F9AAC}"/>
    <cellStyle name="40% - Accent2 2 7 2 3" xfId="12591" xr:uid="{48EDB00E-1B56-408B-B57A-1E100DD6C1EC}"/>
    <cellStyle name="40% - Accent2 2 7 3" xfId="6214" xr:uid="{00000000-0005-0000-0000-0000AE040000}"/>
    <cellStyle name="40% - Accent2 2 7 3 2" xfId="14664" xr:uid="{E89234BB-1A50-4A45-972E-1D0452129881}"/>
    <cellStyle name="40% - Accent2 2 7 4" xfId="10446" xr:uid="{8F800A08-0BB6-4995-AC71-80B2C46ADC80}"/>
    <cellStyle name="40% - Accent2 2 8" xfId="2321" xr:uid="{00000000-0005-0000-0000-0000AF040000}"/>
    <cellStyle name="40% - Accent2 2 8 2" xfId="6627" xr:uid="{00000000-0005-0000-0000-0000B0040000}"/>
    <cellStyle name="40% - Accent2 2 8 2 2" xfId="15077" xr:uid="{BCCBB82B-D6AB-42AC-B525-1C951C9CCD20}"/>
    <cellStyle name="40% - Accent2 2 8 3" xfId="10859" xr:uid="{B4C68546-1E84-4F3A-8249-26F37C0A872B}"/>
    <cellStyle name="40% - Accent2 2 9" xfId="4561" xr:uid="{00000000-0005-0000-0000-0000B1040000}"/>
    <cellStyle name="40% - Accent2 2 9 2" xfId="13011" xr:uid="{E0B0CCBD-526F-4778-8D9D-7DD75EF4BD0B}"/>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BF4E6D89-2BC3-4899-B07D-F21177F6A796}"/>
    <cellStyle name="40% - Accent2 3 2 2 2 3" xfId="11357" xr:uid="{1CB93779-631E-4348-9327-EB9550868265}"/>
    <cellStyle name="40% - Accent2 3 2 2 3" xfId="4980" xr:uid="{00000000-0005-0000-0000-0000B7040000}"/>
    <cellStyle name="40% - Accent2 3 2 2 3 2" xfId="13430" xr:uid="{63576E41-7871-4355-BB60-55DA7F269714}"/>
    <cellStyle name="40% - Accent2 3 2 2 4" xfId="9212" xr:uid="{92566758-EBD4-4663-90F9-7C0FAADD8060}"/>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48432F84-AF13-49F9-8B26-F47663F358CE}"/>
    <cellStyle name="40% - Accent2 3 2 3 2 3" xfId="11770" xr:uid="{B5DC499A-C14D-4F12-A7A6-C95634DD088E}"/>
    <cellStyle name="40% - Accent2 3 2 3 3" xfId="5393" xr:uid="{00000000-0005-0000-0000-0000BB040000}"/>
    <cellStyle name="40% - Accent2 3 2 3 3 2" xfId="13843" xr:uid="{7668EC7E-FBBC-4B16-8E85-8B6A93E3DE97}"/>
    <cellStyle name="40% - Accent2 3 2 3 4" xfId="9625" xr:uid="{BE41245B-650B-435A-9044-63F3B676F3ED}"/>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D2FF557E-9605-4EEE-8D47-22080BB5D807}"/>
    <cellStyle name="40% - Accent2 3 2 4 2 3" xfId="12183" xr:uid="{EF46F638-D22C-46D8-BA6E-D26CD83384FC}"/>
    <cellStyle name="40% - Accent2 3 2 4 3" xfId="5806" xr:uid="{00000000-0005-0000-0000-0000BF040000}"/>
    <cellStyle name="40% - Accent2 3 2 4 3 2" xfId="14256" xr:uid="{E78EE0EC-DCB2-49E1-8C4E-74B10EBE2240}"/>
    <cellStyle name="40% - Accent2 3 2 4 4" xfId="10038" xr:uid="{DE9F9A18-2E06-436A-82A4-514E2FF565CE}"/>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C2828AAE-2624-4808-8F40-461BA928F986}"/>
    <cellStyle name="40% - Accent2 3 2 5 2 3" xfId="12596" xr:uid="{95F13147-15DB-4BB9-A3A3-AF41A1037F3A}"/>
    <cellStyle name="40% - Accent2 3 2 5 3" xfId="6219" xr:uid="{00000000-0005-0000-0000-0000C3040000}"/>
    <cellStyle name="40% - Accent2 3 2 5 3 2" xfId="14669" xr:uid="{AED187FA-2C1C-4FD2-82CB-FF2D302A986D}"/>
    <cellStyle name="40% - Accent2 3 2 5 4" xfId="10451" xr:uid="{7900B9BC-4684-4681-9914-B8A4C6F98B77}"/>
    <cellStyle name="40% - Accent2 3 2 6" xfId="2326" xr:uid="{00000000-0005-0000-0000-0000C4040000}"/>
    <cellStyle name="40% - Accent2 3 2 6 2" xfId="6632" xr:uid="{00000000-0005-0000-0000-0000C5040000}"/>
    <cellStyle name="40% - Accent2 3 2 6 2 2" xfId="15082" xr:uid="{534FAAE8-AAF4-4DB0-A0F6-EA9437236CE7}"/>
    <cellStyle name="40% - Accent2 3 2 6 3" xfId="10864" xr:uid="{A35F0293-08E3-4764-9FA8-A47AD3185F2E}"/>
    <cellStyle name="40% - Accent2 3 2 7" xfId="4566" xr:uid="{00000000-0005-0000-0000-0000C6040000}"/>
    <cellStyle name="40% - Accent2 3 2 7 2" xfId="13016" xr:uid="{40E5F771-3EA2-43EE-9260-7B4C630C9BB6}"/>
    <cellStyle name="40% - Accent2 3 2 8" xfId="8798" xr:uid="{CA619335-AA9C-4D6F-96A1-B3F7789A0FB7}"/>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4AB75404-96C3-4181-8402-203BA17FD2D2}"/>
    <cellStyle name="40% - Accent2 3 3 2 3" xfId="11356" xr:uid="{F0334A7F-ED68-42A5-87E6-9D70B36D8480}"/>
    <cellStyle name="40% - Accent2 3 3 3" xfId="4979" xr:uid="{00000000-0005-0000-0000-0000CA040000}"/>
    <cellStyle name="40% - Accent2 3 3 3 2" xfId="13429" xr:uid="{61D905F8-731C-47F3-B74F-DE741FF117FB}"/>
    <cellStyle name="40% - Accent2 3 3 4" xfId="9211" xr:uid="{C84EB9A4-A2E2-4A0C-AAF4-E37B9332E747}"/>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2554A80A-5075-496F-8FD1-897DC1AE440F}"/>
    <cellStyle name="40% - Accent2 3 4 2 3" xfId="11769" xr:uid="{7A1ECCA1-19B0-4109-B2CC-20EDB20D620E}"/>
    <cellStyle name="40% - Accent2 3 4 3" xfId="5392" xr:uid="{00000000-0005-0000-0000-0000CE040000}"/>
    <cellStyle name="40% - Accent2 3 4 3 2" xfId="13842" xr:uid="{ADA0149E-8916-4A8C-9426-4DD71CC749C9}"/>
    <cellStyle name="40% - Accent2 3 4 4" xfId="9624" xr:uid="{FAE20598-F5AF-4AEE-AD08-B54ECE54305B}"/>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5DE37DD4-56B5-4045-AB1E-86812CAE15B3}"/>
    <cellStyle name="40% - Accent2 3 5 2 3" xfId="12182" xr:uid="{6540A66F-B48E-4F37-84AA-027A15CF811B}"/>
    <cellStyle name="40% - Accent2 3 5 3" xfId="5805" xr:uid="{00000000-0005-0000-0000-0000D2040000}"/>
    <cellStyle name="40% - Accent2 3 5 3 2" xfId="14255" xr:uid="{A13DC881-B8E2-4F29-8582-27DEECA82690}"/>
    <cellStyle name="40% - Accent2 3 5 4" xfId="10037" xr:uid="{A407D987-220E-40D8-9AFE-85476D170409}"/>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5C21901D-5D3E-468C-8B63-74B14D5C1792}"/>
    <cellStyle name="40% - Accent2 3 6 2 3" xfId="12595" xr:uid="{DDAA43C4-35B4-41AC-9897-8176289E4B43}"/>
    <cellStyle name="40% - Accent2 3 6 3" xfId="6218" xr:uid="{00000000-0005-0000-0000-0000D6040000}"/>
    <cellStyle name="40% - Accent2 3 6 3 2" xfId="14668" xr:uid="{50EE99EA-692E-4D06-AD2F-DA5C1B1A8EFD}"/>
    <cellStyle name="40% - Accent2 3 6 4" xfId="10450" xr:uid="{CFF44466-1415-465D-AA39-AFFFB680B9E5}"/>
    <cellStyle name="40% - Accent2 3 7" xfId="2325" xr:uid="{00000000-0005-0000-0000-0000D7040000}"/>
    <cellStyle name="40% - Accent2 3 7 2" xfId="6631" xr:uid="{00000000-0005-0000-0000-0000D8040000}"/>
    <cellStyle name="40% - Accent2 3 7 2 2" xfId="15081" xr:uid="{B454FDF7-469D-44ED-AAEB-3C6CF5E8E415}"/>
    <cellStyle name="40% - Accent2 3 7 3" xfId="10863" xr:uid="{A9E08958-CFB4-488A-A32E-BE06470FF899}"/>
    <cellStyle name="40% - Accent2 3 8" xfId="4565" xr:uid="{00000000-0005-0000-0000-0000D9040000}"/>
    <cellStyle name="40% - Accent2 3 8 2" xfId="13015" xr:uid="{346DD62A-712A-4F79-9379-8D4381770D18}"/>
    <cellStyle name="40% - Accent2 3 9" xfId="8797" xr:uid="{B268C970-5CBC-4926-A638-4CF3EE5F3A02}"/>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BF131F22-BAC3-4553-B787-008A33FD74EB}"/>
    <cellStyle name="40% - Accent2 4 2 2 3" xfId="11358" xr:uid="{C15730EC-8572-4DAD-9B3D-4622976CAED6}"/>
    <cellStyle name="40% - Accent2 4 2 3" xfId="4981" xr:uid="{00000000-0005-0000-0000-0000DE040000}"/>
    <cellStyle name="40% - Accent2 4 2 3 2" xfId="13431" xr:uid="{9EB3D0BC-D249-400B-B3B8-05B351D093A1}"/>
    <cellStyle name="40% - Accent2 4 2 4" xfId="9213" xr:uid="{2CF8AA87-5504-4935-A7BD-CDB368F8A65C}"/>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B051591F-B41A-49A3-91A6-09B56D32D43E}"/>
    <cellStyle name="40% - Accent2 4 3 2 3" xfId="11771" xr:uid="{D2A020CD-B179-4175-8DE4-A9F579906FD0}"/>
    <cellStyle name="40% - Accent2 4 3 3" xfId="5394" xr:uid="{00000000-0005-0000-0000-0000E2040000}"/>
    <cellStyle name="40% - Accent2 4 3 3 2" xfId="13844" xr:uid="{B1894640-8AAC-4797-A321-E7D4CE0F8972}"/>
    <cellStyle name="40% - Accent2 4 3 4" xfId="9626" xr:uid="{11790FAB-88A6-477C-962D-6E453D83AB66}"/>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7795C911-FFAF-49E7-ABFE-8C08A3F3BA45}"/>
    <cellStyle name="40% - Accent2 4 4 2 3" xfId="12184" xr:uid="{21354738-5797-48D3-9E3D-418657E22E23}"/>
    <cellStyle name="40% - Accent2 4 4 3" xfId="5807" xr:uid="{00000000-0005-0000-0000-0000E6040000}"/>
    <cellStyle name="40% - Accent2 4 4 3 2" xfId="14257" xr:uid="{8CFF4027-2137-42C4-B802-9D628440B212}"/>
    <cellStyle name="40% - Accent2 4 4 4" xfId="10039" xr:uid="{35306CD8-C41C-428D-B5E2-3B035942FE23}"/>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B24A6922-A907-4158-967F-4D0F1637372A}"/>
    <cellStyle name="40% - Accent2 4 5 2 3" xfId="12597" xr:uid="{79E089C3-84EC-4E5A-99FB-E718EF7495C4}"/>
    <cellStyle name="40% - Accent2 4 5 3" xfId="6220" xr:uid="{00000000-0005-0000-0000-0000EA040000}"/>
    <cellStyle name="40% - Accent2 4 5 3 2" xfId="14670" xr:uid="{0E5C665D-8F9B-4285-9804-8621120C8BBF}"/>
    <cellStyle name="40% - Accent2 4 5 4" xfId="10452" xr:uid="{E20ABF78-ED28-4A99-8239-2EF7DAF3277E}"/>
    <cellStyle name="40% - Accent2 4 6" xfId="2327" xr:uid="{00000000-0005-0000-0000-0000EB040000}"/>
    <cellStyle name="40% - Accent2 4 6 2" xfId="6633" xr:uid="{00000000-0005-0000-0000-0000EC040000}"/>
    <cellStyle name="40% - Accent2 4 6 2 2" xfId="15083" xr:uid="{A7AEE585-29D7-4055-92C4-74079C03E905}"/>
    <cellStyle name="40% - Accent2 4 6 3" xfId="10865" xr:uid="{E1DA857B-D323-41E3-9D34-DEB923E73AC1}"/>
    <cellStyle name="40% - Accent2 4 7" xfId="4567" xr:uid="{00000000-0005-0000-0000-0000ED040000}"/>
    <cellStyle name="40% - Accent2 4 7 2" xfId="13017" xr:uid="{7D2643EE-3DC7-466D-A372-F50B8CB9B23C}"/>
    <cellStyle name="40% - Accent2 4 8" xfId="8799" xr:uid="{30C5C3B5-1291-4CFA-B22F-A5FC5F410BC9}"/>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F0348120-5B1D-458C-B83F-3A1D62AC3BE8}"/>
    <cellStyle name="40% - Accent2 5 2 3" xfId="11351" xr:uid="{E02EC6E1-DDBC-49AF-B8A3-CCC15A6A5934}"/>
    <cellStyle name="40% - Accent2 5 3" xfId="4974" xr:uid="{00000000-0005-0000-0000-0000F1040000}"/>
    <cellStyle name="40% - Accent2 5 3 2" xfId="13424" xr:uid="{2D6983EC-BC86-48BB-82C4-450EE1A21CAA}"/>
    <cellStyle name="40% - Accent2 5 4" xfId="9206" xr:uid="{E0711EC8-540F-43BD-99FF-FAC5C19662B0}"/>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A1CEC5C8-29C3-45ED-A1D5-434334AD9088}"/>
    <cellStyle name="40% - Accent2 6 2 3" xfId="11764" xr:uid="{66B69595-3FC8-41BB-8AE1-6344FEA32788}"/>
    <cellStyle name="40% - Accent2 6 3" xfId="5387" xr:uid="{00000000-0005-0000-0000-0000F5040000}"/>
    <cellStyle name="40% - Accent2 6 3 2" xfId="13837" xr:uid="{951F7A5A-30F3-458D-B15B-9C1AEC45EA87}"/>
    <cellStyle name="40% - Accent2 6 4" xfId="9619" xr:uid="{6C8A2C45-FCC0-4731-B987-EAAC91835429}"/>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66CEE2D3-07AA-4BE7-9C4B-3E4EF068C4B4}"/>
    <cellStyle name="40% - Accent2 7 2 3" xfId="12177" xr:uid="{C048D6E3-2916-43E3-A710-76F3462AD983}"/>
    <cellStyle name="40% - Accent2 7 3" xfId="5800" xr:uid="{00000000-0005-0000-0000-0000F9040000}"/>
    <cellStyle name="40% - Accent2 7 3 2" xfId="14250" xr:uid="{CB23E30D-474E-4A86-B329-BA622F58B7EA}"/>
    <cellStyle name="40% - Accent2 7 4" xfId="10032" xr:uid="{C53B0157-2DF5-4594-A486-C8180E5D080D}"/>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649D36E7-F232-4B11-9DCD-41A647DEC84A}"/>
    <cellStyle name="40% - Accent2 8 2 3" xfId="12590" xr:uid="{2DCCAC6A-0D78-4D07-8934-96BA4B2DC96B}"/>
    <cellStyle name="40% - Accent2 8 3" xfId="6213" xr:uid="{00000000-0005-0000-0000-0000FD040000}"/>
    <cellStyle name="40% - Accent2 8 3 2" xfId="14663" xr:uid="{0AD2BC29-75A3-4904-8DF1-55DB74E82824}"/>
    <cellStyle name="40% - Accent2 8 4" xfId="10445" xr:uid="{82111CD1-6291-4408-B99B-CA9502493196}"/>
    <cellStyle name="40% - Accent2 9" xfId="2320" xr:uid="{00000000-0005-0000-0000-0000FE040000}"/>
    <cellStyle name="40% - Accent2 9 2" xfId="6626" xr:uid="{00000000-0005-0000-0000-0000FF040000}"/>
    <cellStyle name="40% - Accent2 9 2 2" xfId="15076" xr:uid="{510DA3EF-1E55-470F-9C2D-76E7AA38D848}"/>
    <cellStyle name="40% - Accent2 9 3" xfId="10858" xr:uid="{59018EF2-457E-41CC-A068-10F8B238C17D}"/>
    <cellStyle name="40% - Accent3" xfId="65" builtinId="39" customBuiltin="1"/>
    <cellStyle name="40% - Accent3 10" xfId="4568" xr:uid="{00000000-0005-0000-0000-000001050000}"/>
    <cellStyle name="40% - Accent3 10 2" xfId="13018" xr:uid="{751F5350-4813-4CCC-AD99-00B1EED85692}"/>
    <cellStyle name="40% - Accent3 11" xfId="8800" xr:uid="{B3F03518-4449-49C3-9F96-B92D1C53C955}"/>
    <cellStyle name="40% - Accent3 2" xfId="66" xr:uid="{00000000-0005-0000-0000-000002050000}"/>
    <cellStyle name="40% - Accent3 2 10" xfId="8801" xr:uid="{E300DDFF-17B9-4C21-A5A3-20DDAB992866}"/>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5BC3BA35-40C9-490E-8A2D-491F9E7BDDFB}"/>
    <cellStyle name="40% - Accent3 2 2 2 2 2 3" xfId="11362" xr:uid="{41BF80A4-AE64-48AD-A277-1EFCA591AD61}"/>
    <cellStyle name="40% - Accent3 2 2 2 2 3" xfId="4985" xr:uid="{00000000-0005-0000-0000-000008050000}"/>
    <cellStyle name="40% - Accent3 2 2 2 2 3 2" xfId="13435" xr:uid="{895A502B-6019-48F9-A433-1B976D1AAA24}"/>
    <cellStyle name="40% - Accent3 2 2 2 2 4" xfId="9217" xr:uid="{2F1480AB-754C-4556-8A48-9F8679D95432}"/>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6CC0259D-91DC-4FD8-B4E1-058BF93D3C35}"/>
    <cellStyle name="40% - Accent3 2 2 2 3 2 3" xfId="11775" xr:uid="{0A237525-63F2-4630-AB16-114F18A70DF0}"/>
    <cellStyle name="40% - Accent3 2 2 2 3 3" xfId="5398" xr:uid="{00000000-0005-0000-0000-00000C050000}"/>
    <cellStyle name="40% - Accent3 2 2 2 3 3 2" xfId="13848" xr:uid="{D387FFA2-0550-400F-8E9C-3E39DA9AB05C}"/>
    <cellStyle name="40% - Accent3 2 2 2 3 4" xfId="9630" xr:uid="{219A3EFC-ADC8-4FF8-BA73-3182801DF9B3}"/>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DE3478CD-FE4A-4F84-8742-E1EEF727A40D}"/>
    <cellStyle name="40% - Accent3 2 2 2 4 2 3" xfId="12188" xr:uid="{1274720B-7BDA-41C6-AD24-5458CA489B3D}"/>
    <cellStyle name="40% - Accent3 2 2 2 4 3" xfId="5811" xr:uid="{00000000-0005-0000-0000-000010050000}"/>
    <cellStyle name="40% - Accent3 2 2 2 4 3 2" xfId="14261" xr:uid="{6C0ED932-49D0-4045-86AE-3B57AE86DB45}"/>
    <cellStyle name="40% - Accent3 2 2 2 4 4" xfId="10043" xr:uid="{9600D3AF-177F-4C40-B4F2-16AD379AB32C}"/>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B33974A2-29F9-41B1-839D-3382C27896DC}"/>
    <cellStyle name="40% - Accent3 2 2 2 5 2 3" xfId="12601" xr:uid="{D19192CA-2ABA-452E-8711-C47C59566740}"/>
    <cellStyle name="40% - Accent3 2 2 2 5 3" xfId="6224" xr:uid="{00000000-0005-0000-0000-000014050000}"/>
    <cellStyle name="40% - Accent3 2 2 2 5 3 2" xfId="14674" xr:uid="{D67A8650-B155-427A-BFA0-DA19D685738C}"/>
    <cellStyle name="40% - Accent3 2 2 2 5 4" xfId="10456" xr:uid="{938CA0E6-3176-4331-B2F5-7036125564A6}"/>
    <cellStyle name="40% - Accent3 2 2 2 6" xfId="2331" xr:uid="{00000000-0005-0000-0000-000015050000}"/>
    <cellStyle name="40% - Accent3 2 2 2 6 2" xfId="6637" xr:uid="{00000000-0005-0000-0000-000016050000}"/>
    <cellStyle name="40% - Accent3 2 2 2 6 2 2" xfId="15087" xr:uid="{23897212-123D-4E3B-B963-EA30E371FA91}"/>
    <cellStyle name="40% - Accent3 2 2 2 6 3" xfId="10869" xr:uid="{038070A2-CC1B-4569-A9E5-B4F8CB40D5F1}"/>
    <cellStyle name="40% - Accent3 2 2 2 7" xfId="4571" xr:uid="{00000000-0005-0000-0000-000017050000}"/>
    <cellStyle name="40% - Accent3 2 2 2 7 2" xfId="13021" xr:uid="{BC301283-58E9-4AC0-A586-E091A71B469C}"/>
    <cellStyle name="40% - Accent3 2 2 2 8" xfId="8803" xr:uid="{2B16B949-5233-40BD-B0C2-A2E23C74EF8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5BE6F5B5-BED4-461F-985D-5036C4267072}"/>
    <cellStyle name="40% - Accent3 2 2 3 2 3" xfId="11361" xr:uid="{E6AC7EEB-A136-4D53-AD81-987B74430F71}"/>
    <cellStyle name="40% - Accent3 2 2 3 3" xfId="4984" xr:uid="{00000000-0005-0000-0000-00001B050000}"/>
    <cellStyle name="40% - Accent3 2 2 3 3 2" xfId="13434" xr:uid="{FFFA0C4F-5D70-497A-A2DA-350387644A4A}"/>
    <cellStyle name="40% - Accent3 2 2 3 4" xfId="9216" xr:uid="{CC2A981F-6C62-4FDF-AFCF-7AD269F2F962}"/>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24E9EA0A-4047-4ABD-99F3-759D275C8EA7}"/>
    <cellStyle name="40% - Accent3 2 2 4 2 3" xfId="11774" xr:uid="{4BFC2B28-DF6B-4221-A949-AB87A2F3DEA2}"/>
    <cellStyle name="40% - Accent3 2 2 4 3" xfId="5397" xr:uid="{00000000-0005-0000-0000-00001F050000}"/>
    <cellStyle name="40% - Accent3 2 2 4 3 2" xfId="13847" xr:uid="{7A7F7E08-DBF7-4A79-A25C-5579A60C4B36}"/>
    <cellStyle name="40% - Accent3 2 2 4 4" xfId="9629" xr:uid="{689CC832-7F58-4929-AF93-A076ADD7ACF5}"/>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B121526D-A95D-4062-9BEE-2A98D6FABE03}"/>
    <cellStyle name="40% - Accent3 2 2 5 2 3" xfId="12187" xr:uid="{7540F757-7A03-48E2-A3C7-3CDF09C6FA7B}"/>
    <cellStyle name="40% - Accent3 2 2 5 3" xfId="5810" xr:uid="{00000000-0005-0000-0000-000023050000}"/>
    <cellStyle name="40% - Accent3 2 2 5 3 2" xfId="14260" xr:uid="{D1563BC4-5665-4074-9DD4-8EEA3250CCF2}"/>
    <cellStyle name="40% - Accent3 2 2 5 4" xfId="10042" xr:uid="{8A1D9690-D87E-422E-8A55-290EE225DC1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601113D7-FCD4-4CE8-A7A0-3E0AD343D727}"/>
    <cellStyle name="40% - Accent3 2 2 6 2 3" xfId="12600" xr:uid="{EEE1574B-C9BC-4EBB-B097-FBB3CB86C88C}"/>
    <cellStyle name="40% - Accent3 2 2 6 3" xfId="6223" xr:uid="{00000000-0005-0000-0000-000027050000}"/>
    <cellStyle name="40% - Accent3 2 2 6 3 2" xfId="14673" xr:uid="{8F2E9BE5-4578-45DF-9DEE-5C9F788013D4}"/>
    <cellStyle name="40% - Accent3 2 2 6 4" xfId="10455" xr:uid="{46583D59-2853-456A-BC29-87934BDB501C}"/>
    <cellStyle name="40% - Accent3 2 2 7" xfId="2330" xr:uid="{00000000-0005-0000-0000-000028050000}"/>
    <cellStyle name="40% - Accent3 2 2 7 2" xfId="6636" xr:uid="{00000000-0005-0000-0000-000029050000}"/>
    <cellStyle name="40% - Accent3 2 2 7 2 2" xfId="15086" xr:uid="{7E99D994-4F67-4972-B448-8EABB2C3EF54}"/>
    <cellStyle name="40% - Accent3 2 2 7 3" xfId="10868" xr:uid="{9D45E13C-768C-4FD2-B639-79B01E8789E2}"/>
    <cellStyle name="40% - Accent3 2 2 8" xfId="4570" xr:uid="{00000000-0005-0000-0000-00002A050000}"/>
    <cellStyle name="40% - Accent3 2 2 8 2" xfId="13020" xr:uid="{63ED9934-52D7-408A-A57D-CDCBBB9BCD43}"/>
    <cellStyle name="40% - Accent3 2 2 9" xfId="8802" xr:uid="{34627A80-A97E-4DC4-9389-DDDE039947EE}"/>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BCC95696-D86B-494B-8CF9-C47A66E379CD}"/>
    <cellStyle name="40% - Accent3 2 3 2 2 3" xfId="11363" xr:uid="{FEDC3BE1-46DC-49F7-80D6-82CD5E8EF826}"/>
    <cellStyle name="40% - Accent3 2 3 2 3" xfId="4986" xr:uid="{00000000-0005-0000-0000-00002F050000}"/>
    <cellStyle name="40% - Accent3 2 3 2 3 2" xfId="13436" xr:uid="{CA0100F7-5529-41A4-97EF-3954C20D7227}"/>
    <cellStyle name="40% - Accent3 2 3 2 4" xfId="9218" xr:uid="{9B3CCC0B-23BD-45D7-ADA6-CE887939EF8B}"/>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2D0E9190-C90E-4977-86F5-B877E84E24BF}"/>
    <cellStyle name="40% - Accent3 2 3 3 2 3" xfId="11776" xr:uid="{5C21F14D-295C-4FDF-8B56-E607798CE311}"/>
    <cellStyle name="40% - Accent3 2 3 3 3" xfId="5399" xr:uid="{00000000-0005-0000-0000-000033050000}"/>
    <cellStyle name="40% - Accent3 2 3 3 3 2" xfId="13849" xr:uid="{92C1FAA4-F61E-4241-943E-414D898B1C29}"/>
    <cellStyle name="40% - Accent3 2 3 3 4" xfId="9631" xr:uid="{EA3ECE3C-BF56-4666-8556-8CA289F01F12}"/>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1EBBA1C9-0C5F-4F90-849B-D99C7290C168}"/>
    <cellStyle name="40% - Accent3 2 3 4 2 3" xfId="12189" xr:uid="{FC36CECE-9370-4750-AFF6-EC1AB14FDD99}"/>
    <cellStyle name="40% - Accent3 2 3 4 3" xfId="5812" xr:uid="{00000000-0005-0000-0000-000037050000}"/>
    <cellStyle name="40% - Accent3 2 3 4 3 2" xfId="14262" xr:uid="{8C084C64-3AEA-4D23-9A4C-CB73440B0810}"/>
    <cellStyle name="40% - Accent3 2 3 4 4" xfId="10044" xr:uid="{F52D58B5-E1B3-4007-84AD-78A33AC6CEDC}"/>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1DD45D03-0FBB-424E-8A9A-7DD4BF2B6DA1}"/>
    <cellStyle name="40% - Accent3 2 3 5 2 3" xfId="12602" xr:uid="{00504306-DDBF-4587-9950-E8A1B9D716F0}"/>
    <cellStyle name="40% - Accent3 2 3 5 3" xfId="6225" xr:uid="{00000000-0005-0000-0000-00003B050000}"/>
    <cellStyle name="40% - Accent3 2 3 5 3 2" xfId="14675" xr:uid="{A0EB6E5B-6321-47FA-8266-43F7B6CF0794}"/>
    <cellStyle name="40% - Accent3 2 3 5 4" xfId="10457" xr:uid="{D035B330-F8B3-4476-A60C-3C68E3420B88}"/>
    <cellStyle name="40% - Accent3 2 3 6" xfId="2332" xr:uid="{00000000-0005-0000-0000-00003C050000}"/>
    <cellStyle name="40% - Accent3 2 3 6 2" xfId="6638" xr:uid="{00000000-0005-0000-0000-00003D050000}"/>
    <cellStyle name="40% - Accent3 2 3 6 2 2" xfId="15088" xr:uid="{F676DF05-EC6D-4115-8F81-CDD73DA2C060}"/>
    <cellStyle name="40% - Accent3 2 3 6 3" xfId="10870" xr:uid="{8E21F533-A46E-4ACD-AB8F-4D87494C560A}"/>
    <cellStyle name="40% - Accent3 2 3 7" xfId="4572" xr:uid="{00000000-0005-0000-0000-00003E050000}"/>
    <cellStyle name="40% - Accent3 2 3 7 2" xfId="13022" xr:uid="{93E7D047-F6C7-434D-A2B3-31B9D6226B4C}"/>
    <cellStyle name="40% - Accent3 2 3 8" xfId="8804" xr:uid="{1477A88F-471A-4804-9313-2C6EB2B90356}"/>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8F0A0366-C144-4CCC-B4A1-3465EF959E34}"/>
    <cellStyle name="40% - Accent3 2 4 2 3" xfId="11360" xr:uid="{5834E7ED-D161-4DF1-A3E4-E20838F6C3EF}"/>
    <cellStyle name="40% - Accent3 2 4 3" xfId="4983" xr:uid="{00000000-0005-0000-0000-000042050000}"/>
    <cellStyle name="40% - Accent3 2 4 3 2" xfId="13433" xr:uid="{88AD2781-6500-408F-8F41-2C9CD419F142}"/>
    <cellStyle name="40% - Accent3 2 4 4" xfId="9215" xr:uid="{AEC834CC-B260-4D47-88DC-3548C11B0170}"/>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BF9C48AE-5A7F-4BE9-9F58-33CBB7953E4D}"/>
    <cellStyle name="40% - Accent3 2 5 2 3" xfId="11773" xr:uid="{3D2A78D4-F0A9-40B2-AF82-8E3FB615A4EB}"/>
    <cellStyle name="40% - Accent3 2 5 3" xfId="5396" xr:uid="{00000000-0005-0000-0000-000046050000}"/>
    <cellStyle name="40% - Accent3 2 5 3 2" xfId="13846" xr:uid="{39739D86-51ED-48F4-8168-6476B888B0E4}"/>
    <cellStyle name="40% - Accent3 2 5 4" xfId="9628" xr:uid="{B524EE51-1767-4EA8-9155-7903DD662292}"/>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A982E83C-8EFD-40FB-976A-E9C5BAC69A88}"/>
    <cellStyle name="40% - Accent3 2 6 2 3" xfId="12186" xr:uid="{BA75D61B-77C1-4B65-9BF3-5BAD9151A173}"/>
    <cellStyle name="40% - Accent3 2 6 3" xfId="5809" xr:uid="{00000000-0005-0000-0000-00004A050000}"/>
    <cellStyle name="40% - Accent3 2 6 3 2" xfId="14259" xr:uid="{38978105-78F8-4C6C-A313-0D8491AA8CCD}"/>
    <cellStyle name="40% - Accent3 2 6 4" xfId="10041" xr:uid="{6504E03C-89E9-47A9-B0A7-9344B6FD2EB0}"/>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5092C9B7-646B-4DF4-8A04-CD30CD1BA67C}"/>
    <cellStyle name="40% - Accent3 2 7 2 3" xfId="12599" xr:uid="{6CB69573-B5DE-462D-BCEF-387FF9D249D3}"/>
    <cellStyle name="40% - Accent3 2 7 3" xfId="6222" xr:uid="{00000000-0005-0000-0000-00004E050000}"/>
    <cellStyle name="40% - Accent3 2 7 3 2" xfId="14672" xr:uid="{8C0DDED5-AC62-4CE8-A678-8731BBDB5AA6}"/>
    <cellStyle name="40% - Accent3 2 7 4" xfId="10454" xr:uid="{26CEB4F2-9A56-4C92-9D84-FFF410A2B608}"/>
    <cellStyle name="40% - Accent3 2 8" xfId="2329" xr:uid="{00000000-0005-0000-0000-00004F050000}"/>
    <cellStyle name="40% - Accent3 2 8 2" xfId="6635" xr:uid="{00000000-0005-0000-0000-000050050000}"/>
    <cellStyle name="40% - Accent3 2 8 2 2" xfId="15085" xr:uid="{C885A930-2D86-416A-966C-00E13848626F}"/>
    <cellStyle name="40% - Accent3 2 8 3" xfId="10867" xr:uid="{4674EE74-0AE6-45D4-82DE-EE5490F4282C}"/>
    <cellStyle name="40% - Accent3 2 9" xfId="4569" xr:uid="{00000000-0005-0000-0000-000051050000}"/>
    <cellStyle name="40% - Accent3 2 9 2" xfId="13019" xr:uid="{EE558306-6168-439C-94ED-D1789C26028A}"/>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3EC31A57-361E-4B18-96DE-BA687787C892}"/>
    <cellStyle name="40% - Accent3 3 2 2 2 3" xfId="11365" xr:uid="{68E0FED7-FDE7-4B41-BDDF-32A27A57E01A}"/>
    <cellStyle name="40% - Accent3 3 2 2 3" xfId="4988" xr:uid="{00000000-0005-0000-0000-000057050000}"/>
    <cellStyle name="40% - Accent3 3 2 2 3 2" xfId="13438" xr:uid="{57F64908-0F5C-4298-B80A-2280BC0DF9B5}"/>
    <cellStyle name="40% - Accent3 3 2 2 4" xfId="9220" xr:uid="{C8B23D8D-B36F-4C7F-95D0-7E05A81F439F}"/>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22DAF666-F78E-4AF4-8A4C-5ED3420CF8DB}"/>
    <cellStyle name="40% - Accent3 3 2 3 2 3" xfId="11778" xr:uid="{4B41C849-C28A-43D1-9D26-07015160979E}"/>
    <cellStyle name="40% - Accent3 3 2 3 3" xfId="5401" xr:uid="{00000000-0005-0000-0000-00005B050000}"/>
    <cellStyle name="40% - Accent3 3 2 3 3 2" xfId="13851" xr:uid="{F35FA92B-7713-477F-B1BC-F43D619A0C31}"/>
    <cellStyle name="40% - Accent3 3 2 3 4" xfId="9633" xr:uid="{1C361C01-1D19-4EAA-A168-CDB49AEA2238}"/>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C639BA91-D386-4F2E-AE64-A8B38AC5EB6D}"/>
    <cellStyle name="40% - Accent3 3 2 4 2 3" xfId="12191" xr:uid="{BA27A345-918F-4B0D-825F-01545771829E}"/>
    <cellStyle name="40% - Accent3 3 2 4 3" xfId="5814" xr:uid="{00000000-0005-0000-0000-00005F050000}"/>
    <cellStyle name="40% - Accent3 3 2 4 3 2" xfId="14264" xr:uid="{83A39AB6-FFF3-42AC-B3C5-022095DC8993}"/>
    <cellStyle name="40% - Accent3 3 2 4 4" xfId="10046" xr:uid="{151B6F7E-9884-4E51-BCE5-D20223CD1F34}"/>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A8D71B97-20C0-4852-8E80-7C9158738CFA}"/>
    <cellStyle name="40% - Accent3 3 2 5 2 3" xfId="12604" xr:uid="{79365AEA-CF81-47F7-AE0E-5AB55B22F3AC}"/>
    <cellStyle name="40% - Accent3 3 2 5 3" xfId="6227" xr:uid="{00000000-0005-0000-0000-000063050000}"/>
    <cellStyle name="40% - Accent3 3 2 5 3 2" xfId="14677" xr:uid="{78A4755E-84DB-422B-B32A-8EE5EDCAF45F}"/>
    <cellStyle name="40% - Accent3 3 2 5 4" xfId="10459" xr:uid="{14EFB27B-B2F4-4D87-B530-E8B06B3DDEF0}"/>
    <cellStyle name="40% - Accent3 3 2 6" xfId="2334" xr:uid="{00000000-0005-0000-0000-000064050000}"/>
    <cellStyle name="40% - Accent3 3 2 6 2" xfId="6640" xr:uid="{00000000-0005-0000-0000-000065050000}"/>
    <cellStyle name="40% - Accent3 3 2 6 2 2" xfId="15090" xr:uid="{EE0D6A95-4182-438B-999B-73EC08113B5F}"/>
    <cellStyle name="40% - Accent3 3 2 6 3" xfId="10872" xr:uid="{C817EF2F-5398-4BE9-98F4-6D7293FDAF88}"/>
    <cellStyle name="40% - Accent3 3 2 7" xfId="4574" xr:uid="{00000000-0005-0000-0000-000066050000}"/>
    <cellStyle name="40% - Accent3 3 2 7 2" xfId="13024" xr:uid="{58D38FA3-B3F5-4F59-BB0F-ADF62A44D1FB}"/>
    <cellStyle name="40% - Accent3 3 2 8" xfId="8806" xr:uid="{B0F1964D-3030-43DA-88AF-E61DEC737896}"/>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83A7E816-1513-44A4-9F3A-C3A7F9624BCA}"/>
    <cellStyle name="40% - Accent3 3 3 2 3" xfId="11364" xr:uid="{EC795838-3EED-4E73-B90A-086E9D884C59}"/>
    <cellStyle name="40% - Accent3 3 3 3" xfId="4987" xr:uid="{00000000-0005-0000-0000-00006A050000}"/>
    <cellStyle name="40% - Accent3 3 3 3 2" xfId="13437" xr:uid="{783FC677-34DD-434B-8D3B-359B19F91C02}"/>
    <cellStyle name="40% - Accent3 3 3 4" xfId="9219" xr:uid="{2E809940-E601-41D3-B60F-31EAB4122EA0}"/>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28E40AE0-A64F-4821-B5E8-0632A2A3AC6B}"/>
    <cellStyle name="40% - Accent3 3 4 2 3" xfId="11777" xr:uid="{BF1689EF-EFE7-4FAA-8B19-030D9363BE66}"/>
    <cellStyle name="40% - Accent3 3 4 3" xfId="5400" xr:uid="{00000000-0005-0000-0000-00006E050000}"/>
    <cellStyle name="40% - Accent3 3 4 3 2" xfId="13850" xr:uid="{F3146D13-AC3F-4A68-8B9C-CA5B86812345}"/>
    <cellStyle name="40% - Accent3 3 4 4" xfId="9632" xr:uid="{AFD4A60B-4B88-47E9-9A52-26C7028F253D}"/>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E33887CD-3B2B-4264-87BE-DCD8E24910D6}"/>
    <cellStyle name="40% - Accent3 3 5 2 3" xfId="12190" xr:uid="{6B565F83-DD7E-4C92-A919-3183DB58293A}"/>
    <cellStyle name="40% - Accent3 3 5 3" xfId="5813" xr:uid="{00000000-0005-0000-0000-000072050000}"/>
    <cellStyle name="40% - Accent3 3 5 3 2" xfId="14263" xr:uid="{667CEC85-9928-4C19-931A-82A6AE1772F6}"/>
    <cellStyle name="40% - Accent3 3 5 4" xfId="10045" xr:uid="{898EF31D-6461-49AA-A03E-B4594833022C}"/>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DC059308-5F18-4A6F-B05C-A2760291271B}"/>
    <cellStyle name="40% - Accent3 3 6 2 3" xfId="12603" xr:uid="{A1C8FEEB-C581-4D8C-A718-CAD2F0405398}"/>
    <cellStyle name="40% - Accent3 3 6 3" xfId="6226" xr:uid="{00000000-0005-0000-0000-000076050000}"/>
    <cellStyle name="40% - Accent3 3 6 3 2" xfId="14676" xr:uid="{2F03DE9F-43D0-4AE1-9BBD-63419BC31B14}"/>
    <cellStyle name="40% - Accent3 3 6 4" xfId="10458" xr:uid="{639B470B-9073-4B31-8F08-747663393E37}"/>
    <cellStyle name="40% - Accent3 3 7" xfId="2333" xr:uid="{00000000-0005-0000-0000-000077050000}"/>
    <cellStyle name="40% - Accent3 3 7 2" xfId="6639" xr:uid="{00000000-0005-0000-0000-000078050000}"/>
    <cellStyle name="40% - Accent3 3 7 2 2" xfId="15089" xr:uid="{BC181FF8-A5D4-4A7F-A38E-11500680BDC0}"/>
    <cellStyle name="40% - Accent3 3 7 3" xfId="10871" xr:uid="{BBBD5009-5F35-4FF5-98CC-8F97D0EABE98}"/>
    <cellStyle name="40% - Accent3 3 8" xfId="4573" xr:uid="{00000000-0005-0000-0000-000079050000}"/>
    <cellStyle name="40% - Accent3 3 8 2" xfId="13023" xr:uid="{88316196-31EB-478D-A6D9-F6BD230EE979}"/>
    <cellStyle name="40% - Accent3 3 9" xfId="8805" xr:uid="{A6F8682C-2887-422F-8845-57A2EA80A151}"/>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F1B954D4-D946-462E-85A1-AF511E7BAB87}"/>
    <cellStyle name="40% - Accent3 4 2 2 3" xfId="11366" xr:uid="{B6B6F2C4-491D-48AA-9514-9BA18001B7F7}"/>
    <cellStyle name="40% - Accent3 4 2 3" xfId="4989" xr:uid="{00000000-0005-0000-0000-00007E050000}"/>
    <cellStyle name="40% - Accent3 4 2 3 2" xfId="13439" xr:uid="{9BF3C0EB-90BB-46C7-8B0B-C18071D0D280}"/>
    <cellStyle name="40% - Accent3 4 2 4" xfId="9221" xr:uid="{61C771DD-0A7E-4049-95A8-CAFCB7A5C43A}"/>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4507609C-A536-4081-A64A-896B632049B7}"/>
    <cellStyle name="40% - Accent3 4 3 2 3" xfId="11779" xr:uid="{7F1862E5-01A5-4377-9BE1-6F796A9776F5}"/>
    <cellStyle name="40% - Accent3 4 3 3" xfId="5402" xr:uid="{00000000-0005-0000-0000-000082050000}"/>
    <cellStyle name="40% - Accent3 4 3 3 2" xfId="13852" xr:uid="{4B6B9E2B-C06E-4299-B19E-59E1719B1421}"/>
    <cellStyle name="40% - Accent3 4 3 4" xfId="9634" xr:uid="{C1063836-06B6-438D-BD46-69C26B2FCCA7}"/>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DFD319B2-6852-4C27-BBCD-02FF200E48C2}"/>
    <cellStyle name="40% - Accent3 4 4 2 3" xfId="12192" xr:uid="{57B1BD3F-FD9A-4D9B-9C8A-7B56BFD3B611}"/>
    <cellStyle name="40% - Accent3 4 4 3" xfId="5815" xr:uid="{00000000-0005-0000-0000-000086050000}"/>
    <cellStyle name="40% - Accent3 4 4 3 2" xfId="14265" xr:uid="{32DA3207-425C-46A5-B349-8E789098A641}"/>
    <cellStyle name="40% - Accent3 4 4 4" xfId="10047" xr:uid="{C9E43906-23E7-4F2B-8D2F-898EB86E4CA0}"/>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AC7020F1-57B0-4EEA-8053-C74EFDBB7FEC}"/>
    <cellStyle name="40% - Accent3 4 5 2 3" xfId="12605" xr:uid="{833C7210-F223-4BD5-8360-9E2F8FE16B4B}"/>
    <cellStyle name="40% - Accent3 4 5 3" xfId="6228" xr:uid="{00000000-0005-0000-0000-00008A050000}"/>
    <cellStyle name="40% - Accent3 4 5 3 2" xfId="14678" xr:uid="{23478F9D-52C7-4CB3-86BB-6E966DF503F8}"/>
    <cellStyle name="40% - Accent3 4 5 4" xfId="10460" xr:uid="{C84DDE8C-2EA0-47E8-A176-89E5FEF49FF2}"/>
    <cellStyle name="40% - Accent3 4 6" xfId="2335" xr:uid="{00000000-0005-0000-0000-00008B050000}"/>
    <cellStyle name="40% - Accent3 4 6 2" xfId="6641" xr:uid="{00000000-0005-0000-0000-00008C050000}"/>
    <cellStyle name="40% - Accent3 4 6 2 2" xfId="15091" xr:uid="{AC2E6113-8121-4224-A313-0FEE7F1904BC}"/>
    <cellStyle name="40% - Accent3 4 6 3" xfId="10873" xr:uid="{567DA880-471C-4248-A6F8-8CF40576503F}"/>
    <cellStyle name="40% - Accent3 4 7" xfId="4575" xr:uid="{00000000-0005-0000-0000-00008D050000}"/>
    <cellStyle name="40% - Accent3 4 7 2" xfId="13025" xr:uid="{CDA2B477-6635-4D0B-AFB5-E241828D44BD}"/>
    <cellStyle name="40% - Accent3 4 8" xfId="8807" xr:uid="{A2B1E774-B35F-4A34-983D-A2994984EE7C}"/>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5286FBDA-7685-4010-B5A7-A9EC94C12A80}"/>
    <cellStyle name="40% - Accent3 5 2 3" xfId="11359" xr:uid="{8A3C8741-65A6-45CB-8123-757D36B58223}"/>
    <cellStyle name="40% - Accent3 5 3" xfId="4982" xr:uid="{00000000-0005-0000-0000-000091050000}"/>
    <cellStyle name="40% - Accent3 5 3 2" xfId="13432" xr:uid="{401E9E7E-4CC4-4C15-87AD-230B97896F7D}"/>
    <cellStyle name="40% - Accent3 5 4" xfId="9214" xr:uid="{3AD26AE4-4A9E-46BD-977C-D4E8D086C6BD}"/>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2B9E0F37-7082-4F83-95E0-E4C93574B1B6}"/>
    <cellStyle name="40% - Accent3 6 2 3" xfId="11772" xr:uid="{42D3E787-4537-40B8-8BD5-7480D194EC91}"/>
    <cellStyle name="40% - Accent3 6 3" xfId="5395" xr:uid="{00000000-0005-0000-0000-000095050000}"/>
    <cellStyle name="40% - Accent3 6 3 2" xfId="13845" xr:uid="{86CC1588-00B6-4B1E-BB51-59AD6BFD1995}"/>
    <cellStyle name="40% - Accent3 6 4" xfId="9627" xr:uid="{F17910B7-65B6-4E80-915C-BA9ED920CBF4}"/>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C216E9F0-9838-472F-A317-DA87EAF40B76}"/>
    <cellStyle name="40% - Accent3 7 2 3" xfId="12185" xr:uid="{85DB7337-DE3A-464D-B29D-1843CC9D28CB}"/>
    <cellStyle name="40% - Accent3 7 3" xfId="5808" xr:uid="{00000000-0005-0000-0000-000099050000}"/>
    <cellStyle name="40% - Accent3 7 3 2" xfId="14258" xr:uid="{802A5277-F96D-41B4-B311-59374692C0C0}"/>
    <cellStyle name="40% - Accent3 7 4" xfId="10040" xr:uid="{4915CB40-6134-46A0-B120-F97666BD7622}"/>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7DF8240B-C7AB-4252-BBB3-250798F00C04}"/>
    <cellStyle name="40% - Accent3 8 2 3" xfId="12598" xr:uid="{65DC05F5-F1A1-47AF-AB22-1CD046BBF33D}"/>
    <cellStyle name="40% - Accent3 8 3" xfId="6221" xr:uid="{00000000-0005-0000-0000-00009D050000}"/>
    <cellStyle name="40% - Accent3 8 3 2" xfId="14671" xr:uid="{67DA322D-C635-451D-AE40-8B70DA57AC81}"/>
    <cellStyle name="40% - Accent3 8 4" xfId="10453" xr:uid="{22BA26E7-8FBD-4C35-B527-193C5AF8FE51}"/>
    <cellStyle name="40% - Accent3 9" xfId="2328" xr:uid="{00000000-0005-0000-0000-00009E050000}"/>
    <cellStyle name="40% - Accent3 9 2" xfId="6634" xr:uid="{00000000-0005-0000-0000-00009F050000}"/>
    <cellStyle name="40% - Accent3 9 2 2" xfId="15084" xr:uid="{DA7B9FDA-0ECA-4EEA-B0BF-4C7A9858912F}"/>
    <cellStyle name="40% - Accent3 9 3" xfId="10866" xr:uid="{77508B4E-0C28-446A-8EBF-435C1DF3091A}"/>
    <cellStyle name="40% - Accent4" xfId="73" builtinId="43" customBuiltin="1"/>
    <cellStyle name="40% - Accent4 10" xfId="4576" xr:uid="{00000000-0005-0000-0000-0000A1050000}"/>
    <cellStyle name="40% - Accent4 10 2" xfId="13026" xr:uid="{B9B21210-0D60-40D5-9B68-C186F2C564E8}"/>
    <cellStyle name="40% - Accent4 11" xfId="8808" xr:uid="{51459201-04E7-4726-AD28-A3FA4C1F24A5}"/>
    <cellStyle name="40% - Accent4 2" xfId="74" xr:uid="{00000000-0005-0000-0000-0000A2050000}"/>
    <cellStyle name="40% - Accent4 2 10" xfId="8809" xr:uid="{03EE288D-861D-4227-9826-7F060944584F}"/>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C5C140AD-3D0B-46F2-AB65-81D20525807D}"/>
    <cellStyle name="40% - Accent4 2 2 2 2 2 3" xfId="11370" xr:uid="{A6509C2B-83BA-4400-9D02-81A743EACE7F}"/>
    <cellStyle name="40% - Accent4 2 2 2 2 3" xfId="4993" xr:uid="{00000000-0005-0000-0000-0000A8050000}"/>
    <cellStyle name="40% - Accent4 2 2 2 2 3 2" xfId="13443" xr:uid="{5D49E96D-7D91-4074-A083-46764FD0D373}"/>
    <cellStyle name="40% - Accent4 2 2 2 2 4" xfId="9225" xr:uid="{D5A71B06-4F42-4261-857C-F4C4E5971AFC}"/>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CB524E15-9043-4568-9555-A23CE36DEF99}"/>
    <cellStyle name="40% - Accent4 2 2 2 3 2 3" xfId="11783" xr:uid="{17BE0560-B776-41A1-87E2-DB6EBF07BDA8}"/>
    <cellStyle name="40% - Accent4 2 2 2 3 3" xfId="5406" xr:uid="{00000000-0005-0000-0000-0000AC050000}"/>
    <cellStyle name="40% - Accent4 2 2 2 3 3 2" xfId="13856" xr:uid="{4F08281B-06FD-41D8-A302-BAFA21F6769C}"/>
    <cellStyle name="40% - Accent4 2 2 2 3 4" xfId="9638" xr:uid="{20BF54C0-E701-4180-BEE5-4355D17984E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E3B02246-887A-4CBD-800E-BAE9AB1F987A}"/>
    <cellStyle name="40% - Accent4 2 2 2 4 2 3" xfId="12196" xr:uid="{0455B2BA-1E99-4500-99ED-214A3A6804E0}"/>
    <cellStyle name="40% - Accent4 2 2 2 4 3" xfId="5819" xr:uid="{00000000-0005-0000-0000-0000B0050000}"/>
    <cellStyle name="40% - Accent4 2 2 2 4 3 2" xfId="14269" xr:uid="{15BB26D2-EF24-4176-B9C6-B69B0DDB6095}"/>
    <cellStyle name="40% - Accent4 2 2 2 4 4" xfId="10051" xr:uid="{3AD148FB-D971-46EA-8382-F10B5F4C5F3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DDA0F630-6EDA-49C3-BC69-E5ABE242D5F9}"/>
    <cellStyle name="40% - Accent4 2 2 2 5 2 3" xfId="12609" xr:uid="{EBD40B52-1884-48AD-9B96-BD6E808C85D8}"/>
    <cellStyle name="40% - Accent4 2 2 2 5 3" xfId="6232" xr:uid="{00000000-0005-0000-0000-0000B4050000}"/>
    <cellStyle name="40% - Accent4 2 2 2 5 3 2" xfId="14682" xr:uid="{DDB19133-9A79-48CA-A2F1-1CF1150326ED}"/>
    <cellStyle name="40% - Accent4 2 2 2 5 4" xfId="10464" xr:uid="{6B56D7E0-D622-4527-A772-5CCDCC9CEFC2}"/>
    <cellStyle name="40% - Accent4 2 2 2 6" xfId="2339" xr:uid="{00000000-0005-0000-0000-0000B5050000}"/>
    <cellStyle name="40% - Accent4 2 2 2 6 2" xfId="6645" xr:uid="{00000000-0005-0000-0000-0000B6050000}"/>
    <cellStyle name="40% - Accent4 2 2 2 6 2 2" xfId="15095" xr:uid="{F609EA76-E024-4F12-8992-A4A21F7EFF36}"/>
    <cellStyle name="40% - Accent4 2 2 2 6 3" xfId="10877" xr:uid="{208926FA-5114-40C6-9B12-18D0DDF54142}"/>
    <cellStyle name="40% - Accent4 2 2 2 7" xfId="4579" xr:uid="{00000000-0005-0000-0000-0000B7050000}"/>
    <cellStyle name="40% - Accent4 2 2 2 7 2" xfId="13029" xr:uid="{0F80D805-2B54-46DB-A5A0-FBC963063B71}"/>
    <cellStyle name="40% - Accent4 2 2 2 8" xfId="8811" xr:uid="{75252FD8-D665-4C59-BA9D-2C43EB323395}"/>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75D2F3F9-DB91-4A20-953D-A50C780F6E9C}"/>
    <cellStyle name="40% - Accent4 2 2 3 2 3" xfId="11369" xr:uid="{77CCA794-D1E0-4619-917B-7E8DE78F9F98}"/>
    <cellStyle name="40% - Accent4 2 2 3 3" xfId="4992" xr:uid="{00000000-0005-0000-0000-0000BB050000}"/>
    <cellStyle name="40% - Accent4 2 2 3 3 2" xfId="13442" xr:uid="{8346B9CB-B69D-4917-85E1-85A781C13D92}"/>
    <cellStyle name="40% - Accent4 2 2 3 4" xfId="9224" xr:uid="{557288D6-4338-44F8-BB04-946C5225A731}"/>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045A833D-D2BD-4D96-A8E5-76A5F733638D}"/>
    <cellStyle name="40% - Accent4 2 2 4 2 3" xfId="11782" xr:uid="{FFACB000-DDBB-4506-A3D9-29DCA84B3A1A}"/>
    <cellStyle name="40% - Accent4 2 2 4 3" xfId="5405" xr:uid="{00000000-0005-0000-0000-0000BF050000}"/>
    <cellStyle name="40% - Accent4 2 2 4 3 2" xfId="13855" xr:uid="{BCC63E89-1DE6-40B9-8964-608117EF2031}"/>
    <cellStyle name="40% - Accent4 2 2 4 4" xfId="9637" xr:uid="{A773ED78-9A8D-414D-BA16-0618D5C8B71E}"/>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DAB83C97-7AEB-493F-8C54-E7FB4AA8E68A}"/>
    <cellStyle name="40% - Accent4 2 2 5 2 3" xfId="12195" xr:uid="{254DFF13-2FE0-459F-8041-6320A4E015C2}"/>
    <cellStyle name="40% - Accent4 2 2 5 3" xfId="5818" xr:uid="{00000000-0005-0000-0000-0000C3050000}"/>
    <cellStyle name="40% - Accent4 2 2 5 3 2" xfId="14268" xr:uid="{4960BA6F-AF03-40B1-8B53-3EDA46EBB61A}"/>
    <cellStyle name="40% - Accent4 2 2 5 4" xfId="10050" xr:uid="{5F1707AE-9AA0-44FA-BB55-1321B0542622}"/>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C5F4438E-1979-4BFA-B9ED-9108F18473CF}"/>
    <cellStyle name="40% - Accent4 2 2 6 2 3" xfId="12608" xr:uid="{75F4D8C5-DE84-465A-A8EE-0155EA1B260F}"/>
    <cellStyle name="40% - Accent4 2 2 6 3" xfId="6231" xr:uid="{00000000-0005-0000-0000-0000C7050000}"/>
    <cellStyle name="40% - Accent4 2 2 6 3 2" xfId="14681" xr:uid="{F4129149-9F70-4DD5-A0C1-47166C57A011}"/>
    <cellStyle name="40% - Accent4 2 2 6 4" xfId="10463" xr:uid="{90335490-2811-4B96-AE5D-A2576528B324}"/>
    <cellStyle name="40% - Accent4 2 2 7" xfId="2338" xr:uid="{00000000-0005-0000-0000-0000C8050000}"/>
    <cellStyle name="40% - Accent4 2 2 7 2" xfId="6644" xr:uid="{00000000-0005-0000-0000-0000C9050000}"/>
    <cellStyle name="40% - Accent4 2 2 7 2 2" xfId="15094" xr:uid="{F6474800-EE4C-4E7E-8B68-B01DEA30A50C}"/>
    <cellStyle name="40% - Accent4 2 2 7 3" xfId="10876" xr:uid="{2AE5B994-A2F0-4DCA-B8AA-49D1BC323F6C}"/>
    <cellStyle name="40% - Accent4 2 2 8" xfId="4578" xr:uid="{00000000-0005-0000-0000-0000CA050000}"/>
    <cellStyle name="40% - Accent4 2 2 8 2" xfId="13028" xr:uid="{157F1FEC-9B06-463D-BD5F-D00390214EA2}"/>
    <cellStyle name="40% - Accent4 2 2 9" xfId="8810" xr:uid="{AAF4451D-487D-40C1-B4C5-FCD444D99994}"/>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34EF2AA2-A3B5-452F-957D-E5B99FD8CE25}"/>
    <cellStyle name="40% - Accent4 2 3 2 2 3" xfId="11371" xr:uid="{7F9B619F-1439-421C-88A3-3E870642C786}"/>
    <cellStyle name="40% - Accent4 2 3 2 3" xfId="4994" xr:uid="{00000000-0005-0000-0000-0000CF050000}"/>
    <cellStyle name="40% - Accent4 2 3 2 3 2" xfId="13444" xr:uid="{AF363EC9-91E0-4681-9889-97F12CCF354C}"/>
    <cellStyle name="40% - Accent4 2 3 2 4" xfId="9226" xr:uid="{3364563E-58E4-4690-B40B-7B3F287CDD64}"/>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DCAEE8D2-B583-42A1-8043-15C4393DA57C}"/>
    <cellStyle name="40% - Accent4 2 3 3 2 3" xfId="11784" xr:uid="{1C67436F-47CC-4B72-AF12-17129185B6BD}"/>
    <cellStyle name="40% - Accent4 2 3 3 3" xfId="5407" xr:uid="{00000000-0005-0000-0000-0000D3050000}"/>
    <cellStyle name="40% - Accent4 2 3 3 3 2" xfId="13857" xr:uid="{61A73FB4-E08A-47A0-B7A1-54C9019FD536}"/>
    <cellStyle name="40% - Accent4 2 3 3 4" xfId="9639" xr:uid="{20447B41-F05E-4263-9492-D74BA6EFE921}"/>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48B3B1D3-0947-4913-9106-DC658A08E969}"/>
    <cellStyle name="40% - Accent4 2 3 4 2 3" xfId="12197" xr:uid="{38B6501F-8BA5-4793-AE0E-98CEEDD36707}"/>
    <cellStyle name="40% - Accent4 2 3 4 3" xfId="5820" xr:uid="{00000000-0005-0000-0000-0000D7050000}"/>
    <cellStyle name="40% - Accent4 2 3 4 3 2" xfId="14270" xr:uid="{B1AB011A-29B4-4BB1-A23F-D77D6B2F14AB}"/>
    <cellStyle name="40% - Accent4 2 3 4 4" xfId="10052" xr:uid="{EB84F97A-1103-4121-9ACA-DADB3B5C5827}"/>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F8FA0218-09D0-426F-8032-09923AC25F90}"/>
    <cellStyle name="40% - Accent4 2 3 5 2 3" xfId="12610" xr:uid="{CD088334-327B-47E8-A51C-FD3F1576449C}"/>
    <cellStyle name="40% - Accent4 2 3 5 3" xfId="6233" xr:uid="{00000000-0005-0000-0000-0000DB050000}"/>
    <cellStyle name="40% - Accent4 2 3 5 3 2" xfId="14683" xr:uid="{62DD491D-8A45-47AE-93A3-5FBB31500E9D}"/>
    <cellStyle name="40% - Accent4 2 3 5 4" xfId="10465" xr:uid="{CB847A06-34BF-4CBE-B93E-C2C9E03A618F}"/>
    <cellStyle name="40% - Accent4 2 3 6" xfId="2340" xr:uid="{00000000-0005-0000-0000-0000DC050000}"/>
    <cellStyle name="40% - Accent4 2 3 6 2" xfId="6646" xr:uid="{00000000-0005-0000-0000-0000DD050000}"/>
    <cellStyle name="40% - Accent4 2 3 6 2 2" xfId="15096" xr:uid="{1657BCE6-8829-45B6-9CDC-678F251387FA}"/>
    <cellStyle name="40% - Accent4 2 3 6 3" xfId="10878" xr:uid="{F9ED1114-F60B-4796-94FB-17C36F30E683}"/>
    <cellStyle name="40% - Accent4 2 3 7" xfId="4580" xr:uid="{00000000-0005-0000-0000-0000DE050000}"/>
    <cellStyle name="40% - Accent4 2 3 7 2" xfId="13030" xr:uid="{9BF7BBFC-3B9F-4BFE-82D8-65713940F7B0}"/>
    <cellStyle name="40% - Accent4 2 3 8" xfId="8812" xr:uid="{658A8BC0-9897-4CFB-B48E-38B4F8DA25D1}"/>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1559D551-5659-4C3D-9128-E0069E1CEA2F}"/>
    <cellStyle name="40% - Accent4 2 4 2 3" xfId="11368" xr:uid="{B8E0F2A1-163F-4AC7-A4B3-17F4793644C8}"/>
    <cellStyle name="40% - Accent4 2 4 3" xfId="4991" xr:uid="{00000000-0005-0000-0000-0000E2050000}"/>
    <cellStyle name="40% - Accent4 2 4 3 2" xfId="13441" xr:uid="{FC3C8510-26A7-433B-B109-367DE6674F2C}"/>
    <cellStyle name="40% - Accent4 2 4 4" xfId="9223" xr:uid="{5D685BBA-B7CD-45F8-97D5-63686B396ECE}"/>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66EACDFD-59F7-45AD-B1E6-C274A6F80709}"/>
    <cellStyle name="40% - Accent4 2 5 2 3" xfId="11781" xr:uid="{190AF6A7-C5D1-434B-BD3F-0076C0676404}"/>
    <cellStyle name="40% - Accent4 2 5 3" xfId="5404" xr:uid="{00000000-0005-0000-0000-0000E6050000}"/>
    <cellStyle name="40% - Accent4 2 5 3 2" xfId="13854" xr:uid="{91E3819E-AD06-4A62-932B-AB4AFA9BF1C8}"/>
    <cellStyle name="40% - Accent4 2 5 4" xfId="9636" xr:uid="{7944E284-FF7A-43C0-AFB8-835F7EF4D4CD}"/>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ECC0FD64-8F39-49D1-80A3-EAD2A2322B02}"/>
    <cellStyle name="40% - Accent4 2 6 2 3" xfId="12194" xr:uid="{33AFD1AC-9672-4A68-9D26-34D88FFF5951}"/>
    <cellStyle name="40% - Accent4 2 6 3" xfId="5817" xr:uid="{00000000-0005-0000-0000-0000EA050000}"/>
    <cellStyle name="40% - Accent4 2 6 3 2" xfId="14267" xr:uid="{D9354517-DE63-4AD4-9F4C-544C76DF2E91}"/>
    <cellStyle name="40% - Accent4 2 6 4" xfId="10049" xr:uid="{9DD95EC3-561E-4374-8426-C390F45AC738}"/>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747A4F8A-1715-4F8E-98DD-707E3D736F66}"/>
    <cellStyle name="40% - Accent4 2 7 2 3" xfId="12607" xr:uid="{838AE76D-78D3-40A8-B72E-10221C9E94A9}"/>
    <cellStyle name="40% - Accent4 2 7 3" xfId="6230" xr:uid="{00000000-0005-0000-0000-0000EE050000}"/>
    <cellStyle name="40% - Accent4 2 7 3 2" xfId="14680" xr:uid="{552E9078-A4CF-418C-A3DF-6FBE82B09C2B}"/>
    <cellStyle name="40% - Accent4 2 7 4" xfId="10462" xr:uid="{36D098AC-4661-47BB-8677-1F4B5961A3ED}"/>
    <cellStyle name="40% - Accent4 2 8" xfId="2337" xr:uid="{00000000-0005-0000-0000-0000EF050000}"/>
    <cellStyle name="40% - Accent4 2 8 2" xfId="6643" xr:uid="{00000000-0005-0000-0000-0000F0050000}"/>
    <cellStyle name="40% - Accent4 2 8 2 2" xfId="15093" xr:uid="{86EF2CDA-D0BD-4CC2-BEE2-29585389BC9E}"/>
    <cellStyle name="40% - Accent4 2 8 3" xfId="10875" xr:uid="{030D2F00-1648-4B9E-97B7-0708A5963E38}"/>
    <cellStyle name="40% - Accent4 2 9" xfId="4577" xr:uid="{00000000-0005-0000-0000-0000F1050000}"/>
    <cellStyle name="40% - Accent4 2 9 2" xfId="13027" xr:uid="{18603579-CF43-49EA-99D4-286F0559795C}"/>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719BC475-CEFF-46EA-81EC-8DF167E23202}"/>
    <cellStyle name="40% - Accent4 3 2 2 2 3" xfId="11373" xr:uid="{90ABEBD0-5F4E-4060-B967-5CDB4FF1C148}"/>
    <cellStyle name="40% - Accent4 3 2 2 3" xfId="4996" xr:uid="{00000000-0005-0000-0000-0000F7050000}"/>
    <cellStyle name="40% - Accent4 3 2 2 3 2" xfId="13446" xr:uid="{BC382A61-487F-4F2C-AE8A-60C81ABFAD44}"/>
    <cellStyle name="40% - Accent4 3 2 2 4" xfId="9228" xr:uid="{C24F2D45-194D-48B6-B726-2729060FA405}"/>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9BF3FE2F-43B4-4CAC-B823-3745E1BCBDAA}"/>
    <cellStyle name="40% - Accent4 3 2 3 2 3" xfId="11786" xr:uid="{D1CFFBDE-26AF-463B-90E0-F5609B16DB1E}"/>
    <cellStyle name="40% - Accent4 3 2 3 3" xfId="5409" xr:uid="{00000000-0005-0000-0000-0000FB050000}"/>
    <cellStyle name="40% - Accent4 3 2 3 3 2" xfId="13859" xr:uid="{64F9FB48-51C8-4447-8CA1-0BB0EBA4C470}"/>
    <cellStyle name="40% - Accent4 3 2 3 4" xfId="9641" xr:uid="{9A68D612-9510-4A9D-B0FB-2D8ECC29E88D}"/>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DA4C2F19-C74F-44BA-A1C1-F493853589A4}"/>
    <cellStyle name="40% - Accent4 3 2 4 2 3" xfId="12199" xr:uid="{D5700A5D-83B9-4BA5-B4FA-5F56AE20AE8F}"/>
    <cellStyle name="40% - Accent4 3 2 4 3" xfId="5822" xr:uid="{00000000-0005-0000-0000-0000FF050000}"/>
    <cellStyle name="40% - Accent4 3 2 4 3 2" xfId="14272" xr:uid="{ABA589E9-82CA-442C-93F2-ADA378C36F13}"/>
    <cellStyle name="40% - Accent4 3 2 4 4" xfId="10054" xr:uid="{6D9A7842-147E-44F3-945C-B93F5B35A1C9}"/>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51CFB40F-6F80-4EB9-B5EF-665B7664CFB5}"/>
    <cellStyle name="40% - Accent4 3 2 5 2 3" xfId="12612" xr:uid="{69A47C2A-530E-4FCC-8CC5-1EC60A19A54F}"/>
    <cellStyle name="40% - Accent4 3 2 5 3" xfId="6235" xr:uid="{00000000-0005-0000-0000-000003060000}"/>
    <cellStyle name="40% - Accent4 3 2 5 3 2" xfId="14685" xr:uid="{E7A1E177-99E2-417A-9E04-732427C68E1F}"/>
    <cellStyle name="40% - Accent4 3 2 5 4" xfId="10467" xr:uid="{D26EF472-FDBB-4D97-87BA-C53356243B31}"/>
    <cellStyle name="40% - Accent4 3 2 6" xfId="2342" xr:uid="{00000000-0005-0000-0000-000004060000}"/>
    <cellStyle name="40% - Accent4 3 2 6 2" xfId="6648" xr:uid="{00000000-0005-0000-0000-000005060000}"/>
    <cellStyle name="40% - Accent4 3 2 6 2 2" xfId="15098" xr:uid="{D3E823CB-ED97-4407-AFE4-0E8C01156B9B}"/>
    <cellStyle name="40% - Accent4 3 2 6 3" xfId="10880" xr:uid="{7E9BD6FA-7686-4DA8-92EF-7BEF330320CC}"/>
    <cellStyle name="40% - Accent4 3 2 7" xfId="4582" xr:uid="{00000000-0005-0000-0000-000006060000}"/>
    <cellStyle name="40% - Accent4 3 2 7 2" xfId="13032" xr:uid="{F4426795-E9DC-4038-8829-A20455E7DF9F}"/>
    <cellStyle name="40% - Accent4 3 2 8" xfId="8814" xr:uid="{38BC2F35-BE27-4221-8CCE-A44A89D8E4F9}"/>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F61ABDEF-2ECC-4395-991E-227B3B089066}"/>
    <cellStyle name="40% - Accent4 3 3 2 3" xfId="11372" xr:uid="{5CC7AAC5-E877-409B-BD4F-7F61F98B9595}"/>
    <cellStyle name="40% - Accent4 3 3 3" xfId="4995" xr:uid="{00000000-0005-0000-0000-00000A060000}"/>
    <cellStyle name="40% - Accent4 3 3 3 2" xfId="13445" xr:uid="{71BF5AAC-EB15-4ECE-9DD4-F382F713DE16}"/>
    <cellStyle name="40% - Accent4 3 3 4" xfId="9227" xr:uid="{3768ED4F-AA4E-40D0-9C88-A71043DFCB76}"/>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9ACA8E6F-D8CF-4B3E-A5F4-E8CDBEA11016}"/>
    <cellStyle name="40% - Accent4 3 4 2 3" xfId="11785" xr:uid="{12782FB5-05F2-420F-AE1C-39CA9F7BE624}"/>
    <cellStyle name="40% - Accent4 3 4 3" xfId="5408" xr:uid="{00000000-0005-0000-0000-00000E060000}"/>
    <cellStyle name="40% - Accent4 3 4 3 2" xfId="13858" xr:uid="{A9E0B289-AFDC-4EB7-BC10-D1AD5E554966}"/>
    <cellStyle name="40% - Accent4 3 4 4" xfId="9640" xr:uid="{46DF5BB2-FE73-4D38-9BEB-E2AF39741144}"/>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7CDCFCA6-D97A-436F-9D2E-49C1F90797D3}"/>
    <cellStyle name="40% - Accent4 3 5 2 3" xfId="12198" xr:uid="{198F9B12-0943-4879-ABA0-D39476C3F66A}"/>
    <cellStyle name="40% - Accent4 3 5 3" xfId="5821" xr:uid="{00000000-0005-0000-0000-000012060000}"/>
    <cellStyle name="40% - Accent4 3 5 3 2" xfId="14271" xr:uid="{EFE22D5C-09A0-4A08-8ECC-0EA21CB9D236}"/>
    <cellStyle name="40% - Accent4 3 5 4" xfId="10053" xr:uid="{9FD22896-0B4B-44E9-B932-9C090FF11CC6}"/>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2E6D9D1F-7FB6-4F87-8123-EC8ADC4801B4}"/>
    <cellStyle name="40% - Accent4 3 6 2 3" xfId="12611" xr:uid="{FC83C677-A016-4C22-803A-0D859822326A}"/>
    <cellStyle name="40% - Accent4 3 6 3" xfId="6234" xr:uid="{00000000-0005-0000-0000-000016060000}"/>
    <cellStyle name="40% - Accent4 3 6 3 2" xfId="14684" xr:uid="{CC59CDAF-A1B4-4073-B7A1-D976F39341C4}"/>
    <cellStyle name="40% - Accent4 3 6 4" xfId="10466" xr:uid="{AED50F87-441B-45B9-B433-6F3993FF8F8B}"/>
    <cellStyle name="40% - Accent4 3 7" xfId="2341" xr:uid="{00000000-0005-0000-0000-000017060000}"/>
    <cellStyle name="40% - Accent4 3 7 2" xfId="6647" xr:uid="{00000000-0005-0000-0000-000018060000}"/>
    <cellStyle name="40% - Accent4 3 7 2 2" xfId="15097" xr:uid="{2372E071-3F40-4311-B69F-35C63C8E46CA}"/>
    <cellStyle name="40% - Accent4 3 7 3" xfId="10879" xr:uid="{D55AC713-D253-48DC-A2CD-DE384A44F1CF}"/>
    <cellStyle name="40% - Accent4 3 8" xfId="4581" xr:uid="{00000000-0005-0000-0000-000019060000}"/>
    <cellStyle name="40% - Accent4 3 8 2" xfId="13031" xr:uid="{968BF7E0-B434-4658-98BB-8556059F679C}"/>
    <cellStyle name="40% - Accent4 3 9" xfId="8813" xr:uid="{9B4248A2-9885-4D60-AFDA-2CBE664FAD0C}"/>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886E9994-2A94-4BBA-A1FF-622BA4D12784}"/>
    <cellStyle name="40% - Accent4 4 2 2 3" xfId="11374" xr:uid="{C15668C6-B937-417A-9DB3-5FE82029166A}"/>
    <cellStyle name="40% - Accent4 4 2 3" xfId="4997" xr:uid="{00000000-0005-0000-0000-00001E060000}"/>
    <cellStyle name="40% - Accent4 4 2 3 2" xfId="13447" xr:uid="{38A41F45-104B-47D3-BEED-DE5D583123AD}"/>
    <cellStyle name="40% - Accent4 4 2 4" xfId="9229" xr:uid="{F27C2134-0B34-43A4-BBF2-E0C9BCD0CD3B}"/>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4F37CEE2-12BB-4A23-8D07-74525211C072}"/>
    <cellStyle name="40% - Accent4 4 3 2 3" xfId="11787" xr:uid="{97170B18-A758-42DE-A97F-BAC1C6DEC9C3}"/>
    <cellStyle name="40% - Accent4 4 3 3" xfId="5410" xr:uid="{00000000-0005-0000-0000-000022060000}"/>
    <cellStyle name="40% - Accent4 4 3 3 2" xfId="13860" xr:uid="{B825F37B-6A64-4FB2-8D3C-680C33ACFE15}"/>
    <cellStyle name="40% - Accent4 4 3 4" xfId="9642" xr:uid="{44007C46-EB78-4E55-A166-8281246C78A6}"/>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41E368A8-C37D-43AB-9092-7DD6864692C4}"/>
    <cellStyle name="40% - Accent4 4 4 2 3" xfId="12200" xr:uid="{A5D23E69-7F7F-4334-B98B-255D07826628}"/>
    <cellStyle name="40% - Accent4 4 4 3" xfId="5823" xr:uid="{00000000-0005-0000-0000-000026060000}"/>
    <cellStyle name="40% - Accent4 4 4 3 2" xfId="14273" xr:uid="{23EB966C-4C81-44EF-AFBD-7F538EE8F9AE}"/>
    <cellStyle name="40% - Accent4 4 4 4" xfId="10055" xr:uid="{BFC9C930-C02E-4C8A-A189-635DCDA4E7DB}"/>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52DF160D-A20F-4606-9CAF-C41E1E0E9801}"/>
    <cellStyle name="40% - Accent4 4 5 2 3" xfId="12613" xr:uid="{6276CCCF-4FD7-4CBE-BEFF-60420A8AE59B}"/>
    <cellStyle name="40% - Accent4 4 5 3" xfId="6236" xr:uid="{00000000-0005-0000-0000-00002A060000}"/>
    <cellStyle name="40% - Accent4 4 5 3 2" xfId="14686" xr:uid="{D98F6F85-A927-4AE7-AFAA-DED2CF2DFDC7}"/>
    <cellStyle name="40% - Accent4 4 5 4" xfId="10468" xr:uid="{AA0C8A37-C6BB-44F2-BE0D-EF7442C90807}"/>
    <cellStyle name="40% - Accent4 4 6" xfId="2343" xr:uid="{00000000-0005-0000-0000-00002B060000}"/>
    <cellStyle name="40% - Accent4 4 6 2" xfId="6649" xr:uid="{00000000-0005-0000-0000-00002C060000}"/>
    <cellStyle name="40% - Accent4 4 6 2 2" xfId="15099" xr:uid="{AF84472B-A4D4-48FA-886C-756562C9F2B8}"/>
    <cellStyle name="40% - Accent4 4 6 3" xfId="10881" xr:uid="{B083F8AE-5523-49DF-8105-BCD8CE3BA7E4}"/>
    <cellStyle name="40% - Accent4 4 7" xfId="4583" xr:uid="{00000000-0005-0000-0000-00002D060000}"/>
    <cellStyle name="40% - Accent4 4 7 2" xfId="13033" xr:uid="{390EC9F8-2B3E-4260-AD06-35B34AB49160}"/>
    <cellStyle name="40% - Accent4 4 8" xfId="8815" xr:uid="{4D057DF5-1DFE-4DCF-8D99-FD6CA5E8CBD2}"/>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643E96F5-0C1C-428E-B448-1B17B3E1DD22}"/>
    <cellStyle name="40% - Accent4 5 2 3" xfId="11367" xr:uid="{2BD1AFC2-7BF7-44A9-BA86-8F4A07B20EAB}"/>
    <cellStyle name="40% - Accent4 5 3" xfId="4990" xr:uid="{00000000-0005-0000-0000-000031060000}"/>
    <cellStyle name="40% - Accent4 5 3 2" xfId="13440" xr:uid="{DEAF5C21-5260-4AEF-BCF9-FD22256B409E}"/>
    <cellStyle name="40% - Accent4 5 4" xfId="9222" xr:uid="{D47E1B43-D646-41C4-94E0-3322066D3E59}"/>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692B8BFA-25F7-4A71-955F-2B1E021C8212}"/>
    <cellStyle name="40% - Accent4 6 2 3" xfId="11780" xr:uid="{B6364F7F-3080-488E-ACB5-1B3B22832EBE}"/>
    <cellStyle name="40% - Accent4 6 3" xfId="5403" xr:uid="{00000000-0005-0000-0000-000035060000}"/>
    <cellStyle name="40% - Accent4 6 3 2" xfId="13853" xr:uid="{B77B6F1D-3C43-4056-8524-5276B421AB3E}"/>
    <cellStyle name="40% - Accent4 6 4" xfId="9635" xr:uid="{71D84794-1DCE-49F1-8F70-AB9593ADFFF2}"/>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EE479BFB-2BEC-4140-A264-1E2172A2C85E}"/>
    <cellStyle name="40% - Accent4 7 2 3" xfId="12193" xr:uid="{FAEBBFC6-6208-493E-B001-89B3A02D9F4A}"/>
    <cellStyle name="40% - Accent4 7 3" xfId="5816" xr:uid="{00000000-0005-0000-0000-000039060000}"/>
    <cellStyle name="40% - Accent4 7 3 2" xfId="14266" xr:uid="{BD6F3B44-6C7B-42DD-9FEF-8A841126A539}"/>
    <cellStyle name="40% - Accent4 7 4" xfId="10048" xr:uid="{5D949A7F-14DC-4C4E-8910-B8A8A8D59F67}"/>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7D1A46CA-7340-4EC0-A37F-F94FB615B27A}"/>
    <cellStyle name="40% - Accent4 8 2 3" xfId="12606" xr:uid="{4AB253BE-C1A4-45BD-BC48-237BF664C35E}"/>
    <cellStyle name="40% - Accent4 8 3" xfId="6229" xr:uid="{00000000-0005-0000-0000-00003D060000}"/>
    <cellStyle name="40% - Accent4 8 3 2" xfId="14679" xr:uid="{17A08E19-13E4-44F5-B9E9-40D2DBD03DCF}"/>
    <cellStyle name="40% - Accent4 8 4" xfId="10461" xr:uid="{D7726638-FC02-47C6-8BC6-7479E659DD7C}"/>
    <cellStyle name="40% - Accent4 9" xfId="2336" xr:uid="{00000000-0005-0000-0000-00003E060000}"/>
    <cellStyle name="40% - Accent4 9 2" xfId="6642" xr:uid="{00000000-0005-0000-0000-00003F060000}"/>
    <cellStyle name="40% - Accent4 9 2 2" xfId="15092" xr:uid="{CFD511AA-F47F-4BDA-9296-845DD81FCE6B}"/>
    <cellStyle name="40% - Accent4 9 3" xfId="10874" xr:uid="{598FA719-2ACA-434B-9811-E683C6518E92}"/>
    <cellStyle name="40% - Accent5" xfId="81" builtinId="47" customBuiltin="1"/>
    <cellStyle name="40% - Accent5 10" xfId="4584" xr:uid="{00000000-0005-0000-0000-000041060000}"/>
    <cellStyle name="40% - Accent5 10 2" xfId="13034" xr:uid="{EF89B6A6-404A-48F9-907F-59013A2FDD3B}"/>
    <cellStyle name="40% - Accent5 11" xfId="8816" xr:uid="{7D3AA0C1-4C09-4AD2-AF36-8B62B7385883}"/>
    <cellStyle name="40% - Accent5 2" xfId="82" xr:uid="{00000000-0005-0000-0000-000042060000}"/>
    <cellStyle name="40% - Accent5 2 10" xfId="8817" xr:uid="{FDF2FD92-DF46-4A1A-A7DE-359E499A7269}"/>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0651EC20-2633-4265-8263-5797B4292587}"/>
    <cellStyle name="40% - Accent5 2 2 2 2 2 3" xfId="11378" xr:uid="{16C2F0DE-5025-4CE9-B505-A10830861658}"/>
    <cellStyle name="40% - Accent5 2 2 2 2 3" xfId="5001" xr:uid="{00000000-0005-0000-0000-000048060000}"/>
    <cellStyle name="40% - Accent5 2 2 2 2 3 2" xfId="13451" xr:uid="{69F7A924-2949-4898-9ED2-D31B4964387F}"/>
    <cellStyle name="40% - Accent5 2 2 2 2 4" xfId="9233" xr:uid="{B17EA9D4-23A2-4DBD-B975-FCE0A10B8DBB}"/>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9AB00ABB-30A3-48C4-B248-2D5FE50BBAE9}"/>
    <cellStyle name="40% - Accent5 2 2 2 3 2 3" xfId="11791" xr:uid="{1300E459-C47D-464A-A007-378A253E302F}"/>
    <cellStyle name="40% - Accent5 2 2 2 3 3" xfId="5414" xr:uid="{00000000-0005-0000-0000-00004C060000}"/>
    <cellStyle name="40% - Accent5 2 2 2 3 3 2" xfId="13864" xr:uid="{BA5D4F0C-9CEA-4913-959A-19560398A26D}"/>
    <cellStyle name="40% - Accent5 2 2 2 3 4" xfId="9646" xr:uid="{F19898DA-E6DD-4D98-8C24-A4DB615FE802}"/>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6D4B42AF-5EE2-47A6-96AD-98554A465219}"/>
    <cellStyle name="40% - Accent5 2 2 2 4 2 3" xfId="12204" xr:uid="{DD28CA7F-2311-4E09-B9D6-088DE27A90A1}"/>
    <cellStyle name="40% - Accent5 2 2 2 4 3" xfId="5827" xr:uid="{00000000-0005-0000-0000-000050060000}"/>
    <cellStyle name="40% - Accent5 2 2 2 4 3 2" xfId="14277" xr:uid="{2DC243CC-C26E-48E9-B1CD-2CB7D486E573}"/>
    <cellStyle name="40% - Accent5 2 2 2 4 4" xfId="10059" xr:uid="{F3D5C4BD-F2D0-45C5-B41A-D4CF5FFEFBE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29A63031-C338-455A-9720-F478269236FB}"/>
    <cellStyle name="40% - Accent5 2 2 2 5 2 3" xfId="12617" xr:uid="{FAB76A04-EC26-4874-AAAC-048BA1C02744}"/>
    <cellStyle name="40% - Accent5 2 2 2 5 3" xfId="6240" xr:uid="{00000000-0005-0000-0000-000054060000}"/>
    <cellStyle name="40% - Accent5 2 2 2 5 3 2" xfId="14690" xr:uid="{DEC38293-E6B0-4C18-B1AD-CCDB747DC6BD}"/>
    <cellStyle name="40% - Accent5 2 2 2 5 4" xfId="10472" xr:uid="{102C11CE-898E-4529-B1CF-BC2CF008FCFA}"/>
    <cellStyle name="40% - Accent5 2 2 2 6" xfId="2347" xr:uid="{00000000-0005-0000-0000-000055060000}"/>
    <cellStyle name="40% - Accent5 2 2 2 6 2" xfId="6653" xr:uid="{00000000-0005-0000-0000-000056060000}"/>
    <cellStyle name="40% - Accent5 2 2 2 6 2 2" xfId="15103" xr:uid="{7C78DBEC-C09C-4E83-82FF-5CFBD644FCEA}"/>
    <cellStyle name="40% - Accent5 2 2 2 6 3" xfId="10885" xr:uid="{1677218B-70E3-48B7-A5F7-0ACE796BBFCF}"/>
    <cellStyle name="40% - Accent5 2 2 2 7" xfId="4587" xr:uid="{00000000-0005-0000-0000-000057060000}"/>
    <cellStyle name="40% - Accent5 2 2 2 7 2" xfId="13037" xr:uid="{CFD99D70-DDC1-456B-9330-CB655B1EDACA}"/>
    <cellStyle name="40% - Accent5 2 2 2 8" xfId="8819" xr:uid="{503A1FBC-10F3-49F7-BAFD-36BFA70AF18E}"/>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CE684E26-BDCD-42B0-BE24-D3EC931DF4FE}"/>
    <cellStyle name="40% - Accent5 2 2 3 2 3" xfId="11377" xr:uid="{5D1867D5-3226-483E-A357-690F3CDA44AA}"/>
    <cellStyle name="40% - Accent5 2 2 3 3" xfId="5000" xr:uid="{00000000-0005-0000-0000-00005B060000}"/>
    <cellStyle name="40% - Accent5 2 2 3 3 2" xfId="13450" xr:uid="{7B7EFDF3-16E7-44B5-A2CB-2248BA5D2864}"/>
    <cellStyle name="40% - Accent5 2 2 3 4" xfId="9232" xr:uid="{3C9382A9-F811-426C-868C-A3204D28B4C1}"/>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86D42BFF-3F5C-43C1-9B2A-F26827E03EAC}"/>
    <cellStyle name="40% - Accent5 2 2 4 2 3" xfId="11790" xr:uid="{F9FB6024-9F6B-4749-A8AA-4ED937D78AA0}"/>
    <cellStyle name="40% - Accent5 2 2 4 3" xfId="5413" xr:uid="{00000000-0005-0000-0000-00005F060000}"/>
    <cellStyle name="40% - Accent5 2 2 4 3 2" xfId="13863" xr:uid="{F24D8BE9-D9E5-4BDB-95A6-0BF16B753D98}"/>
    <cellStyle name="40% - Accent5 2 2 4 4" xfId="9645" xr:uid="{6FE2952D-D8DF-4604-8AAB-3D19BDF7444A}"/>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2F4BC8DE-E55E-4E85-B77A-B4B914EBF4A9}"/>
    <cellStyle name="40% - Accent5 2 2 5 2 3" xfId="12203" xr:uid="{AD72AC39-F4E0-4A55-8500-E85888980222}"/>
    <cellStyle name="40% - Accent5 2 2 5 3" xfId="5826" xr:uid="{00000000-0005-0000-0000-000063060000}"/>
    <cellStyle name="40% - Accent5 2 2 5 3 2" xfId="14276" xr:uid="{CC16E733-F414-45ED-8FFC-163E345BE01A}"/>
    <cellStyle name="40% - Accent5 2 2 5 4" xfId="10058" xr:uid="{7A31E284-828D-4DA2-86A8-69BCFF80825D}"/>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0194D5C2-19DB-458A-81AC-587FAA078EF9}"/>
    <cellStyle name="40% - Accent5 2 2 6 2 3" xfId="12616" xr:uid="{1FAA4488-D7AC-47E6-BC6F-BE1867D54CDA}"/>
    <cellStyle name="40% - Accent5 2 2 6 3" xfId="6239" xr:uid="{00000000-0005-0000-0000-000067060000}"/>
    <cellStyle name="40% - Accent5 2 2 6 3 2" xfId="14689" xr:uid="{FB294411-322F-428B-AEE9-AA9BBEF72F58}"/>
    <cellStyle name="40% - Accent5 2 2 6 4" xfId="10471" xr:uid="{2CF26C1A-7B51-4256-8C3A-2CA9DA39ADB5}"/>
    <cellStyle name="40% - Accent5 2 2 7" xfId="2346" xr:uid="{00000000-0005-0000-0000-000068060000}"/>
    <cellStyle name="40% - Accent5 2 2 7 2" xfId="6652" xr:uid="{00000000-0005-0000-0000-000069060000}"/>
    <cellStyle name="40% - Accent5 2 2 7 2 2" xfId="15102" xr:uid="{A1BD303B-1425-434F-BFBC-7AA7394FC8B0}"/>
    <cellStyle name="40% - Accent5 2 2 7 3" xfId="10884" xr:uid="{AD700D60-9CED-4E6D-974C-BA7B1E53F04E}"/>
    <cellStyle name="40% - Accent5 2 2 8" xfId="4586" xr:uid="{00000000-0005-0000-0000-00006A060000}"/>
    <cellStyle name="40% - Accent5 2 2 8 2" xfId="13036" xr:uid="{D5C29A15-7612-4811-91CB-055A0A19E2F6}"/>
    <cellStyle name="40% - Accent5 2 2 9" xfId="8818" xr:uid="{E138E065-DCA4-4856-BE2D-B1276919758A}"/>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B1C30588-2441-4378-8902-7824606A5530}"/>
    <cellStyle name="40% - Accent5 2 3 2 2 3" xfId="11379" xr:uid="{3579570F-625D-4CE1-8CEB-82B4B58FDCE7}"/>
    <cellStyle name="40% - Accent5 2 3 2 3" xfId="5002" xr:uid="{00000000-0005-0000-0000-00006F060000}"/>
    <cellStyle name="40% - Accent5 2 3 2 3 2" xfId="13452" xr:uid="{0DA0F866-1F95-4B4F-A528-59A31C347447}"/>
    <cellStyle name="40% - Accent5 2 3 2 4" xfId="9234" xr:uid="{448C2101-D1F6-4A5A-B657-B3CB286ACA9A}"/>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52ABF911-BF54-4E34-9BCE-55649C2C92F7}"/>
    <cellStyle name="40% - Accent5 2 3 3 2 3" xfId="11792" xr:uid="{F5542B20-5C70-4F53-BBBF-3BFCBFC8843D}"/>
    <cellStyle name="40% - Accent5 2 3 3 3" xfId="5415" xr:uid="{00000000-0005-0000-0000-000073060000}"/>
    <cellStyle name="40% - Accent5 2 3 3 3 2" xfId="13865" xr:uid="{4B1F2714-F4EA-4191-B93D-854673F4A91B}"/>
    <cellStyle name="40% - Accent5 2 3 3 4" xfId="9647" xr:uid="{864FCB50-1CD0-45E7-9E4F-B1D902A67E94}"/>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1116610C-D222-40E1-9AB9-F0031230C5C4}"/>
    <cellStyle name="40% - Accent5 2 3 4 2 3" xfId="12205" xr:uid="{BE4A820E-DE6F-49F7-938F-AC941F7F1413}"/>
    <cellStyle name="40% - Accent5 2 3 4 3" xfId="5828" xr:uid="{00000000-0005-0000-0000-000077060000}"/>
    <cellStyle name="40% - Accent5 2 3 4 3 2" xfId="14278" xr:uid="{46747949-54AD-4F35-B25F-C83C652B60D9}"/>
    <cellStyle name="40% - Accent5 2 3 4 4" xfId="10060" xr:uid="{0C7B363E-2C05-4225-BD87-356B31C34ABE}"/>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17D6A36E-AF93-41AF-93DD-E09B8594AA54}"/>
    <cellStyle name="40% - Accent5 2 3 5 2 3" xfId="12618" xr:uid="{52E2ADDB-D1F5-413D-A3FE-EFA757A2304C}"/>
    <cellStyle name="40% - Accent5 2 3 5 3" xfId="6241" xr:uid="{00000000-0005-0000-0000-00007B060000}"/>
    <cellStyle name="40% - Accent5 2 3 5 3 2" xfId="14691" xr:uid="{9667E724-668D-417D-82E3-480D8E265E8E}"/>
    <cellStyle name="40% - Accent5 2 3 5 4" xfId="10473" xr:uid="{5C28A8D2-072C-4E6D-A85C-36AC192248CF}"/>
    <cellStyle name="40% - Accent5 2 3 6" xfId="2348" xr:uid="{00000000-0005-0000-0000-00007C060000}"/>
    <cellStyle name="40% - Accent5 2 3 6 2" xfId="6654" xr:uid="{00000000-0005-0000-0000-00007D060000}"/>
    <cellStyle name="40% - Accent5 2 3 6 2 2" xfId="15104" xr:uid="{DF0DE0D3-C577-4E38-807D-F536F51E8F65}"/>
    <cellStyle name="40% - Accent5 2 3 6 3" xfId="10886" xr:uid="{D0E6A680-4356-4A8F-991E-EB445BFC0372}"/>
    <cellStyle name="40% - Accent5 2 3 7" xfId="4588" xr:uid="{00000000-0005-0000-0000-00007E060000}"/>
    <cellStyle name="40% - Accent5 2 3 7 2" xfId="13038" xr:uid="{83B295AA-0911-45D5-A6F5-1630276400B3}"/>
    <cellStyle name="40% - Accent5 2 3 8" xfId="8820" xr:uid="{07CECA42-7C4C-4646-A417-DD1E68F6766B}"/>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60C53626-5DCB-4308-8D97-9B9419335144}"/>
    <cellStyle name="40% - Accent5 2 4 2 3" xfId="11376" xr:uid="{3A6BA69D-BA10-4F42-A927-3F6ECAC2A4CB}"/>
    <cellStyle name="40% - Accent5 2 4 3" xfId="4999" xr:uid="{00000000-0005-0000-0000-000082060000}"/>
    <cellStyle name="40% - Accent5 2 4 3 2" xfId="13449" xr:uid="{88B1DD07-14D1-40B4-B1D3-A8CF22099902}"/>
    <cellStyle name="40% - Accent5 2 4 4" xfId="9231" xr:uid="{7165B0E2-E411-4161-AFBE-E5EF4A5C25B3}"/>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D7D7CC53-3BC9-4AD2-9008-C7B3D7778203}"/>
    <cellStyle name="40% - Accent5 2 5 2 3" xfId="11789" xr:uid="{CAC57A98-3327-4511-BD5C-A05E64EA5501}"/>
    <cellStyle name="40% - Accent5 2 5 3" xfId="5412" xr:uid="{00000000-0005-0000-0000-000086060000}"/>
    <cellStyle name="40% - Accent5 2 5 3 2" xfId="13862" xr:uid="{6C6A411D-3126-4452-85F1-641C73ED54D9}"/>
    <cellStyle name="40% - Accent5 2 5 4" xfId="9644" xr:uid="{9588746E-E8DC-427F-927E-2C3A144254B3}"/>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5F4B8A8F-F469-4828-A075-D0BCF3532443}"/>
    <cellStyle name="40% - Accent5 2 6 2 3" xfId="12202" xr:uid="{4780AD2B-535F-40A7-8B3B-8B72294FCAEA}"/>
    <cellStyle name="40% - Accent5 2 6 3" xfId="5825" xr:uid="{00000000-0005-0000-0000-00008A060000}"/>
    <cellStyle name="40% - Accent5 2 6 3 2" xfId="14275" xr:uid="{F8316A69-4C8E-4241-B63C-FCA74C4BB4C1}"/>
    <cellStyle name="40% - Accent5 2 6 4" xfId="10057" xr:uid="{6807B01B-D026-4D6D-A599-AAAB277E8682}"/>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5B10DC74-4298-40B3-AD5A-5C0F0E364461}"/>
    <cellStyle name="40% - Accent5 2 7 2 3" xfId="12615" xr:uid="{85E80C5D-5882-4A1A-A677-44B08EC8A87B}"/>
    <cellStyle name="40% - Accent5 2 7 3" xfId="6238" xr:uid="{00000000-0005-0000-0000-00008E060000}"/>
    <cellStyle name="40% - Accent5 2 7 3 2" xfId="14688" xr:uid="{78480ECA-C190-4118-96CE-D12278401864}"/>
    <cellStyle name="40% - Accent5 2 7 4" xfId="10470" xr:uid="{CAF8357C-D569-4AA8-A966-1ACABCDC023C}"/>
    <cellStyle name="40% - Accent5 2 8" xfId="2345" xr:uid="{00000000-0005-0000-0000-00008F060000}"/>
    <cellStyle name="40% - Accent5 2 8 2" xfId="6651" xr:uid="{00000000-0005-0000-0000-000090060000}"/>
    <cellStyle name="40% - Accent5 2 8 2 2" xfId="15101" xr:uid="{337A64A7-6D00-4CF2-B747-6F4E20B7B73C}"/>
    <cellStyle name="40% - Accent5 2 8 3" xfId="10883" xr:uid="{0E67EA31-AB4A-4020-94FF-437D98E41EEC}"/>
    <cellStyle name="40% - Accent5 2 9" xfId="4585" xr:uid="{00000000-0005-0000-0000-000091060000}"/>
    <cellStyle name="40% - Accent5 2 9 2" xfId="13035" xr:uid="{65F149B1-5947-4D08-94E0-39D8F4CC0AC4}"/>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07496377-5316-4F22-8E6F-14F7C06A318D}"/>
    <cellStyle name="40% - Accent5 3 2 2 2 3" xfId="11381" xr:uid="{371152AD-93AC-4404-81EB-A29B89B03502}"/>
    <cellStyle name="40% - Accent5 3 2 2 3" xfId="5004" xr:uid="{00000000-0005-0000-0000-000097060000}"/>
    <cellStyle name="40% - Accent5 3 2 2 3 2" xfId="13454" xr:uid="{C792BCF4-4CB4-4382-BEE2-876337A74C32}"/>
    <cellStyle name="40% - Accent5 3 2 2 4" xfId="9236" xr:uid="{1BB06B20-E591-4E60-BF63-2B0DFCBC7D75}"/>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52D1F131-4365-4F4B-AB3F-A5F82B09CA15}"/>
    <cellStyle name="40% - Accent5 3 2 3 2 3" xfId="11794" xr:uid="{5DA5C5A0-F978-4B85-9B20-D143F44ACF4A}"/>
    <cellStyle name="40% - Accent5 3 2 3 3" xfId="5417" xr:uid="{00000000-0005-0000-0000-00009B060000}"/>
    <cellStyle name="40% - Accent5 3 2 3 3 2" xfId="13867" xr:uid="{9FA78A22-1A02-4AA5-8039-56FB52C889F4}"/>
    <cellStyle name="40% - Accent5 3 2 3 4" xfId="9649" xr:uid="{91FC3F8A-D8AF-4837-835F-5306AE540B5F}"/>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516895A4-1F90-4844-BB47-2E6A21254F3E}"/>
    <cellStyle name="40% - Accent5 3 2 4 2 3" xfId="12207" xr:uid="{6A0577E6-0C6E-41FE-8CA5-0931951FC3E7}"/>
    <cellStyle name="40% - Accent5 3 2 4 3" xfId="5830" xr:uid="{00000000-0005-0000-0000-00009F060000}"/>
    <cellStyle name="40% - Accent5 3 2 4 3 2" xfId="14280" xr:uid="{0CB97CE9-2EE7-4741-9F36-365D63C5E180}"/>
    <cellStyle name="40% - Accent5 3 2 4 4" xfId="10062" xr:uid="{FC02615B-EFEB-4174-A316-1BA03E52CE3A}"/>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247B0323-DC09-47A0-B296-9AAE1F02D04B}"/>
    <cellStyle name="40% - Accent5 3 2 5 2 3" xfId="12620" xr:uid="{811CFDA2-58E9-469E-B994-26C09F00E84E}"/>
    <cellStyle name="40% - Accent5 3 2 5 3" xfId="6243" xr:uid="{00000000-0005-0000-0000-0000A3060000}"/>
    <cellStyle name="40% - Accent5 3 2 5 3 2" xfId="14693" xr:uid="{06D4B2C1-BE31-4DAA-98E3-599A3DF2B4EA}"/>
    <cellStyle name="40% - Accent5 3 2 5 4" xfId="10475" xr:uid="{4B477C0E-913D-4F39-919F-990173F7D905}"/>
    <cellStyle name="40% - Accent5 3 2 6" xfId="2350" xr:uid="{00000000-0005-0000-0000-0000A4060000}"/>
    <cellStyle name="40% - Accent5 3 2 6 2" xfId="6656" xr:uid="{00000000-0005-0000-0000-0000A5060000}"/>
    <cellStyle name="40% - Accent5 3 2 6 2 2" xfId="15106" xr:uid="{104D7157-8432-4DCD-BB63-28AB6EE2C57E}"/>
    <cellStyle name="40% - Accent5 3 2 6 3" xfId="10888" xr:uid="{D723DD40-E884-42C7-BE50-6758B4342FBA}"/>
    <cellStyle name="40% - Accent5 3 2 7" xfId="4590" xr:uid="{00000000-0005-0000-0000-0000A6060000}"/>
    <cellStyle name="40% - Accent5 3 2 7 2" xfId="13040" xr:uid="{2A52FC89-8AF2-4A80-8DCA-C7C818A6B437}"/>
    <cellStyle name="40% - Accent5 3 2 8" xfId="8822" xr:uid="{D5460D3F-8C45-4F32-9834-5DBE65FEB70D}"/>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37659113-CF73-48AA-B024-B096E81F89AC}"/>
    <cellStyle name="40% - Accent5 3 3 2 3" xfId="11380" xr:uid="{BEC402A3-6961-4A9A-A5AC-CEC86EBE3E1F}"/>
    <cellStyle name="40% - Accent5 3 3 3" xfId="5003" xr:uid="{00000000-0005-0000-0000-0000AA060000}"/>
    <cellStyle name="40% - Accent5 3 3 3 2" xfId="13453" xr:uid="{F770A929-F062-4A52-BA84-3D9CFCC39589}"/>
    <cellStyle name="40% - Accent5 3 3 4" xfId="9235" xr:uid="{2817DA47-70AE-4937-A69E-4078CE7DD6B7}"/>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4437104D-CDEF-4F65-9EF0-D9692C999FFB}"/>
    <cellStyle name="40% - Accent5 3 4 2 3" xfId="11793" xr:uid="{2CA89846-C04A-47B2-B80A-D709424FC1F1}"/>
    <cellStyle name="40% - Accent5 3 4 3" xfId="5416" xr:uid="{00000000-0005-0000-0000-0000AE060000}"/>
    <cellStyle name="40% - Accent5 3 4 3 2" xfId="13866" xr:uid="{EBABA5C2-8593-4C32-9690-3B1510452D73}"/>
    <cellStyle name="40% - Accent5 3 4 4" xfId="9648" xr:uid="{EFFA94EE-0C46-4371-92A2-97A8492C9030}"/>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E7A58715-1FC3-466F-9143-FB5E2F72ED17}"/>
    <cellStyle name="40% - Accent5 3 5 2 3" xfId="12206" xr:uid="{4D8FE005-02C0-47E4-B9CD-968D6052406E}"/>
    <cellStyle name="40% - Accent5 3 5 3" xfId="5829" xr:uid="{00000000-0005-0000-0000-0000B2060000}"/>
    <cellStyle name="40% - Accent5 3 5 3 2" xfId="14279" xr:uid="{7BA4CB89-88B6-4B33-83A8-D244E915D29D}"/>
    <cellStyle name="40% - Accent5 3 5 4" xfId="10061" xr:uid="{1A553BDB-F344-4E0D-BC50-996BD9381E7B}"/>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3541A426-79E7-4CF0-9FFD-87C73BBD736D}"/>
    <cellStyle name="40% - Accent5 3 6 2 3" xfId="12619" xr:uid="{300BDAC7-B2A4-40F1-9F69-EFA54EA2C35D}"/>
    <cellStyle name="40% - Accent5 3 6 3" xfId="6242" xr:uid="{00000000-0005-0000-0000-0000B6060000}"/>
    <cellStyle name="40% - Accent5 3 6 3 2" xfId="14692" xr:uid="{3958B718-2370-4726-8FBE-49F513DE67A2}"/>
    <cellStyle name="40% - Accent5 3 6 4" xfId="10474" xr:uid="{7C5333A8-D2BE-49D3-8100-6181408B8BAB}"/>
    <cellStyle name="40% - Accent5 3 7" xfId="2349" xr:uid="{00000000-0005-0000-0000-0000B7060000}"/>
    <cellStyle name="40% - Accent5 3 7 2" xfId="6655" xr:uid="{00000000-0005-0000-0000-0000B8060000}"/>
    <cellStyle name="40% - Accent5 3 7 2 2" xfId="15105" xr:uid="{09811A0A-CA9F-443F-9593-6A745CACB1C5}"/>
    <cellStyle name="40% - Accent5 3 7 3" xfId="10887" xr:uid="{3124BE8E-7E0D-4ED6-8C4B-A4BE5F6D7A6B}"/>
    <cellStyle name="40% - Accent5 3 8" xfId="4589" xr:uid="{00000000-0005-0000-0000-0000B9060000}"/>
    <cellStyle name="40% - Accent5 3 8 2" xfId="13039" xr:uid="{603E93F9-A3CB-4F45-9D16-16AD1CB451BE}"/>
    <cellStyle name="40% - Accent5 3 9" xfId="8821" xr:uid="{F91A0EFC-F824-4CA7-B4E9-4FF6D1298537}"/>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2EB3753E-CD0D-4CA3-9423-628EF8EB46F8}"/>
    <cellStyle name="40% - Accent5 4 2 2 3" xfId="11382" xr:uid="{8668D4D5-EB9F-4264-B103-E67927458F96}"/>
    <cellStyle name="40% - Accent5 4 2 3" xfId="5005" xr:uid="{00000000-0005-0000-0000-0000BE060000}"/>
    <cellStyle name="40% - Accent5 4 2 3 2" xfId="13455" xr:uid="{DE6BC117-654E-418C-95D3-79BE87658269}"/>
    <cellStyle name="40% - Accent5 4 2 4" xfId="9237" xr:uid="{BCB1D295-9ACE-448F-A5C9-4E2BCFBAB79D}"/>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81F663D0-C878-471C-9F75-58F15FD85478}"/>
    <cellStyle name="40% - Accent5 4 3 2 3" xfId="11795" xr:uid="{AD5D7E47-7136-42C6-91C0-984D9D917678}"/>
    <cellStyle name="40% - Accent5 4 3 3" xfId="5418" xr:uid="{00000000-0005-0000-0000-0000C2060000}"/>
    <cellStyle name="40% - Accent5 4 3 3 2" xfId="13868" xr:uid="{0186C7B2-3EF2-4545-BD4D-27246B81E343}"/>
    <cellStyle name="40% - Accent5 4 3 4" xfId="9650" xr:uid="{C1F53DCF-4B6D-48D7-8EE3-263FEF3B3455}"/>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BC9A4108-50BF-4525-BAF0-3777E3E8D168}"/>
    <cellStyle name="40% - Accent5 4 4 2 3" xfId="12208" xr:uid="{B30940DD-3385-4B52-93E5-EC0C1CBF1219}"/>
    <cellStyle name="40% - Accent5 4 4 3" xfId="5831" xr:uid="{00000000-0005-0000-0000-0000C6060000}"/>
    <cellStyle name="40% - Accent5 4 4 3 2" xfId="14281" xr:uid="{9EE70BCA-3F4E-426C-B4AF-E7F25BF57FB3}"/>
    <cellStyle name="40% - Accent5 4 4 4" xfId="10063" xr:uid="{A0E4C5E2-1135-43B5-BDB7-387E042D9D24}"/>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3BFE901C-5CDB-4B57-AB92-1687C351C958}"/>
    <cellStyle name="40% - Accent5 4 5 2 3" xfId="12621" xr:uid="{AB8FE67C-F44B-4008-9AA3-EEFB987BA814}"/>
    <cellStyle name="40% - Accent5 4 5 3" xfId="6244" xr:uid="{00000000-0005-0000-0000-0000CA060000}"/>
    <cellStyle name="40% - Accent5 4 5 3 2" xfId="14694" xr:uid="{F193990A-0293-4016-B921-8E927B614375}"/>
    <cellStyle name="40% - Accent5 4 5 4" xfId="10476" xr:uid="{E4784A53-21EE-48D4-A873-A969B03813A4}"/>
    <cellStyle name="40% - Accent5 4 6" xfId="2351" xr:uid="{00000000-0005-0000-0000-0000CB060000}"/>
    <cellStyle name="40% - Accent5 4 6 2" xfId="6657" xr:uid="{00000000-0005-0000-0000-0000CC060000}"/>
    <cellStyle name="40% - Accent5 4 6 2 2" xfId="15107" xr:uid="{4D825FD7-164E-46F6-8F3F-E2BBE2BBE675}"/>
    <cellStyle name="40% - Accent5 4 6 3" xfId="10889" xr:uid="{546F040A-D6BD-40D7-9183-7A6E1F7001ED}"/>
    <cellStyle name="40% - Accent5 4 7" xfId="4591" xr:uid="{00000000-0005-0000-0000-0000CD060000}"/>
    <cellStyle name="40% - Accent5 4 7 2" xfId="13041" xr:uid="{AEE3F74D-DDA5-4245-8188-4BCB540FB46E}"/>
    <cellStyle name="40% - Accent5 4 8" xfId="8823" xr:uid="{139C6304-E9F7-4860-BD2C-03493AA275A6}"/>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A5E057F7-1F65-4A47-96ED-EBF036FA148A}"/>
    <cellStyle name="40% - Accent5 5 2 3" xfId="11375" xr:uid="{66025171-5AFB-4CB1-BD1C-9D5BEEEE0CA0}"/>
    <cellStyle name="40% - Accent5 5 3" xfId="4998" xr:uid="{00000000-0005-0000-0000-0000D1060000}"/>
    <cellStyle name="40% - Accent5 5 3 2" xfId="13448" xr:uid="{E7E7E390-800D-452C-9C7F-30FF840014B6}"/>
    <cellStyle name="40% - Accent5 5 4" xfId="9230" xr:uid="{D97F5A21-5680-4704-97F4-0A529A9C44C7}"/>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05EEAB3D-1214-4F8E-A617-CDE42B66CEC6}"/>
    <cellStyle name="40% - Accent5 6 2 3" xfId="11788" xr:uid="{9AF2F914-FF16-4FA5-A9A1-1F3E0A381862}"/>
    <cellStyle name="40% - Accent5 6 3" xfId="5411" xr:uid="{00000000-0005-0000-0000-0000D5060000}"/>
    <cellStyle name="40% - Accent5 6 3 2" xfId="13861" xr:uid="{303F6AC8-0F41-4760-9B1E-E2F4B8376B57}"/>
    <cellStyle name="40% - Accent5 6 4" xfId="9643" xr:uid="{B43A8F60-3B52-4370-B824-CEE77954C5A2}"/>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2893F9BD-6047-441E-8235-4717DBBE0B96}"/>
    <cellStyle name="40% - Accent5 7 2 3" xfId="12201" xr:uid="{ABD4FA52-74F3-4CFD-B511-26D0BF827966}"/>
    <cellStyle name="40% - Accent5 7 3" xfId="5824" xr:uid="{00000000-0005-0000-0000-0000D9060000}"/>
    <cellStyle name="40% - Accent5 7 3 2" xfId="14274" xr:uid="{A146F78F-5772-45D6-B16A-30B1A0C4BE73}"/>
    <cellStyle name="40% - Accent5 7 4" xfId="10056" xr:uid="{37C71B64-8501-4FB7-8266-72B160721AB8}"/>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6DA2867C-157E-4FC1-BEF5-03D2CB771FBF}"/>
    <cellStyle name="40% - Accent5 8 2 3" xfId="12614" xr:uid="{3F5E6A75-58F4-433C-BCBB-21DDB298B5A5}"/>
    <cellStyle name="40% - Accent5 8 3" xfId="6237" xr:uid="{00000000-0005-0000-0000-0000DD060000}"/>
    <cellStyle name="40% - Accent5 8 3 2" xfId="14687" xr:uid="{17722FD2-5785-434B-89AC-EDA93BAF4E91}"/>
    <cellStyle name="40% - Accent5 8 4" xfId="10469" xr:uid="{EB7CABCA-2744-4ECD-BB82-89B0B9C4C905}"/>
    <cellStyle name="40% - Accent5 9" xfId="2344" xr:uid="{00000000-0005-0000-0000-0000DE060000}"/>
    <cellStyle name="40% - Accent5 9 2" xfId="6650" xr:uid="{00000000-0005-0000-0000-0000DF060000}"/>
    <cellStyle name="40% - Accent5 9 2 2" xfId="15100" xr:uid="{1665FBB1-C9D3-4365-B782-25271FEA882D}"/>
    <cellStyle name="40% - Accent5 9 3" xfId="10882" xr:uid="{D466C7EA-6D89-44B8-979F-DE899265CBB4}"/>
    <cellStyle name="40% - Accent6" xfId="89" builtinId="51" customBuiltin="1"/>
    <cellStyle name="40% - Accent6 10" xfId="4592" xr:uid="{00000000-0005-0000-0000-0000E1060000}"/>
    <cellStyle name="40% - Accent6 10 2" xfId="13042" xr:uid="{4895A2D7-3961-455D-8D4F-AD298F7B5C4F}"/>
    <cellStyle name="40% - Accent6 11" xfId="8824" xr:uid="{FABACA9C-777E-4CF7-B881-3E39A4C43455}"/>
    <cellStyle name="40% - Accent6 2" xfId="90" xr:uid="{00000000-0005-0000-0000-0000E2060000}"/>
    <cellStyle name="40% - Accent6 2 10" xfId="8825" xr:uid="{0BFA69A6-E431-4AC7-A1DC-7EA664369ECF}"/>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94FC1D37-E290-4E38-BB6A-C120D6806397}"/>
    <cellStyle name="40% - Accent6 2 2 2 2 2 3" xfId="11386" xr:uid="{9F613B51-253F-4989-8F6C-631220A3D864}"/>
    <cellStyle name="40% - Accent6 2 2 2 2 3" xfId="5009" xr:uid="{00000000-0005-0000-0000-0000E8060000}"/>
    <cellStyle name="40% - Accent6 2 2 2 2 3 2" xfId="13459" xr:uid="{21E9C1B1-F32C-4342-912A-489FA5A65881}"/>
    <cellStyle name="40% - Accent6 2 2 2 2 4" xfId="9241" xr:uid="{474EEC31-94C7-4D8F-B07F-3BDD6F9AF361}"/>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E8BFA6A5-1610-4B12-A2D3-E4E12B3B6148}"/>
    <cellStyle name="40% - Accent6 2 2 2 3 2 3" xfId="11799" xr:uid="{5C0C45EB-333D-46EA-BBB6-08BF87BF5979}"/>
    <cellStyle name="40% - Accent6 2 2 2 3 3" xfId="5422" xr:uid="{00000000-0005-0000-0000-0000EC060000}"/>
    <cellStyle name="40% - Accent6 2 2 2 3 3 2" xfId="13872" xr:uid="{601A7B6C-48DC-4F82-A582-E0E343EE41D9}"/>
    <cellStyle name="40% - Accent6 2 2 2 3 4" xfId="9654" xr:uid="{2727315D-B1EE-493B-AD23-B645028E52D1}"/>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E446E571-CA5B-43D5-A559-58D6D515CB0F}"/>
    <cellStyle name="40% - Accent6 2 2 2 4 2 3" xfId="12212" xr:uid="{5F74CAF0-D57F-4714-BC8D-8457818F30DE}"/>
    <cellStyle name="40% - Accent6 2 2 2 4 3" xfId="5835" xr:uid="{00000000-0005-0000-0000-0000F0060000}"/>
    <cellStyle name="40% - Accent6 2 2 2 4 3 2" xfId="14285" xr:uid="{C5B04EA9-D30F-4F5B-9245-EEF1CED4892B}"/>
    <cellStyle name="40% - Accent6 2 2 2 4 4" xfId="10067" xr:uid="{CB79D132-DDE8-4846-913D-569780ED5E4B}"/>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EF5932E4-B611-40E1-81D2-EA35B745B633}"/>
    <cellStyle name="40% - Accent6 2 2 2 5 2 3" xfId="12625" xr:uid="{29E151D4-86BD-46A6-91C9-28036FE1F405}"/>
    <cellStyle name="40% - Accent6 2 2 2 5 3" xfId="6248" xr:uid="{00000000-0005-0000-0000-0000F4060000}"/>
    <cellStyle name="40% - Accent6 2 2 2 5 3 2" xfId="14698" xr:uid="{7A71A128-7B98-42BF-AC30-BD5BA6540FD6}"/>
    <cellStyle name="40% - Accent6 2 2 2 5 4" xfId="10480" xr:uid="{72506AE0-BF59-424F-8C41-C068B819165A}"/>
    <cellStyle name="40% - Accent6 2 2 2 6" xfId="2355" xr:uid="{00000000-0005-0000-0000-0000F5060000}"/>
    <cellStyle name="40% - Accent6 2 2 2 6 2" xfId="6661" xr:uid="{00000000-0005-0000-0000-0000F6060000}"/>
    <cellStyle name="40% - Accent6 2 2 2 6 2 2" xfId="15111" xr:uid="{3557EA3F-BF97-4D63-A37C-BED709B0E941}"/>
    <cellStyle name="40% - Accent6 2 2 2 6 3" xfId="10893" xr:uid="{E7801275-31F2-4CE4-B2F8-30D76CAB9BDC}"/>
    <cellStyle name="40% - Accent6 2 2 2 7" xfId="4595" xr:uid="{00000000-0005-0000-0000-0000F7060000}"/>
    <cellStyle name="40% - Accent6 2 2 2 7 2" xfId="13045" xr:uid="{984A450B-BEE9-4F4E-B90B-2B5814E4AF99}"/>
    <cellStyle name="40% - Accent6 2 2 2 8" xfId="8827" xr:uid="{381DDB7E-9ECB-48EB-98E6-B6C0ED3F0950}"/>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91EB6A45-D525-440D-86D0-48CD984A2EFE}"/>
    <cellStyle name="40% - Accent6 2 2 3 2 3" xfId="11385" xr:uid="{766A0B83-E094-47AE-B13E-6C5435566FA7}"/>
    <cellStyle name="40% - Accent6 2 2 3 3" xfId="5008" xr:uid="{00000000-0005-0000-0000-0000FB060000}"/>
    <cellStyle name="40% - Accent6 2 2 3 3 2" xfId="13458" xr:uid="{280BB6BC-C72A-47F6-B400-E016B3BFC8FA}"/>
    <cellStyle name="40% - Accent6 2 2 3 4" xfId="9240" xr:uid="{A1025A1A-A74F-4B4A-A431-7447964AA472}"/>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E73B33B0-E094-48C8-9818-2353C9FB49FC}"/>
    <cellStyle name="40% - Accent6 2 2 4 2 3" xfId="11798" xr:uid="{15FCE0CA-80C4-4ACB-86D4-491F6F9DCA1E}"/>
    <cellStyle name="40% - Accent6 2 2 4 3" xfId="5421" xr:uid="{00000000-0005-0000-0000-0000FF060000}"/>
    <cellStyle name="40% - Accent6 2 2 4 3 2" xfId="13871" xr:uid="{917E8DD0-915D-4A59-B438-CAF71851609B}"/>
    <cellStyle name="40% - Accent6 2 2 4 4" xfId="9653" xr:uid="{76238925-35BA-4A23-8B42-F6BCFCF63479}"/>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CF119239-8C7B-4CFC-B943-ECBA1BE3C778}"/>
    <cellStyle name="40% - Accent6 2 2 5 2 3" xfId="12211" xr:uid="{F6400DE1-484D-4578-99B2-BCC8917A08BB}"/>
    <cellStyle name="40% - Accent6 2 2 5 3" xfId="5834" xr:uid="{00000000-0005-0000-0000-000003070000}"/>
    <cellStyle name="40% - Accent6 2 2 5 3 2" xfId="14284" xr:uid="{605B1037-A073-4F9E-A6EF-BFFC31839429}"/>
    <cellStyle name="40% - Accent6 2 2 5 4" xfId="10066" xr:uid="{08BF4E3E-8DAA-4B01-956F-1731C33C5C5A}"/>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06D10D9D-661B-4A41-A848-A6B4BA5A390C}"/>
    <cellStyle name="40% - Accent6 2 2 6 2 3" xfId="12624" xr:uid="{71506548-6DC4-4D47-B973-909A427B41D8}"/>
    <cellStyle name="40% - Accent6 2 2 6 3" xfId="6247" xr:uid="{00000000-0005-0000-0000-000007070000}"/>
    <cellStyle name="40% - Accent6 2 2 6 3 2" xfId="14697" xr:uid="{2E702733-CF56-47F1-A729-7D77FB431F44}"/>
    <cellStyle name="40% - Accent6 2 2 6 4" xfId="10479" xr:uid="{A42ACBA1-2CFF-4D30-B8A4-A168A036DFC2}"/>
    <cellStyle name="40% - Accent6 2 2 7" xfId="2354" xr:uid="{00000000-0005-0000-0000-000008070000}"/>
    <cellStyle name="40% - Accent6 2 2 7 2" xfId="6660" xr:uid="{00000000-0005-0000-0000-000009070000}"/>
    <cellStyle name="40% - Accent6 2 2 7 2 2" xfId="15110" xr:uid="{73A0560F-0E16-49E3-A7E4-AB9EBAED4A7A}"/>
    <cellStyle name="40% - Accent6 2 2 7 3" xfId="10892" xr:uid="{C9441AAC-3B62-4C97-9C4D-B6979167012B}"/>
    <cellStyle name="40% - Accent6 2 2 8" xfId="4594" xr:uid="{00000000-0005-0000-0000-00000A070000}"/>
    <cellStyle name="40% - Accent6 2 2 8 2" xfId="13044" xr:uid="{2B70A876-717E-4E7E-A2CA-679166A1F096}"/>
    <cellStyle name="40% - Accent6 2 2 9" xfId="8826" xr:uid="{A0095362-6CDD-492A-B287-E593434BD8D5}"/>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C7403CBC-40B2-4BE1-8673-6F2F9200D5A9}"/>
    <cellStyle name="40% - Accent6 2 3 2 2 3" xfId="11387" xr:uid="{DB02979C-2BD2-4769-9787-E82EC1AB9000}"/>
    <cellStyle name="40% - Accent6 2 3 2 3" xfId="5010" xr:uid="{00000000-0005-0000-0000-00000F070000}"/>
    <cellStyle name="40% - Accent6 2 3 2 3 2" xfId="13460" xr:uid="{5DC11B62-266F-46E8-9132-7276E6C0B024}"/>
    <cellStyle name="40% - Accent6 2 3 2 4" xfId="9242" xr:uid="{8C94282D-F939-4A6D-B587-34218B28532C}"/>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6C1C4637-C243-491F-A379-463E2BD1938E}"/>
    <cellStyle name="40% - Accent6 2 3 3 2 3" xfId="11800" xr:uid="{5A86CD42-7434-49DA-A49F-B95AA04E394C}"/>
    <cellStyle name="40% - Accent6 2 3 3 3" xfId="5423" xr:uid="{00000000-0005-0000-0000-000013070000}"/>
    <cellStyle name="40% - Accent6 2 3 3 3 2" xfId="13873" xr:uid="{AECA9CC8-0EA6-4FE2-88D6-672BE6F0298E}"/>
    <cellStyle name="40% - Accent6 2 3 3 4" xfId="9655" xr:uid="{0763B5A6-9BF0-4EDB-A386-40ED3109D538}"/>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5F0CC615-87E0-4445-B610-EEDE77E2FBD1}"/>
    <cellStyle name="40% - Accent6 2 3 4 2 3" xfId="12213" xr:uid="{C4AFA2B5-6209-4325-883A-5C3B5330F5D0}"/>
    <cellStyle name="40% - Accent6 2 3 4 3" xfId="5836" xr:uid="{00000000-0005-0000-0000-000017070000}"/>
    <cellStyle name="40% - Accent6 2 3 4 3 2" xfId="14286" xr:uid="{F8FA92FB-BFB1-4020-BA92-BB173FAC42E1}"/>
    <cellStyle name="40% - Accent6 2 3 4 4" xfId="10068" xr:uid="{A0EB490E-2851-46CF-B05A-6E3424DA26D6}"/>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20CD3587-3B50-4B52-A6E4-058E3B34A070}"/>
    <cellStyle name="40% - Accent6 2 3 5 2 3" xfId="12626" xr:uid="{4B01937A-6C69-467E-89E7-819DEB5F33E7}"/>
    <cellStyle name="40% - Accent6 2 3 5 3" xfId="6249" xr:uid="{00000000-0005-0000-0000-00001B070000}"/>
    <cellStyle name="40% - Accent6 2 3 5 3 2" xfId="14699" xr:uid="{23E0A90D-0C76-4718-A155-256F45A9A4C1}"/>
    <cellStyle name="40% - Accent6 2 3 5 4" xfId="10481" xr:uid="{C22EBA99-DD69-4675-BBA0-58783653DD34}"/>
    <cellStyle name="40% - Accent6 2 3 6" xfId="2356" xr:uid="{00000000-0005-0000-0000-00001C070000}"/>
    <cellStyle name="40% - Accent6 2 3 6 2" xfId="6662" xr:uid="{00000000-0005-0000-0000-00001D070000}"/>
    <cellStyle name="40% - Accent6 2 3 6 2 2" xfId="15112" xr:uid="{8FB61AD3-A38D-4507-837B-5A5B8E785DB8}"/>
    <cellStyle name="40% - Accent6 2 3 6 3" xfId="10894" xr:uid="{70471045-B84A-49E3-A4EF-41B48A4CC5DF}"/>
    <cellStyle name="40% - Accent6 2 3 7" xfId="4596" xr:uid="{00000000-0005-0000-0000-00001E070000}"/>
    <cellStyle name="40% - Accent6 2 3 7 2" xfId="13046" xr:uid="{D50C8866-DE2B-45CA-AD19-013D001DCE3F}"/>
    <cellStyle name="40% - Accent6 2 3 8" xfId="8828" xr:uid="{6346CBF1-8712-4AB1-B474-2A827A2255F1}"/>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A1A3BDCC-1CCF-4B29-A689-6E1C1B6944C3}"/>
    <cellStyle name="40% - Accent6 2 4 2 3" xfId="11384" xr:uid="{9200EDF5-05F5-474D-91A0-F9EA6CAD0C0F}"/>
    <cellStyle name="40% - Accent6 2 4 3" xfId="5007" xr:uid="{00000000-0005-0000-0000-000022070000}"/>
    <cellStyle name="40% - Accent6 2 4 3 2" xfId="13457" xr:uid="{41F4DB1F-83DE-42FB-9D19-F7672E414906}"/>
    <cellStyle name="40% - Accent6 2 4 4" xfId="9239" xr:uid="{AB1B5E82-DA72-41B6-BFB0-E75B85685D35}"/>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08452FAC-9204-4F25-AFDC-C90630ADC962}"/>
    <cellStyle name="40% - Accent6 2 5 2 3" xfId="11797" xr:uid="{C431D70E-267A-402E-B6A9-9569F7770515}"/>
    <cellStyle name="40% - Accent6 2 5 3" xfId="5420" xr:uid="{00000000-0005-0000-0000-000026070000}"/>
    <cellStyle name="40% - Accent6 2 5 3 2" xfId="13870" xr:uid="{1E0E4438-5705-45F9-BE29-A8678A057EBD}"/>
    <cellStyle name="40% - Accent6 2 5 4" xfId="9652" xr:uid="{2FC952B1-1469-4D45-AF13-DCA6C3335F9D}"/>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AD988507-2AE6-43DB-891E-CAFC0E6B8887}"/>
    <cellStyle name="40% - Accent6 2 6 2 3" xfId="12210" xr:uid="{D25BDDEF-63BC-4C91-A546-429D85F2573D}"/>
    <cellStyle name="40% - Accent6 2 6 3" xfId="5833" xr:uid="{00000000-0005-0000-0000-00002A070000}"/>
    <cellStyle name="40% - Accent6 2 6 3 2" xfId="14283" xr:uid="{76F29806-7F35-4560-BEC2-550CCECC8437}"/>
    <cellStyle name="40% - Accent6 2 6 4" xfId="10065" xr:uid="{A9071845-CB43-46C1-B35B-2A973F57E4E4}"/>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27E32ED4-8A15-4CF3-8753-DCF230A5CE04}"/>
    <cellStyle name="40% - Accent6 2 7 2 3" xfId="12623" xr:uid="{2AEDD4E5-F21D-46CF-8A70-034711CA24C3}"/>
    <cellStyle name="40% - Accent6 2 7 3" xfId="6246" xr:uid="{00000000-0005-0000-0000-00002E070000}"/>
    <cellStyle name="40% - Accent6 2 7 3 2" xfId="14696" xr:uid="{E6BDACB3-312E-4376-9D71-C017598A4B6B}"/>
    <cellStyle name="40% - Accent6 2 7 4" xfId="10478" xr:uid="{53417B66-8185-49DC-BC21-3E382FD7ACAA}"/>
    <cellStyle name="40% - Accent6 2 8" xfId="2353" xr:uid="{00000000-0005-0000-0000-00002F070000}"/>
    <cellStyle name="40% - Accent6 2 8 2" xfId="6659" xr:uid="{00000000-0005-0000-0000-000030070000}"/>
    <cellStyle name="40% - Accent6 2 8 2 2" xfId="15109" xr:uid="{C283F12E-676D-458D-97A1-DFADD3631C27}"/>
    <cellStyle name="40% - Accent6 2 8 3" xfId="10891" xr:uid="{54A367A9-875B-4E7B-AFC3-6CBA8584640E}"/>
    <cellStyle name="40% - Accent6 2 9" xfId="4593" xr:uid="{00000000-0005-0000-0000-000031070000}"/>
    <cellStyle name="40% - Accent6 2 9 2" xfId="13043" xr:uid="{0DA7E400-4047-431A-A9EA-F73B8036A5B1}"/>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C3ECCF56-630D-4BCF-A413-D6D1F52EA6F7}"/>
    <cellStyle name="40% - Accent6 3 2 2 2 3" xfId="11389" xr:uid="{A6ED776B-1753-4E90-B59A-D9BEF2D81E98}"/>
    <cellStyle name="40% - Accent6 3 2 2 3" xfId="5012" xr:uid="{00000000-0005-0000-0000-000037070000}"/>
    <cellStyle name="40% - Accent6 3 2 2 3 2" xfId="13462" xr:uid="{9C98973E-22CE-4457-AEA2-4F5EB65D7D0C}"/>
    <cellStyle name="40% - Accent6 3 2 2 4" xfId="9244" xr:uid="{EEBE907B-2E84-4B28-A239-AEFF5ACD4873}"/>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AE598841-112C-441C-8CA2-D58D92C053DD}"/>
    <cellStyle name="40% - Accent6 3 2 3 2 3" xfId="11802" xr:uid="{DEF0DCB0-3CD4-48CF-97A3-0451A54243C9}"/>
    <cellStyle name="40% - Accent6 3 2 3 3" xfId="5425" xr:uid="{00000000-0005-0000-0000-00003B070000}"/>
    <cellStyle name="40% - Accent6 3 2 3 3 2" xfId="13875" xr:uid="{F663D5C2-6AAD-482B-9824-648E62D53BC6}"/>
    <cellStyle name="40% - Accent6 3 2 3 4" xfId="9657" xr:uid="{3E222D59-802A-452A-8E05-34F4E5B684A0}"/>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7B431C20-29FA-4CE2-857E-43C26B9A4B7A}"/>
    <cellStyle name="40% - Accent6 3 2 4 2 3" xfId="12215" xr:uid="{DAD2D574-2BE3-499D-A726-D0F55CF75B5E}"/>
    <cellStyle name="40% - Accent6 3 2 4 3" xfId="5838" xr:uid="{00000000-0005-0000-0000-00003F070000}"/>
    <cellStyle name="40% - Accent6 3 2 4 3 2" xfId="14288" xr:uid="{249D57E8-24F5-4544-BE3B-6D8A4376F420}"/>
    <cellStyle name="40% - Accent6 3 2 4 4" xfId="10070" xr:uid="{CF3E1864-2DDB-49D9-816B-82EA3DB780E2}"/>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BE04D13E-EED9-443A-A8AD-1B45FB6FD136}"/>
    <cellStyle name="40% - Accent6 3 2 5 2 3" xfId="12628" xr:uid="{7D5EA59B-76F3-48EE-AF09-6CFD582A4E35}"/>
    <cellStyle name="40% - Accent6 3 2 5 3" xfId="6251" xr:uid="{00000000-0005-0000-0000-000043070000}"/>
    <cellStyle name="40% - Accent6 3 2 5 3 2" xfId="14701" xr:uid="{D118717F-2685-4878-A3E9-061DE940BD18}"/>
    <cellStyle name="40% - Accent6 3 2 5 4" xfId="10483" xr:uid="{D4591F3F-B6B7-40C1-86F8-91E2076CFA71}"/>
    <cellStyle name="40% - Accent6 3 2 6" xfId="2358" xr:uid="{00000000-0005-0000-0000-000044070000}"/>
    <cellStyle name="40% - Accent6 3 2 6 2" xfId="6664" xr:uid="{00000000-0005-0000-0000-000045070000}"/>
    <cellStyle name="40% - Accent6 3 2 6 2 2" xfId="15114" xr:uid="{57F81182-8262-4C75-9375-D01D3D664044}"/>
    <cellStyle name="40% - Accent6 3 2 6 3" xfId="10896" xr:uid="{DB493F0F-5333-4163-9AB7-9B3A5C9A81DF}"/>
    <cellStyle name="40% - Accent6 3 2 7" xfId="4598" xr:uid="{00000000-0005-0000-0000-000046070000}"/>
    <cellStyle name="40% - Accent6 3 2 7 2" xfId="13048" xr:uid="{27F3DD66-ECDA-4046-AE13-63FD9F6C23E7}"/>
    <cellStyle name="40% - Accent6 3 2 8" xfId="8830" xr:uid="{DC3E8462-8847-46A3-9621-E0D401EDB62E}"/>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D7567C2D-FE2E-4E0D-9A8D-16D8D37DFDB5}"/>
    <cellStyle name="40% - Accent6 3 3 2 3" xfId="11388" xr:uid="{4E7224B3-CEE2-4B8D-B4A7-0EB470DC1278}"/>
    <cellStyle name="40% - Accent6 3 3 3" xfId="5011" xr:uid="{00000000-0005-0000-0000-00004A070000}"/>
    <cellStyle name="40% - Accent6 3 3 3 2" xfId="13461" xr:uid="{79FA2CE5-BDEE-473B-BB8E-41E5518F05AD}"/>
    <cellStyle name="40% - Accent6 3 3 4" xfId="9243" xr:uid="{1728EC7A-ACC2-4F33-ADE3-D42EA431A57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CF02789D-752B-40C9-8741-CCEAFA9ADD08}"/>
    <cellStyle name="40% - Accent6 3 4 2 3" xfId="11801" xr:uid="{0BCBAB94-A119-4D78-971F-E1A121D83FB5}"/>
    <cellStyle name="40% - Accent6 3 4 3" xfId="5424" xr:uid="{00000000-0005-0000-0000-00004E070000}"/>
    <cellStyle name="40% - Accent6 3 4 3 2" xfId="13874" xr:uid="{A0088D70-CD2A-443E-BF5A-C57DAFE8AB05}"/>
    <cellStyle name="40% - Accent6 3 4 4" xfId="9656" xr:uid="{4088C5CF-DA19-450B-B0C4-DBB770A4A808}"/>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E16DFD30-3D29-418E-8725-51F1848785E2}"/>
    <cellStyle name="40% - Accent6 3 5 2 3" xfId="12214" xr:uid="{0C855E69-AFB8-453A-9285-988EF8273BB5}"/>
    <cellStyle name="40% - Accent6 3 5 3" xfId="5837" xr:uid="{00000000-0005-0000-0000-000052070000}"/>
    <cellStyle name="40% - Accent6 3 5 3 2" xfId="14287" xr:uid="{2E2B736C-3027-4910-9AC1-89657010C3DD}"/>
    <cellStyle name="40% - Accent6 3 5 4" xfId="10069" xr:uid="{5FFE8461-A280-4A82-92A9-92E64B81E273}"/>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DA33455B-FEC9-4E34-83A6-091DEA4B6771}"/>
    <cellStyle name="40% - Accent6 3 6 2 3" xfId="12627" xr:uid="{69CCF13F-CCE2-41AE-B233-4EEE0B0F7391}"/>
    <cellStyle name="40% - Accent6 3 6 3" xfId="6250" xr:uid="{00000000-0005-0000-0000-000056070000}"/>
    <cellStyle name="40% - Accent6 3 6 3 2" xfId="14700" xr:uid="{4399120E-1495-463A-A8FD-48DBF6AA3D18}"/>
    <cellStyle name="40% - Accent6 3 6 4" xfId="10482" xr:uid="{6B919D98-F373-40E8-97BA-994571A09917}"/>
    <cellStyle name="40% - Accent6 3 7" xfId="2357" xr:uid="{00000000-0005-0000-0000-000057070000}"/>
    <cellStyle name="40% - Accent6 3 7 2" xfId="6663" xr:uid="{00000000-0005-0000-0000-000058070000}"/>
    <cellStyle name="40% - Accent6 3 7 2 2" xfId="15113" xr:uid="{C67BF0AA-569B-46EF-87C9-A58031933EF5}"/>
    <cellStyle name="40% - Accent6 3 7 3" xfId="10895" xr:uid="{C5D37803-AF87-4FE4-A972-74E61B2B330B}"/>
    <cellStyle name="40% - Accent6 3 8" xfId="4597" xr:uid="{00000000-0005-0000-0000-000059070000}"/>
    <cellStyle name="40% - Accent6 3 8 2" xfId="13047" xr:uid="{031559CF-9E6E-47AD-A246-4E0EE27D5594}"/>
    <cellStyle name="40% - Accent6 3 9" xfId="8829" xr:uid="{7979A0CF-52B9-4ED9-8B6B-87206BD08B3D}"/>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011E2200-B08A-456F-A8A9-B3FFBB14EF4F}"/>
    <cellStyle name="40% - Accent6 4 2 2 3" xfId="11390" xr:uid="{A286F69A-6E27-463B-BCB9-4F77320B54CA}"/>
    <cellStyle name="40% - Accent6 4 2 3" xfId="5013" xr:uid="{00000000-0005-0000-0000-00005E070000}"/>
    <cellStyle name="40% - Accent6 4 2 3 2" xfId="13463" xr:uid="{CB967B1B-02BD-4316-90BC-675BA8A2C1CE}"/>
    <cellStyle name="40% - Accent6 4 2 4" xfId="9245" xr:uid="{E645A1BB-7746-43BB-A3B6-3D9699AD3013}"/>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948AF1B3-9BF2-4EC2-9DCA-66C22E8E38D3}"/>
    <cellStyle name="40% - Accent6 4 3 2 3" xfId="11803" xr:uid="{656B9122-055C-4788-96A3-096EE54A98DA}"/>
    <cellStyle name="40% - Accent6 4 3 3" xfId="5426" xr:uid="{00000000-0005-0000-0000-000062070000}"/>
    <cellStyle name="40% - Accent6 4 3 3 2" xfId="13876" xr:uid="{1F9206B7-E26F-4275-A234-CDB273C3317B}"/>
    <cellStyle name="40% - Accent6 4 3 4" xfId="9658" xr:uid="{6921E40D-5D21-42E5-B9F6-4D5DBB729D49}"/>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79EE25DE-D4C1-4C53-99BC-EBAA60B17D0B}"/>
    <cellStyle name="40% - Accent6 4 4 2 3" xfId="12216" xr:uid="{7B6C184C-D2C0-4910-9B2D-BD0FDAE28FDD}"/>
    <cellStyle name="40% - Accent6 4 4 3" xfId="5839" xr:uid="{00000000-0005-0000-0000-000066070000}"/>
    <cellStyle name="40% - Accent6 4 4 3 2" xfId="14289" xr:uid="{C0622075-BD88-4DD3-8BB2-824FD38F387C}"/>
    <cellStyle name="40% - Accent6 4 4 4" xfId="10071" xr:uid="{59F3412F-7A14-4E01-9801-EED3C282A242}"/>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C419E945-78C9-4125-9234-0EFE90361725}"/>
    <cellStyle name="40% - Accent6 4 5 2 3" xfId="12629" xr:uid="{03A48E74-BA84-4ECD-BE1C-9E613A42E80E}"/>
    <cellStyle name="40% - Accent6 4 5 3" xfId="6252" xr:uid="{00000000-0005-0000-0000-00006A070000}"/>
    <cellStyle name="40% - Accent6 4 5 3 2" xfId="14702" xr:uid="{729A795A-9C6E-425C-A293-4ACC14D65030}"/>
    <cellStyle name="40% - Accent6 4 5 4" xfId="10484" xr:uid="{1617C8BF-5261-46B2-BC26-7C7D20C762FE}"/>
    <cellStyle name="40% - Accent6 4 6" xfId="2359" xr:uid="{00000000-0005-0000-0000-00006B070000}"/>
    <cellStyle name="40% - Accent6 4 6 2" xfId="6665" xr:uid="{00000000-0005-0000-0000-00006C070000}"/>
    <cellStyle name="40% - Accent6 4 6 2 2" xfId="15115" xr:uid="{2520D1B5-5C7B-4824-8E08-7F0C3D57C76F}"/>
    <cellStyle name="40% - Accent6 4 6 3" xfId="10897" xr:uid="{47D1F677-01BF-469F-A6A1-DCBC362906BE}"/>
    <cellStyle name="40% - Accent6 4 7" xfId="4599" xr:uid="{00000000-0005-0000-0000-00006D070000}"/>
    <cellStyle name="40% - Accent6 4 7 2" xfId="13049" xr:uid="{79B02707-1A06-4879-AC8C-D36493471E9D}"/>
    <cellStyle name="40% - Accent6 4 8" xfId="8831" xr:uid="{1A054545-F156-406A-B387-CB5D340D8A5A}"/>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4A6B283E-89E7-4E77-9847-01DFA5CF6DED}"/>
    <cellStyle name="40% - Accent6 5 2 3" xfId="11383" xr:uid="{487E4FC3-164B-4648-A2CB-95F5A9589AD4}"/>
    <cellStyle name="40% - Accent6 5 3" xfId="5006" xr:uid="{00000000-0005-0000-0000-000071070000}"/>
    <cellStyle name="40% - Accent6 5 3 2" xfId="13456" xr:uid="{F2810FCC-8545-4983-B74C-A117EA77FF33}"/>
    <cellStyle name="40% - Accent6 5 4" xfId="9238" xr:uid="{721F1DD7-AA10-436A-93E8-A71189F968DE}"/>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A9E1CFBB-8EC7-48F8-988F-F6CF469B61C1}"/>
    <cellStyle name="40% - Accent6 6 2 3" xfId="11796" xr:uid="{B3A1D023-FAE3-4594-81A0-26539E6D0D65}"/>
    <cellStyle name="40% - Accent6 6 3" xfId="5419" xr:uid="{00000000-0005-0000-0000-000075070000}"/>
    <cellStyle name="40% - Accent6 6 3 2" xfId="13869" xr:uid="{A7618C52-C499-4A8A-A71D-6F8B793129CA}"/>
    <cellStyle name="40% - Accent6 6 4" xfId="9651" xr:uid="{A26003D3-9B99-464B-98CE-B8C6FBC612FF}"/>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6ECF45BA-0EAD-4EA3-97C1-0A341049E7F5}"/>
    <cellStyle name="40% - Accent6 7 2 3" xfId="12209" xr:uid="{EDE04ACA-59BB-4116-98FF-33C227C94B27}"/>
    <cellStyle name="40% - Accent6 7 3" xfId="5832" xr:uid="{00000000-0005-0000-0000-000079070000}"/>
    <cellStyle name="40% - Accent6 7 3 2" xfId="14282" xr:uid="{19DBCEA5-420E-44D7-B3D5-2A6D893652EC}"/>
    <cellStyle name="40% - Accent6 7 4" xfId="10064" xr:uid="{CC499DF5-DB6F-40AA-BEE7-1980D483016B}"/>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7C418B1B-D1B6-4C43-BB88-F67E08335C60}"/>
    <cellStyle name="40% - Accent6 8 2 3" xfId="12622" xr:uid="{79234EE3-A6EF-4F83-857C-368728724CDA}"/>
    <cellStyle name="40% - Accent6 8 3" xfId="6245" xr:uid="{00000000-0005-0000-0000-00007D070000}"/>
    <cellStyle name="40% - Accent6 8 3 2" xfId="14695" xr:uid="{AAC964BB-BCFE-4F40-8CF8-4C589877B14C}"/>
    <cellStyle name="40% - Accent6 8 4" xfId="10477" xr:uid="{78BABF35-D656-4283-825D-350F81BEAEE8}"/>
    <cellStyle name="40% - Accent6 9" xfId="2352" xr:uid="{00000000-0005-0000-0000-00007E070000}"/>
    <cellStyle name="40% - Accent6 9 2" xfId="6658" xr:uid="{00000000-0005-0000-0000-00007F070000}"/>
    <cellStyle name="40% - Accent6 9 2 2" xfId="15108" xr:uid="{4F17C73E-D4DC-4391-8309-9C0013752B0D}"/>
    <cellStyle name="40% - Accent6 9 3" xfId="10890" xr:uid="{D3512C2E-F4DC-46BC-977A-A54186C3069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0E3A3642-876F-4D6C-BA22-E72A3E83226C}"/>
    <cellStyle name="Comma 4 2 2 2 10 3" xfId="11215" xr:uid="{2D30F01B-7E17-4D0F-896E-766C5F511C61}"/>
    <cellStyle name="Comma 4 2 2 2 11" xfId="4600" xr:uid="{00000000-0005-0000-0000-0000A3070000}"/>
    <cellStyle name="Comma 4 2 2 2 11 2" xfId="13050" xr:uid="{7F4018F1-9F35-4564-9FAD-3DB0E925DC76}"/>
    <cellStyle name="Comma 4 2 2 2 12" xfId="8832" xr:uid="{FC074EAD-3ADD-4DC5-B64A-882EA0DA032A}"/>
    <cellStyle name="Comma 4 2 2 2 2" xfId="129" xr:uid="{00000000-0005-0000-0000-0000A4070000}"/>
    <cellStyle name="Comma 4 2 2 2 2 10" xfId="4601" xr:uid="{00000000-0005-0000-0000-0000A5070000}"/>
    <cellStyle name="Comma 4 2 2 2 2 10 2" xfId="13051" xr:uid="{57EAE03A-1D2F-454B-84E6-1B11CD54A212}"/>
    <cellStyle name="Comma 4 2 2 2 2 11" xfId="8833" xr:uid="{B59EEB0B-5F92-4871-A3E1-6F9386184F5F}"/>
    <cellStyle name="Comma 4 2 2 2 2 2" xfId="130" xr:uid="{00000000-0005-0000-0000-0000A6070000}"/>
    <cellStyle name="Comma 4 2 2 2 2 2 10" xfId="8834" xr:uid="{6A17CAAA-D59F-40C9-8663-77F16176D84D}"/>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BE4899E8-77CC-4EC6-BED4-C7C400D7A083}"/>
    <cellStyle name="Comma 4 2 2 2 2 2 2 2 3" xfId="11393" xr:uid="{DA0A1246-9D0D-4AFE-AEBA-AB2BE45E91FF}"/>
    <cellStyle name="Comma 4 2 2 2 2 2 2 3" xfId="5016" xr:uid="{00000000-0005-0000-0000-0000AA070000}"/>
    <cellStyle name="Comma 4 2 2 2 2 2 2 3 2" xfId="13466" xr:uid="{79C3B992-2B16-4E12-A9E4-7A71C694090A}"/>
    <cellStyle name="Comma 4 2 2 2 2 2 2 4" xfId="9248" xr:uid="{1A16C491-0BDD-45C6-86E9-6BD359BA13D3}"/>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6849C666-60F3-487A-AA0B-1064F9D3CD1B}"/>
    <cellStyle name="Comma 4 2 2 2 2 2 3 2 3" xfId="11806" xr:uid="{62EF1EF1-309F-4B09-AB5F-DE79AE8A7F73}"/>
    <cellStyle name="Comma 4 2 2 2 2 2 3 3" xfId="5429" xr:uid="{00000000-0005-0000-0000-0000AE070000}"/>
    <cellStyle name="Comma 4 2 2 2 2 2 3 3 2" xfId="13879" xr:uid="{FA100EBA-B5A0-46DB-9A34-57F1D4CAA80C}"/>
    <cellStyle name="Comma 4 2 2 2 2 2 3 4" xfId="9661" xr:uid="{C8C9FF5F-C28A-4E1E-ABDC-1CE6AF089629}"/>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E05AC000-514B-49C6-9DE5-CA2422440968}"/>
    <cellStyle name="Comma 4 2 2 2 2 2 4 2 3" xfId="12219" xr:uid="{C369241D-5AE1-4737-87D0-472CE1815484}"/>
    <cellStyle name="Comma 4 2 2 2 2 2 4 3" xfId="5842" xr:uid="{00000000-0005-0000-0000-0000B2070000}"/>
    <cellStyle name="Comma 4 2 2 2 2 2 4 3 2" xfId="14292" xr:uid="{6D2C5F66-E11C-401D-81F2-7672EF9F846C}"/>
    <cellStyle name="Comma 4 2 2 2 2 2 4 4" xfId="10074" xr:uid="{2408E929-351A-4024-9C97-AF0F63E9D9CF}"/>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F6609B6F-EE7E-4A4E-ACE5-DA63640F02F7}"/>
    <cellStyle name="Comma 4 2 2 2 2 2 5 2 3" xfId="12632" xr:uid="{71F8F948-489E-4EB3-BBD3-8259FD6E78A9}"/>
    <cellStyle name="Comma 4 2 2 2 2 2 5 3" xfId="6255" xr:uid="{00000000-0005-0000-0000-0000B6070000}"/>
    <cellStyle name="Comma 4 2 2 2 2 2 5 3 2" xfId="14705" xr:uid="{9C64C130-E816-46E4-B166-87C49EB4DC6D}"/>
    <cellStyle name="Comma 4 2 2 2 2 2 5 4" xfId="10487" xr:uid="{69DAD947-1995-48FE-937B-594D019F34C3}"/>
    <cellStyle name="Comma 4 2 2 2 2 2 6" xfId="2384" xr:uid="{00000000-0005-0000-0000-0000B7070000}"/>
    <cellStyle name="Comma 4 2 2 2 2 2 6 2" xfId="6668" xr:uid="{00000000-0005-0000-0000-0000B8070000}"/>
    <cellStyle name="Comma 4 2 2 2 2 2 6 2 2" xfId="15118" xr:uid="{3F33C480-24B6-4EF9-AFEA-17A4F4A94BC8}"/>
    <cellStyle name="Comma 4 2 2 2 2 2 6 3" xfId="10900" xr:uid="{BB34948D-3F6D-45FB-851C-410685D8532F}"/>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269C1597-B00A-4821-85C5-F2E5115C8B27}"/>
    <cellStyle name="Comma 4 2 2 2 2 2 8 3" xfId="11217" xr:uid="{679735B8-AE85-4D80-95A6-C4191D769CBF}"/>
    <cellStyle name="Comma 4 2 2 2 2 2 9" xfId="4602" xr:uid="{00000000-0005-0000-0000-0000BC070000}"/>
    <cellStyle name="Comma 4 2 2 2 2 2 9 2" xfId="13052" xr:uid="{B91B5F7F-C084-4D7C-A96B-5E9C684758B6}"/>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2CEE541D-63F7-4514-A709-6407DC4F09E9}"/>
    <cellStyle name="Comma 4 2 2 2 2 3 2 3" xfId="11392" xr:uid="{287AD841-B81E-4269-B90F-F1E40E59767A}"/>
    <cellStyle name="Comma 4 2 2 2 2 3 3" xfId="5015" xr:uid="{00000000-0005-0000-0000-0000C0070000}"/>
    <cellStyle name="Comma 4 2 2 2 2 3 3 2" xfId="13465" xr:uid="{04BCFA33-84B8-4201-8C4B-EBB04E03AF95}"/>
    <cellStyle name="Comma 4 2 2 2 2 3 4" xfId="9247" xr:uid="{524989D7-D7DB-456D-8FC4-919ECFF5B96F}"/>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583A7C5E-27B4-4DE4-B3FE-928CFE7841F3}"/>
    <cellStyle name="Comma 4 2 2 2 2 4 2 3" xfId="11805" xr:uid="{6E30398B-2200-4868-878E-0432E8CE9339}"/>
    <cellStyle name="Comma 4 2 2 2 2 4 3" xfId="5428" xr:uid="{00000000-0005-0000-0000-0000C4070000}"/>
    <cellStyle name="Comma 4 2 2 2 2 4 3 2" xfId="13878" xr:uid="{8F1B3E8A-AB1A-4CCD-8EEB-79962F975633}"/>
    <cellStyle name="Comma 4 2 2 2 2 4 4" xfId="9660" xr:uid="{EEAC0438-870F-4535-ADE1-04049AEC9CB5}"/>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96EFF23D-8DE3-4F10-9BF0-F70DD5272928}"/>
    <cellStyle name="Comma 4 2 2 2 2 5 2 3" xfId="12218" xr:uid="{09EAF4CF-FCD8-419E-B3E9-4A906F1AEB1C}"/>
    <cellStyle name="Comma 4 2 2 2 2 5 3" xfId="5841" xr:uid="{00000000-0005-0000-0000-0000C8070000}"/>
    <cellStyle name="Comma 4 2 2 2 2 5 3 2" xfId="14291" xr:uid="{81E241C5-19C3-46D9-AA45-5BDB2E16BE42}"/>
    <cellStyle name="Comma 4 2 2 2 2 5 4" xfId="10073" xr:uid="{ADF0E860-E0F3-43AF-9D77-A733B95381E3}"/>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22541763-7A02-46EE-8EFA-25293605FB12}"/>
    <cellStyle name="Comma 4 2 2 2 2 6 2 3" xfId="12631" xr:uid="{E30D02DF-B47E-443C-BB59-20DB1A39CF5B}"/>
    <cellStyle name="Comma 4 2 2 2 2 6 3" xfId="6254" xr:uid="{00000000-0005-0000-0000-0000CC070000}"/>
    <cellStyle name="Comma 4 2 2 2 2 6 3 2" xfId="14704" xr:uid="{0BF8C1FD-5544-4768-9794-25774ECEC115}"/>
    <cellStyle name="Comma 4 2 2 2 2 6 4" xfId="10486" xr:uid="{15B4A62F-37DB-4D69-B694-15A0BA319C87}"/>
    <cellStyle name="Comma 4 2 2 2 2 7" xfId="2383" xr:uid="{00000000-0005-0000-0000-0000CD070000}"/>
    <cellStyle name="Comma 4 2 2 2 2 7 2" xfId="6667" xr:uid="{00000000-0005-0000-0000-0000CE070000}"/>
    <cellStyle name="Comma 4 2 2 2 2 7 2 2" xfId="15117" xr:uid="{779B93E7-40B9-4FFC-91EA-43B67D60F9A5}"/>
    <cellStyle name="Comma 4 2 2 2 2 7 3" xfId="10899" xr:uid="{751EA9CB-C778-49AE-A236-8D17CC69353D}"/>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2B3A14E2-7FF0-4605-A68E-BF390E82827A}"/>
    <cellStyle name="Comma 4 2 2 2 2 9 3" xfId="11216" xr:uid="{85E9CE9E-695A-4EAE-B929-0CC78E866C21}"/>
    <cellStyle name="Comma 4 2 2 2 3" xfId="131" xr:uid="{00000000-0005-0000-0000-0000D2070000}"/>
    <cellStyle name="Comma 4 2 2 2 3 10" xfId="8835" xr:uid="{BE3FBB56-682D-4ED6-9AF7-54591D55EE93}"/>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44905FD5-BB84-4889-BF2E-BDCFC3EA76D3}"/>
    <cellStyle name="Comma 4 2 2 2 3 2 2 3" xfId="11394" xr:uid="{8B618190-DE2C-4AF2-8622-4E60B49265B1}"/>
    <cellStyle name="Comma 4 2 2 2 3 2 3" xfId="5017" xr:uid="{00000000-0005-0000-0000-0000D6070000}"/>
    <cellStyle name="Comma 4 2 2 2 3 2 3 2" xfId="13467" xr:uid="{36E17199-D7A2-4E64-9AA5-F349F6901382}"/>
    <cellStyle name="Comma 4 2 2 2 3 2 4" xfId="9249" xr:uid="{EBE1A3BD-BE34-4F42-B29D-D5CDCF82925D}"/>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76D11385-12EB-43DE-B3E5-0B088A162E49}"/>
    <cellStyle name="Comma 4 2 2 2 3 3 2 3" xfId="11807" xr:uid="{AB4EFA44-90CB-492F-91C6-58B48BBA8C81}"/>
    <cellStyle name="Comma 4 2 2 2 3 3 3" xfId="5430" xr:uid="{00000000-0005-0000-0000-0000DA070000}"/>
    <cellStyle name="Comma 4 2 2 2 3 3 3 2" xfId="13880" xr:uid="{D83A67B4-4735-4D05-AE3E-1F45DAF4362C}"/>
    <cellStyle name="Comma 4 2 2 2 3 3 4" xfId="9662" xr:uid="{3D9E1F78-E51F-4A15-9D2B-A4797939DECC}"/>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53A5D4C9-8AC3-42E3-BDCB-FE8A7E466777}"/>
    <cellStyle name="Comma 4 2 2 2 3 4 2 3" xfId="12220" xr:uid="{8FB2AED4-1D9B-4CBA-97C1-282ECB4B5181}"/>
    <cellStyle name="Comma 4 2 2 2 3 4 3" xfId="5843" xr:uid="{00000000-0005-0000-0000-0000DE070000}"/>
    <cellStyle name="Comma 4 2 2 2 3 4 3 2" xfId="14293" xr:uid="{6DFB54F4-B53A-4690-A348-C2BF35449FB0}"/>
    <cellStyle name="Comma 4 2 2 2 3 4 4" xfId="10075" xr:uid="{A25B5CE6-5EDE-4277-B376-F87D176A4F67}"/>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E25C4427-2EBC-4A3A-8DCF-C0EEA6683B59}"/>
    <cellStyle name="Comma 4 2 2 2 3 5 2 3" xfId="12633" xr:uid="{005BFCCA-654F-4C28-80F7-44C2ABF1339C}"/>
    <cellStyle name="Comma 4 2 2 2 3 5 3" xfId="6256" xr:uid="{00000000-0005-0000-0000-0000E2070000}"/>
    <cellStyle name="Comma 4 2 2 2 3 5 3 2" xfId="14706" xr:uid="{B7D315BC-3B9F-4983-80B8-FD10F20C2CE4}"/>
    <cellStyle name="Comma 4 2 2 2 3 5 4" xfId="10488" xr:uid="{5BB1FAD1-2790-46D4-B73A-62F242240A3F}"/>
    <cellStyle name="Comma 4 2 2 2 3 6" xfId="2385" xr:uid="{00000000-0005-0000-0000-0000E3070000}"/>
    <cellStyle name="Comma 4 2 2 2 3 6 2" xfId="6669" xr:uid="{00000000-0005-0000-0000-0000E4070000}"/>
    <cellStyle name="Comma 4 2 2 2 3 6 2 2" xfId="15119" xr:uid="{752E7828-0313-4810-8F27-AE8BCB49B5D3}"/>
    <cellStyle name="Comma 4 2 2 2 3 6 3" xfId="10901" xr:uid="{2A60412D-9766-4AA7-ADC8-C50BC24C4A6B}"/>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033A51CA-BDD0-435F-A905-A0C2D532E2A6}"/>
    <cellStyle name="Comma 4 2 2 2 3 8 3" xfId="11218" xr:uid="{D3421BDF-1109-411E-9A34-922DE453B13B}"/>
    <cellStyle name="Comma 4 2 2 2 3 9" xfId="4603" xr:uid="{00000000-0005-0000-0000-0000E8070000}"/>
    <cellStyle name="Comma 4 2 2 2 3 9 2" xfId="13053" xr:uid="{4F2192D2-C7E1-415A-A021-5DF59B8768B8}"/>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86CC34A0-101B-4855-A8E4-247AB588D92C}"/>
    <cellStyle name="Comma 4 2 2 2 4 2 3" xfId="11391" xr:uid="{C97B7B91-9ECC-48C8-9AF8-B47F4D0C8ECE}"/>
    <cellStyle name="Comma 4 2 2 2 4 3" xfId="5014" xr:uid="{00000000-0005-0000-0000-0000EC070000}"/>
    <cellStyle name="Comma 4 2 2 2 4 3 2" xfId="13464" xr:uid="{708A777F-246B-4838-B400-B1F2FB55650D}"/>
    <cellStyle name="Comma 4 2 2 2 4 4" xfId="9246" xr:uid="{BE9CD668-D2FF-4D1E-A47F-574B93AAF6D4}"/>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EDBE532B-2314-47AB-934B-BF48AFBABE7F}"/>
    <cellStyle name="Comma 4 2 2 2 5 2 3" xfId="11804" xr:uid="{C3C89304-5532-4AD1-808C-DFA36757AD40}"/>
    <cellStyle name="Comma 4 2 2 2 5 3" xfId="5427" xr:uid="{00000000-0005-0000-0000-0000F0070000}"/>
    <cellStyle name="Comma 4 2 2 2 5 3 2" xfId="13877" xr:uid="{F1E7D783-CC41-4F9B-AF17-E4FB6EAD2616}"/>
    <cellStyle name="Comma 4 2 2 2 5 4" xfId="9659" xr:uid="{A7B56FAF-F0F9-4FDB-BAC1-F9D2940828BE}"/>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77945314-4928-4633-9A86-E3063A23BADE}"/>
    <cellStyle name="Comma 4 2 2 2 6 2 3" xfId="12217" xr:uid="{21E4D4F0-1AE1-4F31-88EC-F39918E45177}"/>
    <cellStyle name="Comma 4 2 2 2 6 3" xfId="5840" xr:uid="{00000000-0005-0000-0000-0000F4070000}"/>
    <cellStyle name="Comma 4 2 2 2 6 3 2" xfId="14290" xr:uid="{162FC971-9DD2-45D8-94BA-CEBD1F08F64D}"/>
    <cellStyle name="Comma 4 2 2 2 6 4" xfId="10072" xr:uid="{945DF4F7-AA65-4AB2-84CA-86817CE350AD}"/>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D8344E3A-5979-4D40-8EEA-995C8619424A}"/>
    <cellStyle name="Comma 4 2 2 2 7 2 3" xfId="12630" xr:uid="{14CDC636-DD49-47E8-AD2A-6924C02E2C81}"/>
    <cellStyle name="Comma 4 2 2 2 7 3" xfId="6253" xr:uid="{00000000-0005-0000-0000-0000F8070000}"/>
    <cellStyle name="Comma 4 2 2 2 7 3 2" xfId="14703" xr:uid="{CF13A281-8514-43B9-8634-D9211F4BEDFE}"/>
    <cellStyle name="Comma 4 2 2 2 7 4" xfId="10485" xr:uid="{D38E4D8E-917B-4582-917C-74F0E5E57016}"/>
    <cellStyle name="Comma 4 2 2 2 8" xfId="2382" xr:uid="{00000000-0005-0000-0000-0000F9070000}"/>
    <cellStyle name="Comma 4 2 2 2 8 2" xfId="6666" xr:uid="{00000000-0005-0000-0000-0000FA070000}"/>
    <cellStyle name="Comma 4 2 2 2 8 2 2" xfId="15116" xr:uid="{1FCAF9C4-740D-4571-A00B-40D8FCE130D5}"/>
    <cellStyle name="Comma 4 2 2 2 8 3" xfId="10898" xr:uid="{97DEC7C8-03CF-4384-AAA8-3434505D63A4}"/>
    <cellStyle name="Comma 4 2 2 2 9" xfId="2381" xr:uid="{00000000-0005-0000-0000-0000FB070000}"/>
    <cellStyle name="Comma 4 2 2 3" xfId="132" xr:uid="{00000000-0005-0000-0000-0000FC070000}"/>
    <cellStyle name="Comma 4 2 2 3 10" xfId="4604" xr:uid="{00000000-0005-0000-0000-0000FD070000}"/>
    <cellStyle name="Comma 4 2 2 3 10 2" xfId="13054" xr:uid="{A5B70DA4-0963-4690-A435-7158350C76E7}"/>
    <cellStyle name="Comma 4 2 2 3 11" xfId="8836" xr:uid="{BB14D0C0-F99D-4C11-93D5-9D8EB1133013}"/>
    <cellStyle name="Comma 4 2 2 3 2" xfId="133" xr:uid="{00000000-0005-0000-0000-0000FE070000}"/>
    <cellStyle name="Comma 4 2 2 3 2 10" xfId="8837" xr:uid="{9D2BF9D9-D24E-4475-974C-ADCBAB65710D}"/>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B22D03E2-AC81-4326-9E58-A1A2A1C9A78B}"/>
    <cellStyle name="Comma 4 2 2 3 2 2 2 3" xfId="11396" xr:uid="{E62C3987-A025-4D4C-A760-7573065A37DE}"/>
    <cellStyle name="Comma 4 2 2 3 2 2 3" xfId="5019" xr:uid="{00000000-0005-0000-0000-000002080000}"/>
    <cellStyle name="Comma 4 2 2 3 2 2 3 2" xfId="13469" xr:uid="{331D09D5-88CD-403C-909C-523490182030}"/>
    <cellStyle name="Comma 4 2 2 3 2 2 4" xfId="9251" xr:uid="{1C49EED0-764E-4792-94A3-16A1591EE817}"/>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E5C97BD4-8A36-4DD8-9634-4633A45FB650}"/>
    <cellStyle name="Comma 4 2 2 3 2 3 2 3" xfId="11809" xr:uid="{8F1BC4E9-DE18-4CE3-A548-441DD7722F47}"/>
    <cellStyle name="Comma 4 2 2 3 2 3 3" xfId="5432" xr:uid="{00000000-0005-0000-0000-000006080000}"/>
    <cellStyle name="Comma 4 2 2 3 2 3 3 2" xfId="13882" xr:uid="{2DFBDF4D-F61B-4AF6-B09B-796A3B3E2377}"/>
    <cellStyle name="Comma 4 2 2 3 2 3 4" xfId="9664" xr:uid="{FA5267A7-1CE6-45EC-96EE-8047323A6712}"/>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60325953-C5A9-4E51-A1CE-124BD735811D}"/>
    <cellStyle name="Comma 4 2 2 3 2 4 2 3" xfId="12222" xr:uid="{9709FF34-82A1-4039-96BF-C5FBB80F1EDA}"/>
    <cellStyle name="Comma 4 2 2 3 2 4 3" xfId="5845" xr:uid="{00000000-0005-0000-0000-00000A080000}"/>
    <cellStyle name="Comma 4 2 2 3 2 4 3 2" xfId="14295" xr:uid="{733D69B4-9ABE-4752-A856-5B9A90915AE5}"/>
    <cellStyle name="Comma 4 2 2 3 2 4 4" xfId="10077" xr:uid="{E90CCD3B-7919-416B-B108-80E595BDC696}"/>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151E0DA1-14C6-4CFF-8A2C-1994D97FDB7D}"/>
    <cellStyle name="Comma 4 2 2 3 2 5 2 3" xfId="12635" xr:uid="{84EFC89E-3631-4947-810F-A41D938F2F64}"/>
    <cellStyle name="Comma 4 2 2 3 2 5 3" xfId="6258" xr:uid="{00000000-0005-0000-0000-00000E080000}"/>
    <cellStyle name="Comma 4 2 2 3 2 5 3 2" xfId="14708" xr:uid="{39A93C62-4B06-433D-B33D-A6D8ED48331D}"/>
    <cellStyle name="Comma 4 2 2 3 2 5 4" xfId="10490" xr:uid="{37B52A0F-B536-4E02-9962-E4D187DE423D}"/>
    <cellStyle name="Comma 4 2 2 3 2 6" xfId="2387" xr:uid="{00000000-0005-0000-0000-00000F080000}"/>
    <cellStyle name="Comma 4 2 2 3 2 6 2" xfId="6671" xr:uid="{00000000-0005-0000-0000-000010080000}"/>
    <cellStyle name="Comma 4 2 2 3 2 6 2 2" xfId="15121" xr:uid="{472B3395-1D51-4BF7-8360-2616F7820F01}"/>
    <cellStyle name="Comma 4 2 2 3 2 6 3" xfId="10903" xr:uid="{B745DB6C-F5E0-402C-9261-72556B28D669}"/>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D229D1BA-B95E-4EF3-9EEE-0F9D409B2E87}"/>
    <cellStyle name="Comma 4 2 2 3 2 8 3" xfId="11220" xr:uid="{191B3B45-35BD-4384-B77F-E67A31659DA6}"/>
    <cellStyle name="Comma 4 2 2 3 2 9" xfId="4605" xr:uid="{00000000-0005-0000-0000-000014080000}"/>
    <cellStyle name="Comma 4 2 2 3 2 9 2" xfId="13055" xr:uid="{120561D5-6DF0-4D37-AEFD-3F764C4E67C1}"/>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AE716ED2-11C3-46CF-BB57-4E02E8E0A68E}"/>
    <cellStyle name="Comma 4 2 2 3 3 2 3" xfId="11395" xr:uid="{63F46A7B-4DD4-491C-93FA-2F4773B973A7}"/>
    <cellStyle name="Comma 4 2 2 3 3 3" xfId="5018" xr:uid="{00000000-0005-0000-0000-000018080000}"/>
    <cellStyle name="Comma 4 2 2 3 3 3 2" xfId="13468" xr:uid="{FD4D0F4F-2ED6-4611-B1E0-30682FA6C822}"/>
    <cellStyle name="Comma 4 2 2 3 3 4" xfId="9250" xr:uid="{3E63207D-5E2E-4852-902F-D266BED8940A}"/>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56FD5F1D-91CB-41E0-A33A-4F67C19E24E8}"/>
    <cellStyle name="Comma 4 2 2 3 4 2 3" xfId="11808" xr:uid="{6B7B4AB8-3A04-47F4-B5B8-A1BEF7BED8C0}"/>
    <cellStyle name="Comma 4 2 2 3 4 3" xfId="5431" xr:uid="{00000000-0005-0000-0000-00001C080000}"/>
    <cellStyle name="Comma 4 2 2 3 4 3 2" xfId="13881" xr:uid="{1C0F08C6-D202-437A-B6A2-4B523810EB89}"/>
    <cellStyle name="Comma 4 2 2 3 4 4" xfId="9663" xr:uid="{85F45B32-C4AE-4C2A-A95A-AD707AB5A7E5}"/>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BA4769BB-EE84-4432-A0DD-DD26F94860CD}"/>
    <cellStyle name="Comma 4 2 2 3 5 2 3" xfId="12221" xr:uid="{A2BC2838-8B9F-4053-B390-F8CDEBDC70F1}"/>
    <cellStyle name="Comma 4 2 2 3 5 3" xfId="5844" xr:uid="{00000000-0005-0000-0000-000020080000}"/>
    <cellStyle name="Comma 4 2 2 3 5 3 2" xfId="14294" xr:uid="{C45A8EEC-CCAD-4DA4-BBA6-17EB5C6F1726}"/>
    <cellStyle name="Comma 4 2 2 3 5 4" xfId="10076" xr:uid="{A88AFF3B-99B4-4F85-9CAA-E0B6E0516A30}"/>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2BE3EDDB-5EFB-4EF2-B4C0-75670524A530}"/>
    <cellStyle name="Comma 4 2 2 3 6 2 3" xfId="12634" xr:uid="{9E9A9065-61AE-4F3A-8FC2-D8650EE4C7FE}"/>
    <cellStyle name="Comma 4 2 2 3 6 3" xfId="6257" xr:uid="{00000000-0005-0000-0000-000024080000}"/>
    <cellStyle name="Comma 4 2 2 3 6 3 2" xfId="14707" xr:uid="{C952A913-C6A6-4277-A0F0-181253C129E1}"/>
    <cellStyle name="Comma 4 2 2 3 6 4" xfId="10489" xr:uid="{56F06BFC-715F-48EB-A5A4-6F0A9C441C38}"/>
    <cellStyle name="Comma 4 2 2 3 7" xfId="2386" xr:uid="{00000000-0005-0000-0000-000025080000}"/>
    <cellStyle name="Comma 4 2 2 3 7 2" xfId="6670" xr:uid="{00000000-0005-0000-0000-000026080000}"/>
    <cellStyle name="Comma 4 2 2 3 7 2 2" xfId="15120" xr:uid="{102A41F6-D17C-4A8D-A90E-60FDE80722C6}"/>
    <cellStyle name="Comma 4 2 2 3 7 3" xfId="10902" xr:uid="{BADE8625-3EE6-4B13-8652-83A2097D4E67}"/>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273F9535-05BD-45A4-ABB2-06DE33E9A94E}"/>
    <cellStyle name="Comma 4 2 2 3 9 3" xfId="11219" xr:uid="{3240018F-772E-445D-B499-64A689DD227A}"/>
    <cellStyle name="Comma 4 2 2 4" xfId="134" xr:uid="{00000000-0005-0000-0000-00002A080000}"/>
    <cellStyle name="Comma 4 2 2 4 10" xfId="8838" xr:uid="{02488395-FFDA-449C-94B9-FAA8CE63D893}"/>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D80E8B66-B97A-4CAC-9E63-E3F3F2A82BC1}"/>
    <cellStyle name="Comma 4 2 2 4 2 2 3" xfId="11397" xr:uid="{649C7AA6-CD08-4B22-964D-52FBF7223AAE}"/>
    <cellStyle name="Comma 4 2 2 4 2 3" xfId="5020" xr:uid="{00000000-0005-0000-0000-00002E080000}"/>
    <cellStyle name="Comma 4 2 2 4 2 3 2" xfId="13470" xr:uid="{E77219AB-4BDE-478A-BA2D-3BCF5AC0F6FD}"/>
    <cellStyle name="Comma 4 2 2 4 2 4" xfId="9252" xr:uid="{83221A80-4397-4C12-83E7-F5E378FD2938}"/>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AFA41655-A6AB-41D1-9102-9F610AF1C696}"/>
    <cellStyle name="Comma 4 2 2 4 3 2 3" xfId="11810" xr:uid="{1ACFF6AD-5A26-4084-A43B-730B6A40BC25}"/>
    <cellStyle name="Comma 4 2 2 4 3 3" xfId="5433" xr:uid="{00000000-0005-0000-0000-000032080000}"/>
    <cellStyle name="Comma 4 2 2 4 3 3 2" xfId="13883" xr:uid="{FCE2B2CF-425C-440E-A960-D9338684701C}"/>
    <cellStyle name="Comma 4 2 2 4 3 4" xfId="9665" xr:uid="{95E7C229-1817-4BD7-B2CB-B345DCA50208}"/>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84692E88-C4E3-4DA3-8083-C0090A46E00C}"/>
    <cellStyle name="Comma 4 2 2 4 4 2 3" xfId="12223" xr:uid="{4F9A2491-5DE5-464C-9F63-71D0F2992392}"/>
    <cellStyle name="Comma 4 2 2 4 4 3" xfId="5846" xr:uid="{00000000-0005-0000-0000-000036080000}"/>
    <cellStyle name="Comma 4 2 2 4 4 3 2" xfId="14296" xr:uid="{A6CBE6D8-6D80-42C8-BE6F-C9EFE1090E4A}"/>
    <cellStyle name="Comma 4 2 2 4 4 4" xfId="10078" xr:uid="{173E67F1-E58A-45F7-A2AE-0962B014D05E}"/>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B0FF7EB9-D81A-42C9-9446-25CC88FB9259}"/>
    <cellStyle name="Comma 4 2 2 4 5 2 3" xfId="12636" xr:uid="{3D9A12D1-280A-4605-8237-0079187914A5}"/>
    <cellStyle name="Comma 4 2 2 4 5 3" xfId="6259" xr:uid="{00000000-0005-0000-0000-00003A080000}"/>
    <cellStyle name="Comma 4 2 2 4 5 3 2" xfId="14709" xr:uid="{D8B70CF5-023B-4668-A936-267FC332D053}"/>
    <cellStyle name="Comma 4 2 2 4 5 4" xfId="10491" xr:uid="{8E7C10C7-B5E9-4024-9875-92AEA9D7616C}"/>
    <cellStyle name="Comma 4 2 2 4 6" xfId="2388" xr:uid="{00000000-0005-0000-0000-00003B080000}"/>
    <cellStyle name="Comma 4 2 2 4 6 2" xfId="6672" xr:uid="{00000000-0005-0000-0000-00003C080000}"/>
    <cellStyle name="Comma 4 2 2 4 6 2 2" xfId="15122" xr:uid="{CB007D31-1E5C-4D81-9508-A18A411FB928}"/>
    <cellStyle name="Comma 4 2 2 4 6 3" xfId="10904" xr:uid="{DA5B9631-7C6E-4519-B1BA-A4453C722824}"/>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CE372CAD-09C5-4182-9116-A00C7569891A}"/>
    <cellStyle name="Comma 4 2 2 4 8 3" xfId="11221" xr:uid="{5C8BF101-13E8-46B9-83E4-8589109FDD08}"/>
    <cellStyle name="Comma 4 2 2 4 9" xfId="4606" xr:uid="{00000000-0005-0000-0000-000040080000}"/>
    <cellStyle name="Comma 4 2 2 4 9 2" xfId="13056" xr:uid="{9DDF89FB-0520-4B2D-ADCE-18E7C2721389}"/>
    <cellStyle name="Comma 4 2 2 5" xfId="135" xr:uid="{00000000-0005-0000-0000-000041080000}"/>
    <cellStyle name="Comma 4 2 2 5 10" xfId="8839" xr:uid="{E70AF24D-DB4D-4357-8651-AB3C5AED0DA9}"/>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7BD088DF-4539-40B5-BF3C-0A39A3575601}"/>
    <cellStyle name="Comma 4 2 2 5 2 2 3" xfId="11398" xr:uid="{67FF5F0C-4BB4-4E13-8DEB-3B24F4702E0F}"/>
    <cellStyle name="Comma 4 2 2 5 2 3" xfId="5021" xr:uid="{00000000-0005-0000-0000-000045080000}"/>
    <cellStyle name="Comma 4 2 2 5 2 3 2" xfId="13471" xr:uid="{8CFE8BBC-590D-4696-B3BF-B9FC74F81ADD}"/>
    <cellStyle name="Comma 4 2 2 5 2 4" xfId="9253" xr:uid="{EA42FF75-5E70-4E53-A4E6-2FC70E56DE1B}"/>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7AD6041B-51D4-4067-854C-9B9CA4712DAB}"/>
    <cellStyle name="Comma 4 2 2 5 3 2 3" xfId="11811" xr:uid="{F46F8393-637E-4C31-9AD7-A6CA6F9F03A0}"/>
    <cellStyle name="Comma 4 2 2 5 3 3" xfId="5434" xr:uid="{00000000-0005-0000-0000-000049080000}"/>
    <cellStyle name="Comma 4 2 2 5 3 3 2" xfId="13884" xr:uid="{10E8FAA5-3D44-4EA5-B538-AD3C59A53B86}"/>
    <cellStyle name="Comma 4 2 2 5 3 4" xfId="9666" xr:uid="{409B35B8-DFD3-48D3-B099-5BE377BB687C}"/>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4CF722C8-28F0-4F76-BDBB-19D1B5809747}"/>
    <cellStyle name="Comma 4 2 2 5 4 2 3" xfId="12224" xr:uid="{7613B926-62D9-4D0C-9117-653B7A47A9AA}"/>
    <cellStyle name="Comma 4 2 2 5 4 3" xfId="5847" xr:uid="{00000000-0005-0000-0000-00004D080000}"/>
    <cellStyle name="Comma 4 2 2 5 4 3 2" xfId="14297" xr:uid="{B58AFF27-F95F-43B0-BB1A-CE73E839B1A1}"/>
    <cellStyle name="Comma 4 2 2 5 4 4" xfId="10079" xr:uid="{6CDC7625-16CE-46AE-B95A-8973B1B37D54}"/>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04C7390F-5489-4427-B6CB-4C6E77EFCC91}"/>
    <cellStyle name="Comma 4 2 2 5 5 2 3" xfId="12637" xr:uid="{0BEBA7B0-A9A2-49EC-ABB7-72152CB065E2}"/>
    <cellStyle name="Comma 4 2 2 5 5 3" xfId="6260" xr:uid="{00000000-0005-0000-0000-000051080000}"/>
    <cellStyle name="Comma 4 2 2 5 5 3 2" xfId="14710" xr:uid="{9888F7B3-095E-4EE4-AC22-07D4F4AC1B4D}"/>
    <cellStyle name="Comma 4 2 2 5 5 4" xfId="10492" xr:uid="{0D6785B1-6EE2-4EBB-89FB-8B661252E4CC}"/>
    <cellStyle name="Comma 4 2 2 5 6" xfId="2389" xr:uid="{00000000-0005-0000-0000-000052080000}"/>
    <cellStyle name="Comma 4 2 2 5 6 2" xfId="6673" xr:uid="{00000000-0005-0000-0000-000053080000}"/>
    <cellStyle name="Comma 4 2 2 5 6 2 2" xfId="15123" xr:uid="{BF0086EC-571E-4DD5-AA35-16161A3E06EA}"/>
    <cellStyle name="Comma 4 2 2 5 6 3" xfId="10905" xr:uid="{0F512FA3-390E-4A29-B004-B71DACCB32B2}"/>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ED547E4E-9363-441B-AE3F-D7CF0B2A0A1F}"/>
    <cellStyle name="Comma 4 2 2 5 8 3" xfId="11222" xr:uid="{8E4736FA-EF2C-40E0-9A5B-93A9BF348B58}"/>
    <cellStyle name="Comma 4 2 2 5 9" xfId="4607" xr:uid="{00000000-0005-0000-0000-000057080000}"/>
    <cellStyle name="Comma 4 2 2 5 9 2" xfId="13057" xr:uid="{5613656F-101E-41C8-A0DE-2362FC97A5B9}"/>
    <cellStyle name="Comma 4 2 3" xfId="136" xr:uid="{00000000-0005-0000-0000-000058080000}"/>
    <cellStyle name="Comma 4 2 3 10" xfId="2768" xr:uid="{00000000-0005-0000-0000-000059080000}"/>
    <cellStyle name="Comma 4 2 3 10 2" xfId="6991" xr:uid="{00000000-0005-0000-0000-00005A080000}"/>
    <cellStyle name="Comma 4 2 3 10 2 2" xfId="15441" xr:uid="{3EFD62CC-345A-4ECB-9A88-DDA98DE2AD1F}"/>
    <cellStyle name="Comma 4 2 3 10 3" xfId="11223" xr:uid="{0DF6289C-1296-4B7C-95B1-976FE463A49D}"/>
    <cellStyle name="Comma 4 2 3 11" xfId="4608" xr:uid="{00000000-0005-0000-0000-00005B080000}"/>
    <cellStyle name="Comma 4 2 3 11 2" xfId="13058" xr:uid="{3273B87F-8F11-481C-AC0C-F7E019F9FE11}"/>
    <cellStyle name="Comma 4 2 3 12" xfId="8840" xr:uid="{3946158F-A4E4-4E4A-A82D-C93E5DF88972}"/>
    <cellStyle name="Comma 4 2 3 2" xfId="137" xr:uid="{00000000-0005-0000-0000-00005C080000}"/>
    <cellStyle name="Comma 4 2 3 2 10" xfId="4609" xr:uid="{00000000-0005-0000-0000-00005D080000}"/>
    <cellStyle name="Comma 4 2 3 2 10 2" xfId="13059" xr:uid="{9572DE3A-79B6-4DA6-9AAF-A20F8E372F5C}"/>
    <cellStyle name="Comma 4 2 3 2 11" xfId="8841" xr:uid="{7C1D440C-B5FF-40B6-B49B-B5D03C685DF7}"/>
    <cellStyle name="Comma 4 2 3 2 2" xfId="138" xr:uid="{00000000-0005-0000-0000-00005E080000}"/>
    <cellStyle name="Comma 4 2 3 2 2 10" xfId="8842" xr:uid="{F48DEFBE-BC32-482E-B08B-447FA045FAE5}"/>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A149F8C2-7408-4060-973F-E489E48A810F}"/>
    <cellStyle name="Comma 4 2 3 2 2 2 2 3" xfId="11401" xr:uid="{5148FB64-DA8F-410D-A984-383686DD48E1}"/>
    <cellStyle name="Comma 4 2 3 2 2 2 3" xfId="5024" xr:uid="{00000000-0005-0000-0000-000062080000}"/>
    <cellStyle name="Comma 4 2 3 2 2 2 3 2" xfId="13474" xr:uid="{5F45C1A1-7ACD-43BE-87A0-F397F8C07302}"/>
    <cellStyle name="Comma 4 2 3 2 2 2 4" xfId="9256" xr:uid="{A4452B57-1FC9-4D94-9F8B-8EA6B32E7EEE}"/>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F9682C9F-93AA-4ADC-9BA5-846B0D3DB952}"/>
    <cellStyle name="Comma 4 2 3 2 2 3 2 3" xfId="11814" xr:uid="{D7939270-62CF-4163-844A-D7A2C7B31196}"/>
    <cellStyle name="Comma 4 2 3 2 2 3 3" xfId="5437" xr:uid="{00000000-0005-0000-0000-000066080000}"/>
    <cellStyle name="Comma 4 2 3 2 2 3 3 2" xfId="13887" xr:uid="{7B20AA2A-C4C2-447E-9409-1D35417CAECB}"/>
    <cellStyle name="Comma 4 2 3 2 2 3 4" xfId="9669" xr:uid="{0D1D71B7-D2D6-489C-B379-0C2C283B518C}"/>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DDCA50EA-FBC8-4448-A1BB-07B1320CC490}"/>
    <cellStyle name="Comma 4 2 3 2 2 4 2 3" xfId="12227" xr:uid="{90B295D7-D7C9-4E02-AB8D-6E7E36730BEC}"/>
    <cellStyle name="Comma 4 2 3 2 2 4 3" xfId="5850" xr:uid="{00000000-0005-0000-0000-00006A080000}"/>
    <cellStyle name="Comma 4 2 3 2 2 4 3 2" xfId="14300" xr:uid="{84CDA4AD-F446-4C1A-9DD3-9101874EED04}"/>
    <cellStyle name="Comma 4 2 3 2 2 4 4" xfId="10082" xr:uid="{F1CE08C5-03FB-4DE2-BF5C-A5C0AAF7C8B4}"/>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B654F2E2-C7E6-483B-B34C-A5D21B71375C}"/>
    <cellStyle name="Comma 4 2 3 2 2 5 2 3" xfId="12640" xr:uid="{43777EFA-5646-4AFF-B1DA-64FD12047A43}"/>
    <cellStyle name="Comma 4 2 3 2 2 5 3" xfId="6263" xr:uid="{00000000-0005-0000-0000-00006E080000}"/>
    <cellStyle name="Comma 4 2 3 2 2 5 3 2" xfId="14713" xr:uid="{2D171EB4-C2CD-4768-8337-6EA1D17AF138}"/>
    <cellStyle name="Comma 4 2 3 2 2 5 4" xfId="10495" xr:uid="{29523D0B-3F70-4AD6-BF7B-A39D52A587D5}"/>
    <cellStyle name="Comma 4 2 3 2 2 6" xfId="2392" xr:uid="{00000000-0005-0000-0000-00006F080000}"/>
    <cellStyle name="Comma 4 2 3 2 2 6 2" xfId="6676" xr:uid="{00000000-0005-0000-0000-000070080000}"/>
    <cellStyle name="Comma 4 2 3 2 2 6 2 2" xfId="15126" xr:uid="{194F1A38-EA8F-4B36-9DED-11CFBADEB77A}"/>
    <cellStyle name="Comma 4 2 3 2 2 6 3" xfId="10908" xr:uid="{B605D4CD-7AB3-40EA-BC8B-4F5063B0B8E5}"/>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F60C9E04-098F-45A5-B9EC-9F5F18F2C193}"/>
    <cellStyle name="Comma 4 2 3 2 2 8 3" xfId="11225" xr:uid="{9EE1DA40-12A3-438D-9A6C-07E2BEE18FD3}"/>
    <cellStyle name="Comma 4 2 3 2 2 9" xfId="4610" xr:uid="{00000000-0005-0000-0000-000074080000}"/>
    <cellStyle name="Comma 4 2 3 2 2 9 2" xfId="13060" xr:uid="{5626C4E7-FF29-44E1-812D-6D9F3F7894D0}"/>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77C16803-0E97-4DC2-A852-1EB36A301DBE}"/>
    <cellStyle name="Comma 4 2 3 2 3 2 3" xfId="11400" xr:uid="{4DD52A56-8DE1-4F21-B0C4-FE8331504963}"/>
    <cellStyle name="Comma 4 2 3 2 3 3" xfId="5023" xr:uid="{00000000-0005-0000-0000-000078080000}"/>
    <cellStyle name="Comma 4 2 3 2 3 3 2" xfId="13473" xr:uid="{F3C60CB8-D118-498F-B18C-1AEE4F0A2C35}"/>
    <cellStyle name="Comma 4 2 3 2 3 4" xfId="9255" xr:uid="{02F12C7D-370B-4664-B2F2-8E9802797612}"/>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00129959-96AD-4484-BB31-ED1D07AD27C8}"/>
    <cellStyle name="Comma 4 2 3 2 4 2 3" xfId="11813" xr:uid="{7DCE111B-9BE9-4AD9-991C-1E6B3DEF6DD0}"/>
    <cellStyle name="Comma 4 2 3 2 4 3" xfId="5436" xr:uid="{00000000-0005-0000-0000-00007C080000}"/>
    <cellStyle name="Comma 4 2 3 2 4 3 2" xfId="13886" xr:uid="{83C7A238-7323-40F1-AA2F-86E84DB7D8DF}"/>
    <cellStyle name="Comma 4 2 3 2 4 4" xfId="9668" xr:uid="{E517DEAF-C957-4FDD-A730-E6F6E95BB813}"/>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95C8CA40-1160-4558-8C83-5472298CA240}"/>
    <cellStyle name="Comma 4 2 3 2 5 2 3" xfId="12226" xr:uid="{4C423824-2219-453D-A592-9D2DA9390134}"/>
    <cellStyle name="Comma 4 2 3 2 5 3" xfId="5849" xr:uid="{00000000-0005-0000-0000-000080080000}"/>
    <cellStyle name="Comma 4 2 3 2 5 3 2" xfId="14299" xr:uid="{47491CC2-B519-4FAF-94E4-6673B3D305D8}"/>
    <cellStyle name="Comma 4 2 3 2 5 4" xfId="10081" xr:uid="{4A790592-2C0D-4AFD-9A2E-449C272423B3}"/>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B4F86C4F-BA81-41FE-82A4-D5E1884951C9}"/>
    <cellStyle name="Comma 4 2 3 2 6 2 3" xfId="12639" xr:uid="{FD25FB4D-CC84-421E-A013-E45EF656BA6D}"/>
    <cellStyle name="Comma 4 2 3 2 6 3" xfId="6262" xr:uid="{00000000-0005-0000-0000-000084080000}"/>
    <cellStyle name="Comma 4 2 3 2 6 3 2" xfId="14712" xr:uid="{2E217C02-01CE-4383-978A-838A6A3D9064}"/>
    <cellStyle name="Comma 4 2 3 2 6 4" xfId="10494" xr:uid="{2F2D6074-DAB4-4E0A-93CF-93FDD4846D67}"/>
    <cellStyle name="Comma 4 2 3 2 7" xfId="2391" xr:uid="{00000000-0005-0000-0000-000085080000}"/>
    <cellStyle name="Comma 4 2 3 2 7 2" xfId="6675" xr:uid="{00000000-0005-0000-0000-000086080000}"/>
    <cellStyle name="Comma 4 2 3 2 7 2 2" xfId="15125" xr:uid="{85898C65-8A2F-43D8-818A-7953FD7AA2A7}"/>
    <cellStyle name="Comma 4 2 3 2 7 3" xfId="10907" xr:uid="{0449A377-A438-41DB-8434-24AF6F93AFCC}"/>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E89AFA18-7E79-40F3-B541-62EB22F2BBBA}"/>
    <cellStyle name="Comma 4 2 3 2 9 3" xfId="11224" xr:uid="{961E60A4-46E0-4EE0-A205-1E566217DCE2}"/>
    <cellStyle name="Comma 4 2 3 3" xfId="139" xr:uid="{00000000-0005-0000-0000-00008A080000}"/>
    <cellStyle name="Comma 4 2 3 3 10" xfId="8843" xr:uid="{90CF7CF4-535C-42C1-B9D9-F6F529977E46}"/>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771AB2C7-5666-4940-A3B0-6CA997E4C456}"/>
    <cellStyle name="Comma 4 2 3 3 2 2 3" xfId="11402" xr:uid="{A4586311-29B2-407D-AB74-8BDBA00FD985}"/>
    <cellStyle name="Comma 4 2 3 3 2 3" xfId="5025" xr:uid="{00000000-0005-0000-0000-00008E080000}"/>
    <cellStyle name="Comma 4 2 3 3 2 3 2" xfId="13475" xr:uid="{8C160900-7471-4823-A850-F37EB76771EA}"/>
    <cellStyle name="Comma 4 2 3 3 2 4" xfId="9257" xr:uid="{74338A16-891F-49FF-A175-D7366560BDE9}"/>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E0EFABBA-16B2-427A-9E9A-17796DBEACAA}"/>
    <cellStyle name="Comma 4 2 3 3 3 2 3" xfId="11815" xr:uid="{F5808471-4E59-45E5-B123-7F2040C9FE3C}"/>
    <cellStyle name="Comma 4 2 3 3 3 3" xfId="5438" xr:uid="{00000000-0005-0000-0000-000092080000}"/>
    <cellStyle name="Comma 4 2 3 3 3 3 2" xfId="13888" xr:uid="{A9E13F8B-66B2-4D1F-957D-CCA1523E40B1}"/>
    <cellStyle name="Comma 4 2 3 3 3 4" xfId="9670" xr:uid="{02C03811-7127-4E99-9C22-AEEEC1ACCAC0}"/>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FCB17F7E-A85C-4669-99F8-EF2C9400F6C6}"/>
    <cellStyle name="Comma 4 2 3 3 4 2 3" xfId="12228" xr:uid="{7E3B094F-A066-41F8-896D-89D3669F84DC}"/>
    <cellStyle name="Comma 4 2 3 3 4 3" xfId="5851" xr:uid="{00000000-0005-0000-0000-000096080000}"/>
    <cellStyle name="Comma 4 2 3 3 4 3 2" xfId="14301" xr:uid="{C33CE837-6ADA-4279-9B3F-C2051BAFC781}"/>
    <cellStyle name="Comma 4 2 3 3 4 4" xfId="10083" xr:uid="{6ED221C0-6B7B-4A46-9FE5-71DFD8F3A424}"/>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D624E0C2-CA96-4832-92E3-EBB2F3C498C6}"/>
    <cellStyle name="Comma 4 2 3 3 5 2 3" xfId="12641" xr:uid="{6A7EECDF-911B-4A3A-BB07-631E994C978A}"/>
    <cellStyle name="Comma 4 2 3 3 5 3" xfId="6264" xr:uid="{00000000-0005-0000-0000-00009A080000}"/>
    <cellStyle name="Comma 4 2 3 3 5 3 2" xfId="14714" xr:uid="{023866DE-DA51-4BA7-AD5B-3EF79AA5B646}"/>
    <cellStyle name="Comma 4 2 3 3 5 4" xfId="10496" xr:uid="{55633314-ACFC-410C-B465-9E44E9D40477}"/>
    <cellStyle name="Comma 4 2 3 3 6" xfId="2393" xr:uid="{00000000-0005-0000-0000-00009B080000}"/>
    <cellStyle name="Comma 4 2 3 3 6 2" xfId="6677" xr:uid="{00000000-0005-0000-0000-00009C080000}"/>
    <cellStyle name="Comma 4 2 3 3 6 2 2" xfId="15127" xr:uid="{0EDB1D28-2642-49E9-9E27-159CA45766F9}"/>
    <cellStyle name="Comma 4 2 3 3 6 3" xfId="10909" xr:uid="{B2FC6D7A-2954-4F34-85B4-34FD817B3ED3}"/>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EACD59D1-06B4-4D4D-8FAD-4A15DE4378C7}"/>
    <cellStyle name="Comma 4 2 3 3 8 3" xfId="11226" xr:uid="{42013D8B-4DCE-4736-8892-B3ACB5536C05}"/>
    <cellStyle name="Comma 4 2 3 3 9" xfId="4611" xr:uid="{00000000-0005-0000-0000-0000A0080000}"/>
    <cellStyle name="Comma 4 2 3 3 9 2" xfId="13061" xr:uid="{D3538FF0-E85D-48E4-882C-6F07BA9B276F}"/>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6D31146A-CF11-4755-91A5-75AD4ABA56F9}"/>
    <cellStyle name="Comma 4 2 3 4 2 3" xfId="11399" xr:uid="{641CD307-1F0A-45F0-BEA2-A57A2C550C25}"/>
    <cellStyle name="Comma 4 2 3 4 3" xfId="5022" xr:uid="{00000000-0005-0000-0000-0000A4080000}"/>
    <cellStyle name="Comma 4 2 3 4 3 2" xfId="13472" xr:uid="{2782B189-7429-4FEE-8BD0-0E3D896B6EA4}"/>
    <cellStyle name="Comma 4 2 3 4 4" xfId="9254" xr:uid="{FA03767E-6AB4-409A-ACEF-D1151C070D91}"/>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2BE44B68-A5B8-40DD-8A61-E280FC79F00C}"/>
    <cellStyle name="Comma 4 2 3 5 2 3" xfId="11812" xr:uid="{E500A934-5177-4205-9C61-882D27AE8B57}"/>
    <cellStyle name="Comma 4 2 3 5 3" xfId="5435" xr:uid="{00000000-0005-0000-0000-0000A8080000}"/>
    <cellStyle name="Comma 4 2 3 5 3 2" xfId="13885" xr:uid="{05B05A0F-C551-4706-B832-41A362BBAB7E}"/>
    <cellStyle name="Comma 4 2 3 5 4" xfId="9667" xr:uid="{586C2D23-4BB6-4C0F-9989-357B0781066F}"/>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BEA758DF-C6A1-429D-A4BD-1924E282D04D}"/>
    <cellStyle name="Comma 4 2 3 6 2 3" xfId="12225" xr:uid="{F73C662B-EC2E-423E-ADD6-0B2FECD9D8DA}"/>
    <cellStyle name="Comma 4 2 3 6 3" xfId="5848" xr:uid="{00000000-0005-0000-0000-0000AC080000}"/>
    <cellStyle name="Comma 4 2 3 6 3 2" xfId="14298" xr:uid="{8F65AC48-E227-41B5-9541-E5171BC41B5E}"/>
    <cellStyle name="Comma 4 2 3 6 4" xfId="10080" xr:uid="{FBAB5015-F219-4068-A7B6-85DC897B03D4}"/>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5949C8E2-D4D5-4604-B00A-AC8BE7BD7B18}"/>
    <cellStyle name="Comma 4 2 3 7 2 3" xfId="12638" xr:uid="{95F4BB82-9BE2-4695-A1E5-06F63A99BCAF}"/>
    <cellStyle name="Comma 4 2 3 7 3" xfId="6261" xr:uid="{00000000-0005-0000-0000-0000B0080000}"/>
    <cellStyle name="Comma 4 2 3 7 3 2" xfId="14711" xr:uid="{3000BBC3-12B2-4FA1-AB64-8D0F164CD3C7}"/>
    <cellStyle name="Comma 4 2 3 7 4" xfId="10493" xr:uid="{0D1C0EC9-A14D-4988-A319-582F6E6C340A}"/>
    <cellStyle name="Comma 4 2 3 8" xfId="2390" xr:uid="{00000000-0005-0000-0000-0000B1080000}"/>
    <cellStyle name="Comma 4 2 3 8 2" xfId="6674" xr:uid="{00000000-0005-0000-0000-0000B2080000}"/>
    <cellStyle name="Comma 4 2 3 8 2 2" xfId="15124" xr:uid="{930AD209-68A8-4CE5-ABC1-08011ED8C006}"/>
    <cellStyle name="Comma 4 2 3 8 3" xfId="10906" xr:uid="{CC762E9F-7FC8-4545-851C-24E37F12DB75}"/>
    <cellStyle name="Comma 4 2 3 9" xfId="2373" xr:uid="{00000000-0005-0000-0000-0000B3080000}"/>
    <cellStyle name="Comma 4 2 4" xfId="140" xr:uid="{00000000-0005-0000-0000-0000B4080000}"/>
    <cellStyle name="Comma 4 2 4 10" xfId="4612" xr:uid="{00000000-0005-0000-0000-0000B5080000}"/>
    <cellStyle name="Comma 4 2 4 10 2" xfId="13062" xr:uid="{D34E5993-3D00-454E-BA52-7EB3FD8C7669}"/>
    <cellStyle name="Comma 4 2 4 11" xfId="8844" xr:uid="{541C2C3A-6B5B-4546-8268-2EA73A3AC4D8}"/>
    <cellStyle name="Comma 4 2 4 2" xfId="141" xr:uid="{00000000-0005-0000-0000-0000B6080000}"/>
    <cellStyle name="Comma 4 2 4 2 10" xfId="8845" xr:uid="{9725ABD3-8432-45F5-9A97-7B7E3C7EC539}"/>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EE229AEE-26F1-4474-A004-D858E79F4FE5}"/>
    <cellStyle name="Comma 4 2 4 2 2 2 3" xfId="11404" xr:uid="{65B9AB38-DA7F-48E5-B5B3-AC9D1AF2D619}"/>
    <cellStyle name="Comma 4 2 4 2 2 3" xfId="5027" xr:uid="{00000000-0005-0000-0000-0000BA080000}"/>
    <cellStyle name="Comma 4 2 4 2 2 3 2" xfId="13477" xr:uid="{592721AE-C19F-4A88-B16D-A1F5367D99C0}"/>
    <cellStyle name="Comma 4 2 4 2 2 4" xfId="9259" xr:uid="{BE50640C-6898-43E1-8C12-7EBEF6A7760E}"/>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451BB786-F9C0-4CA2-8E38-BEB15FAF43CB}"/>
    <cellStyle name="Comma 4 2 4 2 3 2 3" xfId="11817" xr:uid="{98F175C1-CFB5-4B47-96D1-A43B0EF4CDAA}"/>
    <cellStyle name="Comma 4 2 4 2 3 3" xfId="5440" xr:uid="{00000000-0005-0000-0000-0000BE080000}"/>
    <cellStyle name="Comma 4 2 4 2 3 3 2" xfId="13890" xr:uid="{71DEEC06-8EF4-4812-891C-B1757F351075}"/>
    <cellStyle name="Comma 4 2 4 2 3 4" xfId="9672" xr:uid="{CE91BF28-6371-4990-9C18-591039889FB5}"/>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7636DFDB-7D91-4900-8855-7559E000D5EC}"/>
    <cellStyle name="Comma 4 2 4 2 4 2 3" xfId="12230" xr:uid="{7017DD65-E09B-408F-A3FC-E0D93B84CC15}"/>
    <cellStyle name="Comma 4 2 4 2 4 3" xfId="5853" xr:uid="{00000000-0005-0000-0000-0000C2080000}"/>
    <cellStyle name="Comma 4 2 4 2 4 3 2" xfId="14303" xr:uid="{73BF18EF-947C-472B-B0FB-5E9E081238FE}"/>
    <cellStyle name="Comma 4 2 4 2 4 4" xfId="10085" xr:uid="{101D195D-0855-4E79-B64B-3AFE1304B0DA}"/>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975CC30F-9597-435D-817C-5DF6D87940AB}"/>
    <cellStyle name="Comma 4 2 4 2 5 2 3" xfId="12643" xr:uid="{CF04E7F9-939E-466C-BD20-0B45025CAA88}"/>
    <cellStyle name="Comma 4 2 4 2 5 3" xfId="6266" xr:uid="{00000000-0005-0000-0000-0000C6080000}"/>
    <cellStyle name="Comma 4 2 4 2 5 3 2" xfId="14716" xr:uid="{59328660-FD0C-4DF7-92BF-441BF5550A73}"/>
    <cellStyle name="Comma 4 2 4 2 5 4" xfId="10498" xr:uid="{DB732669-B1F7-4FB2-9C27-F6D62CFE48F2}"/>
    <cellStyle name="Comma 4 2 4 2 6" xfId="2395" xr:uid="{00000000-0005-0000-0000-0000C7080000}"/>
    <cellStyle name="Comma 4 2 4 2 6 2" xfId="6679" xr:uid="{00000000-0005-0000-0000-0000C8080000}"/>
    <cellStyle name="Comma 4 2 4 2 6 2 2" xfId="15129" xr:uid="{CB15114D-FD62-4683-86C2-32B21E9888F3}"/>
    <cellStyle name="Comma 4 2 4 2 6 3" xfId="10911" xr:uid="{7A532703-6E9F-494D-BA93-5FEF1E1716C3}"/>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A252F1DC-477B-49C3-B3B5-A75B79DE3EC2}"/>
    <cellStyle name="Comma 4 2 4 2 8 3" xfId="11228" xr:uid="{F1DB005B-3ED9-487D-A6D6-269CBF8054D0}"/>
    <cellStyle name="Comma 4 2 4 2 9" xfId="4613" xr:uid="{00000000-0005-0000-0000-0000CC080000}"/>
    <cellStyle name="Comma 4 2 4 2 9 2" xfId="13063" xr:uid="{DA7541E3-5792-4370-95AC-63AF7ABC9F6C}"/>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2E126146-DB76-495A-92AD-9F7BEE3A87E8}"/>
    <cellStyle name="Comma 4 2 4 3 2 3" xfId="11403" xr:uid="{E52D7EF6-91FD-4B10-980E-59894EC2B882}"/>
    <cellStyle name="Comma 4 2 4 3 3" xfId="5026" xr:uid="{00000000-0005-0000-0000-0000D0080000}"/>
    <cellStyle name="Comma 4 2 4 3 3 2" xfId="13476" xr:uid="{3ACF5A3E-8411-4FA0-89C1-59C23406CCA7}"/>
    <cellStyle name="Comma 4 2 4 3 4" xfId="9258" xr:uid="{B2BC619C-3254-4D10-9906-8D57E657499F}"/>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4ACE65CC-55EE-4381-B9DB-EEC6A8F141B4}"/>
    <cellStyle name="Comma 4 2 4 4 2 3" xfId="11816" xr:uid="{E43634C3-9493-483D-9D40-92216979979C}"/>
    <cellStyle name="Comma 4 2 4 4 3" xfId="5439" xr:uid="{00000000-0005-0000-0000-0000D4080000}"/>
    <cellStyle name="Comma 4 2 4 4 3 2" xfId="13889" xr:uid="{CDFA821C-CE84-477D-A0AA-DBF6D8EF123C}"/>
    <cellStyle name="Comma 4 2 4 4 4" xfId="9671" xr:uid="{BA34B05A-EC2B-427E-8959-FD80E5A06004}"/>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D8E4CD8B-EADE-47A7-8473-75EF0B2CCEBC}"/>
    <cellStyle name="Comma 4 2 4 5 2 3" xfId="12229" xr:uid="{8949AD03-E88C-4FAB-9DC4-348BC2513877}"/>
    <cellStyle name="Comma 4 2 4 5 3" xfId="5852" xr:uid="{00000000-0005-0000-0000-0000D8080000}"/>
    <cellStyle name="Comma 4 2 4 5 3 2" xfId="14302" xr:uid="{9044B3F3-E7B6-46DC-85E3-B52E073076FA}"/>
    <cellStyle name="Comma 4 2 4 5 4" xfId="10084" xr:uid="{A14D4D1B-7267-47CA-B198-6A8504DBA615}"/>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FCBF6636-C122-4876-88B8-DD2B2557831A}"/>
    <cellStyle name="Comma 4 2 4 6 2 3" xfId="12642" xr:uid="{20A3209B-54A5-42A2-B67E-531335D4BE55}"/>
    <cellStyle name="Comma 4 2 4 6 3" xfId="6265" xr:uid="{00000000-0005-0000-0000-0000DC080000}"/>
    <cellStyle name="Comma 4 2 4 6 3 2" xfId="14715" xr:uid="{46003D5F-EC9E-4E67-85DA-6816FD65C35A}"/>
    <cellStyle name="Comma 4 2 4 6 4" xfId="10497" xr:uid="{2B1EE8E8-F05F-40B3-A56D-DBBFBBD7CB9A}"/>
    <cellStyle name="Comma 4 2 4 7" xfId="2394" xr:uid="{00000000-0005-0000-0000-0000DD080000}"/>
    <cellStyle name="Comma 4 2 4 7 2" xfId="6678" xr:uid="{00000000-0005-0000-0000-0000DE080000}"/>
    <cellStyle name="Comma 4 2 4 7 2 2" xfId="15128" xr:uid="{08C7259A-E55A-40CC-BFFE-4CB563D0CBD9}"/>
    <cellStyle name="Comma 4 2 4 7 3" xfId="10910" xr:uid="{07AD3F28-71CE-474F-8780-9D3876EC0D5E}"/>
    <cellStyle name="Comma 4 2 4 8" xfId="2369" xr:uid="{00000000-0005-0000-0000-0000DF080000}"/>
    <cellStyle name="Comma 4 2 4 9" xfId="2772" xr:uid="{00000000-0005-0000-0000-0000E0080000}"/>
    <cellStyle name="Comma 4 2 4 9 2" xfId="6995" xr:uid="{00000000-0005-0000-0000-0000E1080000}"/>
    <cellStyle name="Comma 4 2 4 9 2 2" xfId="15445" xr:uid="{A5458D8D-F27D-4A8A-8234-443F98B56736}"/>
    <cellStyle name="Comma 4 2 4 9 3" xfId="11227" xr:uid="{4C349FAC-BDF4-41B0-B39C-D87E3040C266}"/>
    <cellStyle name="Comma 4 2 5" xfId="142" xr:uid="{00000000-0005-0000-0000-0000E2080000}"/>
    <cellStyle name="Comma 4 2 5 10" xfId="8846" xr:uid="{BD36B035-142A-4995-BBA8-5E09CCCE035B}"/>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AD14AFCE-A241-4B38-AD86-35327C526530}"/>
    <cellStyle name="Comma 4 2 5 2 2 3" xfId="11405" xr:uid="{6433EB43-7547-41D3-AA25-85AEAE36A608}"/>
    <cellStyle name="Comma 4 2 5 2 3" xfId="5028" xr:uid="{00000000-0005-0000-0000-0000E6080000}"/>
    <cellStyle name="Comma 4 2 5 2 3 2" xfId="13478" xr:uid="{E2C52CC7-3CCD-4F2F-9281-CB81E2373F36}"/>
    <cellStyle name="Comma 4 2 5 2 4" xfId="9260" xr:uid="{C63DD742-B0DE-411A-8D8C-C3D3BE58D359}"/>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652DD79A-57C6-49DB-9A75-96EE444C2196}"/>
    <cellStyle name="Comma 4 2 5 3 2 3" xfId="11818" xr:uid="{842618A7-9DCB-4E5E-9842-73037493EF48}"/>
    <cellStyle name="Comma 4 2 5 3 3" xfId="5441" xr:uid="{00000000-0005-0000-0000-0000EA080000}"/>
    <cellStyle name="Comma 4 2 5 3 3 2" xfId="13891" xr:uid="{D9F19056-08C2-42A3-8747-6BBEFC19CB1F}"/>
    <cellStyle name="Comma 4 2 5 3 4" xfId="9673" xr:uid="{157B1ACD-70E5-4C49-9A82-8DCB1AB0AC29}"/>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00350B8F-0B36-4525-A8CB-C07AD1A522BB}"/>
    <cellStyle name="Comma 4 2 5 4 2 3" xfId="12231" xr:uid="{26C8017F-818F-4723-97DB-AB57BD974AAB}"/>
    <cellStyle name="Comma 4 2 5 4 3" xfId="5854" xr:uid="{00000000-0005-0000-0000-0000EE080000}"/>
    <cellStyle name="Comma 4 2 5 4 3 2" xfId="14304" xr:uid="{F9B4677C-387E-4FAA-A214-C39465E9F18B}"/>
    <cellStyle name="Comma 4 2 5 4 4" xfId="10086" xr:uid="{10C83009-CCED-4171-B965-75F56322E6D5}"/>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CB4694E5-1252-4ED6-8EB6-3428C7FB59FB}"/>
    <cellStyle name="Comma 4 2 5 5 2 3" xfId="12644" xr:uid="{28D0A527-00A2-4E1A-9DE7-D861E97EE2F3}"/>
    <cellStyle name="Comma 4 2 5 5 3" xfId="6267" xr:uid="{00000000-0005-0000-0000-0000F2080000}"/>
    <cellStyle name="Comma 4 2 5 5 3 2" xfId="14717" xr:uid="{FACFCFD0-361D-42A4-AD17-317408F3A4FB}"/>
    <cellStyle name="Comma 4 2 5 5 4" xfId="10499" xr:uid="{BC35888C-FF28-412F-8776-E52FDA237954}"/>
    <cellStyle name="Comma 4 2 5 6" xfId="2396" xr:uid="{00000000-0005-0000-0000-0000F3080000}"/>
    <cellStyle name="Comma 4 2 5 6 2" xfId="6680" xr:uid="{00000000-0005-0000-0000-0000F4080000}"/>
    <cellStyle name="Comma 4 2 5 6 2 2" xfId="15130" xr:uid="{83B1B60A-C1D7-482C-91C2-E70BF725D468}"/>
    <cellStyle name="Comma 4 2 5 6 3" xfId="10912" xr:uid="{AEE790AF-3FDE-4D91-A509-BACD1C1E70A4}"/>
    <cellStyle name="Comma 4 2 5 7" xfId="2367" xr:uid="{00000000-0005-0000-0000-0000F5080000}"/>
    <cellStyle name="Comma 4 2 5 8" xfId="2774" xr:uid="{00000000-0005-0000-0000-0000F6080000}"/>
    <cellStyle name="Comma 4 2 5 8 2" xfId="6997" xr:uid="{00000000-0005-0000-0000-0000F7080000}"/>
    <cellStyle name="Comma 4 2 5 8 2 2" xfId="15447" xr:uid="{2A2C38F1-5C3E-47D1-B159-9DA6559BE4E8}"/>
    <cellStyle name="Comma 4 2 5 8 3" xfId="11229" xr:uid="{05CCF447-591F-4A0F-9CB2-865B56AFFA12}"/>
    <cellStyle name="Comma 4 2 5 9" xfId="4614" xr:uid="{00000000-0005-0000-0000-0000F8080000}"/>
    <cellStyle name="Comma 4 2 5 9 2" xfId="13064" xr:uid="{20AD487B-F7D1-48FB-B69F-31FCFCDB9C73}"/>
    <cellStyle name="Comma 4 2 6" xfId="143" xr:uid="{00000000-0005-0000-0000-0000F9080000}"/>
    <cellStyle name="Comma 4 2 6 10" xfId="8847" xr:uid="{5E875712-A8D5-4155-915F-0166A629BDF3}"/>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FE50C1FA-8D5D-40F1-8198-B4D105D0AF2C}"/>
    <cellStyle name="Comma 4 2 6 2 2 3" xfId="11406" xr:uid="{D7228250-378C-4F99-AADE-BF38BD16579A}"/>
    <cellStyle name="Comma 4 2 6 2 3" xfId="5029" xr:uid="{00000000-0005-0000-0000-0000FD080000}"/>
    <cellStyle name="Comma 4 2 6 2 3 2" xfId="13479" xr:uid="{278B35E7-3DD3-4CD6-8C0D-E6003A04F0C4}"/>
    <cellStyle name="Comma 4 2 6 2 4" xfId="9261" xr:uid="{88ECAAC4-EA25-4C36-93B5-36F11D9B58CE}"/>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BD4442C5-CCB0-4790-B9DA-8051C9C57643}"/>
    <cellStyle name="Comma 4 2 6 3 2 3" xfId="11819" xr:uid="{B5B2E11D-D28B-4475-A6DC-DF0D91937F0D}"/>
    <cellStyle name="Comma 4 2 6 3 3" xfId="5442" xr:uid="{00000000-0005-0000-0000-000001090000}"/>
    <cellStyle name="Comma 4 2 6 3 3 2" xfId="13892" xr:uid="{A95E986F-02EC-4C73-9DFE-45AF2D958F64}"/>
    <cellStyle name="Comma 4 2 6 3 4" xfId="9674" xr:uid="{E47CD4D5-9745-44F9-9E33-FE836763EFA0}"/>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6C194633-7903-47EC-959C-6EEB9E38305A}"/>
    <cellStyle name="Comma 4 2 6 4 2 3" xfId="12232" xr:uid="{81F18D7D-F2C8-44C6-B560-D38C6A267B7A}"/>
    <cellStyle name="Comma 4 2 6 4 3" xfId="5855" xr:uid="{00000000-0005-0000-0000-000005090000}"/>
    <cellStyle name="Comma 4 2 6 4 3 2" xfId="14305" xr:uid="{68597616-095B-4D17-9B5D-B7E85C3A7391}"/>
    <cellStyle name="Comma 4 2 6 4 4" xfId="10087" xr:uid="{06E2967F-ABCA-4736-AC18-4F565AC63195}"/>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69222935-67BE-4BBB-8AD9-7BA5BCF5277E}"/>
    <cellStyle name="Comma 4 2 6 5 2 3" xfId="12645" xr:uid="{CD2BACAC-F6C5-4C53-83EF-7EAD0F6E7E52}"/>
    <cellStyle name="Comma 4 2 6 5 3" xfId="6268" xr:uid="{00000000-0005-0000-0000-000009090000}"/>
    <cellStyle name="Comma 4 2 6 5 3 2" xfId="14718" xr:uid="{1932A15C-B244-446D-8FE7-50984E20D1A6}"/>
    <cellStyle name="Comma 4 2 6 5 4" xfId="10500" xr:uid="{D7CBD2E3-3CFB-42FE-B175-A619451B4346}"/>
    <cellStyle name="Comma 4 2 6 6" xfId="2397" xr:uid="{00000000-0005-0000-0000-00000A090000}"/>
    <cellStyle name="Comma 4 2 6 6 2" xfId="6681" xr:uid="{00000000-0005-0000-0000-00000B090000}"/>
    <cellStyle name="Comma 4 2 6 6 2 2" xfId="15131" xr:uid="{A10E1C54-1BAC-4F10-833E-80BBF9016E8A}"/>
    <cellStyle name="Comma 4 2 6 6 3" xfId="10913" xr:uid="{B7205340-7E53-4796-B7D1-21571398DC92}"/>
    <cellStyle name="Comma 4 2 6 7" xfId="2366" xr:uid="{00000000-0005-0000-0000-00000C090000}"/>
    <cellStyle name="Comma 4 2 6 8" xfId="2775" xr:uid="{00000000-0005-0000-0000-00000D090000}"/>
    <cellStyle name="Comma 4 2 6 8 2" xfId="6998" xr:uid="{00000000-0005-0000-0000-00000E090000}"/>
    <cellStyle name="Comma 4 2 6 8 2 2" xfId="15448" xr:uid="{1C69C0BA-3E23-41A9-BF5F-BC198DD2F08A}"/>
    <cellStyle name="Comma 4 2 6 8 3" xfId="11230" xr:uid="{0137CF3C-ED1E-45B9-991D-79CD03E128BD}"/>
    <cellStyle name="Comma 4 2 6 9" xfId="4615" xr:uid="{00000000-0005-0000-0000-00000F090000}"/>
    <cellStyle name="Comma 4 2 6 9 2" xfId="13065" xr:uid="{57129B7B-C5E1-4F91-81FB-D2432720A6A5}"/>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5ED53D5A-575C-409D-AC3C-A93FA6C46EF3}"/>
    <cellStyle name="Comma 4 3 2 10 3" xfId="11231" xr:uid="{B6DD7C33-281F-4C56-BE14-B297A260D602}"/>
    <cellStyle name="Comma 4 3 2 11" xfId="4616" xr:uid="{00000000-0005-0000-0000-000014090000}"/>
    <cellStyle name="Comma 4 3 2 11 2" xfId="13066" xr:uid="{5EC65C79-7725-46DA-AF8E-5D1D80030697}"/>
    <cellStyle name="Comma 4 3 2 12" xfId="8848" xr:uid="{D2795F1C-0FFB-4C54-BAEE-9F26A761C311}"/>
    <cellStyle name="Comma 4 3 2 2" xfId="146" xr:uid="{00000000-0005-0000-0000-000015090000}"/>
    <cellStyle name="Comma 4 3 2 2 10" xfId="4617" xr:uid="{00000000-0005-0000-0000-000016090000}"/>
    <cellStyle name="Comma 4 3 2 2 10 2" xfId="13067" xr:uid="{7239345E-2BDF-486F-970E-42128E3792F6}"/>
    <cellStyle name="Comma 4 3 2 2 11" xfId="8849" xr:uid="{E9E166DC-1EF6-45DB-AF05-106B7CD14241}"/>
    <cellStyle name="Comma 4 3 2 2 2" xfId="147" xr:uid="{00000000-0005-0000-0000-000017090000}"/>
    <cellStyle name="Comma 4 3 2 2 2 10" xfId="8850" xr:uid="{60A0C5BC-8FFB-46A2-93E0-FE4579CDA9E0}"/>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9A526410-773D-4AC8-AE7E-CB6C214CA93B}"/>
    <cellStyle name="Comma 4 3 2 2 2 2 2 3" xfId="11409" xr:uid="{763221E8-EA94-4E3F-A480-6065AAC48DE7}"/>
    <cellStyle name="Comma 4 3 2 2 2 2 3" xfId="5032" xr:uid="{00000000-0005-0000-0000-00001B090000}"/>
    <cellStyle name="Comma 4 3 2 2 2 2 3 2" xfId="13482" xr:uid="{846E7740-66D2-4277-BE56-F6A384BDB914}"/>
    <cellStyle name="Comma 4 3 2 2 2 2 4" xfId="9264" xr:uid="{931F70BA-D59A-4EA8-9C48-BD461E12A652}"/>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11471E86-34DE-4E35-B40D-4F58026E2C8E}"/>
    <cellStyle name="Comma 4 3 2 2 2 3 2 3" xfId="11822" xr:uid="{DF446EF9-478C-418D-8554-8CCF848B46AB}"/>
    <cellStyle name="Comma 4 3 2 2 2 3 3" xfId="5445" xr:uid="{00000000-0005-0000-0000-00001F090000}"/>
    <cellStyle name="Comma 4 3 2 2 2 3 3 2" xfId="13895" xr:uid="{9AF50088-7787-448A-8ECC-C1BBAC92CDD8}"/>
    <cellStyle name="Comma 4 3 2 2 2 3 4" xfId="9677" xr:uid="{70DD339A-BB49-4AB2-910E-C620F7C6A824}"/>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96C5C49E-D5B9-4144-AB7C-D7868A3304C3}"/>
    <cellStyle name="Comma 4 3 2 2 2 4 2 3" xfId="12235" xr:uid="{2307786D-3852-4E3E-8746-7815B4E33C4B}"/>
    <cellStyle name="Comma 4 3 2 2 2 4 3" xfId="5858" xr:uid="{00000000-0005-0000-0000-000023090000}"/>
    <cellStyle name="Comma 4 3 2 2 2 4 3 2" xfId="14308" xr:uid="{E3DBEE25-52EB-48B1-967E-97B6CB8439FF}"/>
    <cellStyle name="Comma 4 3 2 2 2 4 4" xfId="10090" xr:uid="{BCE3E11A-FAB8-4258-AB84-E958458D4900}"/>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A6DB18E6-8C0F-4D6F-AF52-2090A120D4A7}"/>
    <cellStyle name="Comma 4 3 2 2 2 5 2 3" xfId="12648" xr:uid="{CE5A5FA8-A4A8-4CC6-A4EC-01FC7294B1B4}"/>
    <cellStyle name="Comma 4 3 2 2 2 5 3" xfId="6271" xr:uid="{00000000-0005-0000-0000-000027090000}"/>
    <cellStyle name="Comma 4 3 2 2 2 5 3 2" xfId="14721" xr:uid="{54DD80B1-AA70-40C3-A257-43324B5BEB46}"/>
    <cellStyle name="Comma 4 3 2 2 2 5 4" xfId="10503" xr:uid="{782BF293-EB00-426D-AEAE-4457A7718BB9}"/>
    <cellStyle name="Comma 4 3 2 2 2 6" xfId="2400" xr:uid="{00000000-0005-0000-0000-000028090000}"/>
    <cellStyle name="Comma 4 3 2 2 2 6 2" xfId="6684" xr:uid="{00000000-0005-0000-0000-000029090000}"/>
    <cellStyle name="Comma 4 3 2 2 2 6 2 2" xfId="15134" xr:uid="{2D2EF5B6-A06B-4E18-A175-9C5A1AB59A7F}"/>
    <cellStyle name="Comma 4 3 2 2 2 6 3" xfId="10916" xr:uid="{FF470322-EDFE-48C5-89C4-9A853825638C}"/>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22C76276-75A8-4B53-921F-7DC16AE34202}"/>
    <cellStyle name="Comma 4 3 2 2 2 8 3" xfId="11233" xr:uid="{D2B5BAD5-16B8-4698-9122-8A8AECFCAE94}"/>
    <cellStyle name="Comma 4 3 2 2 2 9" xfId="4618" xr:uid="{00000000-0005-0000-0000-00002D090000}"/>
    <cellStyle name="Comma 4 3 2 2 2 9 2" xfId="13068" xr:uid="{433B345D-0F89-4F7D-8A29-C40C51CECB97}"/>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9F358138-9EF0-4B98-B44E-3CF65E7CDB87}"/>
    <cellStyle name="Comma 4 3 2 2 3 2 3" xfId="11408" xr:uid="{01EC38E8-0745-4D77-A525-C87E6436750B}"/>
    <cellStyle name="Comma 4 3 2 2 3 3" xfId="5031" xr:uid="{00000000-0005-0000-0000-000031090000}"/>
    <cellStyle name="Comma 4 3 2 2 3 3 2" xfId="13481" xr:uid="{AEABCFF9-C001-4BD3-84C2-481B9901898F}"/>
    <cellStyle name="Comma 4 3 2 2 3 4" xfId="9263" xr:uid="{32929D2F-8EBB-4B43-B1B7-8169AEAF79FF}"/>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774762B1-A252-4BD6-AB22-0B9736D154AE}"/>
    <cellStyle name="Comma 4 3 2 2 4 2 3" xfId="11821" xr:uid="{D482B35B-6E50-4186-93B0-88B696DD0CB8}"/>
    <cellStyle name="Comma 4 3 2 2 4 3" xfId="5444" xr:uid="{00000000-0005-0000-0000-000035090000}"/>
    <cellStyle name="Comma 4 3 2 2 4 3 2" xfId="13894" xr:uid="{DF3284CB-0C9A-4475-B11C-81D7528ED666}"/>
    <cellStyle name="Comma 4 3 2 2 4 4" xfId="9676" xr:uid="{8ABAFC32-EBAB-4CCA-8A86-F9F042E08D09}"/>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809591F4-83DD-486F-A16D-46503DF4FD9C}"/>
    <cellStyle name="Comma 4 3 2 2 5 2 3" xfId="12234" xr:uid="{7D869776-F07F-425E-A145-0B23B67152FC}"/>
    <cellStyle name="Comma 4 3 2 2 5 3" xfId="5857" xr:uid="{00000000-0005-0000-0000-000039090000}"/>
    <cellStyle name="Comma 4 3 2 2 5 3 2" xfId="14307" xr:uid="{3FAA4480-269F-4D9C-8041-F7C6221C710E}"/>
    <cellStyle name="Comma 4 3 2 2 5 4" xfId="10089" xr:uid="{1113415A-F40E-4F30-AFBC-BC834DED2ECB}"/>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078B7790-0901-4AF8-BC2A-AF49387159A6}"/>
    <cellStyle name="Comma 4 3 2 2 6 2 3" xfId="12647" xr:uid="{812EBD4D-42B9-4A31-B74D-48662F6F65ED}"/>
    <cellStyle name="Comma 4 3 2 2 6 3" xfId="6270" xr:uid="{00000000-0005-0000-0000-00003D090000}"/>
    <cellStyle name="Comma 4 3 2 2 6 3 2" xfId="14720" xr:uid="{2ACFB9A2-EEF1-41F9-B2A0-253BF12D1CA6}"/>
    <cellStyle name="Comma 4 3 2 2 6 4" xfId="10502" xr:uid="{81FD3B76-77FC-4A6D-81B0-65CC8E481EC9}"/>
    <cellStyle name="Comma 4 3 2 2 7" xfId="2399" xr:uid="{00000000-0005-0000-0000-00003E090000}"/>
    <cellStyle name="Comma 4 3 2 2 7 2" xfId="6683" xr:uid="{00000000-0005-0000-0000-00003F090000}"/>
    <cellStyle name="Comma 4 3 2 2 7 2 2" xfId="15133" xr:uid="{B74E18A0-B60F-4B81-987D-64197E616070}"/>
    <cellStyle name="Comma 4 3 2 2 7 3" xfId="10915" xr:uid="{A0F77C22-316D-465C-941F-FB1245DFD067}"/>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AB2D2C5B-7F11-4606-B62F-CBD95B7F8A26}"/>
    <cellStyle name="Comma 4 3 2 2 9 3" xfId="11232" xr:uid="{83805A6B-DD5D-4BE1-A359-F3160706ABD0}"/>
    <cellStyle name="Comma 4 3 2 3" xfId="148" xr:uid="{00000000-0005-0000-0000-000043090000}"/>
    <cellStyle name="Comma 4 3 2 3 10" xfId="8851" xr:uid="{1F31C486-822C-4F57-A9BD-BDB2B990CEED}"/>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F01C5E79-0E0E-41A1-941F-B57FE1124807}"/>
    <cellStyle name="Comma 4 3 2 3 2 2 3" xfId="11410" xr:uid="{3879CAF8-5BED-4A12-8C42-F346003711A5}"/>
    <cellStyle name="Comma 4 3 2 3 2 3" xfId="5033" xr:uid="{00000000-0005-0000-0000-000047090000}"/>
    <cellStyle name="Comma 4 3 2 3 2 3 2" xfId="13483" xr:uid="{B428CA63-A010-4BF2-9FCC-C02C64A4D072}"/>
    <cellStyle name="Comma 4 3 2 3 2 4" xfId="9265" xr:uid="{2235D5D3-E958-484C-981E-D692BBCEDA21}"/>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366166E3-ABC2-4270-B90C-D30048A8E3CB}"/>
    <cellStyle name="Comma 4 3 2 3 3 2 3" xfId="11823" xr:uid="{95F6C6D8-FE65-4AB8-9AC5-227E02DFAFF5}"/>
    <cellStyle name="Comma 4 3 2 3 3 3" xfId="5446" xr:uid="{00000000-0005-0000-0000-00004B090000}"/>
    <cellStyle name="Comma 4 3 2 3 3 3 2" xfId="13896" xr:uid="{89578836-FBF4-4098-A8E1-59B5C40BA2CF}"/>
    <cellStyle name="Comma 4 3 2 3 3 4" xfId="9678" xr:uid="{136DE1A5-9613-4BF0-A994-5654EB5E61F1}"/>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8B2867F3-6669-4087-ACAC-7C5DEBB6630A}"/>
    <cellStyle name="Comma 4 3 2 3 4 2 3" xfId="12236" xr:uid="{EBCC5C08-3D57-4DF9-9A0A-4339B7FC44AC}"/>
    <cellStyle name="Comma 4 3 2 3 4 3" xfId="5859" xr:uid="{00000000-0005-0000-0000-00004F090000}"/>
    <cellStyle name="Comma 4 3 2 3 4 3 2" xfId="14309" xr:uid="{57DC91D6-718B-46D9-813D-4DF5F0B6BF01}"/>
    <cellStyle name="Comma 4 3 2 3 4 4" xfId="10091" xr:uid="{65565F60-97B3-4771-A839-B79B4B8A4DAA}"/>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901FEA12-2C00-48F5-AAA8-6D47705466B0}"/>
    <cellStyle name="Comma 4 3 2 3 5 2 3" xfId="12649" xr:uid="{692B7BBA-47F7-47DE-9E42-AE8667445843}"/>
    <cellStyle name="Comma 4 3 2 3 5 3" xfId="6272" xr:uid="{00000000-0005-0000-0000-000053090000}"/>
    <cellStyle name="Comma 4 3 2 3 5 3 2" xfId="14722" xr:uid="{884135B8-8B58-4986-BD9F-CAD094BFAD1D}"/>
    <cellStyle name="Comma 4 3 2 3 5 4" xfId="10504" xr:uid="{4C940E12-E070-4716-83B4-A066E75D1ABC}"/>
    <cellStyle name="Comma 4 3 2 3 6" xfId="2401" xr:uid="{00000000-0005-0000-0000-000054090000}"/>
    <cellStyle name="Comma 4 3 2 3 6 2" xfId="6685" xr:uid="{00000000-0005-0000-0000-000055090000}"/>
    <cellStyle name="Comma 4 3 2 3 6 2 2" xfId="15135" xr:uid="{5578EFB4-E432-4F5B-A5D7-1C8E2CDB6E02}"/>
    <cellStyle name="Comma 4 3 2 3 6 3" xfId="10917" xr:uid="{52F45FDA-587F-4657-A869-0E8023337AA4}"/>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5121DA71-E6F8-40C3-B5F1-4BB9C7267ACD}"/>
    <cellStyle name="Comma 4 3 2 3 8 3" xfId="11234" xr:uid="{075F6301-6A27-4F06-B7F7-D98D1EBF44E5}"/>
    <cellStyle name="Comma 4 3 2 3 9" xfId="4619" xr:uid="{00000000-0005-0000-0000-000059090000}"/>
    <cellStyle name="Comma 4 3 2 3 9 2" xfId="13069" xr:uid="{4915F1E3-1A23-4E0B-AFC6-B48315AC4FEA}"/>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5FF4E961-93D0-4C05-851C-308B193A7513}"/>
    <cellStyle name="Comma 4 3 2 4 2 3" xfId="11407" xr:uid="{A215907F-975E-4239-A7A6-0DD84EBA04BB}"/>
    <cellStyle name="Comma 4 3 2 4 3" xfId="5030" xr:uid="{00000000-0005-0000-0000-00005D090000}"/>
    <cellStyle name="Comma 4 3 2 4 3 2" xfId="13480" xr:uid="{68C63AD9-5530-4F09-839D-4694CB613DAC}"/>
    <cellStyle name="Comma 4 3 2 4 4" xfId="9262" xr:uid="{FDA0B15E-F795-4522-89CD-689912909234}"/>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F9D748C9-CBB3-4B7A-945E-197E43EC4F06}"/>
    <cellStyle name="Comma 4 3 2 5 2 3" xfId="11820" xr:uid="{55F5DDF4-6790-48C6-90A4-77B98D5BFDC0}"/>
    <cellStyle name="Comma 4 3 2 5 3" xfId="5443" xr:uid="{00000000-0005-0000-0000-000061090000}"/>
    <cellStyle name="Comma 4 3 2 5 3 2" xfId="13893" xr:uid="{6605C27A-AB51-4BCE-8287-D0B583411E96}"/>
    <cellStyle name="Comma 4 3 2 5 4" xfId="9675" xr:uid="{996E9ABA-B2AC-48EB-9ED9-5848D48A2D90}"/>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91DB1414-3085-44CB-B509-9EEEEDEF7A81}"/>
    <cellStyle name="Comma 4 3 2 6 2 3" xfId="12233" xr:uid="{DD84B1F5-6BFF-4636-9456-A52F6ABAD46B}"/>
    <cellStyle name="Comma 4 3 2 6 3" xfId="5856" xr:uid="{00000000-0005-0000-0000-000065090000}"/>
    <cellStyle name="Comma 4 3 2 6 3 2" xfId="14306" xr:uid="{C98F48ED-A1B0-4189-8315-C32838782496}"/>
    <cellStyle name="Comma 4 3 2 6 4" xfId="10088" xr:uid="{7D7FD487-ED8C-4F1C-92B2-E2CE62AB08F3}"/>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1D242312-DD56-4582-87BD-4A8F5B73FAE4}"/>
    <cellStyle name="Comma 4 3 2 7 2 3" xfId="12646" xr:uid="{59084B19-67D9-4471-9B72-8B41CC2E7ACA}"/>
    <cellStyle name="Comma 4 3 2 7 3" xfId="6269" xr:uid="{00000000-0005-0000-0000-000069090000}"/>
    <cellStyle name="Comma 4 3 2 7 3 2" xfId="14719" xr:uid="{1EF71E24-DD94-4D68-A384-A8F854CD20D7}"/>
    <cellStyle name="Comma 4 3 2 7 4" xfId="10501" xr:uid="{E01B10ED-37E7-4B64-8918-3C0A79B1C4F8}"/>
    <cellStyle name="Comma 4 3 2 8" xfId="2398" xr:uid="{00000000-0005-0000-0000-00006A090000}"/>
    <cellStyle name="Comma 4 3 2 8 2" xfId="6682" xr:uid="{00000000-0005-0000-0000-00006B090000}"/>
    <cellStyle name="Comma 4 3 2 8 2 2" xfId="15132" xr:uid="{629E1A80-9D8D-4F92-ADED-800F0C7C8F9F}"/>
    <cellStyle name="Comma 4 3 2 8 3" xfId="10914" xr:uid="{087E5272-5DB4-4058-83F5-088AF087B51E}"/>
    <cellStyle name="Comma 4 3 2 9" xfId="2365" xr:uid="{00000000-0005-0000-0000-00006C090000}"/>
    <cellStyle name="Comma 4 3 3" xfId="149" xr:uid="{00000000-0005-0000-0000-00006D090000}"/>
    <cellStyle name="Comma 4 3 3 10" xfId="4620" xr:uid="{00000000-0005-0000-0000-00006E090000}"/>
    <cellStyle name="Comma 4 3 3 10 2" xfId="13070" xr:uid="{D9D16119-ED39-4D05-83F3-EA20F771985C}"/>
    <cellStyle name="Comma 4 3 3 11" xfId="8852" xr:uid="{5FF24DB7-AF4D-44FC-BC9F-56B6BC81DFB5}"/>
    <cellStyle name="Comma 4 3 3 2" xfId="150" xr:uid="{00000000-0005-0000-0000-00006F090000}"/>
    <cellStyle name="Comma 4 3 3 2 10" xfId="8853" xr:uid="{94B77C9D-94A9-42F6-945A-3FDF6F9EBC73}"/>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F83B2C62-3B4A-42AA-B8BA-2395AABB7BE2}"/>
    <cellStyle name="Comma 4 3 3 2 2 2 3" xfId="11412" xr:uid="{2E8CBD15-9D58-42E8-9BE5-AB91523CE66D}"/>
    <cellStyle name="Comma 4 3 3 2 2 3" xfId="5035" xr:uid="{00000000-0005-0000-0000-000073090000}"/>
    <cellStyle name="Comma 4 3 3 2 2 3 2" xfId="13485" xr:uid="{4D2CF24D-0234-4D31-B2CD-071668A94419}"/>
    <cellStyle name="Comma 4 3 3 2 2 4" xfId="9267" xr:uid="{FE7F2AB5-8884-4002-BFAE-BE0B8913D07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D77CB7BE-B505-4A88-8DE3-C085AEA79DC4}"/>
    <cellStyle name="Comma 4 3 3 2 3 2 3" xfId="11825" xr:uid="{89567BD7-62E1-4797-82A1-947550A64775}"/>
    <cellStyle name="Comma 4 3 3 2 3 3" xfId="5448" xr:uid="{00000000-0005-0000-0000-000077090000}"/>
    <cellStyle name="Comma 4 3 3 2 3 3 2" xfId="13898" xr:uid="{DA171F2B-60F7-4415-B635-89DBC482AE32}"/>
    <cellStyle name="Comma 4 3 3 2 3 4" xfId="9680" xr:uid="{D41AEFBD-11E0-459D-BCD3-3C3F28A06E50}"/>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2371CA8D-4116-493F-8E0D-2DF60769437C}"/>
    <cellStyle name="Comma 4 3 3 2 4 2 3" xfId="12238" xr:uid="{58C2350E-2424-43C7-83F0-00597BD3FB65}"/>
    <cellStyle name="Comma 4 3 3 2 4 3" xfId="5861" xr:uid="{00000000-0005-0000-0000-00007B090000}"/>
    <cellStyle name="Comma 4 3 3 2 4 3 2" xfId="14311" xr:uid="{7D7AC8AA-4BD7-4D40-B20D-4EDC7A8FE00B}"/>
    <cellStyle name="Comma 4 3 3 2 4 4" xfId="10093" xr:uid="{CB6A6F5D-5752-41C1-94F9-BC4F25B5B889}"/>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A1E38B26-915F-453B-82C7-CAA74A5ADD58}"/>
    <cellStyle name="Comma 4 3 3 2 5 2 3" xfId="12651" xr:uid="{2CABBC4C-1DCF-4E4F-9579-890514E4A542}"/>
    <cellStyle name="Comma 4 3 3 2 5 3" xfId="6274" xr:uid="{00000000-0005-0000-0000-00007F090000}"/>
    <cellStyle name="Comma 4 3 3 2 5 3 2" xfId="14724" xr:uid="{C6C041EB-044E-4556-9016-E58628044152}"/>
    <cellStyle name="Comma 4 3 3 2 5 4" xfId="10506" xr:uid="{EFF568DE-E44E-4591-B723-823F70CC869C}"/>
    <cellStyle name="Comma 4 3 3 2 6" xfId="2403" xr:uid="{00000000-0005-0000-0000-000080090000}"/>
    <cellStyle name="Comma 4 3 3 2 6 2" xfId="6687" xr:uid="{00000000-0005-0000-0000-000081090000}"/>
    <cellStyle name="Comma 4 3 3 2 6 2 2" xfId="15137" xr:uid="{E707FF3A-3C89-4DA9-A100-91FBFB18FAA9}"/>
    <cellStyle name="Comma 4 3 3 2 6 3" xfId="10919" xr:uid="{5DF68EF2-1BCB-4820-A4B6-67FB53AA9444}"/>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CF231F8A-E0A7-4350-9055-108499C51255}"/>
    <cellStyle name="Comma 4 3 3 2 8 3" xfId="11236" xr:uid="{685D95CA-BE8C-446F-A7E4-7EE140D16AF7}"/>
    <cellStyle name="Comma 4 3 3 2 9" xfId="4621" xr:uid="{00000000-0005-0000-0000-000085090000}"/>
    <cellStyle name="Comma 4 3 3 2 9 2" xfId="13071" xr:uid="{923DF142-0083-4F0A-B38F-5942D6BB1C5C}"/>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1A049F68-57E3-4886-9421-161278054EB1}"/>
    <cellStyle name="Comma 4 3 3 3 2 3" xfId="11411" xr:uid="{4ADD97C5-7307-4949-B868-A7C66E8C7D4B}"/>
    <cellStyle name="Comma 4 3 3 3 3" xfId="5034" xr:uid="{00000000-0005-0000-0000-000089090000}"/>
    <cellStyle name="Comma 4 3 3 3 3 2" xfId="13484" xr:uid="{D4EBB061-979D-4C20-BBD3-929C11CC0441}"/>
    <cellStyle name="Comma 4 3 3 3 4" xfId="9266" xr:uid="{369AE9E2-4BCA-4937-AF5A-E2316226D67A}"/>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DA804BC7-A1A8-480B-B3EE-B5EDE2981823}"/>
    <cellStyle name="Comma 4 3 3 4 2 3" xfId="11824" xr:uid="{053A9B7A-D334-4872-9D93-A6DC845DCE5A}"/>
    <cellStyle name="Comma 4 3 3 4 3" xfId="5447" xr:uid="{00000000-0005-0000-0000-00008D090000}"/>
    <cellStyle name="Comma 4 3 3 4 3 2" xfId="13897" xr:uid="{01F8BCF6-CFB1-4B09-84EC-C1E80A8CAFE1}"/>
    <cellStyle name="Comma 4 3 3 4 4" xfId="9679" xr:uid="{677E74A0-3131-48E5-B6F3-106069BA6584}"/>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50B8BD57-68D9-408A-B886-8BB058E3789E}"/>
    <cellStyle name="Comma 4 3 3 5 2 3" xfId="12237" xr:uid="{4DE26163-FB51-48BF-B22B-EA80EE46B67A}"/>
    <cellStyle name="Comma 4 3 3 5 3" xfId="5860" xr:uid="{00000000-0005-0000-0000-000091090000}"/>
    <cellStyle name="Comma 4 3 3 5 3 2" xfId="14310" xr:uid="{1F28B536-04D7-493F-A8C6-5EF6CA4601CB}"/>
    <cellStyle name="Comma 4 3 3 5 4" xfId="10092" xr:uid="{109A3992-78CF-418E-8A14-036505F384BC}"/>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A67B967D-62BE-485A-9B96-790C2CF18CF5}"/>
    <cellStyle name="Comma 4 3 3 6 2 3" xfId="12650" xr:uid="{ABF2F301-B3D1-4582-822E-2A874BE7756A}"/>
    <cellStyle name="Comma 4 3 3 6 3" xfId="6273" xr:uid="{00000000-0005-0000-0000-000095090000}"/>
    <cellStyle name="Comma 4 3 3 6 3 2" xfId="14723" xr:uid="{103F2F87-3FC5-4021-A5B5-25B8F65FAB5D}"/>
    <cellStyle name="Comma 4 3 3 6 4" xfId="10505" xr:uid="{E8B603D3-1F07-462E-80E0-23525DE1EE36}"/>
    <cellStyle name="Comma 4 3 3 7" xfId="2402" xr:uid="{00000000-0005-0000-0000-000096090000}"/>
    <cellStyle name="Comma 4 3 3 7 2" xfId="6686" xr:uid="{00000000-0005-0000-0000-000097090000}"/>
    <cellStyle name="Comma 4 3 3 7 2 2" xfId="15136" xr:uid="{DF68AD8D-BF75-4831-A917-1FDB89F4987B}"/>
    <cellStyle name="Comma 4 3 3 7 3" xfId="10918" xr:uid="{2714816E-D293-4569-9E78-2E5D4FE3BE36}"/>
    <cellStyle name="Comma 4 3 3 8" xfId="2361" xr:uid="{00000000-0005-0000-0000-000098090000}"/>
    <cellStyle name="Comma 4 3 3 9" xfId="2780" xr:uid="{00000000-0005-0000-0000-000099090000}"/>
    <cellStyle name="Comma 4 3 3 9 2" xfId="7003" xr:uid="{00000000-0005-0000-0000-00009A090000}"/>
    <cellStyle name="Comma 4 3 3 9 2 2" xfId="15453" xr:uid="{FE428A5B-2128-46A4-92B8-9631E141E275}"/>
    <cellStyle name="Comma 4 3 3 9 3" xfId="11235" xr:uid="{BDCFDA19-F74C-487A-8C7A-4C25468FCEB3}"/>
    <cellStyle name="Comma 4 3 4" xfId="151" xr:uid="{00000000-0005-0000-0000-00009B090000}"/>
    <cellStyle name="Comma 4 3 4 10" xfId="8854" xr:uid="{3F90F8CF-B41E-42EF-97B6-5F29BEA4A37D}"/>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CBC4375E-3AFD-40A6-99A4-04D34BDFF52A}"/>
    <cellStyle name="Comma 4 3 4 2 2 3" xfId="11413" xr:uid="{A42748DF-F515-45C7-A309-71C40546F834}"/>
    <cellStyle name="Comma 4 3 4 2 3" xfId="5036" xr:uid="{00000000-0005-0000-0000-00009F090000}"/>
    <cellStyle name="Comma 4 3 4 2 3 2" xfId="13486" xr:uid="{6F21D93F-25DC-4174-89FE-0E8A03D920DA}"/>
    <cellStyle name="Comma 4 3 4 2 4" xfId="9268" xr:uid="{C9EE4298-A5EC-408F-86F2-F6348CE50591}"/>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2FFEBE8A-B6D4-4FEC-9C26-F4CF5A8795A3}"/>
    <cellStyle name="Comma 4 3 4 3 2 3" xfId="11826" xr:uid="{C7279779-D951-4DD1-8518-4BB1C97B4A98}"/>
    <cellStyle name="Comma 4 3 4 3 3" xfId="5449" xr:uid="{00000000-0005-0000-0000-0000A3090000}"/>
    <cellStyle name="Comma 4 3 4 3 3 2" xfId="13899" xr:uid="{9238F6E9-9CD6-43F3-9470-60F5395517DE}"/>
    <cellStyle name="Comma 4 3 4 3 4" xfId="9681" xr:uid="{21F71E32-A7E2-4321-8BE0-336FD38D0AE0}"/>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4333F054-4712-415E-BB00-DEC95DBAEECE}"/>
    <cellStyle name="Comma 4 3 4 4 2 3" xfId="12239" xr:uid="{5B3BF9F3-A437-4D1A-AE55-F8FD6DD463B9}"/>
    <cellStyle name="Comma 4 3 4 4 3" xfId="5862" xr:uid="{00000000-0005-0000-0000-0000A7090000}"/>
    <cellStyle name="Comma 4 3 4 4 3 2" xfId="14312" xr:uid="{B835F4CA-F7EA-4131-8153-70434D60216B}"/>
    <cellStyle name="Comma 4 3 4 4 4" xfId="10094" xr:uid="{92B6E0B9-6592-45A5-ADF1-E4ABBC80F1B7}"/>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1CA8C122-843F-466E-B003-E2CC3BC6ABF8}"/>
    <cellStyle name="Comma 4 3 4 5 2 3" xfId="12652" xr:uid="{A726D4DF-32BD-4348-AA40-F5B593264C3A}"/>
    <cellStyle name="Comma 4 3 4 5 3" xfId="6275" xr:uid="{00000000-0005-0000-0000-0000AB090000}"/>
    <cellStyle name="Comma 4 3 4 5 3 2" xfId="14725" xr:uid="{FE61E257-EF64-481F-8A0C-CF7619A699B5}"/>
    <cellStyle name="Comma 4 3 4 5 4" xfId="10507" xr:uid="{27C6A004-F7CB-4265-A945-91516BF2ADF1}"/>
    <cellStyle name="Comma 4 3 4 6" xfId="2404" xr:uid="{00000000-0005-0000-0000-0000AC090000}"/>
    <cellStyle name="Comma 4 3 4 6 2" xfId="6688" xr:uid="{00000000-0005-0000-0000-0000AD090000}"/>
    <cellStyle name="Comma 4 3 4 6 2 2" xfId="15138" xr:uid="{444319D5-D3A2-426B-9A9A-80175DC85D1A}"/>
    <cellStyle name="Comma 4 3 4 6 3" xfId="10920" xr:uid="{C00598F5-DD4F-4008-B466-4B58CA15EA44}"/>
    <cellStyle name="Comma 4 3 4 7" xfId="2700" xr:uid="{00000000-0005-0000-0000-0000AE090000}"/>
    <cellStyle name="Comma 4 3 4 8" xfId="2782" xr:uid="{00000000-0005-0000-0000-0000AF090000}"/>
    <cellStyle name="Comma 4 3 4 8 2" xfId="7005" xr:uid="{00000000-0005-0000-0000-0000B0090000}"/>
    <cellStyle name="Comma 4 3 4 8 2 2" xfId="15455" xr:uid="{5B47139E-2D8D-421C-A2AA-ECEE75534D62}"/>
    <cellStyle name="Comma 4 3 4 8 3" xfId="11237" xr:uid="{42C38DBF-EB25-4CED-82D5-8FF157819616}"/>
    <cellStyle name="Comma 4 3 4 9" xfId="4622" xr:uid="{00000000-0005-0000-0000-0000B1090000}"/>
    <cellStyle name="Comma 4 3 4 9 2" xfId="13072" xr:uid="{773AEC08-6B43-4787-932D-CEE4792405BF}"/>
    <cellStyle name="Comma 4 3 5" xfId="152" xr:uid="{00000000-0005-0000-0000-0000B2090000}"/>
    <cellStyle name="Comma 4 3 5 10" xfId="8855" xr:uid="{E1A38592-6F47-4AB9-8CAC-9579882928E6}"/>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07BE81BA-ADD8-45F9-941C-BA6F2D7115D3}"/>
    <cellStyle name="Comma 4 3 5 2 2 3" xfId="11414" xr:uid="{A5B12BC4-70D0-4C41-81A8-42E8F2E42A91}"/>
    <cellStyle name="Comma 4 3 5 2 3" xfId="5037" xr:uid="{00000000-0005-0000-0000-0000B6090000}"/>
    <cellStyle name="Comma 4 3 5 2 3 2" xfId="13487" xr:uid="{21363A69-BDAE-4BD9-94B4-41719CF4B616}"/>
    <cellStyle name="Comma 4 3 5 2 4" xfId="9269" xr:uid="{24E76F6B-D4E6-4B7F-BE01-654A81F59A09}"/>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31FC353E-6E0A-4B5B-BDF8-E525D4CD3059}"/>
    <cellStyle name="Comma 4 3 5 3 2 3" xfId="11827" xr:uid="{BE14DC35-0835-48CA-BE34-595B21567E12}"/>
    <cellStyle name="Comma 4 3 5 3 3" xfId="5450" xr:uid="{00000000-0005-0000-0000-0000BA090000}"/>
    <cellStyle name="Comma 4 3 5 3 3 2" xfId="13900" xr:uid="{A1AAD42E-0FB1-4678-9D00-75C965520327}"/>
    <cellStyle name="Comma 4 3 5 3 4" xfId="9682" xr:uid="{7D9CC0E8-A4F1-4536-8006-13942E4E36B1}"/>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6C41919A-90FE-4AC4-87E7-1E9D616976FF}"/>
    <cellStyle name="Comma 4 3 5 4 2 3" xfId="12240" xr:uid="{52446C13-8D45-4EA8-A080-4CF47ED63DC7}"/>
    <cellStyle name="Comma 4 3 5 4 3" xfId="5863" xr:uid="{00000000-0005-0000-0000-0000BE090000}"/>
    <cellStyle name="Comma 4 3 5 4 3 2" xfId="14313" xr:uid="{A025DBED-C287-4BF0-BA87-883CED0F28D9}"/>
    <cellStyle name="Comma 4 3 5 4 4" xfId="10095" xr:uid="{80DE6F1C-B0A6-46E0-AE4E-3F872B48D61F}"/>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B82C988D-80FF-47B4-A988-2DE00091E6C8}"/>
    <cellStyle name="Comma 4 3 5 5 2 3" xfId="12653" xr:uid="{4ECFBBF1-5833-4329-84BB-18B67FCFE6D4}"/>
    <cellStyle name="Comma 4 3 5 5 3" xfId="6276" xr:uid="{00000000-0005-0000-0000-0000C2090000}"/>
    <cellStyle name="Comma 4 3 5 5 3 2" xfId="14726" xr:uid="{C13C884B-4D5B-4DD3-9C03-119E8A9CF229}"/>
    <cellStyle name="Comma 4 3 5 5 4" xfId="10508" xr:uid="{24F1D0D1-5BBC-4F63-B33F-42FA912D256C}"/>
    <cellStyle name="Comma 4 3 5 6" xfId="2405" xr:uid="{00000000-0005-0000-0000-0000C3090000}"/>
    <cellStyle name="Comma 4 3 5 6 2" xfId="6689" xr:uid="{00000000-0005-0000-0000-0000C4090000}"/>
    <cellStyle name="Comma 4 3 5 6 2 2" xfId="15139" xr:uid="{E8678F0A-8457-4CF8-8E02-F2CF5F66A490}"/>
    <cellStyle name="Comma 4 3 5 6 3" xfId="10921" xr:uid="{E44BA4CF-44D2-4FDF-A2FD-86068603D822}"/>
    <cellStyle name="Comma 4 3 5 7" xfId="2701" xr:uid="{00000000-0005-0000-0000-0000C5090000}"/>
    <cellStyle name="Comma 4 3 5 8" xfId="2783" xr:uid="{00000000-0005-0000-0000-0000C6090000}"/>
    <cellStyle name="Comma 4 3 5 8 2" xfId="7006" xr:uid="{00000000-0005-0000-0000-0000C7090000}"/>
    <cellStyle name="Comma 4 3 5 8 2 2" xfId="15456" xr:uid="{DD59E0EF-14BB-4CD4-9FBA-8B060AE255EB}"/>
    <cellStyle name="Comma 4 3 5 8 3" xfId="11238" xr:uid="{7E92189A-B1D9-4648-BF6F-3299463EF26A}"/>
    <cellStyle name="Comma 4 3 5 9" xfId="4623" xr:uid="{00000000-0005-0000-0000-0000C8090000}"/>
    <cellStyle name="Comma 4 3 5 9 2" xfId="13073" xr:uid="{135D42F8-2845-4BF6-968C-2190F8C845D2}"/>
    <cellStyle name="Comma 4 4" xfId="153" xr:uid="{00000000-0005-0000-0000-0000C9090000}"/>
    <cellStyle name="Comma 4 4 10" xfId="2784" xr:uid="{00000000-0005-0000-0000-0000CA090000}"/>
    <cellStyle name="Comma 4 4 10 2" xfId="7007" xr:uid="{00000000-0005-0000-0000-0000CB090000}"/>
    <cellStyle name="Comma 4 4 10 2 2" xfId="15457" xr:uid="{0E8E1FE5-F86A-4826-8C55-F808E28A3232}"/>
    <cellStyle name="Comma 4 4 10 3" xfId="11239" xr:uid="{A6F6FD25-8824-4377-B6AC-72E70B6A6F06}"/>
    <cellStyle name="Comma 4 4 11" xfId="4624" xr:uid="{00000000-0005-0000-0000-0000CC090000}"/>
    <cellStyle name="Comma 4 4 11 2" xfId="13074" xr:uid="{0252900F-D6C6-4E20-9207-4C7E99B947E1}"/>
    <cellStyle name="Comma 4 4 12" xfId="8856" xr:uid="{DC7CA741-ADA7-4899-B32E-1B2C75C276D2}"/>
    <cellStyle name="Comma 4 4 2" xfId="154" xr:uid="{00000000-0005-0000-0000-0000CD090000}"/>
    <cellStyle name="Comma 4 4 2 10" xfId="4625" xr:uid="{00000000-0005-0000-0000-0000CE090000}"/>
    <cellStyle name="Comma 4 4 2 10 2" xfId="13075" xr:uid="{328DA24F-9562-47C3-B6DE-AA9E43CB4CA1}"/>
    <cellStyle name="Comma 4 4 2 11" xfId="8857" xr:uid="{6335E19D-39A1-481C-A86F-8C5C3C1983F3}"/>
    <cellStyle name="Comma 4 4 2 2" xfId="155" xr:uid="{00000000-0005-0000-0000-0000CF090000}"/>
    <cellStyle name="Comma 4 4 2 2 10" xfId="8858" xr:uid="{AF45107B-BFD7-4C05-BA81-044E4296C0FF}"/>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43F872DC-83CC-45A2-B514-4EEE77138335}"/>
    <cellStyle name="Comma 4 4 2 2 2 2 3" xfId="11417" xr:uid="{C4E02DA2-6BEA-4F5F-9884-AB01FE3BD6E9}"/>
    <cellStyle name="Comma 4 4 2 2 2 3" xfId="5040" xr:uid="{00000000-0005-0000-0000-0000D3090000}"/>
    <cellStyle name="Comma 4 4 2 2 2 3 2" xfId="13490" xr:uid="{D188FF71-4D15-477D-84E0-D501B2476615}"/>
    <cellStyle name="Comma 4 4 2 2 2 4" xfId="9272" xr:uid="{6B940D26-F529-4559-808D-810E5D0BEE5C}"/>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4A095BE2-4DA0-4900-A26B-AE239D2FDA62}"/>
    <cellStyle name="Comma 4 4 2 2 3 2 3" xfId="11830" xr:uid="{BDEE5997-1494-4496-988B-C765B277364F}"/>
    <cellStyle name="Comma 4 4 2 2 3 3" xfId="5453" xr:uid="{00000000-0005-0000-0000-0000D7090000}"/>
    <cellStyle name="Comma 4 4 2 2 3 3 2" xfId="13903" xr:uid="{E1FA28FA-CED3-478B-8816-D2711BEBA4EC}"/>
    <cellStyle name="Comma 4 4 2 2 3 4" xfId="9685" xr:uid="{D9C39D3B-DDC1-4FBA-A69A-6C8E1850385A}"/>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C08E07B0-93DF-4373-A1D5-E1CA456EABBC}"/>
    <cellStyle name="Comma 4 4 2 2 4 2 3" xfId="12243" xr:uid="{BBC48E8F-8EDB-4B26-801D-659FD1770742}"/>
    <cellStyle name="Comma 4 4 2 2 4 3" xfId="5866" xr:uid="{00000000-0005-0000-0000-0000DB090000}"/>
    <cellStyle name="Comma 4 4 2 2 4 3 2" xfId="14316" xr:uid="{46FC5BA3-45BD-4ADC-8DFB-A29653C58F96}"/>
    <cellStyle name="Comma 4 4 2 2 4 4" xfId="10098" xr:uid="{A8999102-94FD-4CF8-A8A9-CC20F48C5DAF}"/>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04BFA361-1569-43DC-BB00-FD253CC82D14}"/>
    <cellStyle name="Comma 4 4 2 2 5 2 3" xfId="12656" xr:uid="{763E4034-6C1F-4A2E-A29E-EA4A6B94ECB3}"/>
    <cellStyle name="Comma 4 4 2 2 5 3" xfId="6279" xr:uid="{00000000-0005-0000-0000-0000DF090000}"/>
    <cellStyle name="Comma 4 4 2 2 5 3 2" xfId="14729" xr:uid="{94ABBD3E-1937-4D74-8C1E-8EE1CBAF324C}"/>
    <cellStyle name="Comma 4 4 2 2 5 4" xfId="10511" xr:uid="{F2475473-E5FB-4499-8354-5A698A1007B7}"/>
    <cellStyle name="Comma 4 4 2 2 6" xfId="2408" xr:uid="{00000000-0005-0000-0000-0000E0090000}"/>
    <cellStyle name="Comma 4 4 2 2 6 2" xfId="6692" xr:uid="{00000000-0005-0000-0000-0000E1090000}"/>
    <cellStyle name="Comma 4 4 2 2 6 2 2" xfId="15142" xr:uid="{9DD286BB-DD92-4AEC-B6C0-4E4F50F33303}"/>
    <cellStyle name="Comma 4 4 2 2 6 3" xfId="10924" xr:uid="{9313E988-C9BE-45FE-8539-507468C34DFC}"/>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FAD868C9-D1EE-4BD8-9381-8629E11D4163}"/>
    <cellStyle name="Comma 4 4 2 2 8 3" xfId="11241" xr:uid="{9A9321D7-8E82-4D01-B824-66B31B4FCD2D}"/>
    <cellStyle name="Comma 4 4 2 2 9" xfId="4626" xr:uid="{00000000-0005-0000-0000-0000E5090000}"/>
    <cellStyle name="Comma 4 4 2 2 9 2" xfId="13076" xr:uid="{25337259-CC56-4F0F-86E4-CCF8199FAAA3}"/>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93183087-256E-48B3-AF75-F038206E4ADC}"/>
    <cellStyle name="Comma 4 4 2 3 2 3" xfId="11416" xr:uid="{D97A17B5-D5C9-4B69-A660-F70EB6C7FABF}"/>
    <cellStyle name="Comma 4 4 2 3 3" xfId="5039" xr:uid="{00000000-0005-0000-0000-0000E9090000}"/>
    <cellStyle name="Comma 4 4 2 3 3 2" xfId="13489" xr:uid="{0E43B0AE-7718-43D3-8CC0-DBBF2A9B87D2}"/>
    <cellStyle name="Comma 4 4 2 3 4" xfId="9271" xr:uid="{DCACD55B-221A-4010-8164-8E5334BE2550}"/>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69F5E786-33B3-4DA4-BB8B-A5802C6041DA}"/>
    <cellStyle name="Comma 4 4 2 4 2 3" xfId="11829" xr:uid="{F31EF820-E6AF-4D61-A6E3-2E02D39E1A33}"/>
    <cellStyle name="Comma 4 4 2 4 3" xfId="5452" xr:uid="{00000000-0005-0000-0000-0000ED090000}"/>
    <cellStyle name="Comma 4 4 2 4 3 2" xfId="13902" xr:uid="{EC2A0C77-DEFF-406C-B6B9-AB95B369D129}"/>
    <cellStyle name="Comma 4 4 2 4 4" xfId="9684" xr:uid="{FED5457C-14F1-440E-9AA9-5D1D09BA60E0}"/>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25284117-6214-4F77-9879-DC7C242D4B9E}"/>
    <cellStyle name="Comma 4 4 2 5 2 3" xfId="12242" xr:uid="{4B2AA5FF-2F5B-4F01-ABA9-98007EDC3F5B}"/>
    <cellStyle name="Comma 4 4 2 5 3" xfId="5865" xr:uid="{00000000-0005-0000-0000-0000F1090000}"/>
    <cellStyle name="Comma 4 4 2 5 3 2" xfId="14315" xr:uid="{2D30F6A1-6D18-41A0-A172-1B48F9635DDB}"/>
    <cellStyle name="Comma 4 4 2 5 4" xfId="10097" xr:uid="{56AC8F14-F5AF-4CF0-AE9B-DD69E5E244F6}"/>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E874F006-A38B-451A-83AB-9476D896F589}"/>
    <cellStyle name="Comma 4 4 2 6 2 3" xfId="12655" xr:uid="{B46869AC-E12F-4D3D-90AC-C12E38D4A1F8}"/>
    <cellStyle name="Comma 4 4 2 6 3" xfId="6278" xr:uid="{00000000-0005-0000-0000-0000F5090000}"/>
    <cellStyle name="Comma 4 4 2 6 3 2" xfId="14728" xr:uid="{DD6509A7-F803-4D9A-A597-FB090B98EC7C}"/>
    <cellStyle name="Comma 4 4 2 6 4" xfId="10510" xr:uid="{CB97A66E-CF40-451C-831F-818AE651FF6E}"/>
    <cellStyle name="Comma 4 4 2 7" xfId="2407" xr:uid="{00000000-0005-0000-0000-0000F6090000}"/>
    <cellStyle name="Comma 4 4 2 7 2" xfId="6691" xr:uid="{00000000-0005-0000-0000-0000F7090000}"/>
    <cellStyle name="Comma 4 4 2 7 2 2" xfId="15141" xr:uid="{E559AE3C-3C31-4EDC-97EA-B678B63FF09A}"/>
    <cellStyle name="Comma 4 4 2 7 3" xfId="10923" xr:uid="{B8A063E9-52CA-4618-98F3-0AAD64EAA2E9}"/>
    <cellStyle name="Comma 4 4 2 8" xfId="2703" xr:uid="{00000000-0005-0000-0000-0000F8090000}"/>
    <cellStyle name="Comma 4 4 2 9" xfId="2785" xr:uid="{00000000-0005-0000-0000-0000F9090000}"/>
    <cellStyle name="Comma 4 4 2 9 2" xfId="7008" xr:uid="{00000000-0005-0000-0000-0000FA090000}"/>
    <cellStyle name="Comma 4 4 2 9 2 2" xfId="15458" xr:uid="{21B9A6D5-E5F6-4F26-9B6A-802237292049}"/>
    <cellStyle name="Comma 4 4 2 9 3" xfId="11240" xr:uid="{7B1ACC0F-125D-4A6E-8544-02C39B206F35}"/>
    <cellStyle name="Comma 4 4 3" xfId="156" xr:uid="{00000000-0005-0000-0000-0000FB090000}"/>
    <cellStyle name="Comma 4 4 3 10" xfId="8859" xr:uid="{1B78FF13-A1B3-45E6-AC5B-535A8594A93A}"/>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4E6249FC-8CEE-48F9-B623-55656FA2789E}"/>
    <cellStyle name="Comma 4 4 3 2 2 3" xfId="11418" xr:uid="{77E85CA9-8FAC-4D53-86C1-A8DE653D2B8E}"/>
    <cellStyle name="Comma 4 4 3 2 3" xfId="5041" xr:uid="{00000000-0005-0000-0000-0000FF090000}"/>
    <cellStyle name="Comma 4 4 3 2 3 2" xfId="13491" xr:uid="{2D068E39-1196-4BDF-BC48-BDB8BF1D264C}"/>
    <cellStyle name="Comma 4 4 3 2 4" xfId="9273" xr:uid="{48EF52B6-6232-4B8A-A033-E474D6A02783}"/>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C046FC29-EA98-49C5-85B3-CF29EF35BF3D}"/>
    <cellStyle name="Comma 4 4 3 3 2 3" xfId="11831" xr:uid="{D20C5C6B-7DBF-4E20-B735-CC1C06ADC00B}"/>
    <cellStyle name="Comma 4 4 3 3 3" xfId="5454" xr:uid="{00000000-0005-0000-0000-0000030A0000}"/>
    <cellStyle name="Comma 4 4 3 3 3 2" xfId="13904" xr:uid="{D5A72ED0-9835-4D55-B55F-2C0D044616F8}"/>
    <cellStyle name="Comma 4 4 3 3 4" xfId="9686" xr:uid="{43667663-6C62-44EF-ADCB-11D98EC7A3D5}"/>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07C64B30-1D93-4E31-B88F-577572F966D3}"/>
    <cellStyle name="Comma 4 4 3 4 2 3" xfId="12244" xr:uid="{78EC46CE-60E0-4B04-A2BF-56F2015AF50C}"/>
    <cellStyle name="Comma 4 4 3 4 3" xfId="5867" xr:uid="{00000000-0005-0000-0000-0000070A0000}"/>
    <cellStyle name="Comma 4 4 3 4 3 2" xfId="14317" xr:uid="{0D73CFD0-E279-4172-B1EB-FBD53A672950}"/>
    <cellStyle name="Comma 4 4 3 4 4" xfId="10099" xr:uid="{3153865B-098D-4CF4-95D7-3F6435B68053}"/>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8C75F67F-A475-4D52-9C10-EC5894A0DDDA}"/>
    <cellStyle name="Comma 4 4 3 5 2 3" xfId="12657" xr:uid="{883F481F-11E5-449A-A06C-DE2934C29BF6}"/>
    <cellStyle name="Comma 4 4 3 5 3" xfId="6280" xr:uid="{00000000-0005-0000-0000-00000B0A0000}"/>
    <cellStyle name="Comma 4 4 3 5 3 2" xfId="14730" xr:uid="{775A00A3-9F37-4642-B29E-76BA5FEFA5CC}"/>
    <cellStyle name="Comma 4 4 3 5 4" xfId="10512" xr:uid="{CA40AD88-531F-47A9-A83B-93501ED2146B}"/>
    <cellStyle name="Comma 4 4 3 6" xfId="2409" xr:uid="{00000000-0005-0000-0000-00000C0A0000}"/>
    <cellStyle name="Comma 4 4 3 6 2" xfId="6693" xr:uid="{00000000-0005-0000-0000-00000D0A0000}"/>
    <cellStyle name="Comma 4 4 3 6 2 2" xfId="15143" xr:uid="{E8484ED2-26DE-4051-B705-E5DDE6DC9610}"/>
    <cellStyle name="Comma 4 4 3 6 3" xfId="10925" xr:uid="{9C70FF3B-9CA5-4571-A1C1-CFDB24B779C1}"/>
    <cellStyle name="Comma 4 4 3 7" xfId="2705" xr:uid="{00000000-0005-0000-0000-00000E0A0000}"/>
    <cellStyle name="Comma 4 4 3 8" xfId="2787" xr:uid="{00000000-0005-0000-0000-00000F0A0000}"/>
    <cellStyle name="Comma 4 4 3 8 2" xfId="7010" xr:uid="{00000000-0005-0000-0000-0000100A0000}"/>
    <cellStyle name="Comma 4 4 3 8 2 2" xfId="15460" xr:uid="{2FBBA0BB-1A9E-42BE-A413-BE03C59D0180}"/>
    <cellStyle name="Comma 4 4 3 8 3" xfId="11242" xr:uid="{7986358B-75D0-439F-B99B-AB7026D41F50}"/>
    <cellStyle name="Comma 4 4 3 9" xfId="4627" xr:uid="{00000000-0005-0000-0000-0000110A0000}"/>
    <cellStyle name="Comma 4 4 3 9 2" xfId="13077" xr:uid="{8DF0C6B5-1184-4A09-8CCD-286CA56A10AD}"/>
    <cellStyle name="Comma 4 4 4" xfId="690" xr:uid="{00000000-0005-0000-0000-0000120A0000}"/>
    <cellStyle name="Comma 4 4 4 2" xfId="2961" xr:uid="{00000000-0005-0000-0000-0000130A0000}"/>
    <cellStyle name="Comma 4 4 4 2 2" xfId="7183" xr:uid="{00000000-0005-0000-0000-0000140A0000}"/>
    <cellStyle name="Comma 4 4 4 2 2 2" xfId="15633" xr:uid="{C4EAA531-1188-46BF-9E62-EB8C00E264EE}"/>
    <cellStyle name="Comma 4 4 4 2 3" xfId="11415" xr:uid="{69090C86-848A-42BD-882F-B611DDBDC7B3}"/>
    <cellStyle name="Comma 4 4 4 3" xfId="5038" xr:uid="{00000000-0005-0000-0000-0000150A0000}"/>
    <cellStyle name="Comma 4 4 4 3 2" xfId="13488" xr:uid="{8FB8E67F-BAD7-47AE-BF1B-B2AA7D83F5AE}"/>
    <cellStyle name="Comma 4 4 4 4" xfId="9270" xr:uid="{8A43395D-FA1D-4E48-BA2F-9487492DEBA6}"/>
    <cellStyle name="Comma 4 4 5" xfId="1143" xr:uid="{00000000-0005-0000-0000-0000160A0000}"/>
    <cellStyle name="Comma 4 4 5 2" xfId="3374" xr:uid="{00000000-0005-0000-0000-0000170A0000}"/>
    <cellStyle name="Comma 4 4 5 2 2" xfId="7596" xr:uid="{00000000-0005-0000-0000-0000180A0000}"/>
    <cellStyle name="Comma 4 4 5 2 2 2" xfId="16046" xr:uid="{7E399D9E-92F0-469B-97C3-43146B3B04E3}"/>
    <cellStyle name="Comma 4 4 5 2 3" xfId="11828" xr:uid="{9C57A726-5630-4EFF-895C-B40C1BE0E2AD}"/>
    <cellStyle name="Comma 4 4 5 3" xfId="5451" xr:uid="{00000000-0005-0000-0000-0000190A0000}"/>
    <cellStyle name="Comma 4 4 5 3 2" xfId="13901" xr:uid="{293C4330-CA39-4378-A396-099DBB796193}"/>
    <cellStyle name="Comma 4 4 5 4" xfId="9683" xr:uid="{8430CBC6-4D38-4EF1-BC1A-D7422D793027}"/>
    <cellStyle name="Comma 4 4 6" xfId="1557" xr:uid="{00000000-0005-0000-0000-00001A0A0000}"/>
    <cellStyle name="Comma 4 4 6 2" xfId="3787" xr:uid="{00000000-0005-0000-0000-00001B0A0000}"/>
    <cellStyle name="Comma 4 4 6 2 2" xfId="8009" xr:uid="{00000000-0005-0000-0000-00001C0A0000}"/>
    <cellStyle name="Comma 4 4 6 2 2 2" xfId="16459" xr:uid="{A03BB3F6-31E3-4339-AA3E-FEE4F5B74D47}"/>
    <cellStyle name="Comma 4 4 6 2 3" xfId="12241" xr:uid="{548FF68D-E2EF-4643-ACBD-A6D1E26F7709}"/>
    <cellStyle name="Comma 4 4 6 3" xfId="5864" xr:uid="{00000000-0005-0000-0000-00001D0A0000}"/>
    <cellStyle name="Comma 4 4 6 3 2" xfId="14314" xr:uid="{3B9B1F08-40E3-45B3-865F-72B3D8E4A15D}"/>
    <cellStyle name="Comma 4 4 6 4" xfId="10096" xr:uid="{77487A17-BE83-4FB5-9E11-D2AB1A0C53C9}"/>
    <cellStyle name="Comma 4 4 7" xfId="1971" xr:uid="{00000000-0005-0000-0000-00001E0A0000}"/>
    <cellStyle name="Comma 4 4 7 2" xfId="4200" xr:uid="{00000000-0005-0000-0000-00001F0A0000}"/>
    <cellStyle name="Comma 4 4 7 2 2" xfId="8422" xr:uid="{00000000-0005-0000-0000-0000200A0000}"/>
    <cellStyle name="Comma 4 4 7 2 2 2" xfId="16872" xr:uid="{AF9151F9-050E-4140-9BDF-3698FE2599A9}"/>
    <cellStyle name="Comma 4 4 7 2 3" xfId="12654" xr:uid="{1CCE6E3B-FB45-439D-977C-6A2FC4F682BF}"/>
    <cellStyle name="Comma 4 4 7 3" xfId="6277" xr:uid="{00000000-0005-0000-0000-0000210A0000}"/>
    <cellStyle name="Comma 4 4 7 3 2" xfId="14727" xr:uid="{A6EED2CB-5BBB-4316-AC02-524CE6233544}"/>
    <cellStyle name="Comma 4 4 7 4" xfId="10509" xr:uid="{402E6F57-F4EE-4412-A4C1-D2DEAEEF7E25}"/>
    <cellStyle name="Comma 4 4 8" xfId="2406" xr:uid="{00000000-0005-0000-0000-0000220A0000}"/>
    <cellStyle name="Comma 4 4 8 2" xfId="6690" xr:uid="{00000000-0005-0000-0000-0000230A0000}"/>
    <cellStyle name="Comma 4 4 8 2 2" xfId="15140" xr:uid="{E4BD070D-68ED-47B0-BD07-4EC0704A7746}"/>
    <cellStyle name="Comma 4 4 8 3" xfId="10922" xr:uid="{5811D0EE-D940-484B-9BC3-35E926A6ADF8}"/>
    <cellStyle name="Comma 4 4 9" xfId="2702" xr:uid="{00000000-0005-0000-0000-0000240A0000}"/>
    <cellStyle name="Comma 4 5" xfId="157" xr:uid="{00000000-0005-0000-0000-0000250A0000}"/>
    <cellStyle name="Comma 4 5 10" xfId="4628" xr:uid="{00000000-0005-0000-0000-0000260A0000}"/>
    <cellStyle name="Comma 4 5 10 2" xfId="13078" xr:uid="{D04029C9-80E8-4506-8E5D-BCA3EA04B3F4}"/>
    <cellStyle name="Comma 4 5 11" xfId="8860" xr:uid="{31DD6112-2F51-4991-B343-D3CD22FD5304}"/>
    <cellStyle name="Comma 4 5 2" xfId="158" xr:uid="{00000000-0005-0000-0000-0000270A0000}"/>
    <cellStyle name="Comma 4 5 2 10" xfId="8861" xr:uid="{8204EFB8-F839-459E-A1FE-954699B87702}"/>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B58D788D-3774-4F3B-8EF5-D05EDCB479AA}"/>
    <cellStyle name="Comma 4 5 2 2 2 3" xfId="11420" xr:uid="{94FBE023-616B-4417-ADD0-E4454A385238}"/>
    <cellStyle name="Comma 4 5 2 2 3" xfId="5043" xr:uid="{00000000-0005-0000-0000-00002B0A0000}"/>
    <cellStyle name="Comma 4 5 2 2 3 2" xfId="13493" xr:uid="{64D87D29-FC00-43A1-B18B-BA6355D26B65}"/>
    <cellStyle name="Comma 4 5 2 2 4" xfId="9275" xr:uid="{FC27F47C-07CD-4B71-8F7F-BD813899EB88}"/>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294DAC45-66E3-4A3A-BC25-602E5DC49F49}"/>
    <cellStyle name="Comma 4 5 2 3 2 3" xfId="11833" xr:uid="{0DB4DAAB-DF0F-41A6-B47D-5C2161D052F4}"/>
    <cellStyle name="Comma 4 5 2 3 3" xfId="5456" xr:uid="{00000000-0005-0000-0000-00002F0A0000}"/>
    <cellStyle name="Comma 4 5 2 3 3 2" xfId="13906" xr:uid="{E39A5252-E503-4934-A5A7-302DC4061B56}"/>
    <cellStyle name="Comma 4 5 2 3 4" xfId="9688" xr:uid="{749613EF-A823-4D1F-9D81-2226639F21A7}"/>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C014E226-B2A1-4315-A0C5-6A76AE58B886}"/>
    <cellStyle name="Comma 4 5 2 4 2 3" xfId="12246" xr:uid="{0DF96DDA-B036-4294-9CCE-5C8E6A3E27E7}"/>
    <cellStyle name="Comma 4 5 2 4 3" xfId="5869" xr:uid="{00000000-0005-0000-0000-0000330A0000}"/>
    <cellStyle name="Comma 4 5 2 4 3 2" xfId="14319" xr:uid="{9E32A03E-ECBB-4E69-9B80-4B3F57C3433D}"/>
    <cellStyle name="Comma 4 5 2 4 4" xfId="10101" xr:uid="{1749526B-7023-4E6A-A1D0-E10E4675C0A0}"/>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234DE536-1243-48F5-A9DF-CD13DE0EF637}"/>
    <cellStyle name="Comma 4 5 2 5 2 3" xfId="12659" xr:uid="{5CABCFAE-78A7-4535-AF50-E5FAC5AC8D83}"/>
    <cellStyle name="Comma 4 5 2 5 3" xfId="6282" xr:uid="{00000000-0005-0000-0000-0000370A0000}"/>
    <cellStyle name="Comma 4 5 2 5 3 2" xfId="14732" xr:uid="{7C71355E-7B39-448B-BECC-B9A25DCE9983}"/>
    <cellStyle name="Comma 4 5 2 5 4" xfId="10514" xr:uid="{59D90B19-1CE0-46CF-A468-85D6B84814AD}"/>
    <cellStyle name="Comma 4 5 2 6" xfId="2411" xr:uid="{00000000-0005-0000-0000-0000380A0000}"/>
    <cellStyle name="Comma 4 5 2 6 2" xfId="6695" xr:uid="{00000000-0005-0000-0000-0000390A0000}"/>
    <cellStyle name="Comma 4 5 2 6 2 2" xfId="15145" xr:uid="{3B0FE88D-09F2-452A-B4EE-D9F558072F74}"/>
    <cellStyle name="Comma 4 5 2 6 3" xfId="10927" xr:uid="{AF8625E0-A6F6-4AB6-A9BA-A2EB018B231B}"/>
    <cellStyle name="Comma 4 5 2 7" xfId="2707" xr:uid="{00000000-0005-0000-0000-00003A0A0000}"/>
    <cellStyle name="Comma 4 5 2 8" xfId="2789" xr:uid="{00000000-0005-0000-0000-00003B0A0000}"/>
    <cellStyle name="Comma 4 5 2 8 2" xfId="7012" xr:uid="{00000000-0005-0000-0000-00003C0A0000}"/>
    <cellStyle name="Comma 4 5 2 8 2 2" xfId="15462" xr:uid="{A19EAD48-3BD8-49F2-8AF2-034B2E190564}"/>
    <cellStyle name="Comma 4 5 2 8 3" xfId="11244" xr:uid="{9DF5807D-AA2A-454B-8B12-D4FB786EB5FE}"/>
    <cellStyle name="Comma 4 5 2 9" xfId="4629" xr:uid="{00000000-0005-0000-0000-00003D0A0000}"/>
    <cellStyle name="Comma 4 5 2 9 2" xfId="13079" xr:uid="{E68523D7-8C94-498A-AD52-EDFB32C42734}"/>
    <cellStyle name="Comma 4 5 3" xfId="694" xr:uid="{00000000-0005-0000-0000-00003E0A0000}"/>
    <cellStyle name="Comma 4 5 3 2" xfId="2965" xr:uid="{00000000-0005-0000-0000-00003F0A0000}"/>
    <cellStyle name="Comma 4 5 3 2 2" xfId="7187" xr:uid="{00000000-0005-0000-0000-0000400A0000}"/>
    <cellStyle name="Comma 4 5 3 2 2 2" xfId="15637" xr:uid="{F1B51168-C7F6-4A54-AB5C-1D2CBAB6C14C}"/>
    <cellStyle name="Comma 4 5 3 2 3" xfId="11419" xr:uid="{45DB1171-AFC5-434C-A19D-EF69D4ECC4AA}"/>
    <cellStyle name="Comma 4 5 3 3" xfId="5042" xr:uid="{00000000-0005-0000-0000-0000410A0000}"/>
    <cellStyle name="Comma 4 5 3 3 2" xfId="13492" xr:uid="{48A02A9F-5A41-40BE-9106-3BADE7273F50}"/>
    <cellStyle name="Comma 4 5 3 4" xfId="9274" xr:uid="{7A6D77ED-EEC2-4B36-ACDF-B1600D3EA612}"/>
    <cellStyle name="Comma 4 5 4" xfId="1147" xr:uid="{00000000-0005-0000-0000-0000420A0000}"/>
    <cellStyle name="Comma 4 5 4 2" xfId="3378" xr:uid="{00000000-0005-0000-0000-0000430A0000}"/>
    <cellStyle name="Comma 4 5 4 2 2" xfId="7600" xr:uid="{00000000-0005-0000-0000-0000440A0000}"/>
    <cellStyle name="Comma 4 5 4 2 2 2" xfId="16050" xr:uid="{18E6760F-D658-45DC-9447-E157F6BC75D4}"/>
    <cellStyle name="Comma 4 5 4 2 3" xfId="11832" xr:uid="{A3D81E25-D556-43AF-B8FA-5E30A937E33F}"/>
    <cellStyle name="Comma 4 5 4 3" xfId="5455" xr:uid="{00000000-0005-0000-0000-0000450A0000}"/>
    <cellStyle name="Comma 4 5 4 3 2" xfId="13905" xr:uid="{30BD6B69-B8CA-4ABE-9391-A303DDA4F15E}"/>
    <cellStyle name="Comma 4 5 4 4" xfId="9687" xr:uid="{6593BFD2-95B7-4F2D-AE05-61E7A2D158EB}"/>
    <cellStyle name="Comma 4 5 5" xfId="1561" xr:uid="{00000000-0005-0000-0000-0000460A0000}"/>
    <cellStyle name="Comma 4 5 5 2" xfId="3791" xr:uid="{00000000-0005-0000-0000-0000470A0000}"/>
    <cellStyle name="Comma 4 5 5 2 2" xfId="8013" xr:uid="{00000000-0005-0000-0000-0000480A0000}"/>
    <cellStyle name="Comma 4 5 5 2 2 2" xfId="16463" xr:uid="{DED74A37-53CB-4DFC-904B-D382E7D1E19F}"/>
    <cellStyle name="Comma 4 5 5 2 3" xfId="12245" xr:uid="{B012CFC6-5D20-4441-A58E-249C1BA9EDEB}"/>
    <cellStyle name="Comma 4 5 5 3" xfId="5868" xr:uid="{00000000-0005-0000-0000-0000490A0000}"/>
    <cellStyle name="Comma 4 5 5 3 2" xfId="14318" xr:uid="{5BC3BD6A-6E18-4ADB-B1FB-C60D43CBFDF8}"/>
    <cellStyle name="Comma 4 5 5 4" xfId="10100" xr:uid="{DAB8EE27-13B1-432E-9D17-9B4EEB6C7D38}"/>
    <cellStyle name="Comma 4 5 6" xfId="1975" xr:uid="{00000000-0005-0000-0000-00004A0A0000}"/>
    <cellStyle name="Comma 4 5 6 2" xfId="4204" xr:uid="{00000000-0005-0000-0000-00004B0A0000}"/>
    <cellStyle name="Comma 4 5 6 2 2" xfId="8426" xr:uid="{00000000-0005-0000-0000-00004C0A0000}"/>
    <cellStyle name="Comma 4 5 6 2 2 2" xfId="16876" xr:uid="{ED03777B-036B-4319-9F71-660DFFA51F55}"/>
    <cellStyle name="Comma 4 5 6 2 3" xfId="12658" xr:uid="{37140057-B9A9-4F10-A11A-07E5E1A6315A}"/>
    <cellStyle name="Comma 4 5 6 3" xfId="6281" xr:uid="{00000000-0005-0000-0000-00004D0A0000}"/>
    <cellStyle name="Comma 4 5 6 3 2" xfId="14731" xr:uid="{6D9112ED-178D-449E-90CF-D3AB3FCA4129}"/>
    <cellStyle name="Comma 4 5 6 4" xfId="10513" xr:uid="{3F2CD295-307B-45A6-8112-8242A30DD5B4}"/>
    <cellStyle name="Comma 4 5 7" xfId="2410" xr:uid="{00000000-0005-0000-0000-00004E0A0000}"/>
    <cellStyle name="Comma 4 5 7 2" xfId="6694" xr:uid="{00000000-0005-0000-0000-00004F0A0000}"/>
    <cellStyle name="Comma 4 5 7 2 2" xfId="15144" xr:uid="{94D4645F-5E92-4987-90A9-8E2C98BBB39C}"/>
    <cellStyle name="Comma 4 5 7 3" xfId="10926" xr:uid="{63DE42A1-0E51-496B-BE2E-3CA8F214B61B}"/>
    <cellStyle name="Comma 4 5 8" xfId="2706" xr:uid="{00000000-0005-0000-0000-0000500A0000}"/>
    <cellStyle name="Comma 4 5 9" xfId="2788" xr:uid="{00000000-0005-0000-0000-0000510A0000}"/>
    <cellStyle name="Comma 4 5 9 2" xfId="7011" xr:uid="{00000000-0005-0000-0000-0000520A0000}"/>
    <cellStyle name="Comma 4 5 9 2 2" xfId="15461" xr:uid="{3F36970F-E490-4895-B3FF-66EA3479A41D}"/>
    <cellStyle name="Comma 4 5 9 3" xfId="11243" xr:uid="{BF7200B2-B4EF-4943-AE21-F96C95D0F6E4}"/>
    <cellStyle name="Comma 4 6" xfId="159" xr:uid="{00000000-0005-0000-0000-0000530A0000}"/>
    <cellStyle name="Comma 4 6 10" xfId="8862" xr:uid="{151F46BD-0221-4C85-9D9F-C82FCE36F2A2}"/>
    <cellStyle name="Comma 4 6 2" xfId="696" xr:uid="{00000000-0005-0000-0000-0000540A0000}"/>
    <cellStyle name="Comma 4 6 2 2" xfId="2967" xr:uid="{00000000-0005-0000-0000-0000550A0000}"/>
    <cellStyle name="Comma 4 6 2 2 2" xfId="7189" xr:uid="{00000000-0005-0000-0000-0000560A0000}"/>
    <cellStyle name="Comma 4 6 2 2 2 2" xfId="15639" xr:uid="{397B9B45-124B-4356-A1D6-EC240884CCE5}"/>
    <cellStyle name="Comma 4 6 2 2 3" xfId="11421" xr:uid="{471A8F3C-79E0-4FD6-8649-DA075F59B811}"/>
    <cellStyle name="Comma 4 6 2 3" xfId="5044" xr:uid="{00000000-0005-0000-0000-0000570A0000}"/>
    <cellStyle name="Comma 4 6 2 3 2" xfId="13494" xr:uid="{3060832D-E84C-40FF-BB6E-B55B6905F68F}"/>
    <cellStyle name="Comma 4 6 2 4" xfId="9276" xr:uid="{2367EBAB-4B97-4CEA-8C95-A68F7BE1A2A0}"/>
    <cellStyle name="Comma 4 6 3" xfId="1149" xr:uid="{00000000-0005-0000-0000-0000580A0000}"/>
    <cellStyle name="Comma 4 6 3 2" xfId="3380" xr:uid="{00000000-0005-0000-0000-0000590A0000}"/>
    <cellStyle name="Comma 4 6 3 2 2" xfId="7602" xr:uid="{00000000-0005-0000-0000-00005A0A0000}"/>
    <cellStyle name="Comma 4 6 3 2 2 2" xfId="16052" xr:uid="{0BEEDAD6-0D6E-476B-93C4-B44BC4D9126C}"/>
    <cellStyle name="Comma 4 6 3 2 3" xfId="11834" xr:uid="{19CB9581-954A-4567-A105-E462B1D0C959}"/>
    <cellStyle name="Comma 4 6 3 3" xfId="5457" xr:uid="{00000000-0005-0000-0000-00005B0A0000}"/>
    <cellStyle name="Comma 4 6 3 3 2" xfId="13907" xr:uid="{1EE5B5AE-9AB1-462B-A799-984F6AA2611A}"/>
    <cellStyle name="Comma 4 6 3 4" xfId="9689" xr:uid="{E8F7A4F1-B585-4580-9F97-BF28A411606B}"/>
    <cellStyle name="Comma 4 6 4" xfId="1563" xr:uid="{00000000-0005-0000-0000-00005C0A0000}"/>
    <cellStyle name="Comma 4 6 4 2" xfId="3793" xr:uid="{00000000-0005-0000-0000-00005D0A0000}"/>
    <cellStyle name="Comma 4 6 4 2 2" xfId="8015" xr:uid="{00000000-0005-0000-0000-00005E0A0000}"/>
    <cellStyle name="Comma 4 6 4 2 2 2" xfId="16465" xr:uid="{B217FB1A-C8DF-482B-8CE1-1ECB8A4BA238}"/>
    <cellStyle name="Comma 4 6 4 2 3" xfId="12247" xr:uid="{425DF99F-4249-4434-9FB1-80DAA802998A}"/>
    <cellStyle name="Comma 4 6 4 3" xfId="5870" xr:uid="{00000000-0005-0000-0000-00005F0A0000}"/>
    <cellStyle name="Comma 4 6 4 3 2" xfId="14320" xr:uid="{FED253F8-586E-4748-8E43-4311339DB003}"/>
    <cellStyle name="Comma 4 6 4 4" xfId="10102" xr:uid="{2AD86EF5-7244-4A81-92FF-FCB71DDBD4A1}"/>
    <cellStyle name="Comma 4 6 5" xfId="1977" xr:uid="{00000000-0005-0000-0000-0000600A0000}"/>
    <cellStyle name="Comma 4 6 5 2" xfId="4206" xr:uid="{00000000-0005-0000-0000-0000610A0000}"/>
    <cellStyle name="Comma 4 6 5 2 2" xfId="8428" xr:uid="{00000000-0005-0000-0000-0000620A0000}"/>
    <cellStyle name="Comma 4 6 5 2 2 2" xfId="16878" xr:uid="{923E5B96-D6FF-449F-912B-C593A505E95E}"/>
    <cellStyle name="Comma 4 6 5 2 3" xfId="12660" xr:uid="{6A13FF9A-6A35-4B30-A3A2-61227B8BC85D}"/>
    <cellStyle name="Comma 4 6 5 3" xfId="6283" xr:uid="{00000000-0005-0000-0000-0000630A0000}"/>
    <cellStyle name="Comma 4 6 5 3 2" xfId="14733" xr:uid="{8140674A-58EA-4459-A813-5563F78AE3D9}"/>
    <cellStyle name="Comma 4 6 5 4" xfId="10515" xr:uid="{1D4CE067-44AA-4F96-B6C2-D67F04724280}"/>
    <cellStyle name="Comma 4 6 6" xfId="2412" xr:uid="{00000000-0005-0000-0000-0000640A0000}"/>
    <cellStyle name="Comma 4 6 6 2" xfId="6696" xr:uid="{00000000-0005-0000-0000-0000650A0000}"/>
    <cellStyle name="Comma 4 6 6 2 2" xfId="15146" xr:uid="{5E8FC085-8F61-450A-B40C-CA3901650C85}"/>
    <cellStyle name="Comma 4 6 6 3" xfId="10928" xr:uid="{DE13EB11-91C6-442C-8493-98A9409B8360}"/>
    <cellStyle name="Comma 4 6 7" xfId="2708" xr:uid="{00000000-0005-0000-0000-0000660A0000}"/>
    <cellStyle name="Comma 4 6 8" xfId="2790" xr:uid="{00000000-0005-0000-0000-0000670A0000}"/>
    <cellStyle name="Comma 4 6 8 2" xfId="7013" xr:uid="{00000000-0005-0000-0000-0000680A0000}"/>
    <cellStyle name="Comma 4 6 8 2 2" xfId="15463" xr:uid="{C92DC7F4-BB84-46D9-9463-330513DD578F}"/>
    <cellStyle name="Comma 4 6 8 3" xfId="11245" xr:uid="{9598B163-2877-42C0-879D-98E7EE2C149D}"/>
    <cellStyle name="Comma 4 6 9" xfId="4630" xr:uid="{00000000-0005-0000-0000-0000690A0000}"/>
    <cellStyle name="Comma 4 6 9 2" xfId="13080" xr:uid="{741FDB36-5E83-4131-8F96-C93D52DC710A}"/>
    <cellStyle name="Comma 4 7" xfId="160" xr:uid="{00000000-0005-0000-0000-00006A0A0000}"/>
    <cellStyle name="Comma 4 7 10" xfId="8863" xr:uid="{6BB38CA5-2279-4843-8C0B-086DAAEFE78A}"/>
    <cellStyle name="Comma 4 7 2" xfId="697" xr:uid="{00000000-0005-0000-0000-00006B0A0000}"/>
    <cellStyle name="Comma 4 7 2 2" xfId="2968" xr:uid="{00000000-0005-0000-0000-00006C0A0000}"/>
    <cellStyle name="Comma 4 7 2 2 2" xfId="7190" xr:uid="{00000000-0005-0000-0000-00006D0A0000}"/>
    <cellStyle name="Comma 4 7 2 2 2 2" xfId="15640" xr:uid="{E3F65CDD-8770-4CE9-B5F7-E23AAE82E118}"/>
    <cellStyle name="Comma 4 7 2 2 3" xfId="11422" xr:uid="{B361D83B-7763-4538-9380-4758AE96A9A6}"/>
    <cellStyle name="Comma 4 7 2 3" xfId="5045" xr:uid="{00000000-0005-0000-0000-00006E0A0000}"/>
    <cellStyle name="Comma 4 7 2 3 2" xfId="13495" xr:uid="{17138F1F-A125-458E-ACC1-48C68CB61B48}"/>
    <cellStyle name="Comma 4 7 2 4" xfId="9277" xr:uid="{F789D0DF-D12F-41F2-866E-57401880CBEE}"/>
    <cellStyle name="Comma 4 7 3" xfId="1150" xr:uid="{00000000-0005-0000-0000-00006F0A0000}"/>
    <cellStyle name="Comma 4 7 3 2" xfId="3381" xr:uid="{00000000-0005-0000-0000-0000700A0000}"/>
    <cellStyle name="Comma 4 7 3 2 2" xfId="7603" xr:uid="{00000000-0005-0000-0000-0000710A0000}"/>
    <cellStyle name="Comma 4 7 3 2 2 2" xfId="16053" xr:uid="{4421C2B0-7490-4F4B-AFC1-0142FAC708C8}"/>
    <cellStyle name="Comma 4 7 3 2 3" xfId="11835" xr:uid="{A597ADEA-198A-40E2-A4F2-D5718702A90D}"/>
    <cellStyle name="Comma 4 7 3 3" xfId="5458" xr:uid="{00000000-0005-0000-0000-0000720A0000}"/>
    <cellStyle name="Comma 4 7 3 3 2" xfId="13908" xr:uid="{E1E45C79-CE47-4B74-A441-BA3A1B163A31}"/>
    <cellStyle name="Comma 4 7 3 4" xfId="9690" xr:uid="{F22AC1C5-ABB2-4991-B02E-1A5A91C0ED58}"/>
    <cellStyle name="Comma 4 7 4" xfId="1564" xr:uid="{00000000-0005-0000-0000-0000730A0000}"/>
    <cellStyle name="Comma 4 7 4 2" xfId="3794" xr:uid="{00000000-0005-0000-0000-0000740A0000}"/>
    <cellStyle name="Comma 4 7 4 2 2" xfId="8016" xr:uid="{00000000-0005-0000-0000-0000750A0000}"/>
    <cellStyle name="Comma 4 7 4 2 2 2" xfId="16466" xr:uid="{D72CC7BD-3502-41BD-BDCD-D756D6752A6B}"/>
    <cellStyle name="Comma 4 7 4 2 3" xfId="12248" xr:uid="{F12CBEC1-23AD-42C5-AED9-6D6A76E96BFC}"/>
    <cellStyle name="Comma 4 7 4 3" xfId="5871" xr:uid="{00000000-0005-0000-0000-0000760A0000}"/>
    <cellStyle name="Comma 4 7 4 3 2" xfId="14321" xr:uid="{0E13350B-5A16-472B-BFAB-226134FC2580}"/>
    <cellStyle name="Comma 4 7 4 4" xfId="10103" xr:uid="{2DD706AF-2051-4C26-9150-A952D141B1A5}"/>
    <cellStyle name="Comma 4 7 5" xfId="1978" xr:uid="{00000000-0005-0000-0000-0000770A0000}"/>
    <cellStyle name="Comma 4 7 5 2" xfId="4207" xr:uid="{00000000-0005-0000-0000-0000780A0000}"/>
    <cellStyle name="Comma 4 7 5 2 2" xfId="8429" xr:uid="{00000000-0005-0000-0000-0000790A0000}"/>
    <cellStyle name="Comma 4 7 5 2 2 2" xfId="16879" xr:uid="{DC137048-8A9A-4AAA-B4B2-14153EC87614}"/>
    <cellStyle name="Comma 4 7 5 2 3" xfId="12661" xr:uid="{2D05BF00-8370-47E0-92E1-C5C96ACF895B}"/>
    <cellStyle name="Comma 4 7 5 3" xfId="6284" xr:uid="{00000000-0005-0000-0000-00007A0A0000}"/>
    <cellStyle name="Comma 4 7 5 3 2" xfId="14734" xr:uid="{AF6CD8D3-2599-45F5-9C3E-3717D6CDADF5}"/>
    <cellStyle name="Comma 4 7 5 4" xfId="10516" xr:uid="{787FA807-4DB5-4EFC-82CE-0B3DA7F920E9}"/>
    <cellStyle name="Comma 4 7 6" xfId="2413" xr:uid="{00000000-0005-0000-0000-00007B0A0000}"/>
    <cellStyle name="Comma 4 7 6 2" xfId="6697" xr:uid="{00000000-0005-0000-0000-00007C0A0000}"/>
    <cellStyle name="Comma 4 7 6 2 2" xfId="15147" xr:uid="{57B17DF9-16B5-467F-AD03-D854B958FE12}"/>
    <cellStyle name="Comma 4 7 6 3" xfId="10929" xr:uid="{0CC53687-B747-48FC-8A01-9244859E55A6}"/>
    <cellStyle name="Comma 4 7 7" xfId="2709" xr:uid="{00000000-0005-0000-0000-00007D0A0000}"/>
    <cellStyle name="Comma 4 7 8" xfId="2791" xr:uid="{00000000-0005-0000-0000-00007E0A0000}"/>
    <cellStyle name="Comma 4 7 8 2" xfId="7014" xr:uid="{00000000-0005-0000-0000-00007F0A0000}"/>
    <cellStyle name="Comma 4 7 8 2 2" xfId="15464" xr:uid="{41D816C2-0CB7-4B5C-A9A8-12A92CD21816}"/>
    <cellStyle name="Comma 4 7 8 3" xfId="11246" xr:uid="{C3141348-08CB-42C0-8340-9B26116899E1}"/>
    <cellStyle name="Comma 4 7 9" xfId="4631" xr:uid="{00000000-0005-0000-0000-0000800A0000}"/>
    <cellStyle name="Comma 4 7 9 2" xfId="13081" xr:uid="{00641DDF-F9FE-4AE7-B3D2-5D480871BBB2}"/>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25408397-F0C0-4E5B-8BDD-DF4F74BDA99C}"/>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AED493D6-DFEF-48C7-9B0D-D2E8C5349D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8EAF9FFE-F6AC-49E5-A79B-576D70FBB1DB}"/>
    <cellStyle name="Currency 14 3 2 2 2 3" xfId="17179" xr:uid="{873F277C-2CBF-4864-8920-4FA2BC35FDE7}"/>
    <cellStyle name="Currency 14 3 2 2 3" xfId="17175" xr:uid="{9ACB423D-175B-4EEA-BAFC-1546A5589288}"/>
    <cellStyle name="Currency 14 3 2 3" xfId="17172" xr:uid="{3BEC3E08-C4AD-486D-8210-5EEE7FBED81D}"/>
    <cellStyle name="Currency 14 3 3" xfId="17169" xr:uid="{3291AA5B-7E35-4046-A5C8-C71D3F2E909A}"/>
    <cellStyle name="Currency 14 4" xfId="12952" xr:uid="{A84E6D95-6696-4C3D-A0A3-9EDBDFA1048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6FB0D0ED-D55C-4B06-B6A5-7A490C7E9E72}"/>
    <cellStyle name="Currency 3 2 2 10 3" xfId="11247" xr:uid="{E76ABA12-8599-47D9-9D03-0EA3A7E4DE56}"/>
    <cellStyle name="Currency 3 2 2 11" xfId="4632" xr:uid="{00000000-0005-0000-0000-0000A50A0000}"/>
    <cellStyle name="Currency 3 2 2 11 2" xfId="13082" xr:uid="{174D123E-B5E3-49CE-B770-81B3915543A6}"/>
    <cellStyle name="Currency 3 2 2 12" xfId="8864" xr:uid="{0350E7F9-E7AA-491A-923B-810DBD666054}"/>
    <cellStyle name="Currency 3 2 2 2" xfId="179" xr:uid="{00000000-0005-0000-0000-0000A60A0000}"/>
    <cellStyle name="Currency 3 2 2 2 10" xfId="4633" xr:uid="{00000000-0005-0000-0000-0000A70A0000}"/>
    <cellStyle name="Currency 3 2 2 2 10 2" xfId="13083" xr:uid="{AE222F8C-9101-4BFB-99F2-3BC23CF671A6}"/>
    <cellStyle name="Currency 3 2 2 2 11" xfId="8865" xr:uid="{741142CA-A4F5-4834-B670-A7C16CD8B6B5}"/>
    <cellStyle name="Currency 3 2 2 2 2" xfId="180" xr:uid="{00000000-0005-0000-0000-0000A80A0000}"/>
    <cellStyle name="Currency 3 2 2 2 2 10" xfId="8866" xr:uid="{88AE207D-CC3D-4BA9-A098-2A3325C54631}"/>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439F58A7-A34E-49D1-AA01-85A8DCEF9157}"/>
    <cellStyle name="Currency 3 2 2 2 2 2 2 3" xfId="11425" xr:uid="{D6C89179-081C-4267-B610-8815B9519D19}"/>
    <cellStyle name="Currency 3 2 2 2 2 2 3" xfId="5048" xr:uid="{00000000-0005-0000-0000-0000AC0A0000}"/>
    <cellStyle name="Currency 3 2 2 2 2 2 3 2" xfId="13498" xr:uid="{DBD2DBFF-3120-44BD-8799-615A5185C815}"/>
    <cellStyle name="Currency 3 2 2 2 2 2 4" xfId="9280" xr:uid="{195B9743-69EE-40D6-BBAB-F66B0BB3BFBA}"/>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06E79FCB-54BE-46EB-B5AD-441AE1B1FA6F}"/>
    <cellStyle name="Currency 3 2 2 2 2 3 2 3" xfId="11838" xr:uid="{3705D314-455F-452C-B945-1E6959E4A3E9}"/>
    <cellStyle name="Currency 3 2 2 2 2 3 3" xfId="5461" xr:uid="{00000000-0005-0000-0000-0000B00A0000}"/>
    <cellStyle name="Currency 3 2 2 2 2 3 3 2" xfId="13911" xr:uid="{15240396-7D56-4FC0-A94C-2EA3272FBBDF}"/>
    <cellStyle name="Currency 3 2 2 2 2 3 4" xfId="9693" xr:uid="{DF81E9EB-8888-4CB1-8BB8-B389D3F5B4B5}"/>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17B1F35F-D918-404A-AB57-51F3C1DCF6AC}"/>
    <cellStyle name="Currency 3 2 2 2 2 4 2 3" xfId="12251" xr:uid="{CDB5BBA7-57AC-4D22-9637-F6574AA7B91E}"/>
    <cellStyle name="Currency 3 2 2 2 2 4 3" xfId="5874" xr:uid="{00000000-0005-0000-0000-0000B40A0000}"/>
    <cellStyle name="Currency 3 2 2 2 2 4 3 2" xfId="14324" xr:uid="{07C525C5-6204-4722-9D07-BE65AD2E2E8A}"/>
    <cellStyle name="Currency 3 2 2 2 2 4 4" xfId="10106" xr:uid="{4BCCB64A-3B1A-4555-9AD6-3C829C50FF75}"/>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8C904B1A-1559-438C-9C06-F9EE5DA5A263}"/>
    <cellStyle name="Currency 3 2 2 2 2 5 2 3" xfId="12664" xr:uid="{D1CDEA31-5E74-471F-9C48-0C8B14D1B73C}"/>
    <cellStyle name="Currency 3 2 2 2 2 5 3" xfId="6287" xr:uid="{00000000-0005-0000-0000-0000B80A0000}"/>
    <cellStyle name="Currency 3 2 2 2 2 5 3 2" xfId="14737" xr:uid="{1EEA7C4E-6275-4C89-9429-73A3B81F9B96}"/>
    <cellStyle name="Currency 3 2 2 2 2 5 4" xfId="10519" xr:uid="{D6D88902-64EF-4207-BBB5-288DB9101F76}"/>
    <cellStyle name="Currency 3 2 2 2 2 6" xfId="2416" xr:uid="{00000000-0005-0000-0000-0000B90A0000}"/>
    <cellStyle name="Currency 3 2 2 2 2 6 2" xfId="6700" xr:uid="{00000000-0005-0000-0000-0000BA0A0000}"/>
    <cellStyle name="Currency 3 2 2 2 2 6 2 2" xfId="15150" xr:uid="{E69283BA-1DD9-46C0-8DAF-EBC9E44CB830}"/>
    <cellStyle name="Currency 3 2 2 2 2 6 3" xfId="10932" xr:uid="{DADF158A-2A68-47CF-89EE-078358BC5339}"/>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E22BDBFA-615C-494A-A2B1-7D9924902F14}"/>
    <cellStyle name="Currency 3 2 2 2 2 8 3" xfId="11249" xr:uid="{CDA04D19-4394-49EB-B9AC-33ABEA5E39A0}"/>
    <cellStyle name="Currency 3 2 2 2 2 9" xfId="4634" xr:uid="{00000000-0005-0000-0000-0000BE0A0000}"/>
    <cellStyle name="Currency 3 2 2 2 2 9 2" xfId="13084" xr:uid="{9D1A9464-E26D-447F-8A9F-E267B2364C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65540A58-7843-4EF0-A00C-6A13CEB0B6F9}"/>
    <cellStyle name="Currency 3 2 2 2 3 2 3" xfId="11424" xr:uid="{DB4686F1-72D4-44EB-830F-50F1484309CE}"/>
    <cellStyle name="Currency 3 2 2 2 3 3" xfId="5047" xr:uid="{00000000-0005-0000-0000-0000C20A0000}"/>
    <cellStyle name="Currency 3 2 2 2 3 3 2" xfId="13497" xr:uid="{3534BEF2-9F1D-4218-8873-17FEAFDE5CD8}"/>
    <cellStyle name="Currency 3 2 2 2 3 4" xfId="9279" xr:uid="{3C5C3230-5881-4DEA-AB6B-8800061AB70C}"/>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455C0F6F-3EA4-4ADB-ABD5-DA88AFE3455F}"/>
    <cellStyle name="Currency 3 2 2 2 4 2 3" xfId="11837" xr:uid="{D4C2FCE8-A06B-429E-B42B-819450F6F510}"/>
    <cellStyle name="Currency 3 2 2 2 4 3" xfId="5460" xr:uid="{00000000-0005-0000-0000-0000C60A0000}"/>
    <cellStyle name="Currency 3 2 2 2 4 3 2" xfId="13910" xr:uid="{F14B3B0D-BA9B-4A0D-8C28-A030D2F47F2D}"/>
    <cellStyle name="Currency 3 2 2 2 4 4" xfId="9692" xr:uid="{D274DBCA-6237-4C56-93C5-D620F72C4025}"/>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B8FED220-90EF-41E6-86C2-99DE180A1167}"/>
    <cellStyle name="Currency 3 2 2 2 5 2 3" xfId="12250" xr:uid="{C19D9D68-EA03-434A-A758-D8624C23D309}"/>
    <cellStyle name="Currency 3 2 2 2 5 3" xfId="5873" xr:uid="{00000000-0005-0000-0000-0000CA0A0000}"/>
    <cellStyle name="Currency 3 2 2 2 5 3 2" xfId="14323" xr:uid="{14E3CDC0-3D9C-48FE-AD85-D3FCE2FECC82}"/>
    <cellStyle name="Currency 3 2 2 2 5 4" xfId="10105" xr:uid="{13E621A7-5DE1-40E3-8398-EAFC4A3BF1DE}"/>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FD83E66A-2AA6-4F58-8561-937D313A8AA5}"/>
    <cellStyle name="Currency 3 2 2 2 6 2 3" xfId="12663" xr:uid="{EE09302C-DFC0-4648-9F17-E2E9279B484D}"/>
    <cellStyle name="Currency 3 2 2 2 6 3" xfId="6286" xr:uid="{00000000-0005-0000-0000-0000CE0A0000}"/>
    <cellStyle name="Currency 3 2 2 2 6 3 2" xfId="14736" xr:uid="{2707793B-BB7B-4BF4-8AF3-7E1E23F9BE17}"/>
    <cellStyle name="Currency 3 2 2 2 6 4" xfId="10518" xr:uid="{4F04B21E-B5D5-4069-B1FF-4738E6CC9910}"/>
    <cellStyle name="Currency 3 2 2 2 7" xfId="2415" xr:uid="{00000000-0005-0000-0000-0000CF0A0000}"/>
    <cellStyle name="Currency 3 2 2 2 7 2" xfId="6699" xr:uid="{00000000-0005-0000-0000-0000D00A0000}"/>
    <cellStyle name="Currency 3 2 2 2 7 2 2" xfId="15149" xr:uid="{7881AAE8-E735-4418-9B74-8186071711C5}"/>
    <cellStyle name="Currency 3 2 2 2 7 3" xfId="10931" xr:uid="{E916FC94-D0B1-4D0E-A9F6-C3D68E8D51AC}"/>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8DDF5CB7-9981-4122-A6FE-5EA7C738FA65}"/>
    <cellStyle name="Currency 3 2 2 2 9 3" xfId="11248" xr:uid="{FC37A6EF-06DF-441F-83CA-1DC70FBBFA41}"/>
    <cellStyle name="Currency 3 2 2 3" xfId="181" xr:uid="{00000000-0005-0000-0000-0000D40A0000}"/>
    <cellStyle name="Currency 3 2 2 3 10" xfId="8867" xr:uid="{2CB64267-2FED-4BC5-8AE6-B1747BC59A8E}"/>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96A9F07F-E619-45D4-9AE8-BE3B26741CCE}"/>
    <cellStyle name="Currency 3 2 2 3 2 2 3" xfId="11426" xr:uid="{F5E50109-0BC2-4C9D-A574-611223C76E87}"/>
    <cellStyle name="Currency 3 2 2 3 2 3" xfId="5049" xr:uid="{00000000-0005-0000-0000-0000D80A0000}"/>
    <cellStyle name="Currency 3 2 2 3 2 3 2" xfId="13499" xr:uid="{C2CCBDC9-3BBA-4824-B5D1-7FBE3C77B7D3}"/>
    <cellStyle name="Currency 3 2 2 3 2 4" xfId="9281" xr:uid="{13EEBA88-458A-48E4-96C2-92CB2973DCA3}"/>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CB3DB18E-CD54-4A0C-81A1-85948E17B3E1}"/>
    <cellStyle name="Currency 3 2 2 3 3 2 3" xfId="11839" xr:uid="{93E2DCE9-840A-4B3A-AC76-1CF5CE456ECC}"/>
    <cellStyle name="Currency 3 2 2 3 3 3" xfId="5462" xr:uid="{00000000-0005-0000-0000-0000DC0A0000}"/>
    <cellStyle name="Currency 3 2 2 3 3 3 2" xfId="13912" xr:uid="{7ED420D4-CB3B-4168-8D2F-F924986DD9E6}"/>
    <cellStyle name="Currency 3 2 2 3 3 4" xfId="9694" xr:uid="{33A7AE34-F185-4534-98E8-87CF8BFDF1BA}"/>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862DBA41-92B9-4804-97FD-94329C1D9E03}"/>
    <cellStyle name="Currency 3 2 2 3 4 2 3" xfId="12252" xr:uid="{93986B94-BAAB-46EB-B60C-E30031D5960F}"/>
    <cellStyle name="Currency 3 2 2 3 4 3" xfId="5875" xr:uid="{00000000-0005-0000-0000-0000E00A0000}"/>
    <cellStyle name="Currency 3 2 2 3 4 3 2" xfId="14325" xr:uid="{ED5E6F1A-25D8-433D-9392-5EC17FAD2E0F}"/>
    <cellStyle name="Currency 3 2 2 3 4 4" xfId="10107" xr:uid="{641E5259-7406-4DCE-A382-DD59C895C529}"/>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3AD02E28-3EDE-47CC-A517-EEBD582C6FD6}"/>
    <cellStyle name="Currency 3 2 2 3 5 2 3" xfId="12665" xr:uid="{77A274E9-94C3-4F6A-AAD1-1B71576A5068}"/>
    <cellStyle name="Currency 3 2 2 3 5 3" xfId="6288" xr:uid="{00000000-0005-0000-0000-0000E40A0000}"/>
    <cellStyle name="Currency 3 2 2 3 5 3 2" xfId="14738" xr:uid="{AE24A98A-31B6-41FC-B699-F9D80CA45194}"/>
    <cellStyle name="Currency 3 2 2 3 5 4" xfId="10520" xr:uid="{DB3485EB-1122-4E78-BE29-6BED1D868501}"/>
    <cellStyle name="Currency 3 2 2 3 6" xfId="2417" xr:uid="{00000000-0005-0000-0000-0000E50A0000}"/>
    <cellStyle name="Currency 3 2 2 3 6 2" xfId="6701" xr:uid="{00000000-0005-0000-0000-0000E60A0000}"/>
    <cellStyle name="Currency 3 2 2 3 6 2 2" xfId="15151" xr:uid="{4522C428-D2FA-48F7-879A-610D38DA72EF}"/>
    <cellStyle name="Currency 3 2 2 3 6 3" xfId="10933" xr:uid="{82F12358-43CD-43BC-A3D0-7E80B58BECDA}"/>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A7E5EF93-0F1C-479D-AECA-5018ED7957AE}"/>
    <cellStyle name="Currency 3 2 2 3 8 3" xfId="11250" xr:uid="{71A3A5F7-3C5C-4427-886F-31D1E7AE9433}"/>
    <cellStyle name="Currency 3 2 2 3 9" xfId="4635" xr:uid="{00000000-0005-0000-0000-0000EA0A0000}"/>
    <cellStyle name="Currency 3 2 2 3 9 2" xfId="13085" xr:uid="{FDFF1B5C-DE4F-4366-BEFC-CF572639A30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BAB1B598-7F62-4829-95AB-F212032DA8E7}"/>
    <cellStyle name="Currency 3 2 2 4 2 3" xfId="11423" xr:uid="{3E9E7926-6C22-4CC3-B2E3-33E456FC4B65}"/>
    <cellStyle name="Currency 3 2 2 4 3" xfId="5046" xr:uid="{00000000-0005-0000-0000-0000EE0A0000}"/>
    <cellStyle name="Currency 3 2 2 4 3 2" xfId="13496" xr:uid="{1E53205A-218E-42FE-BDD5-92C27C029893}"/>
    <cellStyle name="Currency 3 2 2 4 4" xfId="9278" xr:uid="{1D3B63C9-C128-4186-9B59-3DE498BFA6AD}"/>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10912A06-C358-4075-A2D4-54E8F3530C5B}"/>
    <cellStyle name="Currency 3 2 2 5 2 3" xfId="11836" xr:uid="{6873A5D8-56BD-4FBB-A5D1-8F752D84CD5F}"/>
    <cellStyle name="Currency 3 2 2 5 3" xfId="5459" xr:uid="{00000000-0005-0000-0000-0000F20A0000}"/>
    <cellStyle name="Currency 3 2 2 5 3 2" xfId="13909" xr:uid="{1590F6DC-E929-440B-A022-E068DA6E1731}"/>
    <cellStyle name="Currency 3 2 2 5 4" xfId="9691" xr:uid="{1C270302-816A-4A15-B6C6-A1A2E65056A6}"/>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4C5921D3-50C5-49D3-B03B-D7C08C721452}"/>
    <cellStyle name="Currency 3 2 2 6 2 3" xfId="12249" xr:uid="{3E08F42C-6B4B-4767-871A-9E57860622A7}"/>
    <cellStyle name="Currency 3 2 2 6 3" xfId="5872" xr:uid="{00000000-0005-0000-0000-0000F60A0000}"/>
    <cellStyle name="Currency 3 2 2 6 3 2" xfId="14322" xr:uid="{22B5E407-084A-43A0-85C7-65B83A4DCEA7}"/>
    <cellStyle name="Currency 3 2 2 6 4" xfId="10104" xr:uid="{1EF8551C-65D9-4D17-81A6-460536B6818C}"/>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DF07B35A-60A1-4842-8E41-DCF923BB375C}"/>
    <cellStyle name="Currency 3 2 2 7 2 3" xfId="12662" xr:uid="{3C5FE8AF-4860-4D3B-97F0-C0274E125B3E}"/>
    <cellStyle name="Currency 3 2 2 7 3" xfId="6285" xr:uid="{00000000-0005-0000-0000-0000FA0A0000}"/>
    <cellStyle name="Currency 3 2 2 7 3 2" xfId="14735" xr:uid="{E999FFEC-25A2-42F0-B18C-E5A82183C7E1}"/>
    <cellStyle name="Currency 3 2 2 7 4" xfId="10517" xr:uid="{1144B0B3-8B74-4323-9FDA-C77B01ADA606}"/>
    <cellStyle name="Currency 3 2 2 8" xfId="2414" xr:uid="{00000000-0005-0000-0000-0000FB0A0000}"/>
    <cellStyle name="Currency 3 2 2 8 2" xfId="6698" xr:uid="{00000000-0005-0000-0000-0000FC0A0000}"/>
    <cellStyle name="Currency 3 2 2 8 2 2" xfId="15148" xr:uid="{DDD3EB76-8715-4D38-A5BE-39B933DB30D7}"/>
    <cellStyle name="Currency 3 2 2 8 3" xfId="10930" xr:uid="{A406027A-7AE9-4327-ABF3-BE6F04F24497}"/>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F3E77384-4376-4D13-B6CC-EA5073FB714C}"/>
    <cellStyle name="Currency 3 2 3 11" xfId="8868" xr:uid="{5BC3E07D-5A7B-4947-861F-28B6CD8C0B54}"/>
    <cellStyle name="Currency 3 2 3 2" xfId="183" xr:uid="{00000000-0005-0000-0000-0000000B0000}"/>
    <cellStyle name="Currency 3 2 3 2 10" xfId="8869" xr:uid="{37A263EA-64F0-4DBE-A69E-06AC9F342E3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90F3DB3C-901D-46F2-AD6B-787B85FCA346}"/>
    <cellStyle name="Currency 3 2 3 2 2 2 3" xfId="11428" xr:uid="{B7AAF435-8385-4E26-B603-4513607B55FA}"/>
    <cellStyle name="Currency 3 2 3 2 2 3" xfId="5051" xr:uid="{00000000-0005-0000-0000-0000040B0000}"/>
    <cellStyle name="Currency 3 2 3 2 2 3 2" xfId="13501" xr:uid="{1BF93D1E-164D-4FCB-87CB-60DBAD755B93}"/>
    <cellStyle name="Currency 3 2 3 2 2 4" xfId="9283" xr:uid="{873334A8-BC83-4547-ACAD-19196A8DA5FF}"/>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39006BB9-34BB-4BDE-8C71-11B610E06BA9}"/>
    <cellStyle name="Currency 3 2 3 2 3 2 3" xfId="11841" xr:uid="{CA31C163-880E-4F8C-B71B-717D690C5EE2}"/>
    <cellStyle name="Currency 3 2 3 2 3 3" xfId="5464" xr:uid="{00000000-0005-0000-0000-0000080B0000}"/>
    <cellStyle name="Currency 3 2 3 2 3 3 2" xfId="13914" xr:uid="{8B33728F-8E23-4958-B3C2-787BF24C2126}"/>
    <cellStyle name="Currency 3 2 3 2 3 4" xfId="9696" xr:uid="{745D14E5-62D0-4A59-95C5-2236AF75C168}"/>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7E0A8081-6663-490B-8856-58570A6A0E31}"/>
    <cellStyle name="Currency 3 2 3 2 4 2 3" xfId="12254" xr:uid="{2ADE3DFB-F8B7-4EEF-B557-113C4BB9C966}"/>
    <cellStyle name="Currency 3 2 3 2 4 3" xfId="5877" xr:uid="{00000000-0005-0000-0000-00000C0B0000}"/>
    <cellStyle name="Currency 3 2 3 2 4 3 2" xfId="14327" xr:uid="{C728083B-D9BE-4ABC-A193-AC1D166CA0FF}"/>
    <cellStyle name="Currency 3 2 3 2 4 4" xfId="10109" xr:uid="{8078884B-66A2-4A30-8E34-B785F7385931}"/>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85A70C47-1583-4CAB-B857-2B71298EB7BC}"/>
    <cellStyle name="Currency 3 2 3 2 5 2 3" xfId="12667" xr:uid="{64D9A184-246E-4B35-9D49-7D430CD1329D}"/>
    <cellStyle name="Currency 3 2 3 2 5 3" xfId="6290" xr:uid="{00000000-0005-0000-0000-0000100B0000}"/>
    <cellStyle name="Currency 3 2 3 2 5 3 2" xfId="14740" xr:uid="{7CFF7988-8C61-47E6-A900-0A6924D8B2D0}"/>
    <cellStyle name="Currency 3 2 3 2 5 4" xfId="10522" xr:uid="{19550554-1170-4279-B994-10F6E01D4FD9}"/>
    <cellStyle name="Currency 3 2 3 2 6" xfId="2419" xr:uid="{00000000-0005-0000-0000-0000110B0000}"/>
    <cellStyle name="Currency 3 2 3 2 6 2" xfId="6703" xr:uid="{00000000-0005-0000-0000-0000120B0000}"/>
    <cellStyle name="Currency 3 2 3 2 6 2 2" xfId="15153" xr:uid="{8A9CD731-C6C6-4CB8-B996-A62FB8262AD5}"/>
    <cellStyle name="Currency 3 2 3 2 6 3" xfId="10935" xr:uid="{D80323DE-7885-443B-96D3-87B1F717FB27}"/>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F426A619-F0BF-4FBA-A6FC-ACFB5D40318D}"/>
    <cellStyle name="Currency 3 2 3 2 8 3" xfId="11252" xr:uid="{CEE5B5F6-12F0-4C95-B112-E6D9E0D55A82}"/>
    <cellStyle name="Currency 3 2 3 2 9" xfId="4637" xr:uid="{00000000-0005-0000-0000-0000160B0000}"/>
    <cellStyle name="Currency 3 2 3 2 9 2" xfId="13087" xr:uid="{245EAD2B-5B7E-463A-A30E-DF5C57574F8B}"/>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390E1FE2-AECD-4016-AC8E-C27B562D4993}"/>
    <cellStyle name="Currency 3 2 3 3 2 3" xfId="11427" xr:uid="{ED9029AD-2D1F-48EF-AAB6-E59C4289CD40}"/>
    <cellStyle name="Currency 3 2 3 3 3" xfId="5050" xr:uid="{00000000-0005-0000-0000-00001A0B0000}"/>
    <cellStyle name="Currency 3 2 3 3 3 2" xfId="13500" xr:uid="{DED0C3A4-507D-44A0-9EBF-268E8DB9F4E8}"/>
    <cellStyle name="Currency 3 2 3 3 4" xfId="9282" xr:uid="{34B055AF-A20D-4F34-B687-CED2819740CE}"/>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BE83A899-FF0D-4E85-8E0F-43E4E391C6E5}"/>
    <cellStyle name="Currency 3 2 3 4 2 3" xfId="11840" xr:uid="{FE9906C6-65E7-4C9A-920D-2EBDC2DB076F}"/>
    <cellStyle name="Currency 3 2 3 4 3" xfId="5463" xr:uid="{00000000-0005-0000-0000-00001E0B0000}"/>
    <cellStyle name="Currency 3 2 3 4 3 2" xfId="13913" xr:uid="{CCC14D2F-2C58-4589-BA53-C5BD2640A7CE}"/>
    <cellStyle name="Currency 3 2 3 4 4" xfId="9695" xr:uid="{DC79B98A-06C2-4ADA-9D7B-BD3E8E0EF7A2}"/>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BC540589-4A19-4E26-B3C7-6B6202495C73}"/>
    <cellStyle name="Currency 3 2 3 5 2 3" xfId="12253" xr:uid="{06A7E80C-FDBA-49E3-ABC1-5137D5AE5439}"/>
    <cellStyle name="Currency 3 2 3 5 3" xfId="5876" xr:uid="{00000000-0005-0000-0000-0000220B0000}"/>
    <cellStyle name="Currency 3 2 3 5 3 2" xfId="14326" xr:uid="{5B2B276E-1E37-4045-A701-C3AF32E7A3F0}"/>
    <cellStyle name="Currency 3 2 3 5 4" xfId="10108" xr:uid="{CA55F4CA-2CBF-41C6-9FEC-C217777ACB26}"/>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F783972D-AAC7-4340-B406-C9AE09289817}"/>
    <cellStyle name="Currency 3 2 3 6 2 3" xfId="12666" xr:uid="{D325D019-BBF3-41F2-979A-FB0E0C02E065}"/>
    <cellStyle name="Currency 3 2 3 6 3" xfId="6289" xr:uid="{00000000-0005-0000-0000-0000260B0000}"/>
    <cellStyle name="Currency 3 2 3 6 3 2" xfId="14739" xr:uid="{623E18FB-3530-4164-8A61-B22FE848690A}"/>
    <cellStyle name="Currency 3 2 3 6 4" xfId="10521" xr:uid="{0E256240-9FF3-45AA-B94B-FAF0D3B735E2}"/>
    <cellStyle name="Currency 3 2 3 7" xfId="2418" xr:uid="{00000000-0005-0000-0000-0000270B0000}"/>
    <cellStyle name="Currency 3 2 3 7 2" xfId="6702" xr:uid="{00000000-0005-0000-0000-0000280B0000}"/>
    <cellStyle name="Currency 3 2 3 7 2 2" xfId="15152" xr:uid="{30806996-AE28-4CDD-85F5-2A28B2440B97}"/>
    <cellStyle name="Currency 3 2 3 7 3" xfId="10934" xr:uid="{C721B640-F8BB-4F14-9083-9459089038B0}"/>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2274D33D-4467-4433-A759-EB65995839D1}"/>
    <cellStyle name="Currency 3 2 3 9 3" xfId="11251" xr:uid="{F2759F6E-B70B-41AB-B7F7-D604C30B3488}"/>
    <cellStyle name="Currency 3 2 4" xfId="184" xr:uid="{00000000-0005-0000-0000-00002C0B0000}"/>
    <cellStyle name="Currency 3 2 4 10" xfId="8870" xr:uid="{E877DFCF-2914-405D-B9A8-EF338E85B0C3}"/>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9CD95309-1DB5-48D5-BFC9-30E075BAD680}"/>
    <cellStyle name="Currency 3 2 4 2 2 3" xfId="11429" xr:uid="{8946F025-8339-4E05-8657-D48959CE0DDF}"/>
    <cellStyle name="Currency 3 2 4 2 3" xfId="5052" xr:uid="{00000000-0005-0000-0000-0000300B0000}"/>
    <cellStyle name="Currency 3 2 4 2 3 2" xfId="13502" xr:uid="{BDA904EE-2D75-4EDF-938B-942F3AD9F4EB}"/>
    <cellStyle name="Currency 3 2 4 2 4" xfId="9284" xr:uid="{B7664DBF-98DE-4625-8DB5-836B29CB3BAA}"/>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E09BC4B8-673A-47B1-A294-34A471C0F05C}"/>
    <cellStyle name="Currency 3 2 4 3 2 3" xfId="11842" xr:uid="{0A910E32-F41F-493A-87DF-B2D93B0DDE9D}"/>
    <cellStyle name="Currency 3 2 4 3 3" xfId="5465" xr:uid="{00000000-0005-0000-0000-0000340B0000}"/>
    <cellStyle name="Currency 3 2 4 3 3 2" xfId="13915" xr:uid="{22043622-704C-477C-BD2B-E405DFD175AE}"/>
    <cellStyle name="Currency 3 2 4 3 4" xfId="9697" xr:uid="{7FBF8FC7-38D7-449E-9D3E-8C6EDB6B42CA}"/>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68760394-7D7F-4D58-AE83-8A81DB3BEE15}"/>
    <cellStyle name="Currency 3 2 4 4 2 3" xfId="12255" xr:uid="{D775B85C-33BF-46B3-BC49-9F544C87E91E}"/>
    <cellStyle name="Currency 3 2 4 4 3" xfId="5878" xr:uid="{00000000-0005-0000-0000-0000380B0000}"/>
    <cellStyle name="Currency 3 2 4 4 3 2" xfId="14328" xr:uid="{49A380E0-1604-438D-8A42-6D9DA3F77A82}"/>
    <cellStyle name="Currency 3 2 4 4 4" xfId="10110" xr:uid="{5E80EE00-5B60-4334-A2E2-F829E2195A1B}"/>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5061E3E9-C729-4FBA-83CB-73DB225E42B8}"/>
    <cellStyle name="Currency 3 2 4 5 2 3" xfId="12668" xr:uid="{C2AAE21B-42AF-4145-88C1-2FC24561F874}"/>
    <cellStyle name="Currency 3 2 4 5 3" xfId="6291" xr:uid="{00000000-0005-0000-0000-00003C0B0000}"/>
    <cellStyle name="Currency 3 2 4 5 3 2" xfId="14741" xr:uid="{C5BF0298-90AB-4A8E-B8AA-774209F1149B}"/>
    <cellStyle name="Currency 3 2 4 5 4" xfId="10523" xr:uid="{BB2F3E0F-8DFE-4B85-B39D-F69BEEFAD993}"/>
    <cellStyle name="Currency 3 2 4 6" xfId="2420" xr:uid="{00000000-0005-0000-0000-00003D0B0000}"/>
    <cellStyle name="Currency 3 2 4 6 2" xfId="6704" xr:uid="{00000000-0005-0000-0000-00003E0B0000}"/>
    <cellStyle name="Currency 3 2 4 6 2 2" xfId="15154" xr:uid="{9B8BC17A-AB4F-463F-A23D-893E385F8824}"/>
    <cellStyle name="Currency 3 2 4 6 3" xfId="10936" xr:uid="{BE665107-7E01-477B-A981-CAE4D5B98A80}"/>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84B777CC-8796-4B10-84F8-37E5CE8433D8}"/>
    <cellStyle name="Currency 3 2 4 8 3" xfId="11253" xr:uid="{6DCACB2A-11B6-46C9-92A9-E1680BBBD3C1}"/>
    <cellStyle name="Currency 3 2 4 9" xfId="4638" xr:uid="{00000000-0005-0000-0000-0000420B0000}"/>
    <cellStyle name="Currency 3 2 4 9 2" xfId="13088" xr:uid="{F5944AFE-C47F-4377-928C-3D8A847F2E04}"/>
    <cellStyle name="Currency 3 2 5" xfId="185" xr:uid="{00000000-0005-0000-0000-0000430B0000}"/>
    <cellStyle name="Currency 3 2 5 10" xfId="8871" xr:uid="{4D21198D-ECC7-48B4-B2F2-7561BA94C4B2}"/>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B40EB490-B47A-426D-AE05-EC75894B28B3}"/>
    <cellStyle name="Currency 3 2 5 2 2 3" xfId="11430" xr:uid="{29984058-BFE4-4EAB-8AF5-42AEB28BC7BD}"/>
    <cellStyle name="Currency 3 2 5 2 3" xfId="5053" xr:uid="{00000000-0005-0000-0000-0000470B0000}"/>
    <cellStyle name="Currency 3 2 5 2 3 2" xfId="13503" xr:uid="{38B33D26-5ACA-40C4-89F4-D573DE7A6841}"/>
    <cellStyle name="Currency 3 2 5 2 4" xfId="9285" xr:uid="{A1564C3B-F2A3-40F9-B916-035995E33764}"/>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C394BCBB-7A03-4080-96A4-5CC0B4A12188}"/>
    <cellStyle name="Currency 3 2 5 3 2 3" xfId="11843" xr:uid="{A93B9907-3658-415B-A96A-AADADBB61FBA}"/>
    <cellStyle name="Currency 3 2 5 3 3" xfId="5466" xr:uid="{00000000-0005-0000-0000-00004B0B0000}"/>
    <cellStyle name="Currency 3 2 5 3 3 2" xfId="13916" xr:uid="{1CE12911-A0B0-46DB-B346-E62C0FA68A85}"/>
    <cellStyle name="Currency 3 2 5 3 4" xfId="9698" xr:uid="{5F47D973-F835-4E3E-AD52-6B588D7C3DF8}"/>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75B61463-0FCD-4326-80A2-550F52BF4563}"/>
    <cellStyle name="Currency 3 2 5 4 2 3" xfId="12256" xr:uid="{942F9237-A0F2-465B-9017-E8897BA45AB3}"/>
    <cellStyle name="Currency 3 2 5 4 3" xfId="5879" xr:uid="{00000000-0005-0000-0000-00004F0B0000}"/>
    <cellStyle name="Currency 3 2 5 4 3 2" xfId="14329" xr:uid="{FBF0F4BF-4A67-48F0-9B65-F55FD5876E22}"/>
    <cellStyle name="Currency 3 2 5 4 4" xfId="10111" xr:uid="{003E2C9F-9A2D-453F-93FF-0F7499A4E4F5}"/>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A4753753-418C-4720-B03F-0ACFE7BAA939}"/>
    <cellStyle name="Currency 3 2 5 5 2 3" xfId="12669" xr:uid="{5E78A4A6-67C5-4307-80B1-AE96C4D43273}"/>
    <cellStyle name="Currency 3 2 5 5 3" xfId="6292" xr:uid="{00000000-0005-0000-0000-0000530B0000}"/>
    <cellStyle name="Currency 3 2 5 5 3 2" xfId="14742" xr:uid="{2472B2E9-59B5-4D04-B543-444B4C77EE25}"/>
    <cellStyle name="Currency 3 2 5 5 4" xfId="10524" xr:uid="{92C2837C-F8B1-46E5-9591-077EF4D8C7E5}"/>
    <cellStyle name="Currency 3 2 5 6" xfId="2421" xr:uid="{00000000-0005-0000-0000-0000540B0000}"/>
    <cellStyle name="Currency 3 2 5 6 2" xfId="6705" xr:uid="{00000000-0005-0000-0000-0000550B0000}"/>
    <cellStyle name="Currency 3 2 5 6 2 2" xfId="15155" xr:uid="{A841415E-239F-473C-B7AA-8E03FBD41B53}"/>
    <cellStyle name="Currency 3 2 5 6 3" xfId="10937" xr:uid="{59B82AE3-B427-4C1F-B65C-3A8B61AA70E0}"/>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D99EDE5D-A741-4C6A-A44B-1AD06AD2261F}"/>
    <cellStyle name="Currency 3 2 5 8 3" xfId="11254" xr:uid="{B27C7830-BF08-4D2A-A6A5-6234D01C9960}"/>
    <cellStyle name="Currency 3 2 5 9" xfId="4639" xr:uid="{00000000-0005-0000-0000-0000590B0000}"/>
    <cellStyle name="Currency 3 2 5 9 2" xfId="13089" xr:uid="{3C20FC4F-1273-48CE-B236-1592A5CF39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8E5AF3C5-9743-422A-9ADA-4AE56D42F8FA}"/>
    <cellStyle name="Currency 5 2 2 2 10 3" xfId="11255" xr:uid="{2A7EF237-232F-4D99-9C53-13731542BBB0}"/>
    <cellStyle name="Currency 5 2 2 2 11" xfId="4640" xr:uid="{00000000-0005-0000-0000-00006C0B0000}"/>
    <cellStyle name="Currency 5 2 2 2 11 2" xfId="13090" xr:uid="{84E4A6C9-97E7-458E-AEAE-6ABF6D6402BF}"/>
    <cellStyle name="Currency 5 2 2 2 12" xfId="8872" xr:uid="{BAE96768-52A9-4EE3-918C-A1D1767CEE1A}"/>
    <cellStyle name="Currency 5 2 2 2 2" xfId="197" xr:uid="{00000000-0005-0000-0000-00006D0B0000}"/>
    <cellStyle name="Currency 5 2 2 2 2 10" xfId="4641" xr:uid="{00000000-0005-0000-0000-00006E0B0000}"/>
    <cellStyle name="Currency 5 2 2 2 2 10 2" xfId="13091" xr:uid="{AB711E5A-8C47-4ACB-B33E-F403791A08A1}"/>
    <cellStyle name="Currency 5 2 2 2 2 11" xfId="8873" xr:uid="{3617A026-D409-4D3D-9A83-6092862E3A6B}"/>
    <cellStyle name="Currency 5 2 2 2 2 2" xfId="198" xr:uid="{00000000-0005-0000-0000-00006F0B0000}"/>
    <cellStyle name="Currency 5 2 2 2 2 2 10" xfId="8874" xr:uid="{9E2D6EAE-E924-4C5A-8DD0-B8C00C05030E}"/>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752EEB86-20AB-4C5E-B502-644DC4A836C8}"/>
    <cellStyle name="Currency 5 2 2 2 2 2 2 2 3" xfId="11433" xr:uid="{12715D82-DD96-4D0B-8CC0-F86FD9AE259D}"/>
    <cellStyle name="Currency 5 2 2 2 2 2 2 3" xfId="5056" xr:uid="{00000000-0005-0000-0000-0000730B0000}"/>
    <cellStyle name="Currency 5 2 2 2 2 2 2 3 2" xfId="13506" xr:uid="{E89938F1-7189-4947-9E45-E4EFB8420C22}"/>
    <cellStyle name="Currency 5 2 2 2 2 2 2 4" xfId="9288" xr:uid="{449918E0-E2F7-4621-8FFE-56083DFD78B3}"/>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7410423B-0B07-467B-927B-EFB5FBBCE359}"/>
    <cellStyle name="Currency 5 2 2 2 2 2 3 2 3" xfId="11846" xr:uid="{BA64EE61-F2BE-46F7-B4DC-6129488C8A43}"/>
    <cellStyle name="Currency 5 2 2 2 2 2 3 3" xfId="5469" xr:uid="{00000000-0005-0000-0000-0000770B0000}"/>
    <cellStyle name="Currency 5 2 2 2 2 2 3 3 2" xfId="13919" xr:uid="{C3708BBE-E3FF-41C0-8BEF-A8B47EE0A3DA}"/>
    <cellStyle name="Currency 5 2 2 2 2 2 3 4" xfId="9701" xr:uid="{477F4B17-8A81-4FE1-8BB1-783C6B02EEEC}"/>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A164BF2C-90D7-402D-97F2-8D24D595FB9A}"/>
    <cellStyle name="Currency 5 2 2 2 2 2 4 2 3" xfId="12259" xr:uid="{5FADA32E-872A-44BC-ACC7-1DDD54DEBC90}"/>
    <cellStyle name="Currency 5 2 2 2 2 2 4 3" xfId="5882" xr:uid="{00000000-0005-0000-0000-00007B0B0000}"/>
    <cellStyle name="Currency 5 2 2 2 2 2 4 3 2" xfId="14332" xr:uid="{97D48BFD-2278-4BCB-B90A-11D3BA206EC3}"/>
    <cellStyle name="Currency 5 2 2 2 2 2 4 4" xfId="10114" xr:uid="{17AD2DCC-F5DA-4DF8-83E1-23492F6330C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1EC5CE36-92B0-4B84-A0BA-FBF76D035921}"/>
    <cellStyle name="Currency 5 2 2 2 2 2 5 2 3" xfId="12672" xr:uid="{96B76E2F-DC54-4BB6-936B-37DAE1D26BFA}"/>
    <cellStyle name="Currency 5 2 2 2 2 2 5 3" xfId="6295" xr:uid="{00000000-0005-0000-0000-00007F0B0000}"/>
    <cellStyle name="Currency 5 2 2 2 2 2 5 3 2" xfId="14745" xr:uid="{76C505E8-3AEF-4D3F-9D06-AE3EA32AA5AD}"/>
    <cellStyle name="Currency 5 2 2 2 2 2 5 4" xfId="10527" xr:uid="{8FBDB9E3-2A03-4413-BD3F-C87A10F8209A}"/>
    <cellStyle name="Currency 5 2 2 2 2 2 6" xfId="2424" xr:uid="{00000000-0005-0000-0000-0000800B0000}"/>
    <cellStyle name="Currency 5 2 2 2 2 2 6 2" xfId="6708" xr:uid="{00000000-0005-0000-0000-0000810B0000}"/>
    <cellStyle name="Currency 5 2 2 2 2 2 6 2 2" xfId="15158" xr:uid="{7D85D44A-931D-4550-98C0-25F2234DC30E}"/>
    <cellStyle name="Currency 5 2 2 2 2 2 6 3" xfId="10940" xr:uid="{17C77E9C-0999-415D-8A5D-9C04E7C20A0B}"/>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92703ED0-1D01-4F95-872D-78EAE44D138A}"/>
    <cellStyle name="Currency 5 2 2 2 2 2 8 3" xfId="11257" xr:uid="{124C68D4-86F3-497D-A4D8-913311063B16}"/>
    <cellStyle name="Currency 5 2 2 2 2 2 9" xfId="4642" xr:uid="{00000000-0005-0000-0000-0000850B0000}"/>
    <cellStyle name="Currency 5 2 2 2 2 2 9 2" xfId="13092" xr:uid="{1D7D3A80-EAD4-466F-9675-5345E311EE32}"/>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50095AC3-01AE-4B9A-91DF-6D54C2FC5CD8}"/>
    <cellStyle name="Currency 5 2 2 2 2 3 2 3" xfId="11432" xr:uid="{72E62438-08E5-478B-A63A-18CBEF457C2B}"/>
    <cellStyle name="Currency 5 2 2 2 2 3 3" xfId="5055" xr:uid="{00000000-0005-0000-0000-0000890B0000}"/>
    <cellStyle name="Currency 5 2 2 2 2 3 3 2" xfId="13505" xr:uid="{5CBFCDBF-2765-4538-9489-37BD2C19AB29}"/>
    <cellStyle name="Currency 5 2 2 2 2 3 4" xfId="9287" xr:uid="{0A408975-D640-4F47-8BB5-BE420C11F9C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6CA02C9F-AF21-4229-915F-9D63C0B7D758}"/>
    <cellStyle name="Currency 5 2 2 2 2 4 2 3" xfId="11845" xr:uid="{8F1C9FE7-7AFF-48FF-8110-DBFB058CACAC}"/>
    <cellStyle name="Currency 5 2 2 2 2 4 3" xfId="5468" xr:uid="{00000000-0005-0000-0000-00008D0B0000}"/>
    <cellStyle name="Currency 5 2 2 2 2 4 3 2" xfId="13918" xr:uid="{92234E0A-51F7-4E87-A35C-E50D7124D9E9}"/>
    <cellStyle name="Currency 5 2 2 2 2 4 4" xfId="9700" xr:uid="{55ECE28D-BDFC-4D8D-B4C4-EC435669272E}"/>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6A564A74-18E7-4EF6-BD6D-6593FC8420ED}"/>
    <cellStyle name="Currency 5 2 2 2 2 5 2 3" xfId="12258" xr:uid="{B08BC672-CD9D-4C75-B571-B6F05B6BFED0}"/>
    <cellStyle name="Currency 5 2 2 2 2 5 3" xfId="5881" xr:uid="{00000000-0005-0000-0000-0000910B0000}"/>
    <cellStyle name="Currency 5 2 2 2 2 5 3 2" xfId="14331" xr:uid="{912A3BC3-875E-42F7-AC88-1A31A4461665}"/>
    <cellStyle name="Currency 5 2 2 2 2 5 4" xfId="10113" xr:uid="{5B3044F3-BBA8-44BD-ABF5-AA798BC75A4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9E953A18-0F52-490B-A058-392FFBAD5434}"/>
    <cellStyle name="Currency 5 2 2 2 2 6 2 3" xfId="12671" xr:uid="{108F2B02-0EF4-401A-B3D8-F8AB716F1CE0}"/>
    <cellStyle name="Currency 5 2 2 2 2 6 3" xfId="6294" xr:uid="{00000000-0005-0000-0000-0000950B0000}"/>
    <cellStyle name="Currency 5 2 2 2 2 6 3 2" xfId="14744" xr:uid="{C47586E8-D620-4ACD-8600-34E5F4491A93}"/>
    <cellStyle name="Currency 5 2 2 2 2 6 4" xfId="10526" xr:uid="{7E780890-5A11-42A2-AFEB-60317C47AAB4}"/>
    <cellStyle name="Currency 5 2 2 2 2 7" xfId="2423" xr:uid="{00000000-0005-0000-0000-0000960B0000}"/>
    <cellStyle name="Currency 5 2 2 2 2 7 2" xfId="6707" xr:uid="{00000000-0005-0000-0000-0000970B0000}"/>
    <cellStyle name="Currency 5 2 2 2 2 7 2 2" xfId="15157" xr:uid="{25B509D6-B47B-4BDC-95E2-3A1A487005B5}"/>
    <cellStyle name="Currency 5 2 2 2 2 7 3" xfId="10939" xr:uid="{4032CC18-789D-47D2-9DA8-17637D4037CC}"/>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D45AFEA5-9E2C-430B-8AD5-C40B75DDB621}"/>
    <cellStyle name="Currency 5 2 2 2 2 9 3" xfId="11256" xr:uid="{0FD6EF5F-9E5C-4570-A171-3A403007F7C5}"/>
    <cellStyle name="Currency 5 2 2 2 3" xfId="199" xr:uid="{00000000-0005-0000-0000-00009B0B0000}"/>
    <cellStyle name="Currency 5 2 2 2 3 10" xfId="8875" xr:uid="{C2911C94-C1AA-41A4-A69F-747074791C4F}"/>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54C05BBC-30ED-4F1F-9801-60B513185A81}"/>
    <cellStyle name="Currency 5 2 2 2 3 2 2 3" xfId="11434" xr:uid="{189A7549-0E5D-42FE-ACDA-257E053AE28A}"/>
    <cellStyle name="Currency 5 2 2 2 3 2 3" xfId="5057" xr:uid="{00000000-0005-0000-0000-00009F0B0000}"/>
    <cellStyle name="Currency 5 2 2 2 3 2 3 2" xfId="13507" xr:uid="{11A08A3F-0CF7-4709-8C1A-6F5403EDD41C}"/>
    <cellStyle name="Currency 5 2 2 2 3 2 4" xfId="9289" xr:uid="{CDD4042D-DC5E-4A97-B970-52B89F57F65E}"/>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6E12A0C4-A4A9-4F9B-B83C-F60B309B5815}"/>
    <cellStyle name="Currency 5 2 2 2 3 3 2 3" xfId="11847" xr:uid="{E5FBAB24-C5C3-4268-9004-B622423E2010}"/>
    <cellStyle name="Currency 5 2 2 2 3 3 3" xfId="5470" xr:uid="{00000000-0005-0000-0000-0000A30B0000}"/>
    <cellStyle name="Currency 5 2 2 2 3 3 3 2" xfId="13920" xr:uid="{C6DB4890-0BC6-4B80-A9E8-59B97B5EC938}"/>
    <cellStyle name="Currency 5 2 2 2 3 3 4" xfId="9702" xr:uid="{23E9E4F9-953F-4BCD-81F8-46A4BAEB09B6}"/>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E23AE211-8512-4843-BC1B-3C5819F63456}"/>
    <cellStyle name="Currency 5 2 2 2 3 4 2 3" xfId="12260" xr:uid="{1D98B066-050E-474D-9681-293CDF0EAF7D}"/>
    <cellStyle name="Currency 5 2 2 2 3 4 3" xfId="5883" xr:uid="{00000000-0005-0000-0000-0000A70B0000}"/>
    <cellStyle name="Currency 5 2 2 2 3 4 3 2" xfId="14333" xr:uid="{0A3BC44B-9B1B-436A-8704-B627D7EA888A}"/>
    <cellStyle name="Currency 5 2 2 2 3 4 4" xfId="10115" xr:uid="{A192149E-6345-4EFD-BD1F-361D18B09BF1}"/>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155B901C-3E5A-4885-823B-D936835042CF}"/>
    <cellStyle name="Currency 5 2 2 2 3 5 2 3" xfId="12673" xr:uid="{2702AC99-123A-460E-BF18-29BAA50A9A1F}"/>
    <cellStyle name="Currency 5 2 2 2 3 5 3" xfId="6296" xr:uid="{00000000-0005-0000-0000-0000AB0B0000}"/>
    <cellStyle name="Currency 5 2 2 2 3 5 3 2" xfId="14746" xr:uid="{11D2FD6B-0703-4542-B7B4-C368E70FA576}"/>
    <cellStyle name="Currency 5 2 2 2 3 5 4" xfId="10528" xr:uid="{58F25540-C1C8-4376-A5D1-0A722D1A2768}"/>
    <cellStyle name="Currency 5 2 2 2 3 6" xfId="2425" xr:uid="{00000000-0005-0000-0000-0000AC0B0000}"/>
    <cellStyle name="Currency 5 2 2 2 3 6 2" xfId="6709" xr:uid="{00000000-0005-0000-0000-0000AD0B0000}"/>
    <cellStyle name="Currency 5 2 2 2 3 6 2 2" xfId="15159" xr:uid="{775853B5-6ABF-4ADA-AFF3-1BE58A9306E8}"/>
    <cellStyle name="Currency 5 2 2 2 3 6 3" xfId="10941" xr:uid="{0E829605-0ED4-42DA-A412-201CE181C264}"/>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FE1375BE-B0A0-4B39-AC3D-90BEB427E627}"/>
    <cellStyle name="Currency 5 2 2 2 3 8 3" xfId="11258" xr:uid="{8C46C926-825C-4019-8C12-481011A52B22}"/>
    <cellStyle name="Currency 5 2 2 2 3 9" xfId="4643" xr:uid="{00000000-0005-0000-0000-0000B10B0000}"/>
    <cellStyle name="Currency 5 2 2 2 3 9 2" xfId="13093" xr:uid="{13A72166-E005-437E-A9BB-3265C12CA5E6}"/>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6761D1B7-5E28-49A6-BC00-14E4F7A0FE27}"/>
    <cellStyle name="Currency 5 2 2 2 4 2 3" xfId="11431" xr:uid="{C8A1C999-8DC8-4AF9-BE4E-6A33F4033317}"/>
    <cellStyle name="Currency 5 2 2 2 4 3" xfId="5054" xr:uid="{00000000-0005-0000-0000-0000B50B0000}"/>
    <cellStyle name="Currency 5 2 2 2 4 3 2" xfId="13504" xr:uid="{91654993-3B06-45DC-92BF-555853FE5FFD}"/>
    <cellStyle name="Currency 5 2 2 2 4 4" xfId="9286" xr:uid="{70C7A26F-F879-4A04-BDC9-FFFFF1B2741D}"/>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4DD0DBC2-1DFB-4FE0-A435-975C10CA76D0}"/>
    <cellStyle name="Currency 5 2 2 2 5 2 3" xfId="11844" xr:uid="{C7DC3DC2-809B-45B0-9A94-A73843E1F286}"/>
    <cellStyle name="Currency 5 2 2 2 5 3" xfId="5467" xr:uid="{00000000-0005-0000-0000-0000B90B0000}"/>
    <cellStyle name="Currency 5 2 2 2 5 3 2" xfId="13917" xr:uid="{8FAC8290-BE8D-4DA4-94E0-EA73D460ECD7}"/>
    <cellStyle name="Currency 5 2 2 2 5 4" xfId="9699" xr:uid="{FF337ED2-A884-40CE-B5FB-E5D5ABD0A15E}"/>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B335EB5E-09D9-4BFF-BD1E-05F6B9737FE8}"/>
    <cellStyle name="Currency 5 2 2 2 6 2 3" xfId="12257" xr:uid="{D342A1E7-7339-43EF-B332-7989DC8E30FF}"/>
    <cellStyle name="Currency 5 2 2 2 6 3" xfId="5880" xr:uid="{00000000-0005-0000-0000-0000BD0B0000}"/>
    <cellStyle name="Currency 5 2 2 2 6 3 2" xfId="14330" xr:uid="{548619ED-40C5-46AA-8C71-FB90C22F9507}"/>
    <cellStyle name="Currency 5 2 2 2 6 4" xfId="10112" xr:uid="{09D34912-F0AE-418F-BD51-5E76F991E519}"/>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3D22760C-BF4A-4ED6-8193-85AD1F53C3AC}"/>
    <cellStyle name="Currency 5 2 2 2 7 2 3" xfId="12670" xr:uid="{7318BAC3-A959-4042-B400-AB0A8547A6D7}"/>
    <cellStyle name="Currency 5 2 2 2 7 3" xfId="6293" xr:uid="{00000000-0005-0000-0000-0000C10B0000}"/>
    <cellStyle name="Currency 5 2 2 2 7 3 2" xfId="14743" xr:uid="{D3BFD76B-9763-43BA-A01B-C868E619EA5C}"/>
    <cellStyle name="Currency 5 2 2 2 7 4" xfId="10525" xr:uid="{4DE5CC0F-9B09-4DA0-A201-430E85828EB5}"/>
    <cellStyle name="Currency 5 2 2 2 8" xfId="2422" xr:uid="{00000000-0005-0000-0000-0000C20B0000}"/>
    <cellStyle name="Currency 5 2 2 2 8 2" xfId="6706" xr:uid="{00000000-0005-0000-0000-0000C30B0000}"/>
    <cellStyle name="Currency 5 2 2 2 8 2 2" xfId="15156" xr:uid="{A1E9A9F4-D83D-40E0-8A3F-BD79573DF390}"/>
    <cellStyle name="Currency 5 2 2 2 8 3" xfId="10938" xr:uid="{C5537EF6-8B82-40AC-B029-1C8E274F16BE}"/>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632C5764-759B-47B4-94DC-6CD91744BFDE}"/>
    <cellStyle name="Currency 5 2 2 3 11" xfId="8876" xr:uid="{0E620315-F843-4FA4-9D2A-DB770E21D973}"/>
    <cellStyle name="Currency 5 2 2 3 2" xfId="201" xr:uid="{00000000-0005-0000-0000-0000C70B0000}"/>
    <cellStyle name="Currency 5 2 2 3 2 10" xfId="8877" xr:uid="{AEDE8EF7-3DF8-4A36-B0D6-E295BF6AFA68}"/>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8EE6FBF3-BED1-48AD-BFBB-84C8083DA36D}"/>
    <cellStyle name="Currency 5 2 2 3 2 2 2 3" xfId="11436" xr:uid="{D0793BAA-C9AB-442E-9EF4-D184A4A9F948}"/>
    <cellStyle name="Currency 5 2 2 3 2 2 3" xfId="5059" xr:uid="{00000000-0005-0000-0000-0000CB0B0000}"/>
    <cellStyle name="Currency 5 2 2 3 2 2 3 2" xfId="13509" xr:uid="{93B1276E-3C8D-479C-8F89-6C491D76B1D3}"/>
    <cellStyle name="Currency 5 2 2 3 2 2 4" xfId="9291" xr:uid="{A0C9A84A-6BE3-45DF-8602-2CA8157CF5DE}"/>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A569DD98-0A0C-42D4-A104-E338EE3C493E}"/>
    <cellStyle name="Currency 5 2 2 3 2 3 2 3" xfId="11849" xr:uid="{34EF25FE-50F9-462D-9902-87E2E8921163}"/>
    <cellStyle name="Currency 5 2 2 3 2 3 3" xfId="5472" xr:uid="{00000000-0005-0000-0000-0000CF0B0000}"/>
    <cellStyle name="Currency 5 2 2 3 2 3 3 2" xfId="13922" xr:uid="{9846A7C4-1D02-440F-AABD-ECA9872CD92D}"/>
    <cellStyle name="Currency 5 2 2 3 2 3 4" xfId="9704" xr:uid="{E4E40A25-81EB-4786-9B99-B5BC1F6F8594}"/>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B2F668BF-2418-4AB9-9533-1965A1F1C57B}"/>
    <cellStyle name="Currency 5 2 2 3 2 4 2 3" xfId="12262" xr:uid="{209A512A-05C1-4B6E-A42B-2A4CF9B7FB82}"/>
    <cellStyle name="Currency 5 2 2 3 2 4 3" xfId="5885" xr:uid="{00000000-0005-0000-0000-0000D30B0000}"/>
    <cellStyle name="Currency 5 2 2 3 2 4 3 2" xfId="14335" xr:uid="{12FCB018-F643-4329-92F4-3DEFCF1E46C7}"/>
    <cellStyle name="Currency 5 2 2 3 2 4 4" xfId="10117" xr:uid="{172F68FF-231F-46FD-8935-1D9591847AA2}"/>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13B5B26B-0FE5-4BD0-B478-8CB6C43CDF29}"/>
    <cellStyle name="Currency 5 2 2 3 2 5 2 3" xfId="12675" xr:uid="{5AF9E339-2079-4211-97AE-BAEABCE17447}"/>
    <cellStyle name="Currency 5 2 2 3 2 5 3" xfId="6298" xr:uid="{00000000-0005-0000-0000-0000D70B0000}"/>
    <cellStyle name="Currency 5 2 2 3 2 5 3 2" xfId="14748" xr:uid="{1BC70D9A-401A-4EB2-A3EF-600518224E57}"/>
    <cellStyle name="Currency 5 2 2 3 2 5 4" xfId="10530" xr:uid="{A7BF1DDD-C733-4FD1-8E7D-48E5976DB5BA}"/>
    <cellStyle name="Currency 5 2 2 3 2 6" xfId="2427" xr:uid="{00000000-0005-0000-0000-0000D80B0000}"/>
    <cellStyle name="Currency 5 2 2 3 2 6 2" xfId="6711" xr:uid="{00000000-0005-0000-0000-0000D90B0000}"/>
    <cellStyle name="Currency 5 2 2 3 2 6 2 2" xfId="15161" xr:uid="{73508101-5943-48E8-934D-20762CD4BB3D}"/>
    <cellStyle name="Currency 5 2 2 3 2 6 3" xfId="10943" xr:uid="{AC702D1A-FB46-4561-9D33-F3B609B10D68}"/>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9536A0A2-0B36-4944-A83B-CE2BF4D1035E}"/>
    <cellStyle name="Currency 5 2 2 3 2 8 3" xfId="11260" xr:uid="{16978A8C-E73A-4399-A631-D045F772FA08}"/>
    <cellStyle name="Currency 5 2 2 3 2 9" xfId="4645" xr:uid="{00000000-0005-0000-0000-0000DD0B0000}"/>
    <cellStyle name="Currency 5 2 2 3 2 9 2" xfId="13095" xr:uid="{76618B7F-0EE4-45EF-AD18-AF40058CCCD5}"/>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A07A818A-39BB-43D5-887E-7B74EE01020F}"/>
    <cellStyle name="Currency 5 2 2 3 3 2 3" xfId="11435" xr:uid="{8F844CD7-E604-41AB-8AE8-4586F5222D13}"/>
    <cellStyle name="Currency 5 2 2 3 3 3" xfId="5058" xr:uid="{00000000-0005-0000-0000-0000E10B0000}"/>
    <cellStyle name="Currency 5 2 2 3 3 3 2" xfId="13508" xr:uid="{41ACA3A1-A781-47D1-86CE-A7F3E67BBAC7}"/>
    <cellStyle name="Currency 5 2 2 3 3 4" xfId="9290" xr:uid="{1AFE325A-DA03-498F-8E26-DB71090BD1D2}"/>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D8FFFC13-D9D3-4605-B0AF-3E2A6E2A0FDB}"/>
    <cellStyle name="Currency 5 2 2 3 4 2 3" xfId="11848" xr:uid="{15305EF2-4702-43C8-B179-9EFA68AFBF7F}"/>
    <cellStyle name="Currency 5 2 2 3 4 3" xfId="5471" xr:uid="{00000000-0005-0000-0000-0000E50B0000}"/>
    <cellStyle name="Currency 5 2 2 3 4 3 2" xfId="13921" xr:uid="{1AD94424-EF69-4B81-A2D5-A207C704DC70}"/>
    <cellStyle name="Currency 5 2 2 3 4 4" xfId="9703" xr:uid="{B29751E1-BF07-4D43-840C-9201812191F1}"/>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AE8C2B36-5E1F-4C8B-961B-C8260A422B36}"/>
    <cellStyle name="Currency 5 2 2 3 5 2 3" xfId="12261" xr:uid="{9DD24D2D-B080-42D4-B98D-7C7D085B4180}"/>
    <cellStyle name="Currency 5 2 2 3 5 3" xfId="5884" xr:uid="{00000000-0005-0000-0000-0000E90B0000}"/>
    <cellStyle name="Currency 5 2 2 3 5 3 2" xfId="14334" xr:uid="{329BC896-29B3-42B5-9F9B-7DFB35EE645C}"/>
    <cellStyle name="Currency 5 2 2 3 5 4" xfId="10116" xr:uid="{E058E8EB-AA88-4F03-B522-42DE8232B8C9}"/>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03847BF9-A1C3-4C0C-983B-B376D6338230}"/>
    <cellStyle name="Currency 5 2 2 3 6 2 3" xfId="12674" xr:uid="{30FC3C1D-4880-4515-8173-47604E02FC1A}"/>
    <cellStyle name="Currency 5 2 2 3 6 3" xfId="6297" xr:uid="{00000000-0005-0000-0000-0000ED0B0000}"/>
    <cellStyle name="Currency 5 2 2 3 6 3 2" xfId="14747" xr:uid="{F31A47C1-96F8-4CE9-AC62-ECEAE992710F}"/>
    <cellStyle name="Currency 5 2 2 3 6 4" xfId="10529" xr:uid="{EB1141D4-38C5-4C4A-80ED-83221AF4341D}"/>
    <cellStyle name="Currency 5 2 2 3 7" xfId="2426" xr:uid="{00000000-0005-0000-0000-0000EE0B0000}"/>
    <cellStyle name="Currency 5 2 2 3 7 2" xfId="6710" xr:uid="{00000000-0005-0000-0000-0000EF0B0000}"/>
    <cellStyle name="Currency 5 2 2 3 7 2 2" xfId="15160" xr:uid="{C46BF55F-0E74-4436-8A15-0AC38A2FA8CC}"/>
    <cellStyle name="Currency 5 2 2 3 7 3" xfId="10942" xr:uid="{13076A0F-8B84-4028-8FA9-92198A147A28}"/>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1A5230DF-3083-4B1C-A21D-3BB0B9F39481}"/>
    <cellStyle name="Currency 5 2 2 3 9 3" xfId="11259" xr:uid="{1A81598D-E231-433D-B2AC-17785CED75B1}"/>
    <cellStyle name="Currency 5 2 2 4" xfId="202" xr:uid="{00000000-0005-0000-0000-0000F30B0000}"/>
    <cellStyle name="Currency 5 2 2 4 10" xfId="8878" xr:uid="{8F66B398-6CBC-4685-BE76-2D00CB0DAE9C}"/>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7597FF74-1A64-4DA4-A89B-7C2F65B80A8D}"/>
    <cellStyle name="Currency 5 2 2 4 2 2 3" xfId="11437" xr:uid="{F5ACF9D3-6256-4C91-9759-625062873222}"/>
    <cellStyle name="Currency 5 2 2 4 2 3" xfId="5060" xr:uid="{00000000-0005-0000-0000-0000F70B0000}"/>
    <cellStyle name="Currency 5 2 2 4 2 3 2" xfId="13510" xr:uid="{4D0D58E4-2BA9-462C-8DF9-0518F977EA76}"/>
    <cellStyle name="Currency 5 2 2 4 2 4" xfId="9292" xr:uid="{4E4DB5FB-6C83-46DB-A349-E34062C0DF8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D63E1EE9-112B-456B-9CC8-C2F6447A7BBF}"/>
    <cellStyle name="Currency 5 2 2 4 3 2 3" xfId="11850" xr:uid="{00ABBB9E-F463-4384-B218-3E80BC5E895B}"/>
    <cellStyle name="Currency 5 2 2 4 3 3" xfId="5473" xr:uid="{00000000-0005-0000-0000-0000FB0B0000}"/>
    <cellStyle name="Currency 5 2 2 4 3 3 2" xfId="13923" xr:uid="{D5B82BE3-81B1-44C2-A7D6-E28AC7036282}"/>
    <cellStyle name="Currency 5 2 2 4 3 4" xfId="9705" xr:uid="{A11B279E-FC08-41B1-8521-9139DCA3D27F}"/>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3C59DAEE-F440-4DA9-ABCE-55A0660958B3}"/>
    <cellStyle name="Currency 5 2 2 4 4 2 3" xfId="12263" xr:uid="{09B45B1D-02B8-4F7B-9C4B-808EED121450}"/>
    <cellStyle name="Currency 5 2 2 4 4 3" xfId="5886" xr:uid="{00000000-0005-0000-0000-0000FF0B0000}"/>
    <cellStyle name="Currency 5 2 2 4 4 3 2" xfId="14336" xr:uid="{4BEDBAE3-9EF2-4D28-830F-98CE5A09A796}"/>
    <cellStyle name="Currency 5 2 2 4 4 4" xfId="10118" xr:uid="{B1EB1952-4E84-4C26-8961-D3751ED3DD64}"/>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045055BE-C97F-48F9-9525-7E56C3B66117}"/>
    <cellStyle name="Currency 5 2 2 4 5 2 3" xfId="12676" xr:uid="{CA1E7CDD-CBF2-4563-9527-52E7EC635F80}"/>
    <cellStyle name="Currency 5 2 2 4 5 3" xfId="6299" xr:uid="{00000000-0005-0000-0000-0000030C0000}"/>
    <cellStyle name="Currency 5 2 2 4 5 3 2" xfId="14749" xr:uid="{0D744BC3-9BF6-4E55-945D-1592FF71E7A0}"/>
    <cellStyle name="Currency 5 2 2 4 5 4" xfId="10531" xr:uid="{C29301D8-2066-47A6-A5F5-C216C777D64B}"/>
    <cellStyle name="Currency 5 2 2 4 6" xfId="2428" xr:uid="{00000000-0005-0000-0000-0000040C0000}"/>
    <cellStyle name="Currency 5 2 2 4 6 2" xfId="6712" xr:uid="{00000000-0005-0000-0000-0000050C0000}"/>
    <cellStyle name="Currency 5 2 2 4 6 2 2" xfId="15162" xr:uid="{329D7882-8A3A-4F5B-B3AC-5A46E45A5B6F}"/>
    <cellStyle name="Currency 5 2 2 4 6 3" xfId="10944" xr:uid="{A5C06CA8-39AB-4C5D-AF29-EE7E43696394}"/>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ACEAFE95-B90C-4EC5-BB9D-F191921D6AC9}"/>
    <cellStyle name="Currency 5 2 2 4 8 3" xfId="11261" xr:uid="{FEEF741B-C287-4AB1-A771-CC9DBCC3951A}"/>
    <cellStyle name="Currency 5 2 2 4 9" xfId="4646" xr:uid="{00000000-0005-0000-0000-0000090C0000}"/>
    <cellStyle name="Currency 5 2 2 4 9 2" xfId="13096" xr:uid="{8C923173-E044-47B8-9447-0C0D2365D96B}"/>
    <cellStyle name="Currency 5 2 2 5" xfId="203" xr:uid="{00000000-0005-0000-0000-00000A0C0000}"/>
    <cellStyle name="Currency 5 2 2 5 10" xfId="8879" xr:uid="{8F01EE82-472B-4189-BEFA-834B9A63780C}"/>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25DE5E69-283A-47BD-8406-35835CC72808}"/>
    <cellStyle name="Currency 5 2 2 5 2 2 3" xfId="11438" xr:uid="{4F8D0A82-EFCC-4858-9212-6DB5C975EDD6}"/>
    <cellStyle name="Currency 5 2 2 5 2 3" xfId="5061" xr:uid="{00000000-0005-0000-0000-00000E0C0000}"/>
    <cellStyle name="Currency 5 2 2 5 2 3 2" xfId="13511" xr:uid="{2D911247-4804-4E0B-839D-8B16698334EC}"/>
    <cellStyle name="Currency 5 2 2 5 2 4" xfId="9293" xr:uid="{25986266-C935-42A1-A318-85717201285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C0C788F4-51DD-4548-AF79-5B9FE27626FB}"/>
    <cellStyle name="Currency 5 2 2 5 3 2 3" xfId="11851" xr:uid="{CCC66A20-D64D-43EF-9A5D-D6964D98FAA1}"/>
    <cellStyle name="Currency 5 2 2 5 3 3" xfId="5474" xr:uid="{00000000-0005-0000-0000-0000120C0000}"/>
    <cellStyle name="Currency 5 2 2 5 3 3 2" xfId="13924" xr:uid="{04BE3A15-7CDE-47C0-BB20-55FAFDF097B7}"/>
    <cellStyle name="Currency 5 2 2 5 3 4" xfId="9706" xr:uid="{FFAF56E6-767A-4383-A0B9-BD920FDF9E6C}"/>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D5F6AF53-4987-4014-BDA5-6BB4422A8C84}"/>
    <cellStyle name="Currency 5 2 2 5 4 2 3" xfId="12264" xr:uid="{8AF19A16-4D08-42CC-8163-10500F687E35}"/>
    <cellStyle name="Currency 5 2 2 5 4 3" xfId="5887" xr:uid="{00000000-0005-0000-0000-0000160C0000}"/>
    <cellStyle name="Currency 5 2 2 5 4 3 2" xfId="14337" xr:uid="{79BF7F48-1722-4CCC-9595-A669C2D8B2D9}"/>
    <cellStyle name="Currency 5 2 2 5 4 4" xfId="10119" xr:uid="{B21DE7B3-6608-4DA6-B456-520505C591BD}"/>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6574196A-0C03-4A3A-A5C8-BCBAB3C2EACF}"/>
    <cellStyle name="Currency 5 2 2 5 5 2 3" xfId="12677" xr:uid="{D2BBA6B7-699C-4A66-AB1C-79B5A51C223A}"/>
    <cellStyle name="Currency 5 2 2 5 5 3" xfId="6300" xr:uid="{00000000-0005-0000-0000-00001A0C0000}"/>
    <cellStyle name="Currency 5 2 2 5 5 3 2" xfId="14750" xr:uid="{16A010E7-7745-491A-9BE4-5F8AE14B8A82}"/>
    <cellStyle name="Currency 5 2 2 5 5 4" xfId="10532" xr:uid="{2B4A22F0-9883-489C-BD88-F1E72D4FB858}"/>
    <cellStyle name="Currency 5 2 2 5 6" xfId="2429" xr:uid="{00000000-0005-0000-0000-00001B0C0000}"/>
    <cellStyle name="Currency 5 2 2 5 6 2" xfId="6713" xr:uid="{00000000-0005-0000-0000-00001C0C0000}"/>
    <cellStyle name="Currency 5 2 2 5 6 2 2" xfId="15163" xr:uid="{F0CD31E4-D8F1-4FEE-A99F-52DCF0923C89}"/>
    <cellStyle name="Currency 5 2 2 5 6 3" xfId="10945" xr:uid="{1DE64C54-444E-438E-83FB-CAE1EB56A92E}"/>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25AB07EC-995C-43B2-97BC-2584D6773520}"/>
    <cellStyle name="Currency 5 2 2 5 8 3" xfId="11262" xr:uid="{07F116E6-062F-4BAD-B5C2-305A92906170}"/>
    <cellStyle name="Currency 5 2 2 5 9" xfId="4647" xr:uid="{00000000-0005-0000-0000-0000200C0000}"/>
    <cellStyle name="Currency 5 2 2 5 9 2" xfId="13097" xr:uid="{86543249-B5B9-400C-AB4A-94C3A216C31C}"/>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197CA695-2A5B-4912-B53E-B83EBC447471}"/>
    <cellStyle name="Currency 5 2 4 11" xfId="8880" xr:uid="{23A5453A-B863-455C-88CC-13C0CA192D18}"/>
    <cellStyle name="Currency 5 2 4 2" xfId="206" xr:uid="{00000000-0005-0000-0000-0000250C0000}"/>
    <cellStyle name="Currency 5 2 4 2 10" xfId="8881" xr:uid="{BF952EE8-C017-43F4-A8F4-E20B5D1409D6}"/>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9FA534A6-E325-48EF-A937-4DB654C29139}"/>
    <cellStyle name="Currency 5 2 4 2 2 2 3" xfId="11440" xr:uid="{DFCCF9A1-ED22-4C69-A0B7-69F3F2133583}"/>
    <cellStyle name="Currency 5 2 4 2 2 3" xfId="5063" xr:uid="{00000000-0005-0000-0000-0000290C0000}"/>
    <cellStyle name="Currency 5 2 4 2 2 3 2" xfId="13513" xr:uid="{9622F0E3-C14F-4B8E-9527-5188257EF0FA}"/>
    <cellStyle name="Currency 5 2 4 2 2 4" xfId="9295" xr:uid="{7C5A40E9-F9CD-461E-9CFD-E4532BDF90E1}"/>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802BD64B-6775-4522-99D0-454418A4EB61}"/>
    <cellStyle name="Currency 5 2 4 2 3 2 3" xfId="11853" xr:uid="{D48F8E28-8E69-4966-A1D6-79C35B2BE532}"/>
    <cellStyle name="Currency 5 2 4 2 3 3" xfId="5476" xr:uid="{00000000-0005-0000-0000-00002D0C0000}"/>
    <cellStyle name="Currency 5 2 4 2 3 3 2" xfId="13926" xr:uid="{B4F34D18-4DAC-4A25-A443-FDA7D46A780C}"/>
    <cellStyle name="Currency 5 2 4 2 3 4" xfId="9708" xr:uid="{2323AE1B-C922-4016-949F-4F9754F39404}"/>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AB84585F-2AC6-4A10-BA6E-33D41A790C3F}"/>
    <cellStyle name="Currency 5 2 4 2 4 2 3" xfId="12266" xr:uid="{F8483788-4AEB-4DB6-8290-BB44E7946759}"/>
    <cellStyle name="Currency 5 2 4 2 4 3" xfId="5889" xr:uid="{00000000-0005-0000-0000-0000310C0000}"/>
    <cellStyle name="Currency 5 2 4 2 4 3 2" xfId="14339" xr:uid="{B452DE69-BE70-41FE-AB69-A354D4400421}"/>
    <cellStyle name="Currency 5 2 4 2 4 4" xfId="10121" xr:uid="{FD49D7A3-3EF9-4CA6-9A42-68A6D454EA6B}"/>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DA841B18-3058-414A-B301-71913DD1F8E4}"/>
    <cellStyle name="Currency 5 2 4 2 5 2 3" xfId="12679" xr:uid="{55C32CB0-CA33-43CB-8221-862381A09A90}"/>
    <cellStyle name="Currency 5 2 4 2 5 3" xfId="6302" xr:uid="{00000000-0005-0000-0000-0000350C0000}"/>
    <cellStyle name="Currency 5 2 4 2 5 3 2" xfId="14752" xr:uid="{CC5B83A8-7DCC-4A27-AE49-D94E10569BE5}"/>
    <cellStyle name="Currency 5 2 4 2 5 4" xfId="10534" xr:uid="{E2D92C67-44D2-41B9-AFB8-8DDE562413B5}"/>
    <cellStyle name="Currency 5 2 4 2 6" xfId="2431" xr:uid="{00000000-0005-0000-0000-0000360C0000}"/>
    <cellStyle name="Currency 5 2 4 2 6 2" xfId="6715" xr:uid="{00000000-0005-0000-0000-0000370C0000}"/>
    <cellStyle name="Currency 5 2 4 2 6 2 2" xfId="15165" xr:uid="{CCE988DF-20CD-4D5C-923F-ACA7E6B3C7E8}"/>
    <cellStyle name="Currency 5 2 4 2 6 3" xfId="10947" xr:uid="{07C24AFB-A450-40F3-8769-0F96E0BEF77E}"/>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811A40C8-A6BD-4E6D-A876-4BA796CED865}"/>
    <cellStyle name="Currency 5 2 4 2 8 3" xfId="11264" xr:uid="{5848EE41-5007-4488-A4D2-60C64CBF5749}"/>
    <cellStyle name="Currency 5 2 4 2 9" xfId="4649" xr:uid="{00000000-0005-0000-0000-00003B0C0000}"/>
    <cellStyle name="Currency 5 2 4 2 9 2" xfId="13099" xr:uid="{9DCFE23B-8823-4B6B-AF40-F70434724C86}"/>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B784D400-03F2-403A-9820-E23A5943AC79}"/>
    <cellStyle name="Currency 5 2 4 3 2 3" xfId="11439" xr:uid="{BCB2357C-83FA-4043-AFB5-4FC510D1B236}"/>
    <cellStyle name="Currency 5 2 4 3 3" xfId="5062" xr:uid="{00000000-0005-0000-0000-00003F0C0000}"/>
    <cellStyle name="Currency 5 2 4 3 3 2" xfId="13512" xr:uid="{0D61D9FA-8B7A-48A5-9C8E-B2CE8F0B55A5}"/>
    <cellStyle name="Currency 5 2 4 3 4" xfId="9294" xr:uid="{3AEF312B-172F-4359-8F25-20F1930CDEE5}"/>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3DAADFB4-5466-4084-98FD-9F7E87A5B682}"/>
    <cellStyle name="Currency 5 2 4 4 2 3" xfId="11852" xr:uid="{3047FC47-4C06-49B1-A31C-ED24EE809E4C}"/>
    <cellStyle name="Currency 5 2 4 4 3" xfId="5475" xr:uid="{00000000-0005-0000-0000-0000430C0000}"/>
    <cellStyle name="Currency 5 2 4 4 3 2" xfId="13925" xr:uid="{7FEF7053-7BC7-4509-8110-8156099926A0}"/>
    <cellStyle name="Currency 5 2 4 4 4" xfId="9707" xr:uid="{4467636B-0CBF-4C4D-A8ED-6891D295EA11}"/>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1E591956-135C-4242-9C8B-9189A5563DA5}"/>
    <cellStyle name="Currency 5 2 4 5 2 3" xfId="12265" xr:uid="{D34BC0B9-9BDD-42CE-B3AD-5E88BE76F206}"/>
    <cellStyle name="Currency 5 2 4 5 3" xfId="5888" xr:uid="{00000000-0005-0000-0000-0000470C0000}"/>
    <cellStyle name="Currency 5 2 4 5 3 2" xfId="14338" xr:uid="{8ADF4483-4656-498E-8979-42941B4D2BEC}"/>
    <cellStyle name="Currency 5 2 4 5 4" xfId="10120" xr:uid="{68658651-6E6E-43BB-A233-981C17EC624F}"/>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4D0112C0-188E-4408-9805-D5C33E25ABF2}"/>
    <cellStyle name="Currency 5 2 4 6 2 3" xfId="12678" xr:uid="{3E73FF9C-78FB-48A7-8C99-754372A3F7A1}"/>
    <cellStyle name="Currency 5 2 4 6 3" xfId="6301" xr:uid="{00000000-0005-0000-0000-00004B0C0000}"/>
    <cellStyle name="Currency 5 2 4 6 3 2" xfId="14751" xr:uid="{004EB560-F406-4F08-A12A-51016FE76E4E}"/>
    <cellStyle name="Currency 5 2 4 6 4" xfId="10533" xr:uid="{FEF40628-2F95-4BE5-A1F6-64074CE2EE04}"/>
    <cellStyle name="Currency 5 2 4 7" xfId="2430" xr:uid="{00000000-0005-0000-0000-00004C0C0000}"/>
    <cellStyle name="Currency 5 2 4 7 2" xfId="6714" xr:uid="{00000000-0005-0000-0000-00004D0C0000}"/>
    <cellStyle name="Currency 5 2 4 7 2 2" xfId="15164" xr:uid="{A598C43C-801F-4EA1-8AD9-215BDA60E1E3}"/>
    <cellStyle name="Currency 5 2 4 7 3" xfId="10946" xr:uid="{A0245255-7C8D-4841-A2D8-643F9061E63A}"/>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57EABE4D-F6C4-44F4-8558-18AFD4403F9D}"/>
    <cellStyle name="Currency 5 2 4 9 3" xfId="11263" xr:uid="{ABA6ADF2-2B57-490E-A812-0A33C85839D6}"/>
    <cellStyle name="Currency 5 2 5" xfId="207" xr:uid="{00000000-0005-0000-0000-0000510C0000}"/>
    <cellStyle name="Currency 5 2 5 10" xfId="8882" xr:uid="{BB0D4145-BC21-428B-A0AF-990CC4F41A93}"/>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C8F9F7F4-F820-46E2-A101-42FA4233F9E9}"/>
    <cellStyle name="Currency 5 2 5 2 2 3" xfId="11441" xr:uid="{1B1A563E-2DD3-49C3-B839-E06299D66C0E}"/>
    <cellStyle name="Currency 5 2 5 2 3" xfId="5064" xr:uid="{00000000-0005-0000-0000-0000550C0000}"/>
    <cellStyle name="Currency 5 2 5 2 3 2" xfId="13514" xr:uid="{EC711715-FB22-4557-ABAB-07E8AFF77B2D}"/>
    <cellStyle name="Currency 5 2 5 2 4" xfId="9296" xr:uid="{DB4D2D5E-A06A-42DC-976A-3E312248711E}"/>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D2DB3C5E-136B-40A7-A433-08C92EB3664C}"/>
    <cellStyle name="Currency 5 2 5 3 2 3" xfId="11854" xr:uid="{22B385A3-2933-4C49-B75C-4C187FC9777B}"/>
    <cellStyle name="Currency 5 2 5 3 3" xfId="5477" xr:uid="{00000000-0005-0000-0000-0000590C0000}"/>
    <cellStyle name="Currency 5 2 5 3 3 2" xfId="13927" xr:uid="{752E2076-E48A-49F5-B5C1-697A975F43F2}"/>
    <cellStyle name="Currency 5 2 5 3 4" xfId="9709" xr:uid="{75ADD4C2-39E2-412D-AC52-AF9D1914B28A}"/>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008DDAEF-FDA1-449C-8CFB-03CA8AB14547}"/>
    <cellStyle name="Currency 5 2 5 4 2 3" xfId="12267" xr:uid="{6EFB9654-13DA-4363-88AD-9CDD4D040768}"/>
    <cellStyle name="Currency 5 2 5 4 3" xfId="5890" xr:uid="{00000000-0005-0000-0000-00005D0C0000}"/>
    <cellStyle name="Currency 5 2 5 4 3 2" xfId="14340" xr:uid="{468BD917-DC85-4664-BC0B-E57856803E03}"/>
    <cellStyle name="Currency 5 2 5 4 4" xfId="10122" xr:uid="{8442FA12-1E47-45E4-B1C9-D81B8E36A533}"/>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338954D2-26C1-4F2A-BBF2-F10FB7EDE512}"/>
    <cellStyle name="Currency 5 2 5 5 2 3" xfId="12680" xr:uid="{EF2A9973-65C8-4A1E-8AB5-BFD2892AFA3B}"/>
    <cellStyle name="Currency 5 2 5 5 3" xfId="6303" xr:uid="{00000000-0005-0000-0000-0000610C0000}"/>
    <cellStyle name="Currency 5 2 5 5 3 2" xfId="14753" xr:uid="{DB4D41AB-CBEC-4FB9-A845-A388C4C38707}"/>
    <cellStyle name="Currency 5 2 5 5 4" xfId="10535" xr:uid="{65756CBB-56FF-421B-80BF-00A681A0D78A}"/>
    <cellStyle name="Currency 5 2 5 6" xfId="2432" xr:uid="{00000000-0005-0000-0000-0000620C0000}"/>
    <cellStyle name="Currency 5 2 5 6 2" xfId="6716" xr:uid="{00000000-0005-0000-0000-0000630C0000}"/>
    <cellStyle name="Currency 5 2 5 6 2 2" xfId="15166" xr:uid="{99A786F4-5C57-43A2-88EC-ADD678BD3D78}"/>
    <cellStyle name="Currency 5 2 5 6 3" xfId="10948" xr:uid="{B882C7E2-7593-47DC-9102-E19DAA7122F3}"/>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10A5F41C-CA3C-4E94-932A-F7529FC9A20F}"/>
    <cellStyle name="Currency 5 2 5 8 3" xfId="11265" xr:uid="{2D861D48-6497-484B-939A-F1348BD5D222}"/>
    <cellStyle name="Currency 5 2 5 9" xfId="4650" xr:uid="{00000000-0005-0000-0000-0000670C0000}"/>
    <cellStyle name="Currency 5 2 5 9 2" xfId="13100" xr:uid="{AE5418C1-B976-4A08-B141-FAF0DC47F84B}"/>
    <cellStyle name="Currency 5 2 6" xfId="208" xr:uid="{00000000-0005-0000-0000-0000680C0000}"/>
    <cellStyle name="Currency 5 2 6 10" xfId="8883" xr:uid="{F983429A-BC1F-4861-BB3B-969374A8C2DF}"/>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2D94BB9B-C11A-4252-B0AB-618367D0B9EA}"/>
    <cellStyle name="Currency 5 2 6 2 2 3" xfId="11442" xr:uid="{6D9EC229-433F-400D-A533-C67B1F6AB314}"/>
    <cellStyle name="Currency 5 2 6 2 3" xfId="5065" xr:uid="{00000000-0005-0000-0000-00006C0C0000}"/>
    <cellStyle name="Currency 5 2 6 2 3 2" xfId="13515" xr:uid="{6197A698-540F-40FB-A242-CFF66F74A938}"/>
    <cellStyle name="Currency 5 2 6 2 4" xfId="9297" xr:uid="{5260A5BC-4FE9-4E5C-907D-2F86BA47B18A}"/>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5B5113A0-A28D-434B-B2E2-7BCC0942CA7F}"/>
    <cellStyle name="Currency 5 2 6 3 2 3" xfId="11855" xr:uid="{8770FA4D-2F5A-4171-916E-FFDD043E8234}"/>
    <cellStyle name="Currency 5 2 6 3 3" xfId="5478" xr:uid="{00000000-0005-0000-0000-0000700C0000}"/>
    <cellStyle name="Currency 5 2 6 3 3 2" xfId="13928" xr:uid="{B72AF5E5-A1EC-4B22-974D-C06306ABA45C}"/>
    <cellStyle name="Currency 5 2 6 3 4" xfId="9710" xr:uid="{6761D351-CC51-4955-94E2-36B8D66369AC}"/>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98E763AA-DF9C-4A94-A3B2-BA0E13FBB9C5}"/>
    <cellStyle name="Currency 5 2 6 4 2 3" xfId="12268" xr:uid="{8064B79D-3B0D-47C5-A7CA-3B216625AE0D}"/>
    <cellStyle name="Currency 5 2 6 4 3" xfId="5891" xr:uid="{00000000-0005-0000-0000-0000740C0000}"/>
    <cellStyle name="Currency 5 2 6 4 3 2" xfId="14341" xr:uid="{ED6D0E85-3531-4600-965D-CF64F6155AD1}"/>
    <cellStyle name="Currency 5 2 6 4 4" xfId="10123" xr:uid="{653C9986-BAAF-4D5E-94CC-9C76E2CD9DA9}"/>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F31DCBA1-613D-4BDF-8780-C4A2FF2AA0F7}"/>
    <cellStyle name="Currency 5 2 6 5 2 3" xfId="12681" xr:uid="{D62744E7-9284-42F2-9212-C98940EA0FE3}"/>
    <cellStyle name="Currency 5 2 6 5 3" xfId="6304" xr:uid="{00000000-0005-0000-0000-0000780C0000}"/>
    <cellStyle name="Currency 5 2 6 5 3 2" xfId="14754" xr:uid="{BA204A45-79F9-4478-B95D-97F4746A3F1D}"/>
    <cellStyle name="Currency 5 2 6 5 4" xfId="10536" xr:uid="{927EDBC1-C0BA-4C20-B436-27FA040D783E}"/>
    <cellStyle name="Currency 5 2 6 6" xfId="2433" xr:uid="{00000000-0005-0000-0000-0000790C0000}"/>
    <cellStyle name="Currency 5 2 6 6 2" xfId="6717" xr:uid="{00000000-0005-0000-0000-00007A0C0000}"/>
    <cellStyle name="Currency 5 2 6 6 2 2" xfId="15167" xr:uid="{6B6F5DC5-8EDD-4DA6-92BD-69B7B6837141}"/>
    <cellStyle name="Currency 5 2 6 6 3" xfId="10949" xr:uid="{31765118-78A9-45C3-86FD-48621339BA84}"/>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FC90019E-163E-46E4-819B-30AA11A9DB0A}"/>
    <cellStyle name="Currency 5 2 6 8 3" xfId="11266" xr:uid="{9A288D70-ECBF-4043-9CC4-06B628589C87}"/>
    <cellStyle name="Currency 5 2 6 9" xfId="4651" xr:uid="{00000000-0005-0000-0000-00007E0C0000}"/>
    <cellStyle name="Currency 5 2 6 9 2" xfId="13101" xr:uid="{A3890CE3-2266-4848-99F3-7634F95C311D}"/>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DC1B6AAE-DEAD-44D7-AF60-0BFADF977691}"/>
    <cellStyle name="Currency 5 3 2 10 3" xfId="11267" xr:uid="{998049B6-D884-49A9-840D-2DAE8B2FCFE0}"/>
    <cellStyle name="Currency 5 3 2 11" xfId="4652" xr:uid="{00000000-0005-0000-0000-0000840C0000}"/>
    <cellStyle name="Currency 5 3 2 11 2" xfId="13102" xr:uid="{7EFEDC88-0A65-4EC9-9E4E-69BB72838F94}"/>
    <cellStyle name="Currency 5 3 2 12" xfId="8884" xr:uid="{9D4F53C1-B899-4683-8C3F-E96F097CEAC9}"/>
    <cellStyle name="Currency 5 3 2 2" xfId="211" xr:uid="{00000000-0005-0000-0000-0000850C0000}"/>
    <cellStyle name="Currency 5 3 2 2 10" xfId="4653" xr:uid="{00000000-0005-0000-0000-0000860C0000}"/>
    <cellStyle name="Currency 5 3 2 2 10 2" xfId="13103" xr:uid="{12C93F61-21F2-412C-936E-ACF469BF11C4}"/>
    <cellStyle name="Currency 5 3 2 2 11" xfId="8885" xr:uid="{CE29D94B-E246-4C94-94E8-E83EAD1F8544}"/>
    <cellStyle name="Currency 5 3 2 2 2" xfId="212" xr:uid="{00000000-0005-0000-0000-0000870C0000}"/>
    <cellStyle name="Currency 5 3 2 2 2 10" xfId="8886" xr:uid="{A0904A6B-DA1C-47F8-9040-44D8AD6955B6}"/>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79FBB2EE-3BAF-48F6-9B0D-7649311898C9}"/>
    <cellStyle name="Currency 5 3 2 2 2 2 2 3" xfId="11445" xr:uid="{06992CFE-9B9D-4D2A-BF02-0A6949892942}"/>
    <cellStyle name="Currency 5 3 2 2 2 2 3" xfId="5068" xr:uid="{00000000-0005-0000-0000-00008B0C0000}"/>
    <cellStyle name="Currency 5 3 2 2 2 2 3 2" xfId="13518" xr:uid="{89A2CC64-2784-49A8-AE34-3E10FA1CABC4}"/>
    <cellStyle name="Currency 5 3 2 2 2 2 4" xfId="9300" xr:uid="{8CF5FA2E-7207-4C71-B1A5-5F70E4AD62B7}"/>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D5B7C18F-BFCF-4121-9F95-EDB70998A8F1}"/>
    <cellStyle name="Currency 5 3 2 2 2 3 2 3" xfId="11858" xr:uid="{024363A0-51BC-4CFC-8792-A3F30590398F}"/>
    <cellStyle name="Currency 5 3 2 2 2 3 3" xfId="5481" xr:uid="{00000000-0005-0000-0000-00008F0C0000}"/>
    <cellStyle name="Currency 5 3 2 2 2 3 3 2" xfId="13931" xr:uid="{B4E0DDEF-7665-4219-81D1-2FC483CE26EE}"/>
    <cellStyle name="Currency 5 3 2 2 2 3 4" xfId="9713" xr:uid="{E186E287-9606-47FA-BF02-FBFB4FCC3957}"/>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5459996C-7602-4FAA-8A6F-51681EC712DE}"/>
    <cellStyle name="Currency 5 3 2 2 2 4 2 3" xfId="12271" xr:uid="{18019928-15B6-4FA6-9F66-A61E6B15F507}"/>
    <cellStyle name="Currency 5 3 2 2 2 4 3" xfId="5894" xr:uid="{00000000-0005-0000-0000-0000930C0000}"/>
    <cellStyle name="Currency 5 3 2 2 2 4 3 2" xfId="14344" xr:uid="{48B6AB3A-108B-4C59-AFFB-C9341CB1239E}"/>
    <cellStyle name="Currency 5 3 2 2 2 4 4" xfId="10126" xr:uid="{6551E689-1C6D-485F-95F4-431FF4D81F72}"/>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B7D8320C-2C6A-4B8C-BA74-F99C96A74A58}"/>
    <cellStyle name="Currency 5 3 2 2 2 5 2 3" xfId="12684" xr:uid="{6D3C3D88-AB6A-4C7F-B751-051A9637C000}"/>
    <cellStyle name="Currency 5 3 2 2 2 5 3" xfId="6307" xr:uid="{00000000-0005-0000-0000-0000970C0000}"/>
    <cellStyle name="Currency 5 3 2 2 2 5 3 2" xfId="14757" xr:uid="{61BA0DC7-3F4A-4CBC-A8A7-CD301C0A3288}"/>
    <cellStyle name="Currency 5 3 2 2 2 5 4" xfId="10539" xr:uid="{B6DCE1B4-DDD6-4AD0-903D-CAAD458D4FD9}"/>
    <cellStyle name="Currency 5 3 2 2 2 6" xfId="2436" xr:uid="{00000000-0005-0000-0000-0000980C0000}"/>
    <cellStyle name="Currency 5 3 2 2 2 6 2" xfId="6720" xr:uid="{00000000-0005-0000-0000-0000990C0000}"/>
    <cellStyle name="Currency 5 3 2 2 2 6 2 2" xfId="15170" xr:uid="{2EBF25E6-A1CF-44C0-9C00-0E1447C98644}"/>
    <cellStyle name="Currency 5 3 2 2 2 6 3" xfId="10952" xr:uid="{015FD5A5-8A59-492C-97A1-C69C88A8AAE9}"/>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B1022B6D-7EC8-4EDD-8C5A-9B89902A3188}"/>
    <cellStyle name="Currency 5 3 2 2 2 8 3" xfId="11269" xr:uid="{5A61328C-2C5D-42E0-B25A-8DFFFB8BE06F}"/>
    <cellStyle name="Currency 5 3 2 2 2 9" xfId="4654" xr:uid="{00000000-0005-0000-0000-00009D0C0000}"/>
    <cellStyle name="Currency 5 3 2 2 2 9 2" xfId="13104" xr:uid="{5ABF363D-0C66-4A20-AB1A-DB2DF6447269}"/>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C70FD1B1-FD71-4E1F-9DD9-799F6E74106B}"/>
    <cellStyle name="Currency 5 3 2 2 3 2 3" xfId="11444" xr:uid="{F4DCCBA8-1160-469D-9CE3-F826D0F0FBD4}"/>
    <cellStyle name="Currency 5 3 2 2 3 3" xfId="5067" xr:uid="{00000000-0005-0000-0000-0000A10C0000}"/>
    <cellStyle name="Currency 5 3 2 2 3 3 2" xfId="13517" xr:uid="{13FD8437-6C29-4009-91B9-B75AFE81B015}"/>
    <cellStyle name="Currency 5 3 2 2 3 4" xfId="9299" xr:uid="{1A68D658-4BC0-46F0-8564-2E3D8B4B8FBA}"/>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E890C406-66E8-4059-945D-AAE68288DBC1}"/>
    <cellStyle name="Currency 5 3 2 2 4 2 3" xfId="11857" xr:uid="{C9E07F71-7540-497D-8DDE-6457A2C41305}"/>
    <cellStyle name="Currency 5 3 2 2 4 3" xfId="5480" xr:uid="{00000000-0005-0000-0000-0000A50C0000}"/>
    <cellStyle name="Currency 5 3 2 2 4 3 2" xfId="13930" xr:uid="{428F0246-8539-406F-A0CA-B8FE7F754411}"/>
    <cellStyle name="Currency 5 3 2 2 4 4" xfId="9712" xr:uid="{2DB5FFCF-2B2B-460D-8250-4CFEA4359BB2}"/>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D8A06449-FAB0-492B-8415-3EAAA6A8D80B}"/>
    <cellStyle name="Currency 5 3 2 2 5 2 3" xfId="12270" xr:uid="{38D95D0D-CF6A-41E3-97AD-D33793B52B1A}"/>
    <cellStyle name="Currency 5 3 2 2 5 3" xfId="5893" xr:uid="{00000000-0005-0000-0000-0000A90C0000}"/>
    <cellStyle name="Currency 5 3 2 2 5 3 2" xfId="14343" xr:uid="{F4E1FA04-CD10-4C14-A0F3-98E582C2E143}"/>
    <cellStyle name="Currency 5 3 2 2 5 4" xfId="10125" xr:uid="{4C01D236-62AF-4923-AAF8-BF48BF900302}"/>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C3C42A27-7D1B-4A26-8753-213A16574FE2}"/>
    <cellStyle name="Currency 5 3 2 2 6 2 3" xfId="12683" xr:uid="{EF4D9DF6-1ACF-4AA4-BFB4-481FB5DA71AC}"/>
    <cellStyle name="Currency 5 3 2 2 6 3" xfId="6306" xr:uid="{00000000-0005-0000-0000-0000AD0C0000}"/>
    <cellStyle name="Currency 5 3 2 2 6 3 2" xfId="14756" xr:uid="{AF03F757-CD06-4F61-8012-FD687D10C4CC}"/>
    <cellStyle name="Currency 5 3 2 2 6 4" xfId="10538" xr:uid="{EBFEB287-A497-46CF-BE82-70A55074B94F}"/>
    <cellStyle name="Currency 5 3 2 2 7" xfId="2435" xr:uid="{00000000-0005-0000-0000-0000AE0C0000}"/>
    <cellStyle name="Currency 5 3 2 2 7 2" xfId="6719" xr:uid="{00000000-0005-0000-0000-0000AF0C0000}"/>
    <cellStyle name="Currency 5 3 2 2 7 2 2" xfId="15169" xr:uid="{01F44A00-FF7B-4A6A-A7B3-7810D79A0498}"/>
    <cellStyle name="Currency 5 3 2 2 7 3" xfId="10951" xr:uid="{1F16691B-9FAD-4856-AECF-F2101A86F333}"/>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CC99EB4B-167C-4E17-8800-A29D4F4DB95F}"/>
    <cellStyle name="Currency 5 3 2 2 9 3" xfId="11268" xr:uid="{48293245-47C9-4A3E-A08F-AA53EDEE20BC}"/>
    <cellStyle name="Currency 5 3 2 3" xfId="213" xr:uid="{00000000-0005-0000-0000-0000B30C0000}"/>
    <cellStyle name="Currency 5 3 2 3 10" xfId="8887" xr:uid="{C103727F-B4A9-413A-B19D-65A37DD0D6FB}"/>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C793F4B3-328E-4C7F-B854-1A9D91B5697E}"/>
    <cellStyle name="Currency 5 3 2 3 2 2 3" xfId="11446" xr:uid="{EE629ADC-7EFA-4365-AB0F-B28F4F7889D4}"/>
    <cellStyle name="Currency 5 3 2 3 2 3" xfId="5069" xr:uid="{00000000-0005-0000-0000-0000B70C0000}"/>
    <cellStyle name="Currency 5 3 2 3 2 3 2" xfId="13519" xr:uid="{4C62069C-C7C7-42E3-B388-ED89762B6257}"/>
    <cellStyle name="Currency 5 3 2 3 2 4" xfId="9301" xr:uid="{2F5577A6-882C-489B-AB98-9494B82D79D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9B7FFF8F-11E9-4BC9-B03F-8FBCAF69A214}"/>
    <cellStyle name="Currency 5 3 2 3 3 2 3" xfId="11859" xr:uid="{96F2DFE7-977C-4A73-82C0-DFBFBC8C54E2}"/>
    <cellStyle name="Currency 5 3 2 3 3 3" xfId="5482" xr:uid="{00000000-0005-0000-0000-0000BB0C0000}"/>
    <cellStyle name="Currency 5 3 2 3 3 3 2" xfId="13932" xr:uid="{0E0EFCF6-1B52-4D8E-B4EE-0FC244613372}"/>
    <cellStyle name="Currency 5 3 2 3 3 4" xfId="9714" xr:uid="{A57148C6-1E70-40BF-8467-D1914032EC0C}"/>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84F57D77-FE83-47BD-B0FF-1A1B3C5BE79F}"/>
    <cellStyle name="Currency 5 3 2 3 4 2 3" xfId="12272" xr:uid="{1FA0F454-BF14-437D-A4AD-4E4ADE76E5F2}"/>
    <cellStyle name="Currency 5 3 2 3 4 3" xfId="5895" xr:uid="{00000000-0005-0000-0000-0000BF0C0000}"/>
    <cellStyle name="Currency 5 3 2 3 4 3 2" xfId="14345" xr:uid="{BE753215-115A-49C1-B474-1553F5F03259}"/>
    <cellStyle name="Currency 5 3 2 3 4 4" xfId="10127" xr:uid="{12CD799B-FF3D-4947-8991-1F020C1FE503}"/>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B88ACA04-19C5-4C97-85F6-404CA7FCEA18}"/>
    <cellStyle name="Currency 5 3 2 3 5 2 3" xfId="12685" xr:uid="{42B6D9AF-F535-402D-8397-12965AD72376}"/>
    <cellStyle name="Currency 5 3 2 3 5 3" xfId="6308" xr:uid="{00000000-0005-0000-0000-0000C30C0000}"/>
    <cellStyle name="Currency 5 3 2 3 5 3 2" xfId="14758" xr:uid="{59D6C887-8D6F-4139-BE1C-0C3949B8D7B0}"/>
    <cellStyle name="Currency 5 3 2 3 5 4" xfId="10540" xr:uid="{022CC42D-905B-4A36-B3C8-3C877B95BE1B}"/>
    <cellStyle name="Currency 5 3 2 3 6" xfId="2437" xr:uid="{00000000-0005-0000-0000-0000C40C0000}"/>
    <cellStyle name="Currency 5 3 2 3 6 2" xfId="6721" xr:uid="{00000000-0005-0000-0000-0000C50C0000}"/>
    <cellStyle name="Currency 5 3 2 3 6 2 2" xfId="15171" xr:uid="{21F444A6-41A7-46B4-B4D2-0A21F065C4B0}"/>
    <cellStyle name="Currency 5 3 2 3 6 3" xfId="10953" xr:uid="{7AA13014-35AA-4721-843F-B636FA9B6350}"/>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389DF585-1817-4EB6-AEE9-7DF273C91EB0}"/>
    <cellStyle name="Currency 5 3 2 3 8 3" xfId="11270" xr:uid="{B687835B-4D76-4BBC-84FD-E695E77CFA3B}"/>
    <cellStyle name="Currency 5 3 2 3 9" xfId="4655" xr:uid="{00000000-0005-0000-0000-0000C90C0000}"/>
    <cellStyle name="Currency 5 3 2 3 9 2" xfId="13105" xr:uid="{4BA20E80-4E9B-4431-A636-20D9A56A8ADE}"/>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ED23F6F6-36A7-49CB-9E83-B6D77B4B5B45}"/>
    <cellStyle name="Currency 5 3 2 4 2 3" xfId="11443" xr:uid="{B4C07493-04DC-40C5-9021-F97559BE8C94}"/>
    <cellStyle name="Currency 5 3 2 4 3" xfId="5066" xr:uid="{00000000-0005-0000-0000-0000CD0C0000}"/>
    <cellStyle name="Currency 5 3 2 4 3 2" xfId="13516" xr:uid="{879E7E16-7481-4838-B039-8FB82DE30F4C}"/>
    <cellStyle name="Currency 5 3 2 4 4" xfId="9298" xr:uid="{B183BD1D-A95F-4695-9852-82782F9E0A08}"/>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A5360504-4EA5-4E44-975C-C498D3F3CB03}"/>
    <cellStyle name="Currency 5 3 2 5 2 3" xfId="11856" xr:uid="{8660160A-3C52-4686-9942-31A8E91038DC}"/>
    <cellStyle name="Currency 5 3 2 5 3" xfId="5479" xr:uid="{00000000-0005-0000-0000-0000D10C0000}"/>
    <cellStyle name="Currency 5 3 2 5 3 2" xfId="13929" xr:uid="{CD75FBF5-97CF-4B53-9F90-CC086DA646AC}"/>
    <cellStyle name="Currency 5 3 2 5 4" xfId="9711" xr:uid="{52585BE3-B1EE-49CE-A1E9-2435FDD5FA25}"/>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9C565C47-9247-4770-808E-C3095A4FA001}"/>
    <cellStyle name="Currency 5 3 2 6 2 3" xfId="12269" xr:uid="{D998E2EF-8C01-40B9-90DC-0C6B0971C5AD}"/>
    <cellStyle name="Currency 5 3 2 6 3" xfId="5892" xr:uid="{00000000-0005-0000-0000-0000D50C0000}"/>
    <cellStyle name="Currency 5 3 2 6 3 2" xfId="14342" xr:uid="{50BB97B0-A472-43EC-9A78-43D7750A78BB}"/>
    <cellStyle name="Currency 5 3 2 6 4" xfId="10124" xr:uid="{7B4DCA33-31C9-4B17-B829-1981D05EF33B}"/>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4124D7F4-4C93-489D-B358-2C53D5F92269}"/>
    <cellStyle name="Currency 5 3 2 7 2 3" xfId="12682" xr:uid="{5F86A76D-9918-4F54-A62C-CDA721BE9FC7}"/>
    <cellStyle name="Currency 5 3 2 7 3" xfId="6305" xr:uid="{00000000-0005-0000-0000-0000D90C0000}"/>
    <cellStyle name="Currency 5 3 2 7 3 2" xfId="14755" xr:uid="{3DC148AB-CFDB-4050-8F79-3DD0194BC373}"/>
    <cellStyle name="Currency 5 3 2 7 4" xfId="10537" xr:uid="{060A676D-FF87-4F27-A92E-3F811935ACAB}"/>
    <cellStyle name="Currency 5 3 2 8" xfId="2434" xr:uid="{00000000-0005-0000-0000-0000DA0C0000}"/>
    <cellStyle name="Currency 5 3 2 8 2" xfId="6718" xr:uid="{00000000-0005-0000-0000-0000DB0C0000}"/>
    <cellStyle name="Currency 5 3 2 8 2 2" xfId="15168" xr:uid="{C3C5A287-2AD9-4E38-B325-28B55D14F348}"/>
    <cellStyle name="Currency 5 3 2 8 3" xfId="10950" xr:uid="{D0748F35-CC4B-424A-B42B-7692F5CD8ED3}"/>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83844F99-A3BA-4DAD-A215-E61B954838E5}"/>
    <cellStyle name="Currency 5 3 3 11" xfId="8888" xr:uid="{99E2F013-8D08-457F-B209-662620AB0FF7}"/>
    <cellStyle name="Currency 5 3 3 2" xfId="215" xr:uid="{00000000-0005-0000-0000-0000DF0C0000}"/>
    <cellStyle name="Currency 5 3 3 2 10" xfId="8889" xr:uid="{D07B240E-61C8-4F17-8705-0D83DA28427F}"/>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85FA4959-6CB0-4D5A-98C5-CD627F4C05A2}"/>
    <cellStyle name="Currency 5 3 3 2 2 2 3" xfId="11448" xr:uid="{08A64B92-BDF9-46F7-BA9B-5C8F46E14204}"/>
    <cellStyle name="Currency 5 3 3 2 2 3" xfId="5071" xr:uid="{00000000-0005-0000-0000-0000E30C0000}"/>
    <cellStyle name="Currency 5 3 3 2 2 3 2" xfId="13521" xr:uid="{7B4F7E77-B81E-47CC-B5D8-C9859E62651A}"/>
    <cellStyle name="Currency 5 3 3 2 2 4" xfId="9303" xr:uid="{BCD8B6D7-382F-4C0A-A50D-BC56F616D9F1}"/>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31E699DF-DF7C-4BA6-98E9-78593EEEE5ED}"/>
    <cellStyle name="Currency 5 3 3 2 3 2 3" xfId="11861" xr:uid="{062C4C7F-9E25-4EF8-8480-CB83C5A0975D}"/>
    <cellStyle name="Currency 5 3 3 2 3 3" xfId="5484" xr:uid="{00000000-0005-0000-0000-0000E70C0000}"/>
    <cellStyle name="Currency 5 3 3 2 3 3 2" xfId="13934" xr:uid="{04CBA104-6377-41F0-91AD-52C380C6E3A3}"/>
    <cellStyle name="Currency 5 3 3 2 3 4" xfId="9716" xr:uid="{206BF488-2FB4-47E9-8119-8E3085DBA84B}"/>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454D1679-433C-495E-8DCF-B5947B9493C4}"/>
    <cellStyle name="Currency 5 3 3 2 4 2 3" xfId="12274" xr:uid="{0E2BCBF0-6446-4857-93F9-821B4710F0A5}"/>
    <cellStyle name="Currency 5 3 3 2 4 3" xfId="5897" xr:uid="{00000000-0005-0000-0000-0000EB0C0000}"/>
    <cellStyle name="Currency 5 3 3 2 4 3 2" xfId="14347" xr:uid="{F4244619-F0E6-40BB-9EA0-7E043BA07283}"/>
    <cellStyle name="Currency 5 3 3 2 4 4" xfId="10129" xr:uid="{6B15207A-73D9-4279-9418-7D2AB66B8D09}"/>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2A5AF0FC-2B06-4455-B472-2C13C10DF855}"/>
    <cellStyle name="Currency 5 3 3 2 5 2 3" xfId="12687" xr:uid="{AA87C00F-51E5-4A1E-9156-61C065C068CF}"/>
    <cellStyle name="Currency 5 3 3 2 5 3" xfId="6310" xr:uid="{00000000-0005-0000-0000-0000EF0C0000}"/>
    <cellStyle name="Currency 5 3 3 2 5 3 2" xfId="14760" xr:uid="{4EA44F5F-4B8D-4013-B857-86DBF9A61A16}"/>
    <cellStyle name="Currency 5 3 3 2 5 4" xfId="10542" xr:uid="{4AB404CC-8001-459D-BC57-4EEAB4A087CF}"/>
    <cellStyle name="Currency 5 3 3 2 6" xfId="2439" xr:uid="{00000000-0005-0000-0000-0000F00C0000}"/>
    <cellStyle name="Currency 5 3 3 2 6 2" xfId="6723" xr:uid="{00000000-0005-0000-0000-0000F10C0000}"/>
    <cellStyle name="Currency 5 3 3 2 6 2 2" xfId="15173" xr:uid="{D4015393-8403-4CC0-808B-7500A8AB7C23}"/>
    <cellStyle name="Currency 5 3 3 2 6 3" xfId="10955" xr:uid="{21961A5F-B264-4FB6-BC6A-F365505FCE3B}"/>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C81879A7-EDC5-4644-82E2-A9243AF8C9BA}"/>
    <cellStyle name="Currency 5 3 3 2 8 3" xfId="11272" xr:uid="{21DF410C-9C8C-4A3D-A330-C88B83F9D8C0}"/>
    <cellStyle name="Currency 5 3 3 2 9" xfId="4657" xr:uid="{00000000-0005-0000-0000-0000F50C0000}"/>
    <cellStyle name="Currency 5 3 3 2 9 2" xfId="13107" xr:uid="{FB1723DC-329A-40B4-9C5E-37D3893846F5}"/>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4759AA37-72F9-40B7-88D3-CFE4D70879EF}"/>
    <cellStyle name="Currency 5 3 3 3 2 3" xfId="11447" xr:uid="{784ADC2D-7CCB-448E-B8B4-132D5C0A1800}"/>
    <cellStyle name="Currency 5 3 3 3 3" xfId="5070" xr:uid="{00000000-0005-0000-0000-0000F90C0000}"/>
    <cellStyle name="Currency 5 3 3 3 3 2" xfId="13520" xr:uid="{8D4B2B3D-D609-48E6-8CB2-7DA28FE146FB}"/>
    <cellStyle name="Currency 5 3 3 3 4" xfId="9302" xr:uid="{61B7D8AE-E9C3-41D7-B056-DC6CC99DC472}"/>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F7965E6B-B8C3-4719-ABF4-7705021B357D}"/>
    <cellStyle name="Currency 5 3 3 4 2 3" xfId="11860" xr:uid="{5B035564-50AC-4DAE-B5FE-455F2D15DB9D}"/>
    <cellStyle name="Currency 5 3 3 4 3" xfId="5483" xr:uid="{00000000-0005-0000-0000-0000FD0C0000}"/>
    <cellStyle name="Currency 5 3 3 4 3 2" xfId="13933" xr:uid="{F95D2BA2-E482-489E-9CB1-9A1BEEE5B5E6}"/>
    <cellStyle name="Currency 5 3 3 4 4" xfId="9715" xr:uid="{021FF33E-4204-4936-90D1-4B6DE16C4838}"/>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1ED11890-D62C-4BF1-96A4-F2CA72B0A5F0}"/>
    <cellStyle name="Currency 5 3 3 5 2 3" xfId="12273" xr:uid="{A69E7E39-71BD-4FD7-9984-747E9D0049D4}"/>
    <cellStyle name="Currency 5 3 3 5 3" xfId="5896" xr:uid="{00000000-0005-0000-0000-0000010D0000}"/>
    <cellStyle name="Currency 5 3 3 5 3 2" xfId="14346" xr:uid="{2082ECBF-4E1E-4F19-A5C1-4222A32957AD}"/>
    <cellStyle name="Currency 5 3 3 5 4" xfId="10128" xr:uid="{CEBD5C80-F52E-4E68-8BD9-6986198FEF6C}"/>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D8F34F2A-1381-4B67-AAF9-3CB5F2BC2BC7}"/>
    <cellStyle name="Currency 5 3 3 6 2 3" xfId="12686" xr:uid="{A1C9DD18-6005-4448-B65A-B36AB9F86392}"/>
    <cellStyle name="Currency 5 3 3 6 3" xfId="6309" xr:uid="{00000000-0005-0000-0000-0000050D0000}"/>
    <cellStyle name="Currency 5 3 3 6 3 2" xfId="14759" xr:uid="{7D06F992-2F0E-4DFD-A066-2FCA3ED7A4AB}"/>
    <cellStyle name="Currency 5 3 3 6 4" xfId="10541" xr:uid="{09BB2C90-F122-4917-AA9C-AB3D8C789D9E}"/>
    <cellStyle name="Currency 5 3 3 7" xfId="2438" xr:uid="{00000000-0005-0000-0000-0000060D0000}"/>
    <cellStyle name="Currency 5 3 3 7 2" xfId="6722" xr:uid="{00000000-0005-0000-0000-0000070D0000}"/>
    <cellStyle name="Currency 5 3 3 7 2 2" xfId="15172" xr:uid="{14DF70CF-A389-4C87-B349-6E5782BF6D9D}"/>
    <cellStyle name="Currency 5 3 3 7 3" xfId="10954" xr:uid="{C31B7DD1-B6B2-4D4B-9205-68C08599F2F1}"/>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5D8BF256-6BBB-4F56-8F6A-72DD5F632E92}"/>
    <cellStyle name="Currency 5 3 3 9 3" xfId="11271" xr:uid="{2D2CE76D-E379-4CCF-9A0E-131924CCB33F}"/>
    <cellStyle name="Currency 5 3 4" xfId="216" xr:uid="{00000000-0005-0000-0000-00000B0D0000}"/>
    <cellStyle name="Currency 5 3 4 10" xfId="8890" xr:uid="{DD4CE740-2368-4D48-AA5D-F9CC10FBD94D}"/>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D3B3E58E-8EDB-432E-B204-A5EE1CABF7E1}"/>
    <cellStyle name="Currency 5 3 4 2 2 3" xfId="11449" xr:uid="{F2757C70-2611-41AE-A9C4-2683B35F85F0}"/>
    <cellStyle name="Currency 5 3 4 2 3" xfId="5072" xr:uid="{00000000-0005-0000-0000-00000F0D0000}"/>
    <cellStyle name="Currency 5 3 4 2 3 2" xfId="13522" xr:uid="{A446A480-075A-4893-A4E8-8FAAC8EC1FE7}"/>
    <cellStyle name="Currency 5 3 4 2 4" xfId="9304" xr:uid="{1926A496-5866-4F30-99D4-337E3C412A2A}"/>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0BD69D5F-C236-4591-8BFE-91AFDBBBC0AE}"/>
    <cellStyle name="Currency 5 3 4 3 2 3" xfId="11862" xr:uid="{EE7BC5E1-16E1-4FAF-AFD9-E43A5108A47C}"/>
    <cellStyle name="Currency 5 3 4 3 3" xfId="5485" xr:uid="{00000000-0005-0000-0000-0000130D0000}"/>
    <cellStyle name="Currency 5 3 4 3 3 2" xfId="13935" xr:uid="{9F5A811B-CBD8-46D2-B7E7-DFE2B66240F3}"/>
    <cellStyle name="Currency 5 3 4 3 4" xfId="9717" xr:uid="{AE99633C-6603-43C7-A672-EA90D713E4B4}"/>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D142D37C-31EF-4696-B77C-07A193FD2AE4}"/>
    <cellStyle name="Currency 5 3 4 4 2 3" xfId="12275" xr:uid="{A6763481-FB3A-4014-B5A3-3CA359AF269E}"/>
    <cellStyle name="Currency 5 3 4 4 3" xfId="5898" xr:uid="{00000000-0005-0000-0000-0000170D0000}"/>
    <cellStyle name="Currency 5 3 4 4 3 2" xfId="14348" xr:uid="{A9B745B2-92DD-4ECB-B11B-B15B329A5118}"/>
    <cellStyle name="Currency 5 3 4 4 4" xfId="10130" xr:uid="{88E27A10-4DF2-4BBC-B72F-85DC55998C24}"/>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8EC55C7E-E667-46E6-922E-BBD66FC211EA}"/>
    <cellStyle name="Currency 5 3 4 5 2 3" xfId="12688" xr:uid="{7A78D1DC-CF95-485F-9D9B-901C1F47D7B5}"/>
    <cellStyle name="Currency 5 3 4 5 3" xfId="6311" xr:uid="{00000000-0005-0000-0000-00001B0D0000}"/>
    <cellStyle name="Currency 5 3 4 5 3 2" xfId="14761" xr:uid="{BD7DFBBE-3DDB-4B76-BB6F-1670D4FB1B0A}"/>
    <cellStyle name="Currency 5 3 4 5 4" xfId="10543" xr:uid="{BAB6D987-5827-4576-9B71-7BF88BE32CC5}"/>
    <cellStyle name="Currency 5 3 4 6" xfId="2440" xr:uid="{00000000-0005-0000-0000-00001C0D0000}"/>
    <cellStyle name="Currency 5 3 4 6 2" xfId="6724" xr:uid="{00000000-0005-0000-0000-00001D0D0000}"/>
    <cellStyle name="Currency 5 3 4 6 2 2" xfId="15174" xr:uid="{3C3D4663-7D2F-438D-B916-0E1F0ACA7711}"/>
    <cellStyle name="Currency 5 3 4 6 3" xfId="10956" xr:uid="{120EC09E-5CEC-40AD-A70A-6E4D9E169C67}"/>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66280E7C-28CB-4531-B24E-513DBCAA4456}"/>
    <cellStyle name="Currency 5 3 4 8 3" xfId="11273" xr:uid="{03C4403F-5758-461B-80C4-62B274C1F517}"/>
    <cellStyle name="Currency 5 3 4 9" xfId="4658" xr:uid="{00000000-0005-0000-0000-0000210D0000}"/>
    <cellStyle name="Currency 5 3 4 9 2" xfId="13108" xr:uid="{34682DD7-C530-4B43-83F1-D99329AF6DE0}"/>
    <cellStyle name="Currency 5 3 5" xfId="217" xr:uid="{00000000-0005-0000-0000-0000220D0000}"/>
    <cellStyle name="Currency 5 3 5 10" xfId="8891" xr:uid="{69CCE69A-A6BB-494D-B315-9FF6AC18D45C}"/>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202A3E67-20DC-4CD0-B49B-62B5FD124237}"/>
    <cellStyle name="Currency 5 3 5 2 2 3" xfId="11450" xr:uid="{ADB37979-7DF2-440E-87EE-1456AB164EEA}"/>
    <cellStyle name="Currency 5 3 5 2 3" xfId="5073" xr:uid="{00000000-0005-0000-0000-0000260D0000}"/>
    <cellStyle name="Currency 5 3 5 2 3 2" xfId="13523" xr:uid="{5F051867-4FCB-4EB5-9A99-C7DBDBAAB4F1}"/>
    <cellStyle name="Currency 5 3 5 2 4" xfId="9305" xr:uid="{AFAED637-4ED6-427F-BEE7-30242FCFD780}"/>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F072AF28-F209-4E88-ACFB-2BA22B227A0B}"/>
    <cellStyle name="Currency 5 3 5 3 2 3" xfId="11863" xr:uid="{786B1E5C-13F2-40DB-AD80-C81D0D934239}"/>
    <cellStyle name="Currency 5 3 5 3 3" xfId="5486" xr:uid="{00000000-0005-0000-0000-00002A0D0000}"/>
    <cellStyle name="Currency 5 3 5 3 3 2" xfId="13936" xr:uid="{2A416CDC-327F-48BD-AD08-72660053BE54}"/>
    <cellStyle name="Currency 5 3 5 3 4" xfId="9718" xr:uid="{75C60252-22AF-40F1-9C7C-C11C7AB92BA0}"/>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DA402D65-DC68-478C-BB10-EB4E3777E580}"/>
    <cellStyle name="Currency 5 3 5 4 2 3" xfId="12276" xr:uid="{3220648D-E618-420A-983E-EEFD9D294F64}"/>
    <cellStyle name="Currency 5 3 5 4 3" xfId="5899" xr:uid="{00000000-0005-0000-0000-00002E0D0000}"/>
    <cellStyle name="Currency 5 3 5 4 3 2" xfId="14349" xr:uid="{D2BF85BC-EF0C-48C3-91E2-00D678CEFAB0}"/>
    <cellStyle name="Currency 5 3 5 4 4" xfId="10131" xr:uid="{9CA76133-0007-4B5C-B670-7E79E1D3C729}"/>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43CBCD5F-6EC0-46E8-B8E6-7022A847C97C}"/>
    <cellStyle name="Currency 5 3 5 5 2 3" xfId="12689" xr:uid="{691C4FFE-E251-4D97-90EE-20BF59D4A7EC}"/>
    <cellStyle name="Currency 5 3 5 5 3" xfId="6312" xr:uid="{00000000-0005-0000-0000-0000320D0000}"/>
    <cellStyle name="Currency 5 3 5 5 3 2" xfId="14762" xr:uid="{830771DF-5D32-4EF5-A520-94A711F7EEEA}"/>
    <cellStyle name="Currency 5 3 5 5 4" xfId="10544" xr:uid="{BF961E5A-3781-4D82-878C-8B651D7D3B4A}"/>
    <cellStyle name="Currency 5 3 5 6" xfId="2441" xr:uid="{00000000-0005-0000-0000-0000330D0000}"/>
    <cellStyle name="Currency 5 3 5 6 2" xfId="6725" xr:uid="{00000000-0005-0000-0000-0000340D0000}"/>
    <cellStyle name="Currency 5 3 5 6 2 2" xfId="15175" xr:uid="{E89A85BE-9B3C-4F7F-A19C-29BA722F84A7}"/>
    <cellStyle name="Currency 5 3 5 6 3" xfId="10957" xr:uid="{56FC9EC0-8971-497C-8CEA-83CAAFE30F6A}"/>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FDA02E95-2D2A-46C7-9B53-6E89DFDEB620}"/>
    <cellStyle name="Currency 5 3 5 8 3" xfId="11274" xr:uid="{6DFDC36D-8177-4DC1-B972-279B8F09B26D}"/>
    <cellStyle name="Currency 5 3 5 9" xfId="4659" xr:uid="{00000000-0005-0000-0000-0000380D0000}"/>
    <cellStyle name="Currency 5 3 5 9 2" xfId="13109" xr:uid="{A9EE4F97-EB8C-48B7-AAC1-F5EB647296FF}"/>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0C2FDA05-8DEE-44E8-BB8C-5A8D033ACA1B}"/>
    <cellStyle name="Currency 5 5 11" xfId="8892" xr:uid="{19B5A4C8-CD2C-48C9-B21C-93534BA8C16E}"/>
    <cellStyle name="Currency 5 5 2" xfId="220" xr:uid="{00000000-0005-0000-0000-00003D0D0000}"/>
    <cellStyle name="Currency 5 5 2 10" xfId="8893" xr:uid="{24D2B87A-1866-4FDF-8D7C-AEADD6264E69}"/>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BAF52421-798C-4DF2-BCF4-6D604BCBE5BD}"/>
    <cellStyle name="Currency 5 5 2 2 2 3" xfId="11452" xr:uid="{39212EC5-005C-47B9-8264-EC080CD3AE9A}"/>
    <cellStyle name="Currency 5 5 2 2 3" xfId="5075" xr:uid="{00000000-0005-0000-0000-0000410D0000}"/>
    <cellStyle name="Currency 5 5 2 2 3 2" xfId="13525" xr:uid="{7A19A04E-63E4-436A-B3D4-8B5FC0692E20}"/>
    <cellStyle name="Currency 5 5 2 2 4" xfId="9307" xr:uid="{266BBE81-883E-4569-B2CF-44AAB0389364}"/>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441E09E1-4F04-483A-9218-0EF24015C755}"/>
    <cellStyle name="Currency 5 5 2 3 2 3" xfId="11865" xr:uid="{68CE9A69-F700-47B8-B692-1152967E4F91}"/>
    <cellStyle name="Currency 5 5 2 3 3" xfId="5488" xr:uid="{00000000-0005-0000-0000-0000450D0000}"/>
    <cellStyle name="Currency 5 5 2 3 3 2" xfId="13938" xr:uid="{50E77310-62E4-4D8F-B957-9ED8533E93D4}"/>
    <cellStyle name="Currency 5 5 2 3 4" xfId="9720" xr:uid="{1A8F57EE-282C-449D-AC78-D54708D07E3B}"/>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F100A783-2BFB-42DE-91C7-33D996D46508}"/>
    <cellStyle name="Currency 5 5 2 4 2 3" xfId="12278" xr:uid="{8A3418D2-BC1A-4B66-A9E8-46677C68F93A}"/>
    <cellStyle name="Currency 5 5 2 4 3" xfId="5901" xr:uid="{00000000-0005-0000-0000-0000490D0000}"/>
    <cellStyle name="Currency 5 5 2 4 3 2" xfId="14351" xr:uid="{165583DB-BF9D-412F-A4BF-F49D971507C0}"/>
    <cellStyle name="Currency 5 5 2 4 4" xfId="10133" xr:uid="{D349713A-DD78-404D-82D2-01AD8A8F5F6C}"/>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7B16812E-8004-4B9E-A697-48C510AFAEBA}"/>
    <cellStyle name="Currency 5 5 2 5 2 3" xfId="12691" xr:uid="{AE0C6363-530E-4BB7-9582-C393BA26ADEA}"/>
    <cellStyle name="Currency 5 5 2 5 3" xfId="6314" xr:uid="{00000000-0005-0000-0000-00004D0D0000}"/>
    <cellStyle name="Currency 5 5 2 5 3 2" xfId="14764" xr:uid="{BC60D8C2-BEC6-4EA0-BB35-4B117711E784}"/>
    <cellStyle name="Currency 5 5 2 5 4" xfId="10546" xr:uid="{ABECE73C-5B45-4F12-8587-D488EF7DD263}"/>
    <cellStyle name="Currency 5 5 2 6" xfId="2443" xr:uid="{00000000-0005-0000-0000-00004E0D0000}"/>
    <cellStyle name="Currency 5 5 2 6 2" xfId="6727" xr:uid="{00000000-0005-0000-0000-00004F0D0000}"/>
    <cellStyle name="Currency 5 5 2 6 2 2" xfId="15177" xr:uid="{F8914FAC-05BD-46F1-8EF7-8811A7DEBB96}"/>
    <cellStyle name="Currency 5 5 2 6 3" xfId="10959" xr:uid="{E7AD3E8B-B271-4B57-B293-2BFD11A29FE6}"/>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EF0F2361-91C7-48A9-95E8-ACF2EB746F08}"/>
    <cellStyle name="Currency 5 5 2 8 3" xfId="11276" xr:uid="{5A3E320E-9715-4821-9CDB-C29EFAE5FEF4}"/>
    <cellStyle name="Currency 5 5 2 9" xfId="4661" xr:uid="{00000000-0005-0000-0000-0000530D0000}"/>
    <cellStyle name="Currency 5 5 2 9 2" xfId="13111" xr:uid="{CF1044F2-410C-439D-9D69-3BE90777F118}"/>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C3C849B2-CE98-4A2C-993F-9446CA795EA5}"/>
    <cellStyle name="Currency 5 5 3 2 3" xfId="11451" xr:uid="{45AE15B5-6E00-49A7-8091-F5295235464E}"/>
    <cellStyle name="Currency 5 5 3 3" xfId="5074" xr:uid="{00000000-0005-0000-0000-0000570D0000}"/>
    <cellStyle name="Currency 5 5 3 3 2" xfId="13524" xr:uid="{56D69884-308B-4F79-919E-226A6D2C633E}"/>
    <cellStyle name="Currency 5 5 3 4" xfId="9306" xr:uid="{A3B4AA97-245E-42AF-9432-98AC8E6D4F4D}"/>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2D44B3DF-8EE2-409E-96C4-25C417366B9B}"/>
    <cellStyle name="Currency 5 5 4 2 3" xfId="11864" xr:uid="{E0282E3C-AB5A-4367-8B9E-7FF818B6ED62}"/>
    <cellStyle name="Currency 5 5 4 3" xfId="5487" xr:uid="{00000000-0005-0000-0000-00005B0D0000}"/>
    <cellStyle name="Currency 5 5 4 3 2" xfId="13937" xr:uid="{B8AF147D-1B8E-4EBC-920D-E0DC3223E1E9}"/>
    <cellStyle name="Currency 5 5 4 4" xfId="9719" xr:uid="{DA9EA56B-FD09-41AD-9642-8EF3B65DD46D}"/>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B6A91852-4E9F-4C3E-BB2F-BE15CB69189A}"/>
    <cellStyle name="Currency 5 5 5 2 3" xfId="12277" xr:uid="{2B3F5070-D21D-4A4F-9670-79AA3D9517DD}"/>
    <cellStyle name="Currency 5 5 5 3" xfId="5900" xr:uid="{00000000-0005-0000-0000-00005F0D0000}"/>
    <cellStyle name="Currency 5 5 5 3 2" xfId="14350" xr:uid="{E549A454-4118-41B4-AF79-8D6AB4D58C7C}"/>
    <cellStyle name="Currency 5 5 5 4" xfId="10132" xr:uid="{2EFCB125-C9D1-4194-9B3C-871E57C3AEFF}"/>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B7C1896B-B00D-4697-8717-D84780A45B5B}"/>
    <cellStyle name="Currency 5 5 6 2 3" xfId="12690" xr:uid="{CCD9D556-A005-4301-889F-ACBC49482576}"/>
    <cellStyle name="Currency 5 5 6 3" xfId="6313" xr:uid="{00000000-0005-0000-0000-0000630D0000}"/>
    <cellStyle name="Currency 5 5 6 3 2" xfId="14763" xr:uid="{738E9AC7-FFF8-44BA-B89F-F095CE52FCD7}"/>
    <cellStyle name="Currency 5 5 6 4" xfId="10545" xr:uid="{A3354B5C-398D-43B0-8D10-53A294693403}"/>
    <cellStyle name="Currency 5 5 7" xfId="2442" xr:uid="{00000000-0005-0000-0000-0000640D0000}"/>
    <cellStyle name="Currency 5 5 7 2" xfId="6726" xr:uid="{00000000-0005-0000-0000-0000650D0000}"/>
    <cellStyle name="Currency 5 5 7 2 2" xfId="15176" xr:uid="{FD02021F-08E0-4065-A4AE-F5D39A474DD8}"/>
    <cellStyle name="Currency 5 5 7 3" xfId="10958" xr:uid="{C576135C-10A1-4C17-96CA-AA7B9C6E9F1D}"/>
    <cellStyle name="Currency 5 5 8" xfId="2739" xr:uid="{00000000-0005-0000-0000-0000660D0000}"/>
    <cellStyle name="Currency 5 5 9" xfId="2820" xr:uid="{00000000-0005-0000-0000-0000670D0000}"/>
    <cellStyle name="Currency 5 5 9 2" xfId="7043" xr:uid="{00000000-0005-0000-0000-0000680D0000}"/>
    <cellStyle name="Currency 5 5 9 2 2" xfId="15493" xr:uid="{72074F58-0DB9-4859-A067-A162AE9DE740}"/>
    <cellStyle name="Currency 5 5 9 3" xfId="11275" xr:uid="{B9DF5BB0-2A22-4A6D-8EEA-6D567F9848D7}"/>
    <cellStyle name="Currency 5 6" xfId="221" xr:uid="{00000000-0005-0000-0000-0000690D0000}"/>
    <cellStyle name="Currency 5 6 10" xfId="8894" xr:uid="{3C20F7EC-6B67-4CEF-A179-E33F2F241129}"/>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71559DDA-8545-4E8E-B948-31AC06A2D25C}"/>
    <cellStyle name="Currency 5 6 2 2 3" xfId="11453" xr:uid="{41EE3E17-4257-4F33-9BF5-8ABFCB42831E}"/>
    <cellStyle name="Currency 5 6 2 3" xfId="5076" xr:uid="{00000000-0005-0000-0000-00006D0D0000}"/>
    <cellStyle name="Currency 5 6 2 3 2" xfId="13526" xr:uid="{15E5519C-C057-44D1-9DA0-4EB0C9D03176}"/>
    <cellStyle name="Currency 5 6 2 4" xfId="9308" xr:uid="{078DC062-BB2F-4B8C-AECE-AEC12D18A2F0}"/>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6C0BE0AE-CB04-4382-B42D-74DD8A8F3925}"/>
    <cellStyle name="Currency 5 6 3 2 3" xfId="11866" xr:uid="{00CCF762-E426-496D-92CB-2051FCDD1B31}"/>
    <cellStyle name="Currency 5 6 3 3" xfId="5489" xr:uid="{00000000-0005-0000-0000-0000710D0000}"/>
    <cellStyle name="Currency 5 6 3 3 2" xfId="13939" xr:uid="{2168B058-6E8C-4E62-B4B6-39C8CAC1A312}"/>
    <cellStyle name="Currency 5 6 3 4" xfId="9721" xr:uid="{2C7B3FC1-FC76-4ED8-8479-8F551F682383}"/>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CE4EB396-FA0F-4BDE-9979-E6E8396B34BC}"/>
    <cellStyle name="Currency 5 6 4 2 3" xfId="12279" xr:uid="{DE2AF453-6899-48A3-9215-8825B4E5F591}"/>
    <cellStyle name="Currency 5 6 4 3" xfId="5902" xr:uid="{00000000-0005-0000-0000-0000750D0000}"/>
    <cellStyle name="Currency 5 6 4 3 2" xfId="14352" xr:uid="{90C46BCB-F4D4-45E3-8BFA-7FE88E50E44D}"/>
    <cellStyle name="Currency 5 6 4 4" xfId="10134" xr:uid="{0F54428B-F665-471B-A870-902504325B3E}"/>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19CE05E0-AC51-4D38-BE70-89574FC5DF8E}"/>
    <cellStyle name="Currency 5 6 5 2 3" xfId="12692" xr:uid="{92A07673-F2E5-4913-9F20-87CC742D17FB}"/>
    <cellStyle name="Currency 5 6 5 3" xfId="6315" xr:uid="{00000000-0005-0000-0000-0000790D0000}"/>
    <cellStyle name="Currency 5 6 5 3 2" xfId="14765" xr:uid="{BBDEF9E4-2A8D-4CD0-B011-64B45098824C}"/>
    <cellStyle name="Currency 5 6 5 4" xfId="10547" xr:uid="{4CE3414F-61D6-42C0-A889-E4F0822A3698}"/>
    <cellStyle name="Currency 5 6 6" xfId="2444" xr:uid="{00000000-0005-0000-0000-00007A0D0000}"/>
    <cellStyle name="Currency 5 6 6 2" xfId="6728" xr:uid="{00000000-0005-0000-0000-00007B0D0000}"/>
    <cellStyle name="Currency 5 6 6 2 2" xfId="15178" xr:uid="{64587827-7488-413B-8CED-64614FC8C77F}"/>
    <cellStyle name="Currency 5 6 6 3" xfId="10960" xr:uid="{A2235734-9F09-4EA3-8A48-EF02D85C155C}"/>
    <cellStyle name="Currency 5 6 7" xfId="2741" xr:uid="{00000000-0005-0000-0000-00007C0D0000}"/>
    <cellStyle name="Currency 5 6 8" xfId="2822" xr:uid="{00000000-0005-0000-0000-00007D0D0000}"/>
    <cellStyle name="Currency 5 6 8 2" xfId="7045" xr:uid="{00000000-0005-0000-0000-00007E0D0000}"/>
    <cellStyle name="Currency 5 6 8 2 2" xfId="15495" xr:uid="{15FFA465-FF4A-4DE2-BCF1-BC02A2FD8310}"/>
    <cellStyle name="Currency 5 6 8 3" xfId="11277" xr:uid="{19299737-7611-4838-B3E0-A86E6F717A78}"/>
    <cellStyle name="Currency 5 6 9" xfId="4662" xr:uid="{00000000-0005-0000-0000-00007F0D0000}"/>
    <cellStyle name="Currency 5 6 9 2" xfId="13112" xr:uid="{E0E70C25-7697-43DD-9927-43F844000576}"/>
    <cellStyle name="Currency 5 7" xfId="222" xr:uid="{00000000-0005-0000-0000-0000800D0000}"/>
    <cellStyle name="Currency 5 7 10" xfId="8895" xr:uid="{16B62C71-8ADB-4CED-83CC-7DDB6EA13082}"/>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FCD4B584-6480-467D-BBAB-6FF866D2F78D}"/>
    <cellStyle name="Currency 5 7 2 2 3" xfId="11454" xr:uid="{2B1040E1-6322-494A-B664-1E1A5D084B18}"/>
    <cellStyle name="Currency 5 7 2 3" xfId="5077" xr:uid="{00000000-0005-0000-0000-0000840D0000}"/>
    <cellStyle name="Currency 5 7 2 3 2" xfId="13527" xr:uid="{B0FB3BBE-E2F8-48CE-B690-0B500162C595}"/>
    <cellStyle name="Currency 5 7 2 4" xfId="9309" xr:uid="{3287F8F3-848F-4C66-BFFF-9D0035A283CE}"/>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B9D487CF-C696-4CD5-BDB9-4D80D2BF9F74}"/>
    <cellStyle name="Currency 5 7 3 2 3" xfId="11867" xr:uid="{F3F19ABE-32AA-41BF-A680-DDC0CD4F1ECB}"/>
    <cellStyle name="Currency 5 7 3 3" xfId="5490" xr:uid="{00000000-0005-0000-0000-0000880D0000}"/>
    <cellStyle name="Currency 5 7 3 3 2" xfId="13940" xr:uid="{0F4632CA-DD8B-45F0-AD31-1F562CD279ED}"/>
    <cellStyle name="Currency 5 7 3 4" xfId="9722" xr:uid="{8527D6E6-71F0-44C0-B9B8-75A934E5DEB1}"/>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2BBBAEFE-C41B-43FC-B9C6-C210A5473406}"/>
    <cellStyle name="Currency 5 7 4 2 3" xfId="12280" xr:uid="{097DA8CB-4357-45C9-9269-D083FA0ACA36}"/>
    <cellStyle name="Currency 5 7 4 3" xfId="5903" xr:uid="{00000000-0005-0000-0000-00008C0D0000}"/>
    <cellStyle name="Currency 5 7 4 3 2" xfId="14353" xr:uid="{3A71E2B0-4CFB-487F-BD43-83410CA47FD9}"/>
    <cellStyle name="Currency 5 7 4 4" xfId="10135" xr:uid="{457A9DBD-543A-4D6B-B1A3-84720522E9F1}"/>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918DC91B-D946-49E3-BBA8-998F569D7EE5}"/>
    <cellStyle name="Currency 5 7 5 2 3" xfId="12693" xr:uid="{81F74C68-0619-44C0-91BD-D1A9933650D0}"/>
    <cellStyle name="Currency 5 7 5 3" xfId="6316" xr:uid="{00000000-0005-0000-0000-0000900D0000}"/>
    <cellStyle name="Currency 5 7 5 3 2" xfId="14766" xr:uid="{DCCD2BB3-38ED-4B0A-9A9C-C7CA3D902DF8}"/>
    <cellStyle name="Currency 5 7 5 4" xfId="10548" xr:uid="{E67F18A0-F07E-4F27-8AEA-A55A3D6B73E2}"/>
    <cellStyle name="Currency 5 7 6" xfId="2445" xr:uid="{00000000-0005-0000-0000-0000910D0000}"/>
    <cellStyle name="Currency 5 7 6 2" xfId="6729" xr:uid="{00000000-0005-0000-0000-0000920D0000}"/>
    <cellStyle name="Currency 5 7 6 2 2" xfId="15179" xr:uid="{56DF564B-E7B2-4DE7-949C-86919A2C6B7A}"/>
    <cellStyle name="Currency 5 7 6 3" xfId="10961" xr:uid="{CD892980-08DE-40D2-B22D-E2191A48EF83}"/>
    <cellStyle name="Currency 5 7 7" xfId="2742" xr:uid="{00000000-0005-0000-0000-0000930D0000}"/>
    <cellStyle name="Currency 5 7 8" xfId="2823" xr:uid="{00000000-0005-0000-0000-0000940D0000}"/>
    <cellStyle name="Currency 5 7 8 2" xfId="7046" xr:uid="{00000000-0005-0000-0000-0000950D0000}"/>
    <cellStyle name="Currency 5 7 8 2 2" xfId="15496" xr:uid="{F12DC518-0DF2-47FA-AE8D-9E790BEA79B2}"/>
    <cellStyle name="Currency 5 7 8 3" xfId="11278" xr:uid="{C67A9405-6456-4EE1-ABAF-6A36971E589C}"/>
    <cellStyle name="Currency 5 7 9" xfId="4663" xr:uid="{00000000-0005-0000-0000-0000960D0000}"/>
    <cellStyle name="Currency 5 7 9 2" xfId="13113" xr:uid="{6F4F36C7-5A15-417B-AA7B-263DA4B7206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168971C8-9925-4BD5-A68C-E4D02DFB8423}"/>
    <cellStyle name="Normal 12 10 3" xfId="10962" xr:uid="{C8A57B05-DC77-469C-B7B6-10CB65ED5898}"/>
    <cellStyle name="Normal 12 11" xfId="4664" xr:uid="{00000000-0005-0000-0000-0000CC0D0000}"/>
    <cellStyle name="Normal 12 11 2" xfId="13114" xr:uid="{545120F4-70EB-4A3D-8A28-E89897B479D5}"/>
    <cellStyle name="Normal 12 12" xfId="8896" xr:uid="{3F1118EF-F5C9-4B14-A15C-D6CF82650721}"/>
    <cellStyle name="Normal 12 2" xfId="260" xr:uid="{00000000-0005-0000-0000-0000CD0D0000}"/>
    <cellStyle name="Normal 12 2 10" xfId="8897" xr:uid="{44D9E31A-C45B-47E1-9E9C-21329291CC1F}"/>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E0D12E8F-8925-421A-88BC-2A10486AD9A0}"/>
    <cellStyle name="Normal 12 2 2 2 2 2 3" xfId="11458" xr:uid="{AF478222-5FFD-4AD2-8A94-26B1935CAAC6}"/>
    <cellStyle name="Normal 12 2 2 2 2 3" xfId="5081" xr:uid="{00000000-0005-0000-0000-0000D30D0000}"/>
    <cellStyle name="Normal 12 2 2 2 2 3 2" xfId="13531" xr:uid="{45EF781D-D626-49EF-9280-32C6A7929121}"/>
    <cellStyle name="Normal 12 2 2 2 2 4" xfId="9313" xr:uid="{01104C74-7287-49AD-8FBC-014D18EB1805}"/>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E8CFE7C7-AA5F-476D-B618-67A5A143CC8C}"/>
    <cellStyle name="Normal 12 2 2 2 3 2 3" xfId="11871" xr:uid="{DFEF28F9-D569-4EA5-BA2C-AC588D2266EE}"/>
    <cellStyle name="Normal 12 2 2 2 3 3" xfId="5494" xr:uid="{00000000-0005-0000-0000-0000D70D0000}"/>
    <cellStyle name="Normal 12 2 2 2 3 3 2" xfId="13944" xr:uid="{A8698C60-DE61-4084-85B8-936B5F786A5C}"/>
    <cellStyle name="Normal 12 2 2 2 3 4" xfId="9726" xr:uid="{C1F7131B-27C4-46A9-B0A2-38EDF091B0D0}"/>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E1FE4E2E-CF60-4FF0-81C8-F6865DFB310C}"/>
    <cellStyle name="Normal 12 2 2 2 4 2 3" xfId="12284" xr:uid="{C5542EF9-7CEC-46AC-92D4-740415E6250F}"/>
    <cellStyle name="Normal 12 2 2 2 4 3" xfId="5907" xr:uid="{00000000-0005-0000-0000-0000DB0D0000}"/>
    <cellStyle name="Normal 12 2 2 2 4 3 2" xfId="14357" xr:uid="{9E931804-0A1C-4E92-B262-B884194A86D6}"/>
    <cellStyle name="Normal 12 2 2 2 4 4" xfId="10139" xr:uid="{1211F636-D190-4FF7-99DC-543AA36333B5}"/>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2CDDF11F-4780-46A4-A78A-0EA9729871B2}"/>
    <cellStyle name="Normal 12 2 2 2 5 2 3" xfId="12697" xr:uid="{06794E36-0C5E-41EE-81FF-7356D70B6BA5}"/>
    <cellStyle name="Normal 12 2 2 2 5 3" xfId="6320" xr:uid="{00000000-0005-0000-0000-0000DF0D0000}"/>
    <cellStyle name="Normal 12 2 2 2 5 3 2" xfId="14770" xr:uid="{9CDD8A71-456F-450E-B291-C87A63B0DE48}"/>
    <cellStyle name="Normal 12 2 2 2 5 4" xfId="10552" xr:uid="{2165DEA4-88D2-4AB7-B67E-E107700084A5}"/>
    <cellStyle name="Normal 12 2 2 2 6" xfId="2450" xr:uid="{00000000-0005-0000-0000-0000E00D0000}"/>
    <cellStyle name="Normal 12 2 2 2 6 2" xfId="6733" xr:uid="{00000000-0005-0000-0000-0000E10D0000}"/>
    <cellStyle name="Normal 12 2 2 2 6 2 2" xfId="15183" xr:uid="{D655DE8D-5D80-4F6F-BDEB-768D0B57FD93}"/>
    <cellStyle name="Normal 12 2 2 2 6 3" xfId="10965" xr:uid="{722307BE-EB56-43F6-9B91-96D370273CBC}"/>
    <cellStyle name="Normal 12 2 2 2 7" xfId="4667" xr:uid="{00000000-0005-0000-0000-0000E20D0000}"/>
    <cellStyle name="Normal 12 2 2 2 7 2" xfId="13117" xr:uid="{A60958F7-CBCE-4339-A0D7-BD257B02408E}"/>
    <cellStyle name="Normal 12 2 2 2 8" xfId="8899" xr:uid="{ED4CAEA4-FDD2-4704-ADD5-74D267641480}"/>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C6B4F9AB-D425-48DA-9E7D-861B00B23090}"/>
    <cellStyle name="Normal 12 2 2 3 2 3" xfId="11457" xr:uid="{203DD217-2AA2-49C5-8609-C4EDEE240F8A}"/>
    <cellStyle name="Normal 12 2 2 3 3" xfId="5080" xr:uid="{00000000-0005-0000-0000-0000E60D0000}"/>
    <cellStyle name="Normal 12 2 2 3 3 2" xfId="13530" xr:uid="{C318BF98-EC34-48EE-8BE9-B8AF740196A8}"/>
    <cellStyle name="Normal 12 2 2 3 4" xfId="9312" xr:uid="{C305B628-A099-40EE-9F39-92FE5001172F}"/>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279B6E5C-768B-41EA-8F30-A367285D24D7}"/>
    <cellStyle name="Normal 12 2 2 4 2 3" xfId="11870" xr:uid="{DC8B280A-887A-457F-BE46-24579B4625DD}"/>
    <cellStyle name="Normal 12 2 2 4 3" xfId="5493" xr:uid="{00000000-0005-0000-0000-0000EA0D0000}"/>
    <cellStyle name="Normal 12 2 2 4 3 2" xfId="13943" xr:uid="{3F166708-D30A-475D-AA44-19BC6F28C419}"/>
    <cellStyle name="Normal 12 2 2 4 4" xfId="9725" xr:uid="{7EE45967-E828-4C81-974C-DF727292D999}"/>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1059678B-48C0-4BC7-9DAB-9833F5815BC5}"/>
    <cellStyle name="Normal 12 2 2 5 2 3" xfId="12283" xr:uid="{C61D32F9-DD5D-4EC6-831E-9843D659CADC}"/>
    <cellStyle name="Normal 12 2 2 5 3" xfId="5906" xr:uid="{00000000-0005-0000-0000-0000EE0D0000}"/>
    <cellStyle name="Normal 12 2 2 5 3 2" xfId="14356" xr:uid="{CD5AF800-0038-441E-9FA7-BAF03E2770C5}"/>
    <cellStyle name="Normal 12 2 2 5 4" xfId="10138" xr:uid="{C3E0A8C1-BFB4-4506-B1C6-CC1ED04F81FD}"/>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2AA06877-475C-4EEA-ADCC-BCA5E1E6B0E7}"/>
    <cellStyle name="Normal 12 2 2 6 2 3" xfId="12696" xr:uid="{23763097-D0B6-476E-A144-167FCB444507}"/>
    <cellStyle name="Normal 12 2 2 6 3" xfId="6319" xr:uid="{00000000-0005-0000-0000-0000F20D0000}"/>
    <cellStyle name="Normal 12 2 2 6 3 2" xfId="14769" xr:uid="{4BC6D1AD-46D3-4AA4-881F-26194FA5A16D}"/>
    <cellStyle name="Normal 12 2 2 6 4" xfId="10551" xr:uid="{2B0C3318-ED4E-4E04-9D72-15A0BBD07476}"/>
    <cellStyle name="Normal 12 2 2 7" xfId="2449" xr:uid="{00000000-0005-0000-0000-0000F30D0000}"/>
    <cellStyle name="Normal 12 2 2 7 2" xfId="6732" xr:uid="{00000000-0005-0000-0000-0000F40D0000}"/>
    <cellStyle name="Normal 12 2 2 7 2 2" xfId="15182" xr:uid="{7B5A27E2-35F3-40FC-81AB-EF4E89FEE776}"/>
    <cellStyle name="Normal 12 2 2 7 3" xfId="10964" xr:uid="{EA787807-D0B4-46BF-885A-2939E46F4B51}"/>
    <cellStyle name="Normal 12 2 2 8" xfId="4666" xr:uid="{00000000-0005-0000-0000-0000F50D0000}"/>
    <cellStyle name="Normal 12 2 2 8 2" xfId="13116" xr:uid="{0625A754-A0F9-4B94-B434-F74A838D4530}"/>
    <cellStyle name="Normal 12 2 2 9" xfId="8898" xr:uid="{2FAB31FA-4AB1-4DC9-9535-579EA0E56E0E}"/>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D7102CD8-6E8E-443A-BE88-E471AE0443EC}"/>
    <cellStyle name="Normal 12 2 3 2 2 3" xfId="11459" xr:uid="{4CC82284-6441-484A-9A01-BCB02E680054}"/>
    <cellStyle name="Normal 12 2 3 2 3" xfId="5082" xr:uid="{00000000-0005-0000-0000-0000FA0D0000}"/>
    <cellStyle name="Normal 12 2 3 2 3 2" xfId="13532" xr:uid="{84F3549E-2183-48FC-844E-CAD17F6AE7ED}"/>
    <cellStyle name="Normal 12 2 3 2 4" xfId="9314" xr:uid="{448A47C8-E913-4763-96D9-518F3F53BF8C}"/>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EEA1F970-90E4-48CE-8F0F-C4558A0954D5}"/>
    <cellStyle name="Normal 12 2 3 3 2 3" xfId="11872" xr:uid="{375BF033-2223-47FC-AE46-606CA7B4E7E8}"/>
    <cellStyle name="Normal 12 2 3 3 3" xfId="5495" xr:uid="{00000000-0005-0000-0000-0000FE0D0000}"/>
    <cellStyle name="Normal 12 2 3 3 3 2" xfId="13945" xr:uid="{87664463-85F0-4696-B9B4-7868C48083C6}"/>
    <cellStyle name="Normal 12 2 3 3 4" xfId="9727" xr:uid="{E8EA744B-8243-4F26-8CB6-347891CF0257}"/>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44E29C3F-30E8-4172-81D0-51A14B0FD27A}"/>
    <cellStyle name="Normal 12 2 3 4 2 3" xfId="12285" xr:uid="{E74B679D-CA3B-4401-A4C8-91307C8D5E97}"/>
    <cellStyle name="Normal 12 2 3 4 3" xfId="5908" xr:uid="{00000000-0005-0000-0000-0000020E0000}"/>
    <cellStyle name="Normal 12 2 3 4 3 2" xfId="14358" xr:uid="{7E17EA00-5B8E-410C-8F5B-A48C08D97672}"/>
    <cellStyle name="Normal 12 2 3 4 4" xfId="10140" xr:uid="{26EA5758-87AB-4C73-A9BC-4EA575E633E1}"/>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AC9C661E-D113-4B75-A291-8CF85BBEC57A}"/>
    <cellStyle name="Normal 12 2 3 5 2 3" xfId="12698" xr:uid="{09D6B536-6C6A-4E3F-88F7-E2BB9F3B815D}"/>
    <cellStyle name="Normal 12 2 3 5 3" xfId="6321" xr:uid="{00000000-0005-0000-0000-0000060E0000}"/>
    <cellStyle name="Normal 12 2 3 5 3 2" xfId="14771" xr:uid="{81D2337B-835B-4215-8C1B-5D5B0375538E}"/>
    <cellStyle name="Normal 12 2 3 5 4" xfId="10553" xr:uid="{81D69B04-7C38-4A33-B771-DAC676D72DEB}"/>
    <cellStyle name="Normal 12 2 3 6" xfId="2451" xr:uid="{00000000-0005-0000-0000-0000070E0000}"/>
    <cellStyle name="Normal 12 2 3 6 2" xfId="6734" xr:uid="{00000000-0005-0000-0000-0000080E0000}"/>
    <cellStyle name="Normal 12 2 3 6 2 2" xfId="15184" xr:uid="{2DDFD215-49F7-468B-AA28-FA6AA91C085B}"/>
    <cellStyle name="Normal 12 2 3 6 3" xfId="10966" xr:uid="{3DC15751-560E-4380-BF85-C1CEF08B55EC}"/>
    <cellStyle name="Normal 12 2 3 7" xfId="4668" xr:uid="{00000000-0005-0000-0000-0000090E0000}"/>
    <cellStyle name="Normal 12 2 3 7 2" xfId="13118" xr:uid="{DBBE75B3-A15C-41AE-8C16-CF7D75092AAB}"/>
    <cellStyle name="Normal 12 2 3 8" xfId="8900" xr:uid="{45D775CA-4D25-407F-AC0B-DA1C4FB25E33}"/>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A4BA5690-48E1-4B72-AEF2-ECC5CDD06FB0}"/>
    <cellStyle name="Normal 12 2 4 2 3" xfId="11456" xr:uid="{F4E16C6A-5760-4124-A8F7-C95FF74FBB47}"/>
    <cellStyle name="Normal 12 2 4 3" xfId="5079" xr:uid="{00000000-0005-0000-0000-00000D0E0000}"/>
    <cellStyle name="Normal 12 2 4 3 2" xfId="13529" xr:uid="{B716658B-8ADA-4B3D-983A-3CFE4E16EE90}"/>
    <cellStyle name="Normal 12 2 4 4" xfId="9311" xr:uid="{0A6CB39B-1A1A-4C7C-8DCC-66B0BBDD56A5}"/>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8C8245A4-89A2-4067-957F-AAE33E430F83}"/>
    <cellStyle name="Normal 12 2 5 2 3" xfId="11869" xr:uid="{FDE29264-6435-4DBC-9556-13D488D560B6}"/>
    <cellStyle name="Normal 12 2 5 3" xfId="5492" xr:uid="{00000000-0005-0000-0000-0000110E0000}"/>
    <cellStyle name="Normal 12 2 5 3 2" xfId="13942" xr:uid="{7B0C08DE-BB12-4E84-AFF2-C61EAA747C8D}"/>
    <cellStyle name="Normal 12 2 5 4" xfId="9724" xr:uid="{383D3C42-2007-4504-A92D-233D1463747A}"/>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DAB3CFA6-219E-4042-8FEE-31088560E5CB}"/>
    <cellStyle name="Normal 12 2 6 2 3" xfId="12282" xr:uid="{5C7B6009-E5AD-4DFA-93DA-FEC6A29960A0}"/>
    <cellStyle name="Normal 12 2 6 3" xfId="5905" xr:uid="{00000000-0005-0000-0000-0000150E0000}"/>
    <cellStyle name="Normal 12 2 6 3 2" xfId="14355" xr:uid="{9538D701-983B-481F-AFB8-71CFB2817241}"/>
    <cellStyle name="Normal 12 2 6 4" xfId="10137" xr:uid="{8417F667-9B19-454E-BE56-076984FDE1F0}"/>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0FFE67D2-97DF-4CE3-BACA-2815BE6B6E51}"/>
    <cellStyle name="Normal 12 2 7 2 3" xfId="12695" xr:uid="{A98EE5EF-978B-4DB2-A340-E897A7BBFF39}"/>
    <cellStyle name="Normal 12 2 7 3" xfId="6318" xr:uid="{00000000-0005-0000-0000-0000190E0000}"/>
    <cellStyle name="Normal 12 2 7 3 2" xfId="14768" xr:uid="{DE8CFEFB-6712-46D4-8209-966235EC0B55}"/>
    <cellStyle name="Normal 12 2 7 4" xfId="10550" xr:uid="{E94DD34D-0126-4CD2-B873-DF23BCE09F2A}"/>
    <cellStyle name="Normal 12 2 8" xfId="2448" xr:uid="{00000000-0005-0000-0000-00001A0E0000}"/>
    <cellStyle name="Normal 12 2 8 2" xfId="6731" xr:uid="{00000000-0005-0000-0000-00001B0E0000}"/>
    <cellStyle name="Normal 12 2 8 2 2" xfId="15181" xr:uid="{65919B4C-488C-4D90-A39E-120DC942BB35}"/>
    <cellStyle name="Normal 12 2 8 3" xfId="10963" xr:uid="{B128F25E-6AE5-4CB7-AC26-615A9AB86652}"/>
    <cellStyle name="Normal 12 2 9" xfId="4665" xr:uid="{00000000-0005-0000-0000-00001C0E0000}"/>
    <cellStyle name="Normal 12 2 9 2" xfId="13115" xr:uid="{458C8AB6-33E3-4993-BBBA-877375804C56}"/>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2FCF2E26-38C8-4C40-B6E4-2971271F5626}"/>
    <cellStyle name="Normal 12 3 2 2 2 3" xfId="11461" xr:uid="{E9289570-C87A-4263-AD0C-03D7FDB477BA}"/>
    <cellStyle name="Normal 12 3 2 2 3" xfId="5084" xr:uid="{00000000-0005-0000-0000-0000220E0000}"/>
    <cellStyle name="Normal 12 3 2 2 3 2" xfId="13534" xr:uid="{578AB2C2-C96D-41A5-B1C2-6E3873179317}"/>
    <cellStyle name="Normal 12 3 2 2 4" xfId="9316" xr:uid="{696D6753-E0B6-4F86-87A7-2F63E318744E}"/>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2F1FB8CA-DED1-484A-84CB-01BCFCA49906}"/>
    <cellStyle name="Normal 12 3 2 3 2 3" xfId="11874" xr:uid="{956992CC-15A7-4B7F-B302-F7C95BC417ED}"/>
    <cellStyle name="Normal 12 3 2 3 3" xfId="5497" xr:uid="{00000000-0005-0000-0000-0000260E0000}"/>
    <cellStyle name="Normal 12 3 2 3 3 2" xfId="13947" xr:uid="{BECF45FC-2679-4DF1-8250-B696CE959492}"/>
    <cellStyle name="Normal 12 3 2 3 4" xfId="9729" xr:uid="{FA279192-CDC2-4C2F-8A74-3AC69AE5D833}"/>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4892F7D1-0C62-4670-8C2E-ADA52ED43233}"/>
    <cellStyle name="Normal 12 3 2 4 2 3" xfId="12287" xr:uid="{418E62CA-631C-428A-9565-C63383B10720}"/>
    <cellStyle name="Normal 12 3 2 4 3" xfId="5910" xr:uid="{00000000-0005-0000-0000-00002A0E0000}"/>
    <cellStyle name="Normal 12 3 2 4 3 2" xfId="14360" xr:uid="{E9369DB4-7D4C-42DB-A2D5-462F79B26CB3}"/>
    <cellStyle name="Normal 12 3 2 4 4" xfId="10142" xr:uid="{FEFCBCE9-2794-452C-BAF4-D43020D54536}"/>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1DBDB7B2-69AF-4E4B-997F-70959BAB449C}"/>
    <cellStyle name="Normal 12 3 2 5 2 3" xfId="12700" xr:uid="{98AE9235-7CFC-414D-A370-AECF460E0B45}"/>
    <cellStyle name="Normal 12 3 2 5 3" xfId="6323" xr:uid="{00000000-0005-0000-0000-00002E0E0000}"/>
    <cellStyle name="Normal 12 3 2 5 3 2" xfId="14773" xr:uid="{7DE760B3-B625-47B4-A22B-D71663EB8CA5}"/>
    <cellStyle name="Normal 12 3 2 5 4" xfId="10555" xr:uid="{414BFE05-EE8D-46CC-91AB-1B61CA26CC3D}"/>
    <cellStyle name="Normal 12 3 2 6" xfId="2453" xr:uid="{00000000-0005-0000-0000-00002F0E0000}"/>
    <cellStyle name="Normal 12 3 2 6 2" xfId="6736" xr:uid="{00000000-0005-0000-0000-0000300E0000}"/>
    <cellStyle name="Normal 12 3 2 6 2 2" xfId="15186" xr:uid="{7BF70C73-0660-4D13-9872-9E3BBC38787F}"/>
    <cellStyle name="Normal 12 3 2 6 3" xfId="10968" xr:uid="{68DAD321-EB8D-4738-A5F5-56E127ECBFD8}"/>
    <cellStyle name="Normal 12 3 2 7" xfId="4670" xr:uid="{00000000-0005-0000-0000-0000310E0000}"/>
    <cellStyle name="Normal 12 3 2 7 2" xfId="13120" xr:uid="{C9120217-B498-4406-8374-1BBE6C8C44C2}"/>
    <cellStyle name="Normal 12 3 2 8" xfId="8902" xr:uid="{CA27D5A6-B0F1-467D-BAEB-EFE58113414E}"/>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CCD08D53-B1E6-4CAA-8502-5EFE27A57C7D}"/>
    <cellStyle name="Normal 12 3 3 2 3" xfId="11460" xr:uid="{7D718FFD-9734-493F-9AB7-DC777DAD7A66}"/>
    <cellStyle name="Normal 12 3 3 3" xfId="5083" xr:uid="{00000000-0005-0000-0000-0000350E0000}"/>
    <cellStyle name="Normal 12 3 3 3 2" xfId="13533" xr:uid="{51B20BAE-B4E4-4F4B-8035-98705AAC7198}"/>
    <cellStyle name="Normal 12 3 3 4" xfId="9315" xr:uid="{6842BC53-BBDA-4B80-8761-0DB4EE9356CC}"/>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233E0873-C7DA-4942-AED3-321327562E91}"/>
    <cellStyle name="Normal 12 3 4 2 3" xfId="11873" xr:uid="{D7D4A8C4-70A9-4067-9549-38BA78E18745}"/>
    <cellStyle name="Normal 12 3 4 3" xfId="5496" xr:uid="{00000000-0005-0000-0000-0000390E0000}"/>
    <cellStyle name="Normal 12 3 4 3 2" xfId="13946" xr:uid="{88ED78B6-9D8B-4234-8BED-E726A9BC32D0}"/>
    <cellStyle name="Normal 12 3 4 4" xfId="9728" xr:uid="{FFC78A65-7FB2-41D4-8B73-ACABE0E445FD}"/>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550CFDF1-CF02-450C-AA38-7A710E66A994}"/>
    <cellStyle name="Normal 12 3 5 2 3" xfId="12286" xr:uid="{DDD2916B-4A8A-46A1-AF8C-1011EEB55CCB}"/>
    <cellStyle name="Normal 12 3 5 3" xfId="5909" xr:uid="{00000000-0005-0000-0000-00003D0E0000}"/>
    <cellStyle name="Normal 12 3 5 3 2" xfId="14359" xr:uid="{D2FF0FAD-77AB-4561-BCED-803507D10CC4}"/>
    <cellStyle name="Normal 12 3 5 4" xfId="10141" xr:uid="{6EFF2495-8800-41B9-94F3-795858418EDE}"/>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EBE498A7-277F-4062-8A0F-6C1F976C494B}"/>
    <cellStyle name="Normal 12 3 6 2 3" xfId="12699" xr:uid="{0772A7F7-465F-41D6-AF1A-C87BECEDCCC7}"/>
    <cellStyle name="Normal 12 3 6 3" xfId="6322" xr:uid="{00000000-0005-0000-0000-0000410E0000}"/>
    <cellStyle name="Normal 12 3 6 3 2" xfId="14772" xr:uid="{7E14233A-8C5C-4D94-8534-9DF1C6B4CBB7}"/>
    <cellStyle name="Normal 12 3 6 4" xfId="10554" xr:uid="{5C881C4B-7340-479A-B01A-8F5F8CE2000A}"/>
    <cellStyle name="Normal 12 3 7" xfId="2452" xr:uid="{00000000-0005-0000-0000-0000420E0000}"/>
    <cellStyle name="Normal 12 3 7 2" xfId="6735" xr:uid="{00000000-0005-0000-0000-0000430E0000}"/>
    <cellStyle name="Normal 12 3 7 2 2" xfId="15185" xr:uid="{6DB98C73-3024-4BC1-90C6-8BFF6DF13D28}"/>
    <cellStyle name="Normal 12 3 7 3" xfId="10967" xr:uid="{D72A8799-7764-468E-876D-48947031361C}"/>
    <cellStyle name="Normal 12 3 8" xfId="4669" xr:uid="{00000000-0005-0000-0000-0000440E0000}"/>
    <cellStyle name="Normal 12 3 8 2" xfId="13119" xr:uid="{0CBA0B29-CA20-4103-8188-986274640AAC}"/>
    <cellStyle name="Normal 12 3 9" xfId="8901" xr:uid="{1D97612E-0618-43C7-93AB-54E33B69D6A6}"/>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ACF2817D-19AB-4709-A160-729E925E56CC}"/>
    <cellStyle name="Normal 12 4 2 2 3" xfId="11462" xr:uid="{BFCABB76-5170-4656-AF35-58F0A2B99AFE}"/>
    <cellStyle name="Normal 12 4 2 3" xfId="5085" xr:uid="{00000000-0005-0000-0000-0000490E0000}"/>
    <cellStyle name="Normal 12 4 2 3 2" xfId="13535" xr:uid="{21A2B6B7-C970-4A87-A9EA-87C0D7349129}"/>
    <cellStyle name="Normal 12 4 2 4" xfId="9317" xr:uid="{04776A0C-746A-4228-A310-28B50F143EE2}"/>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5B67BA76-FFAC-4EE6-A153-101552D3D175}"/>
    <cellStyle name="Normal 12 4 3 2 3" xfId="11875" xr:uid="{CDA3A2A6-7A2A-4D98-A041-C4B6A9EC6EB9}"/>
    <cellStyle name="Normal 12 4 3 3" xfId="5498" xr:uid="{00000000-0005-0000-0000-00004D0E0000}"/>
    <cellStyle name="Normal 12 4 3 3 2" xfId="13948" xr:uid="{30946FCE-1284-411C-9F88-F9F410143069}"/>
    <cellStyle name="Normal 12 4 3 4" xfId="9730" xr:uid="{D7344746-766F-4860-B090-22523367A400}"/>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229B6B9F-BF8B-4ED9-B7EA-F97225A14B18}"/>
    <cellStyle name="Normal 12 4 4 2 3" xfId="12288" xr:uid="{5ED08EE8-9882-486A-9C45-5914946C283D}"/>
    <cellStyle name="Normal 12 4 4 3" xfId="5911" xr:uid="{00000000-0005-0000-0000-0000510E0000}"/>
    <cellStyle name="Normal 12 4 4 3 2" xfId="14361" xr:uid="{2C1922E4-842C-4A3A-94BC-68AA1BB342C5}"/>
    <cellStyle name="Normal 12 4 4 4" xfId="10143" xr:uid="{28C03A17-2CC3-4F3F-BF53-D53F8CA9101C}"/>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2CE7F676-CACB-4DC7-968E-5FCAE0FB2A83}"/>
    <cellStyle name="Normal 12 4 5 2 3" xfId="12701" xr:uid="{FCC3BF70-FB75-487E-BCEF-5FF1A440D36D}"/>
    <cellStyle name="Normal 12 4 5 3" xfId="6324" xr:uid="{00000000-0005-0000-0000-0000550E0000}"/>
    <cellStyle name="Normal 12 4 5 3 2" xfId="14774" xr:uid="{73DABF1C-B436-41A9-8E88-E62628034C5D}"/>
    <cellStyle name="Normal 12 4 5 4" xfId="10556" xr:uid="{A007BAE0-5163-4829-A7BA-709DD990ABB2}"/>
    <cellStyle name="Normal 12 4 6" xfId="2454" xr:uid="{00000000-0005-0000-0000-0000560E0000}"/>
    <cellStyle name="Normal 12 4 6 2" xfId="6737" xr:uid="{00000000-0005-0000-0000-0000570E0000}"/>
    <cellStyle name="Normal 12 4 6 2 2" xfId="15187" xr:uid="{D8DFB9C3-7955-4E9B-ABF0-1B6DDD91C1F1}"/>
    <cellStyle name="Normal 12 4 6 3" xfId="10969" xr:uid="{7CEEAB3D-63C7-4763-9DC3-CFF117FBBB30}"/>
    <cellStyle name="Normal 12 4 7" xfId="4671" xr:uid="{00000000-0005-0000-0000-0000580E0000}"/>
    <cellStyle name="Normal 12 4 7 2" xfId="13121" xr:uid="{3C66C007-42D6-4559-B224-586D37C6566F}"/>
    <cellStyle name="Normal 12 4 8" xfId="8903" xr:uid="{9C5C805E-9ECA-4B51-BAD2-21FF77398046}"/>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DF1C3D9E-1BE3-49C6-A352-63C0BE4580B2}"/>
    <cellStyle name="Normal 12 6 2 3" xfId="11455" xr:uid="{FF5553C8-72C3-4C60-AADD-CDDB28E9A4CD}"/>
    <cellStyle name="Normal 12 6 3" xfId="5078" xr:uid="{00000000-0005-0000-0000-00005D0E0000}"/>
    <cellStyle name="Normal 12 6 3 2" xfId="13528" xr:uid="{B63FCFF0-247B-4928-A212-B301788B8BAD}"/>
    <cellStyle name="Normal 12 6 4" xfId="9310" xr:uid="{E8DE693D-5F1C-4E40-9CB9-A5D9194A29CA}"/>
    <cellStyle name="Normal 12 7" xfId="1183" xr:uid="{00000000-0005-0000-0000-00005E0E0000}"/>
    <cellStyle name="Normal 12 7 2" xfId="3414" xr:uid="{00000000-0005-0000-0000-00005F0E0000}"/>
    <cellStyle name="Normal 12 7 2 2" xfId="7636" xr:uid="{00000000-0005-0000-0000-0000600E0000}"/>
    <cellStyle name="Normal 12 7 2 2 2" xfId="16086" xr:uid="{B89D115F-B24F-4C6F-BAA1-14498239F807}"/>
    <cellStyle name="Normal 12 7 2 3" xfId="11868" xr:uid="{605DC579-8FEE-42C5-96DA-A97302AF408B}"/>
    <cellStyle name="Normal 12 7 3" xfId="5491" xr:uid="{00000000-0005-0000-0000-0000610E0000}"/>
    <cellStyle name="Normal 12 7 3 2" xfId="13941" xr:uid="{6FC1E008-CC92-48ED-8B7F-3F88CDCADF5D}"/>
    <cellStyle name="Normal 12 7 4" xfId="9723" xr:uid="{79ED3DFB-CFB6-46AB-89AA-6F0FF4452F50}"/>
    <cellStyle name="Normal 12 8" xfId="1597" xr:uid="{00000000-0005-0000-0000-0000620E0000}"/>
    <cellStyle name="Normal 12 8 2" xfId="3827" xr:uid="{00000000-0005-0000-0000-0000630E0000}"/>
    <cellStyle name="Normal 12 8 2 2" xfId="8049" xr:uid="{00000000-0005-0000-0000-0000640E0000}"/>
    <cellStyle name="Normal 12 8 2 2 2" xfId="16499" xr:uid="{82DD97DB-8938-41B7-979E-D90F81CAAF41}"/>
    <cellStyle name="Normal 12 8 2 3" xfId="12281" xr:uid="{4B24A182-3622-43CB-8457-90349630550A}"/>
    <cellStyle name="Normal 12 8 3" xfId="5904" xr:uid="{00000000-0005-0000-0000-0000650E0000}"/>
    <cellStyle name="Normal 12 8 3 2" xfId="14354" xr:uid="{8A60FD32-D03F-473D-B92C-A9597555434A}"/>
    <cellStyle name="Normal 12 8 4" xfId="10136" xr:uid="{DA5EB854-1684-481E-A013-0145C5F2ED58}"/>
    <cellStyle name="Normal 12 9" xfId="2011" xr:uid="{00000000-0005-0000-0000-0000660E0000}"/>
    <cellStyle name="Normal 12 9 2" xfId="4240" xr:uid="{00000000-0005-0000-0000-0000670E0000}"/>
    <cellStyle name="Normal 12 9 2 2" xfId="8462" xr:uid="{00000000-0005-0000-0000-0000680E0000}"/>
    <cellStyle name="Normal 12 9 2 2 2" xfId="16912" xr:uid="{70F69C83-50C8-42FC-BD9F-DD23B2E461F7}"/>
    <cellStyle name="Normal 12 9 2 3" xfId="12694" xr:uid="{144C8983-F562-4867-A8C3-9DFF54E1410C}"/>
    <cellStyle name="Normal 12 9 3" xfId="6317" xr:uid="{00000000-0005-0000-0000-0000690E0000}"/>
    <cellStyle name="Normal 12 9 3 2" xfId="14767" xr:uid="{38F8F71A-82E3-4502-8F84-B48BDEFD3798}"/>
    <cellStyle name="Normal 12 9 4" xfId="10549" xr:uid="{FF57F0D3-2B62-4C9A-A83B-9E6D1E0362A7}"/>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464A5C8D-3A62-41BD-B355-3039698017FB}"/>
    <cellStyle name="Normal 14 2 2 3" xfId="11463" xr:uid="{C929223B-951C-4C5D-B5FE-17AA02686E93}"/>
    <cellStyle name="Normal 14 2 3" xfId="5086" xr:uid="{00000000-0005-0000-0000-0000700E0000}"/>
    <cellStyle name="Normal 14 2 3 2" xfId="13536" xr:uid="{6FC4472F-FCBD-4C6F-BDB8-CD1A4D104EC3}"/>
    <cellStyle name="Normal 14 2 4" xfId="9318" xr:uid="{86F37944-7180-423D-8EAB-3A8F2660FEB0}"/>
    <cellStyle name="Normal 14 3" xfId="1191" xr:uid="{00000000-0005-0000-0000-0000710E0000}"/>
    <cellStyle name="Normal 14 3 2" xfId="3422" xr:uid="{00000000-0005-0000-0000-0000720E0000}"/>
    <cellStyle name="Normal 14 3 2 2" xfId="7644" xr:uid="{00000000-0005-0000-0000-0000730E0000}"/>
    <cellStyle name="Normal 14 3 2 2 2" xfId="16094" xr:uid="{214361AA-8309-46CA-93D1-E1C17901FF69}"/>
    <cellStyle name="Normal 14 3 2 3" xfId="11876" xr:uid="{CC199D4B-CC61-4DA7-A161-CDBEEAC5A544}"/>
    <cellStyle name="Normal 14 3 3" xfId="5499" xr:uid="{00000000-0005-0000-0000-0000740E0000}"/>
    <cellStyle name="Normal 14 3 3 2" xfId="13949" xr:uid="{13DD094D-6B09-42DC-AB35-307FC6EDCA28}"/>
    <cellStyle name="Normal 14 3 4" xfId="9731" xr:uid="{EAB9F388-73F6-47B9-AD5C-685A38476769}"/>
    <cellStyle name="Normal 14 4" xfId="1605" xr:uid="{00000000-0005-0000-0000-0000750E0000}"/>
    <cellStyle name="Normal 14 4 2" xfId="3835" xr:uid="{00000000-0005-0000-0000-0000760E0000}"/>
    <cellStyle name="Normal 14 4 2 2" xfId="8057" xr:uid="{00000000-0005-0000-0000-0000770E0000}"/>
    <cellStyle name="Normal 14 4 2 2 2" xfId="16507" xr:uid="{C4D4C4B5-8CD5-4FF4-AF32-367C6904C6D9}"/>
    <cellStyle name="Normal 14 4 2 3" xfId="12289" xr:uid="{925CDF9B-BA99-4E5E-9936-716517635B28}"/>
    <cellStyle name="Normal 14 4 3" xfId="5912" xr:uid="{00000000-0005-0000-0000-0000780E0000}"/>
    <cellStyle name="Normal 14 4 3 2" xfId="14362" xr:uid="{F3ABBEF0-A841-4550-A6CF-7F5FF477AFFF}"/>
    <cellStyle name="Normal 14 4 4" xfId="10144" xr:uid="{EE028E4A-49C5-47F2-B53A-D09508E281AE}"/>
    <cellStyle name="Normal 14 5" xfId="2019" xr:uid="{00000000-0005-0000-0000-0000790E0000}"/>
    <cellStyle name="Normal 14 5 2" xfId="4248" xr:uid="{00000000-0005-0000-0000-00007A0E0000}"/>
    <cellStyle name="Normal 14 5 2 2" xfId="8470" xr:uid="{00000000-0005-0000-0000-00007B0E0000}"/>
    <cellStyle name="Normal 14 5 2 2 2" xfId="16920" xr:uid="{5A51353C-A36A-4A85-9755-87ED01C74F70}"/>
    <cellStyle name="Normal 14 5 2 3" xfId="12702" xr:uid="{C8F72BF5-4224-4A51-BB8B-2070842A000D}"/>
    <cellStyle name="Normal 14 5 3" xfId="6325" xr:uid="{00000000-0005-0000-0000-00007C0E0000}"/>
    <cellStyle name="Normal 14 5 3 2" xfId="14775" xr:uid="{88AA8BB3-6A76-439D-A47B-9C18C7FA96DC}"/>
    <cellStyle name="Normal 14 5 4" xfId="10557" xr:uid="{C5A6D6C3-12FF-4CCE-8225-1E03F0638E83}"/>
    <cellStyle name="Normal 14 6" xfId="2455" xr:uid="{00000000-0005-0000-0000-00007D0E0000}"/>
    <cellStyle name="Normal 14 6 2" xfId="6738" xr:uid="{00000000-0005-0000-0000-00007E0E0000}"/>
    <cellStyle name="Normal 14 6 2 2" xfId="15188" xr:uid="{68299E43-45CC-4882-B9CC-3F67C06C3753}"/>
    <cellStyle name="Normal 14 6 3" xfId="10970" xr:uid="{2A97707E-242F-4E4D-B341-A093C2192F18}"/>
    <cellStyle name="Normal 14 7" xfId="4672" xr:uid="{00000000-0005-0000-0000-00007F0E0000}"/>
    <cellStyle name="Normal 14 7 2" xfId="13122" xr:uid="{1A473E8B-E5D1-4823-BF78-F75E446DC8A7}"/>
    <cellStyle name="Normal 14 8" xfId="8904" xr:uid="{673A5AD2-F66F-4AB6-BB5A-59A0155F5EE0}"/>
    <cellStyle name="Normal 15" xfId="4496" xr:uid="{00000000-0005-0000-0000-0000800E0000}"/>
    <cellStyle name="Normal 15 2" xfId="12948" xr:uid="{9052354F-AF8A-4A95-8D98-9D21BCE9B642}"/>
    <cellStyle name="Normal 16" xfId="4500" xr:uid="{00000000-0005-0000-0000-0000810E0000}"/>
    <cellStyle name="Normal 16 2" xfId="8715" xr:uid="{00000000-0005-0000-0000-0000820E0000}"/>
    <cellStyle name="Normal 16 2 2" xfId="17165" xr:uid="{4CDB685B-2A88-40E7-ABAF-0FD08BD82399}"/>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B76DE173-26AB-43F7-9A56-DC0488A8E11A}"/>
    <cellStyle name="Normal 16 3 2 2 2 3" xfId="17178" xr:uid="{CA8745E6-8330-4F2B-AE10-B4A1FD0F7E12}"/>
    <cellStyle name="Normal 16 3 2 2 3" xfId="17174" xr:uid="{5653BA94-BF5A-476D-8AC4-BF57C4D3E1C7}"/>
    <cellStyle name="Normal 16 3 2 3" xfId="17171" xr:uid="{06A0DB87-E71F-44CF-8444-07D24706FF57}"/>
    <cellStyle name="Normal 16 3 3" xfId="17168" xr:uid="{43D2E22F-E02F-4E8A-967E-2DD3248848ED}"/>
    <cellStyle name="Normal 16 4" xfId="12951" xr:uid="{0896DBB5-8D84-450C-B99A-DD4E45E3FC8C}"/>
    <cellStyle name="Normal 17" xfId="8728" xr:uid="{3FF0972C-833B-4475-99D8-1A6907499E71}"/>
    <cellStyle name="Normal 17 2" xfId="17177" xr:uid="{C2669BF4-C64D-43E9-ADB2-EB66CFA064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6F594979-65F7-495B-B646-94CA927F066F}"/>
    <cellStyle name="Normal 2 4 2 10 2 3" xfId="12703" xr:uid="{EF325962-D5D6-43F8-A6CF-3F410BA704D6}"/>
    <cellStyle name="Normal 2 4 2 10 3" xfId="6326" xr:uid="{00000000-0005-0000-0000-0000910E0000}"/>
    <cellStyle name="Normal 2 4 2 10 3 2" xfId="14776" xr:uid="{22409210-FDFA-46DD-B3D6-1EADD34F44BB}"/>
    <cellStyle name="Normal 2 4 2 10 4" xfId="10558" xr:uid="{43F9B88A-72AB-4901-85A9-FB2674021D6F}"/>
    <cellStyle name="Normal 2 4 2 11" xfId="2456" xr:uid="{00000000-0005-0000-0000-0000920E0000}"/>
    <cellStyle name="Normal 2 4 2 11 2" xfId="6739" xr:uid="{00000000-0005-0000-0000-0000930E0000}"/>
    <cellStyle name="Normal 2 4 2 11 2 2" xfId="15189" xr:uid="{08EB6517-82BB-464B-81D6-77C1783C6307}"/>
    <cellStyle name="Normal 2 4 2 11 3" xfId="10971" xr:uid="{622FC173-45C8-4A8A-AB03-0EB1EB8871FF}"/>
    <cellStyle name="Normal 2 4 2 12" xfId="4673" xr:uid="{00000000-0005-0000-0000-0000940E0000}"/>
    <cellStyle name="Normal 2 4 2 12 2" xfId="13123" xr:uid="{DB87BAD9-9C4F-45FF-BDBE-6C2CEC09336A}"/>
    <cellStyle name="Normal 2 4 2 13" xfId="8905" xr:uid="{86068FF4-270F-49E2-A9AF-11831F39129A}"/>
    <cellStyle name="Normal 2 4 2 2" xfId="280" xr:uid="{00000000-0005-0000-0000-0000950E0000}"/>
    <cellStyle name="Normal 2 4 2 3" xfId="281" xr:uid="{00000000-0005-0000-0000-0000960E0000}"/>
    <cellStyle name="Normal 2 4 2 3 10" xfId="4674" xr:uid="{00000000-0005-0000-0000-0000970E0000}"/>
    <cellStyle name="Normal 2 4 2 3 10 2" xfId="13124" xr:uid="{3639C9FB-73C9-4B08-B733-B58E5243F854}"/>
    <cellStyle name="Normal 2 4 2 3 11" xfId="8906" xr:uid="{678CD3D5-3F9F-4BC7-808F-123C90DA39A9}"/>
    <cellStyle name="Normal 2 4 2 3 2" xfId="282" xr:uid="{00000000-0005-0000-0000-0000980E0000}"/>
    <cellStyle name="Normal 2 4 2 3 2 10" xfId="8907" xr:uid="{4B02AAA1-664B-461A-BA74-0778A985CB3E}"/>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9B7225A6-4CAB-4EC7-A1E4-DD8DB59B0230}"/>
    <cellStyle name="Normal 2 4 2 3 2 2 2 2 2 3" xfId="11468" xr:uid="{A04F49EB-29FD-4164-B1F0-EE20560EC6D3}"/>
    <cellStyle name="Normal 2 4 2 3 2 2 2 2 3" xfId="5091" xr:uid="{00000000-0005-0000-0000-00009E0E0000}"/>
    <cellStyle name="Normal 2 4 2 3 2 2 2 2 3 2" xfId="13541" xr:uid="{F1AE7F9E-83B6-422E-B8FC-CD4D97CE15D5}"/>
    <cellStyle name="Normal 2 4 2 3 2 2 2 2 4" xfId="9323" xr:uid="{1D352B54-3050-4C82-AB87-14CD5D06DA0F}"/>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A0888C4C-38E5-44CC-8620-B674C824CA65}"/>
    <cellStyle name="Normal 2 4 2 3 2 2 2 3 2 3" xfId="11881" xr:uid="{CEBD2B81-2027-4402-9614-AEA77AB832AA}"/>
    <cellStyle name="Normal 2 4 2 3 2 2 2 3 3" xfId="5504" xr:uid="{00000000-0005-0000-0000-0000A20E0000}"/>
    <cellStyle name="Normal 2 4 2 3 2 2 2 3 3 2" xfId="13954" xr:uid="{3F8EE9C9-11A9-472B-93E4-801213CCC6F2}"/>
    <cellStyle name="Normal 2 4 2 3 2 2 2 3 4" xfId="9736" xr:uid="{3DFC4D16-79D4-40E3-AD9A-F63C8AC83C6D}"/>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C84F4F6E-464A-4236-9374-5F6B6FBF1E1D}"/>
    <cellStyle name="Normal 2 4 2 3 2 2 2 4 2 3" xfId="12294" xr:uid="{B3A80F03-CDBA-483B-8C08-797F8B9802E3}"/>
    <cellStyle name="Normal 2 4 2 3 2 2 2 4 3" xfId="5917" xr:uid="{00000000-0005-0000-0000-0000A60E0000}"/>
    <cellStyle name="Normal 2 4 2 3 2 2 2 4 3 2" xfId="14367" xr:uid="{4F3D361D-5007-4F2A-BCCA-440CDDABF0BB}"/>
    <cellStyle name="Normal 2 4 2 3 2 2 2 4 4" xfId="10149" xr:uid="{F23D5CD1-C734-4328-98FC-65E0EF38902E}"/>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5A8D866D-DAB6-4127-9F36-7C380A3CFDA6}"/>
    <cellStyle name="Normal 2 4 2 3 2 2 2 5 2 3" xfId="12707" xr:uid="{E597ABCD-E415-4800-8F17-A20A2368A5EA}"/>
    <cellStyle name="Normal 2 4 2 3 2 2 2 5 3" xfId="6330" xr:uid="{00000000-0005-0000-0000-0000AA0E0000}"/>
    <cellStyle name="Normal 2 4 2 3 2 2 2 5 3 2" xfId="14780" xr:uid="{8AB96329-DAF8-4866-8885-6A063919E512}"/>
    <cellStyle name="Normal 2 4 2 3 2 2 2 5 4" xfId="10562" xr:uid="{9E0893AF-7F9D-4114-953B-CE66568B91B3}"/>
    <cellStyle name="Normal 2 4 2 3 2 2 2 6" xfId="2460" xr:uid="{00000000-0005-0000-0000-0000AB0E0000}"/>
    <cellStyle name="Normal 2 4 2 3 2 2 2 6 2" xfId="6743" xr:uid="{00000000-0005-0000-0000-0000AC0E0000}"/>
    <cellStyle name="Normal 2 4 2 3 2 2 2 6 2 2" xfId="15193" xr:uid="{C0E06BE4-F683-46E8-B71A-B53952C74BA5}"/>
    <cellStyle name="Normal 2 4 2 3 2 2 2 6 3" xfId="10975" xr:uid="{737C8C5C-EEC9-4D51-8B26-B4122C9AA9D3}"/>
    <cellStyle name="Normal 2 4 2 3 2 2 2 7" xfId="4677" xr:uid="{00000000-0005-0000-0000-0000AD0E0000}"/>
    <cellStyle name="Normal 2 4 2 3 2 2 2 7 2" xfId="13127" xr:uid="{5E05B26E-93A6-43A6-902A-E33D683A8090}"/>
    <cellStyle name="Normal 2 4 2 3 2 2 2 8" xfId="8909" xr:uid="{6F272B69-15BA-4974-84D6-E0B0C7526CB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7D77506C-17FB-4106-8DB0-2FA9A64521FB}"/>
    <cellStyle name="Normal 2 4 2 3 2 2 3 2 3" xfId="11467" xr:uid="{942F4303-3483-4B24-94D2-F3D67C93E858}"/>
    <cellStyle name="Normal 2 4 2 3 2 2 3 3" xfId="5090" xr:uid="{00000000-0005-0000-0000-0000B10E0000}"/>
    <cellStyle name="Normal 2 4 2 3 2 2 3 3 2" xfId="13540" xr:uid="{09A42857-AF2A-48A2-98F0-9B38087BF30F}"/>
    <cellStyle name="Normal 2 4 2 3 2 2 3 4" xfId="9322" xr:uid="{515DCCBF-9EEA-40E1-B566-CED0A1EEDD34}"/>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E74777E6-BE2D-4B49-96E2-FA08ADD2D7AB}"/>
    <cellStyle name="Normal 2 4 2 3 2 2 4 2 3" xfId="11880" xr:uid="{B27D6952-ED5A-4A38-86EB-31440A1A746B}"/>
    <cellStyle name="Normal 2 4 2 3 2 2 4 3" xfId="5503" xr:uid="{00000000-0005-0000-0000-0000B50E0000}"/>
    <cellStyle name="Normal 2 4 2 3 2 2 4 3 2" xfId="13953" xr:uid="{44F6B457-8FD6-4275-96C4-5AA3048247A8}"/>
    <cellStyle name="Normal 2 4 2 3 2 2 4 4" xfId="9735" xr:uid="{961E2ED5-DFC5-4A5E-AA91-D058EA447A2A}"/>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9D2EECE6-57D0-4C2F-8D55-1C90DAB4B23A}"/>
    <cellStyle name="Normal 2 4 2 3 2 2 5 2 3" xfId="12293" xr:uid="{46FC453F-085D-4BDD-A429-5B2E881ADACF}"/>
    <cellStyle name="Normal 2 4 2 3 2 2 5 3" xfId="5916" xr:uid="{00000000-0005-0000-0000-0000B90E0000}"/>
    <cellStyle name="Normal 2 4 2 3 2 2 5 3 2" xfId="14366" xr:uid="{0AE23928-6B9E-45C4-BE40-6B32E395CFB1}"/>
    <cellStyle name="Normal 2 4 2 3 2 2 5 4" xfId="10148" xr:uid="{F79A023C-7F98-48E1-B79B-B484F8C53CC5}"/>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CEBFA135-0896-436B-A050-6981E6FE6305}"/>
    <cellStyle name="Normal 2 4 2 3 2 2 6 2 3" xfId="12706" xr:uid="{F5FFAB0A-3003-4045-A10E-1C0FE97FFF22}"/>
    <cellStyle name="Normal 2 4 2 3 2 2 6 3" xfId="6329" xr:uid="{00000000-0005-0000-0000-0000BD0E0000}"/>
    <cellStyle name="Normal 2 4 2 3 2 2 6 3 2" xfId="14779" xr:uid="{9037EC61-5759-4CA5-A06B-96753E2F4EA8}"/>
    <cellStyle name="Normal 2 4 2 3 2 2 6 4" xfId="10561" xr:uid="{2CF754EF-D263-4604-AE31-031BD8136988}"/>
    <cellStyle name="Normal 2 4 2 3 2 2 7" xfId="2459" xr:uid="{00000000-0005-0000-0000-0000BE0E0000}"/>
    <cellStyle name="Normal 2 4 2 3 2 2 7 2" xfId="6742" xr:uid="{00000000-0005-0000-0000-0000BF0E0000}"/>
    <cellStyle name="Normal 2 4 2 3 2 2 7 2 2" xfId="15192" xr:uid="{A78CC2B8-F56F-4D8C-BEBD-41A98F0071FF}"/>
    <cellStyle name="Normal 2 4 2 3 2 2 7 3" xfId="10974" xr:uid="{5D432919-F51F-4C66-A874-5B8D40BA5807}"/>
    <cellStyle name="Normal 2 4 2 3 2 2 8" xfId="4676" xr:uid="{00000000-0005-0000-0000-0000C00E0000}"/>
    <cellStyle name="Normal 2 4 2 3 2 2 8 2" xfId="13126" xr:uid="{17D17AE9-9566-4E50-B77A-5AA7C0AECF73}"/>
    <cellStyle name="Normal 2 4 2 3 2 2 9" xfId="8908" xr:uid="{5BD77BBE-C597-42A5-B2C7-5E443F69CEAB}"/>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33C48BD5-F95C-439A-A60E-74A69C988CCC}"/>
    <cellStyle name="Normal 2 4 2 3 2 3 2 2 3" xfId="11469" xr:uid="{94ED3B58-4327-4E22-AFD1-D1ADEBBD3FFC}"/>
    <cellStyle name="Normal 2 4 2 3 2 3 2 3" xfId="5092" xr:uid="{00000000-0005-0000-0000-0000C50E0000}"/>
    <cellStyle name="Normal 2 4 2 3 2 3 2 3 2" xfId="13542" xr:uid="{859E9D9B-CAE7-4FC5-B4C2-58B7DD515BD6}"/>
    <cellStyle name="Normal 2 4 2 3 2 3 2 4" xfId="9324" xr:uid="{8AAB8679-D640-434F-B5BE-0B4D574EEB01}"/>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0DC6F6AD-22AE-46B1-8F93-AD7924FE6D25}"/>
    <cellStyle name="Normal 2 4 2 3 2 3 3 2 3" xfId="11882" xr:uid="{C2442BDE-607D-41F2-A42C-E1C9920B81B1}"/>
    <cellStyle name="Normal 2 4 2 3 2 3 3 3" xfId="5505" xr:uid="{00000000-0005-0000-0000-0000C90E0000}"/>
    <cellStyle name="Normal 2 4 2 3 2 3 3 3 2" xfId="13955" xr:uid="{1E5D5CF1-157A-4BEB-BE8F-E9221AF9E3F6}"/>
    <cellStyle name="Normal 2 4 2 3 2 3 3 4" xfId="9737" xr:uid="{6806E990-BCC5-410C-BF7C-B729D0D7BFC9}"/>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930144DF-B6FC-431E-BAED-47F39B7BCE12}"/>
    <cellStyle name="Normal 2 4 2 3 2 3 4 2 3" xfId="12295" xr:uid="{253FB446-585C-445A-A6A1-5F4BF0382165}"/>
    <cellStyle name="Normal 2 4 2 3 2 3 4 3" xfId="5918" xr:uid="{00000000-0005-0000-0000-0000CD0E0000}"/>
    <cellStyle name="Normal 2 4 2 3 2 3 4 3 2" xfId="14368" xr:uid="{065555D5-43B4-4904-9FBF-F20558F3E9D2}"/>
    <cellStyle name="Normal 2 4 2 3 2 3 4 4" xfId="10150" xr:uid="{D9A19D10-08A6-4082-BB24-7862E954DB1F}"/>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714660BB-E048-42B6-A219-FE266F939938}"/>
    <cellStyle name="Normal 2 4 2 3 2 3 5 2 3" xfId="12708" xr:uid="{729D67D0-9527-4C47-8330-53E206370008}"/>
    <cellStyle name="Normal 2 4 2 3 2 3 5 3" xfId="6331" xr:uid="{00000000-0005-0000-0000-0000D10E0000}"/>
    <cellStyle name="Normal 2 4 2 3 2 3 5 3 2" xfId="14781" xr:uid="{31552093-46B6-45B3-A019-5CA6D86F2380}"/>
    <cellStyle name="Normal 2 4 2 3 2 3 5 4" xfId="10563" xr:uid="{984282C5-8C27-470E-B31F-34CE5F614090}"/>
    <cellStyle name="Normal 2 4 2 3 2 3 6" xfId="2461" xr:uid="{00000000-0005-0000-0000-0000D20E0000}"/>
    <cellStyle name="Normal 2 4 2 3 2 3 6 2" xfId="6744" xr:uid="{00000000-0005-0000-0000-0000D30E0000}"/>
    <cellStyle name="Normal 2 4 2 3 2 3 6 2 2" xfId="15194" xr:uid="{07A48971-A89F-4418-A95F-4D6459726968}"/>
    <cellStyle name="Normal 2 4 2 3 2 3 6 3" xfId="10976" xr:uid="{4679CC90-1568-423F-A36F-C20C41861028}"/>
    <cellStyle name="Normal 2 4 2 3 2 3 7" xfId="4678" xr:uid="{00000000-0005-0000-0000-0000D40E0000}"/>
    <cellStyle name="Normal 2 4 2 3 2 3 7 2" xfId="13128" xr:uid="{9BAE3BE4-CE71-492B-8AA1-46B5023B0BD0}"/>
    <cellStyle name="Normal 2 4 2 3 2 3 8" xfId="8910" xr:uid="{2EE06572-2A44-408F-8857-99D8044E709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F2294772-C7CC-4125-B0A4-E55530068F55}"/>
    <cellStyle name="Normal 2 4 2 3 2 4 2 3" xfId="11466" xr:uid="{E7689281-8336-4AC7-AAF7-DC3200F48D90}"/>
    <cellStyle name="Normal 2 4 2 3 2 4 3" xfId="5089" xr:uid="{00000000-0005-0000-0000-0000D80E0000}"/>
    <cellStyle name="Normal 2 4 2 3 2 4 3 2" xfId="13539" xr:uid="{AEBDF473-5E7D-4E08-A854-A13A831A13FA}"/>
    <cellStyle name="Normal 2 4 2 3 2 4 4" xfId="9321" xr:uid="{43CDAAE6-CE06-4C5F-BE74-33355B97FC1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FF476831-2B8A-4984-860D-ACC912D94420}"/>
    <cellStyle name="Normal 2 4 2 3 2 5 2 3" xfId="11879" xr:uid="{6ECB8E7B-D994-417E-BEB9-262024968575}"/>
    <cellStyle name="Normal 2 4 2 3 2 5 3" xfId="5502" xr:uid="{00000000-0005-0000-0000-0000DC0E0000}"/>
    <cellStyle name="Normal 2 4 2 3 2 5 3 2" xfId="13952" xr:uid="{C705B19F-EE3D-4161-ACBC-28505DBA6D4C}"/>
    <cellStyle name="Normal 2 4 2 3 2 5 4" xfId="9734" xr:uid="{3562F69C-3301-4910-985A-7E6ACCDE46EC}"/>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E7E67814-BA3E-49F5-BF7B-AACFB5F9E667}"/>
    <cellStyle name="Normal 2 4 2 3 2 6 2 3" xfId="12292" xr:uid="{F3CD5E94-17C6-4802-8297-1FA80E019AF5}"/>
    <cellStyle name="Normal 2 4 2 3 2 6 3" xfId="5915" xr:uid="{00000000-0005-0000-0000-0000E00E0000}"/>
    <cellStyle name="Normal 2 4 2 3 2 6 3 2" xfId="14365" xr:uid="{6BEBDCE1-FBDF-4761-B34B-FBE449094AD2}"/>
    <cellStyle name="Normal 2 4 2 3 2 6 4" xfId="10147" xr:uid="{68C5CBDA-789E-4CB2-B533-19B4C52D0041}"/>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963A38F6-C045-46A2-9DC3-D514D484701A}"/>
    <cellStyle name="Normal 2 4 2 3 2 7 2 3" xfId="12705" xr:uid="{C0DD7A13-BC10-4DD5-A7E4-B2814B4D8CF3}"/>
    <cellStyle name="Normal 2 4 2 3 2 7 3" xfId="6328" xr:uid="{00000000-0005-0000-0000-0000E40E0000}"/>
    <cellStyle name="Normal 2 4 2 3 2 7 3 2" xfId="14778" xr:uid="{69B86F70-0B67-45C5-96A7-D0156939F217}"/>
    <cellStyle name="Normal 2 4 2 3 2 7 4" xfId="10560" xr:uid="{5D19041B-F8BD-43C3-BFC2-77DA20F41E36}"/>
    <cellStyle name="Normal 2 4 2 3 2 8" xfId="2458" xr:uid="{00000000-0005-0000-0000-0000E50E0000}"/>
    <cellStyle name="Normal 2 4 2 3 2 8 2" xfId="6741" xr:uid="{00000000-0005-0000-0000-0000E60E0000}"/>
    <cellStyle name="Normal 2 4 2 3 2 8 2 2" xfId="15191" xr:uid="{5CF62EEF-4213-4578-8DEF-7B2386EBE121}"/>
    <cellStyle name="Normal 2 4 2 3 2 8 3" xfId="10973" xr:uid="{FB47C5E6-E25F-404D-AE63-31A9BD18309A}"/>
    <cellStyle name="Normal 2 4 2 3 2 9" xfId="4675" xr:uid="{00000000-0005-0000-0000-0000E70E0000}"/>
    <cellStyle name="Normal 2 4 2 3 2 9 2" xfId="13125" xr:uid="{48165FBC-A562-4394-BC8B-C513D730E2C5}"/>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48AFDBC5-BD73-442E-A4D7-CD7D5B999603}"/>
    <cellStyle name="Normal 2 4 2 3 3 2 2 2 3" xfId="11471" xr:uid="{AAA6E2EE-6AD1-4645-956C-E76047E18BB4}"/>
    <cellStyle name="Normal 2 4 2 3 3 2 2 3" xfId="5094" xr:uid="{00000000-0005-0000-0000-0000ED0E0000}"/>
    <cellStyle name="Normal 2 4 2 3 3 2 2 3 2" xfId="13544" xr:uid="{DCC8E147-7F77-4449-A6E7-C67030B942FA}"/>
    <cellStyle name="Normal 2 4 2 3 3 2 2 4" xfId="9326" xr:uid="{355AE303-D7E3-4763-A011-B56B930D85D9}"/>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CE52575C-5DC9-463F-B638-56E519C6C206}"/>
    <cellStyle name="Normal 2 4 2 3 3 2 3 2 3" xfId="11884" xr:uid="{70DFD371-6759-4199-8C3A-1E7AE7810CA1}"/>
    <cellStyle name="Normal 2 4 2 3 3 2 3 3" xfId="5507" xr:uid="{00000000-0005-0000-0000-0000F10E0000}"/>
    <cellStyle name="Normal 2 4 2 3 3 2 3 3 2" xfId="13957" xr:uid="{E37424F4-1FFB-4C3C-9DD5-0B707D255BE8}"/>
    <cellStyle name="Normal 2 4 2 3 3 2 3 4" xfId="9739" xr:uid="{4B494552-5B7F-4DA0-84F4-04B7511422CC}"/>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D15C081E-B45B-4FA6-9A76-4158165C6A21}"/>
    <cellStyle name="Normal 2 4 2 3 3 2 4 2 3" xfId="12297" xr:uid="{60584CAF-628F-46B7-AD5F-1C10ADCEB3A5}"/>
    <cellStyle name="Normal 2 4 2 3 3 2 4 3" xfId="5920" xr:uid="{00000000-0005-0000-0000-0000F50E0000}"/>
    <cellStyle name="Normal 2 4 2 3 3 2 4 3 2" xfId="14370" xr:uid="{7102EF3E-960B-4DF3-BD1A-B3BB25C59749}"/>
    <cellStyle name="Normal 2 4 2 3 3 2 4 4" xfId="10152" xr:uid="{2086EB87-E0F2-4C85-AE1E-5318B412832B}"/>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6CE07EC8-94FD-4C0F-96BA-F913DD870409}"/>
    <cellStyle name="Normal 2 4 2 3 3 2 5 2 3" xfId="12710" xr:uid="{86085A12-62BE-4B58-A60E-FCF2EFA95EB3}"/>
    <cellStyle name="Normal 2 4 2 3 3 2 5 3" xfId="6333" xr:uid="{00000000-0005-0000-0000-0000F90E0000}"/>
    <cellStyle name="Normal 2 4 2 3 3 2 5 3 2" xfId="14783" xr:uid="{93BE21A0-F031-4C52-89CC-D0867D3261B2}"/>
    <cellStyle name="Normal 2 4 2 3 3 2 5 4" xfId="10565" xr:uid="{A4FB13E9-01BC-4F46-BC0B-C09B92ED3ECA}"/>
    <cellStyle name="Normal 2 4 2 3 3 2 6" xfId="2463" xr:uid="{00000000-0005-0000-0000-0000FA0E0000}"/>
    <cellStyle name="Normal 2 4 2 3 3 2 6 2" xfId="6746" xr:uid="{00000000-0005-0000-0000-0000FB0E0000}"/>
    <cellStyle name="Normal 2 4 2 3 3 2 6 2 2" xfId="15196" xr:uid="{E2AAB85D-FFEF-4617-933C-6070CE78E58C}"/>
    <cellStyle name="Normal 2 4 2 3 3 2 6 3" xfId="10978" xr:uid="{3FE4D95D-2AE7-46A9-B30D-47531FB2C1D3}"/>
    <cellStyle name="Normal 2 4 2 3 3 2 7" xfId="4680" xr:uid="{00000000-0005-0000-0000-0000FC0E0000}"/>
    <cellStyle name="Normal 2 4 2 3 3 2 7 2" xfId="13130" xr:uid="{E14C646D-A31C-4A85-BE9B-F1D1C7C1CA1E}"/>
    <cellStyle name="Normal 2 4 2 3 3 2 8" xfId="8912" xr:uid="{8C642D47-5E8E-4D01-8A7E-5A837B2E0EE3}"/>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9E811606-71BE-40EC-9C29-84AEFE9966AD}"/>
    <cellStyle name="Normal 2 4 2 3 3 3 2 3" xfId="11470" xr:uid="{65F64762-CF42-43A5-A9F7-9C19D8A3DA7A}"/>
    <cellStyle name="Normal 2 4 2 3 3 3 3" xfId="5093" xr:uid="{00000000-0005-0000-0000-0000000F0000}"/>
    <cellStyle name="Normal 2 4 2 3 3 3 3 2" xfId="13543" xr:uid="{EBCEC5BE-29A9-46B2-9D5D-9614886EBFF2}"/>
    <cellStyle name="Normal 2 4 2 3 3 3 4" xfId="9325" xr:uid="{6BC0F4DC-AD7B-4BDF-8CAD-F13930161A3B}"/>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C1572DF9-5A7C-4EA0-8AA5-85D730B4FA03}"/>
    <cellStyle name="Normal 2 4 2 3 3 4 2 3" xfId="11883" xr:uid="{29E6DA08-59E1-4DF9-A744-83DD70C79C41}"/>
    <cellStyle name="Normal 2 4 2 3 3 4 3" xfId="5506" xr:uid="{00000000-0005-0000-0000-0000040F0000}"/>
    <cellStyle name="Normal 2 4 2 3 3 4 3 2" xfId="13956" xr:uid="{59276373-3A17-41B8-A795-12E73707E7FE}"/>
    <cellStyle name="Normal 2 4 2 3 3 4 4" xfId="9738" xr:uid="{7D9366AE-6989-4BF0-8D01-7D5453E0572F}"/>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AD0AA09D-2381-495A-B0D8-C4BB9BEB2DC8}"/>
    <cellStyle name="Normal 2 4 2 3 3 5 2 3" xfId="12296" xr:uid="{D4819336-6693-4F25-A005-FCD43281BFE0}"/>
    <cellStyle name="Normal 2 4 2 3 3 5 3" xfId="5919" xr:uid="{00000000-0005-0000-0000-0000080F0000}"/>
    <cellStyle name="Normal 2 4 2 3 3 5 3 2" xfId="14369" xr:uid="{07B98C28-CCEB-4AC5-B203-41FB630CE0AD}"/>
    <cellStyle name="Normal 2 4 2 3 3 5 4" xfId="10151" xr:uid="{1AB65A2A-7222-4918-854B-0786CE16F8A1}"/>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850C2367-5F97-4685-8B9B-1FF57E01E39A}"/>
    <cellStyle name="Normal 2 4 2 3 3 6 2 3" xfId="12709" xr:uid="{0368DA82-51BD-46F3-91CE-A96BFDDA71FB}"/>
    <cellStyle name="Normal 2 4 2 3 3 6 3" xfId="6332" xr:uid="{00000000-0005-0000-0000-00000C0F0000}"/>
    <cellStyle name="Normal 2 4 2 3 3 6 3 2" xfId="14782" xr:uid="{9FB003E9-770E-43BC-BE01-90743A2BEC27}"/>
    <cellStyle name="Normal 2 4 2 3 3 6 4" xfId="10564" xr:uid="{679451AA-5940-4BFE-B4D8-0057CA5EE1D9}"/>
    <cellStyle name="Normal 2 4 2 3 3 7" xfId="2462" xr:uid="{00000000-0005-0000-0000-00000D0F0000}"/>
    <cellStyle name="Normal 2 4 2 3 3 7 2" xfId="6745" xr:uid="{00000000-0005-0000-0000-00000E0F0000}"/>
    <cellStyle name="Normal 2 4 2 3 3 7 2 2" xfId="15195" xr:uid="{46DBC52B-A518-435B-A8D6-430AB36F2CD0}"/>
    <cellStyle name="Normal 2 4 2 3 3 7 3" xfId="10977" xr:uid="{87BCB3C7-CE78-4A0B-9090-1579F7B6131E}"/>
    <cellStyle name="Normal 2 4 2 3 3 8" xfId="4679" xr:uid="{00000000-0005-0000-0000-00000F0F0000}"/>
    <cellStyle name="Normal 2 4 2 3 3 8 2" xfId="13129" xr:uid="{7015C271-CCFF-4A58-B540-7033A0DCD5E6}"/>
    <cellStyle name="Normal 2 4 2 3 3 9" xfId="8911" xr:uid="{9DF0D889-2429-4E69-B2F8-477939B09631}"/>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3D617786-95DF-4D8F-ACA3-DCBA80CDDFC4}"/>
    <cellStyle name="Normal 2 4 2 3 4 2 2 3" xfId="11472" xr:uid="{02D0C34F-D109-4653-8930-0563D1A793A9}"/>
    <cellStyle name="Normal 2 4 2 3 4 2 3" xfId="5095" xr:uid="{00000000-0005-0000-0000-0000140F0000}"/>
    <cellStyle name="Normal 2 4 2 3 4 2 3 2" xfId="13545" xr:uid="{7EDD386F-6C58-46B1-8A0D-B27177D85215}"/>
    <cellStyle name="Normal 2 4 2 3 4 2 4" xfId="9327" xr:uid="{858DE3BB-56EC-45E3-A96A-78CF50C8E486}"/>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20F2C3C1-5EE0-4830-8AB5-DE0DCE962CE0}"/>
    <cellStyle name="Normal 2 4 2 3 4 3 2 3" xfId="11885" xr:uid="{3EE7770D-7E5A-47EE-B3D3-529D0AAD17AA}"/>
    <cellStyle name="Normal 2 4 2 3 4 3 3" xfId="5508" xr:uid="{00000000-0005-0000-0000-0000180F0000}"/>
    <cellStyle name="Normal 2 4 2 3 4 3 3 2" xfId="13958" xr:uid="{369CEBE2-22C3-4B18-954E-85809873FCC6}"/>
    <cellStyle name="Normal 2 4 2 3 4 3 4" xfId="9740" xr:uid="{049FC008-A90D-4B49-AD76-4866EEC40602}"/>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009AB33D-DFF5-4B8E-97C3-576DE2665921}"/>
    <cellStyle name="Normal 2 4 2 3 4 4 2 3" xfId="12298" xr:uid="{FC108589-5F65-4E47-BDE3-58665811A779}"/>
    <cellStyle name="Normal 2 4 2 3 4 4 3" xfId="5921" xr:uid="{00000000-0005-0000-0000-00001C0F0000}"/>
    <cellStyle name="Normal 2 4 2 3 4 4 3 2" xfId="14371" xr:uid="{A2720CCC-0345-45C1-8C1F-071CA9DC2F8E}"/>
    <cellStyle name="Normal 2 4 2 3 4 4 4" xfId="10153" xr:uid="{80B3E711-CD30-4C41-ABA8-07515D4696E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3801BA26-F17E-40B7-B5A3-32E03DAA358C}"/>
    <cellStyle name="Normal 2 4 2 3 4 5 2 3" xfId="12711" xr:uid="{32066E0D-480A-49E7-AA39-F82794B95AAF}"/>
    <cellStyle name="Normal 2 4 2 3 4 5 3" xfId="6334" xr:uid="{00000000-0005-0000-0000-0000200F0000}"/>
    <cellStyle name="Normal 2 4 2 3 4 5 3 2" xfId="14784" xr:uid="{BCED7DD5-AD26-4592-A6E5-7AD27CEDA75A}"/>
    <cellStyle name="Normal 2 4 2 3 4 5 4" xfId="10566" xr:uid="{F0675F5A-6FE9-439B-96ED-D389D2A869E7}"/>
    <cellStyle name="Normal 2 4 2 3 4 6" xfId="2464" xr:uid="{00000000-0005-0000-0000-0000210F0000}"/>
    <cellStyle name="Normal 2 4 2 3 4 6 2" xfId="6747" xr:uid="{00000000-0005-0000-0000-0000220F0000}"/>
    <cellStyle name="Normal 2 4 2 3 4 6 2 2" xfId="15197" xr:uid="{1F764602-D455-4D7A-B8EE-0DEA51AF12BB}"/>
    <cellStyle name="Normal 2 4 2 3 4 6 3" xfId="10979" xr:uid="{D341AE87-0784-4ECB-A483-7E37797B2A8C}"/>
    <cellStyle name="Normal 2 4 2 3 4 7" xfId="4681" xr:uid="{00000000-0005-0000-0000-0000230F0000}"/>
    <cellStyle name="Normal 2 4 2 3 4 7 2" xfId="13131" xr:uid="{D71B225E-9E56-42D7-80BC-0588B62C9B06}"/>
    <cellStyle name="Normal 2 4 2 3 4 8" xfId="8913" xr:uid="{C54D324B-840E-4C1B-BF55-75AB8B2E397F}"/>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822A1F33-E5F0-41FE-8E1E-7C25F320C61A}"/>
    <cellStyle name="Normal 2 4 2 3 5 2 3" xfId="11465" xr:uid="{40F4AA53-8238-457D-8D53-8510C4B3E1C5}"/>
    <cellStyle name="Normal 2 4 2 3 5 3" xfId="5088" xr:uid="{00000000-0005-0000-0000-0000270F0000}"/>
    <cellStyle name="Normal 2 4 2 3 5 3 2" xfId="13538" xr:uid="{CC597D24-3215-4024-820A-A08BE63CF33F}"/>
    <cellStyle name="Normal 2 4 2 3 5 4" xfId="9320" xr:uid="{4B2A5C78-1255-42FB-A634-B4BEC14CD66A}"/>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43DC7474-6FB2-4C77-B743-34D6B247EF86}"/>
    <cellStyle name="Normal 2 4 2 3 6 2 3" xfId="11878" xr:uid="{D5DF560E-1267-4240-80D4-69554D85FC2C}"/>
    <cellStyle name="Normal 2 4 2 3 6 3" xfId="5501" xr:uid="{00000000-0005-0000-0000-00002B0F0000}"/>
    <cellStyle name="Normal 2 4 2 3 6 3 2" xfId="13951" xr:uid="{6D7323CE-B093-4FAB-BA77-981E148148FA}"/>
    <cellStyle name="Normal 2 4 2 3 6 4" xfId="9733" xr:uid="{425ABA9A-3AA5-4806-B6BE-4626A4674AB4}"/>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82B09E43-4353-4327-9C51-9527C49F2624}"/>
    <cellStyle name="Normal 2 4 2 3 7 2 3" xfId="12291" xr:uid="{69A85750-2571-422B-8291-8199B5181845}"/>
    <cellStyle name="Normal 2 4 2 3 7 3" xfId="5914" xr:uid="{00000000-0005-0000-0000-00002F0F0000}"/>
    <cellStyle name="Normal 2 4 2 3 7 3 2" xfId="14364" xr:uid="{6B392F3F-B1F0-4444-A8EE-5353E0BE81AF}"/>
    <cellStyle name="Normal 2 4 2 3 7 4" xfId="10146" xr:uid="{7D3E3D92-8EA2-43C4-944B-54C78D5480C8}"/>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94351E2C-FB99-4E48-AD68-CDDFF78BB303}"/>
    <cellStyle name="Normal 2 4 2 3 8 2 3" xfId="12704" xr:uid="{45559BBA-34B0-4DC5-9742-6B525A83E396}"/>
    <cellStyle name="Normal 2 4 2 3 8 3" xfId="6327" xr:uid="{00000000-0005-0000-0000-0000330F0000}"/>
    <cellStyle name="Normal 2 4 2 3 8 3 2" xfId="14777" xr:uid="{C3A0BF6A-5374-4A87-84DB-557A02428EB3}"/>
    <cellStyle name="Normal 2 4 2 3 8 4" xfId="10559" xr:uid="{583C4470-3408-4120-A659-984DF14EA139}"/>
    <cellStyle name="Normal 2 4 2 3 9" xfId="2457" xr:uid="{00000000-0005-0000-0000-0000340F0000}"/>
    <cellStyle name="Normal 2 4 2 3 9 2" xfId="6740" xr:uid="{00000000-0005-0000-0000-0000350F0000}"/>
    <cellStyle name="Normal 2 4 2 3 9 2 2" xfId="15190" xr:uid="{93694AF1-E526-4C58-83EB-E3CF2C5BB45F}"/>
    <cellStyle name="Normal 2 4 2 3 9 3" xfId="10972" xr:uid="{ED37B47E-4BAC-4479-A42C-8FA280BE7464}"/>
    <cellStyle name="Normal 2 4 2 4" xfId="289" xr:uid="{00000000-0005-0000-0000-0000360F0000}"/>
    <cellStyle name="Normal 2 4 2 4 10" xfId="8914" xr:uid="{9E0DFF5B-E947-42EA-A566-50CFED070019}"/>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605B545D-7C5C-4DA1-A885-87C43A80ECF0}"/>
    <cellStyle name="Normal 2 4 2 4 2 2 2 2 3" xfId="11475" xr:uid="{257F32AC-A365-4E27-9A86-1063A1787338}"/>
    <cellStyle name="Normal 2 4 2 4 2 2 2 3" xfId="5098" xr:uid="{00000000-0005-0000-0000-00003C0F0000}"/>
    <cellStyle name="Normal 2 4 2 4 2 2 2 3 2" xfId="13548" xr:uid="{AC45B6B1-FF63-4B15-A072-6B70C36C1E1F}"/>
    <cellStyle name="Normal 2 4 2 4 2 2 2 4" xfId="9330" xr:uid="{D141FF55-C4D9-4C61-96A0-7828129058D7}"/>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6D0A27CA-231F-48D1-B719-7EA06B99CF61}"/>
    <cellStyle name="Normal 2 4 2 4 2 2 3 2 3" xfId="11888" xr:uid="{F034F7ED-FE37-4AD3-A2AA-567102200930}"/>
    <cellStyle name="Normal 2 4 2 4 2 2 3 3" xfId="5511" xr:uid="{00000000-0005-0000-0000-0000400F0000}"/>
    <cellStyle name="Normal 2 4 2 4 2 2 3 3 2" xfId="13961" xr:uid="{E2DEFB9A-6CCB-4277-8626-E4D8CFD4D4BF}"/>
    <cellStyle name="Normal 2 4 2 4 2 2 3 4" xfId="9743" xr:uid="{B56BDD8D-5F95-463E-A8F1-608AA33C1B46}"/>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63FB0275-E32C-4728-8EA9-0C660B8767A8}"/>
    <cellStyle name="Normal 2 4 2 4 2 2 4 2 3" xfId="12301" xr:uid="{B6FE4C50-DB9C-4610-A854-B01780A27D61}"/>
    <cellStyle name="Normal 2 4 2 4 2 2 4 3" xfId="5924" xr:uid="{00000000-0005-0000-0000-0000440F0000}"/>
    <cellStyle name="Normal 2 4 2 4 2 2 4 3 2" xfId="14374" xr:uid="{13914776-7EC3-4D95-ABE0-977D29EC619A}"/>
    <cellStyle name="Normal 2 4 2 4 2 2 4 4" xfId="10156" xr:uid="{7B20C5EB-A8B1-425F-9EFB-95842C831DFD}"/>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781F7FF2-FDDB-40AA-9A7D-F5106E7AEADC}"/>
    <cellStyle name="Normal 2 4 2 4 2 2 5 2 3" xfId="12714" xr:uid="{1B9AEB68-7EA1-4EF9-BBD7-4CA99DD01D06}"/>
    <cellStyle name="Normal 2 4 2 4 2 2 5 3" xfId="6337" xr:uid="{00000000-0005-0000-0000-0000480F0000}"/>
    <cellStyle name="Normal 2 4 2 4 2 2 5 3 2" xfId="14787" xr:uid="{04CB9ACD-0B5B-4FFE-B0D3-C19BF665263E}"/>
    <cellStyle name="Normal 2 4 2 4 2 2 5 4" xfId="10569" xr:uid="{6E9DE4B8-C93E-46B4-889E-CF954E6C664E}"/>
    <cellStyle name="Normal 2 4 2 4 2 2 6" xfId="2467" xr:uid="{00000000-0005-0000-0000-0000490F0000}"/>
    <cellStyle name="Normal 2 4 2 4 2 2 6 2" xfId="6750" xr:uid="{00000000-0005-0000-0000-00004A0F0000}"/>
    <cellStyle name="Normal 2 4 2 4 2 2 6 2 2" xfId="15200" xr:uid="{D86748FB-0CBA-4E45-99AE-0DB2E4483315}"/>
    <cellStyle name="Normal 2 4 2 4 2 2 6 3" xfId="10982" xr:uid="{99EB149F-839F-4715-AC12-4B2202A5848B}"/>
    <cellStyle name="Normal 2 4 2 4 2 2 7" xfId="4684" xr:uid="{00000000-0005-0000-0000-00004B0F0000}"/>
    <cellStyle name="Normal 2 4 2 4 2 2 7 2" xfId="13134" xr:uid="{A079880B-08AA-4DDF-9BB7-46D0C3AD9365}"/>
    <cellStyle name="Normal 2 4 2 4 2 2 8" xfId="8916" xr:uid="{6736F3C6-25A6-4A82-832F-326C3B895402}"/>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15D44036-B383-4836-8B11-13601C29C229}"/>
    <cellStyle name="Normal 2 4 2 4 2 3 2 3" xfId="11474" xr:uid="{AB56CCC5-2F9D-49D3-8B42-8EE681FFA375}"/>
    <cellStyle name="Normal 2 4 2 4 2 3 3" xfId="5097" xr:uid="{00000000-0005-0000-0000-00004F0F0000}"/>
    <cellStyle name="Normal 2 4 2 4 2 3 3 2" xfId="13547" xr:uid="{D2B1BC32-B174-44FA-B28B-A3250974A64A}"/>
    <cellStyle name="Normal 2 4 2 4 2 3 4" xfId="9329" xr:uid="{6D02891C-6442-4ACC-9175-2DA483F2841B}"/>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5D22F15D-623B-4473-ABEF-2B2BF2BA6811}"/>
    <cellStyle name="Normal 2 4 2 4 2 4 2 3" xfId="11887" xr:uid="{0162CBEE-86C4-4F6F-80CD-8519008C6E07}"/>
    <cellStyle name="Normal 2 4 2 4 2 4 3" xfId="5510" xr:uid="{00000000-0005-0000-0000-0000530F0000}"/>
    <cellStyle name="Normal 2 4 2 4 2 4 3 2" xfId="13960" xr:uid="{B6B75580-0B9D-49A1-9E74-6A4C450EE961}"/>
    <cellStyle name="Normal 2 4 2 4 2 4 4" xfId="9742" xr:uid="{98D34156-DCBB-48B5-862D-A53FDDD5A40A}"/>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C0E05D13-8700-47D5-9711-32C068A68F39}"/>
    <cellStyle name="Normal 2 4 2 4 2 5 2 3" xfId="12300" xr:uid="{84466A3F-62E8-4A93-B4D3-0EAF6BB30553}"/>
    <cellStyle name="Normal 2 4 2 4 2 5 3" xfId="5923" xr:uid="{00000000-0005-0000-0000-0000570F0000}"/>
    <cellStyle name="Normal 2 4 2 4 2 5 3 2" xfId="14373" xr:uid="{D0427846-3D30-4ADA-93C9-5CFAB9DFBA1B}"/>
    <cellStyle name="Normal 2 4 2 4 2 5 4" xfId="10155" xr:uid="{B3257CFB-F91B-44DD-A29B-7F56BC59E17F}"/>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F8070859-0E27-4936-AC67-D6E62CBE67B2}"/>
    <cellStyle name="Normal 2 4 2 4 2 6 2 3" xfId="12713" xr:uid="{F821B23D-BDC4-4917-BD18-DA55E0DF8F29}"/>
    <cellStyle name="Normal 2 4 2 4 2 6 3" xfId="6336" xr:uid="{00000000-0005-0000-0000-00005B0F0000}"/>
    <cellStyle name="Normal 2 4 2 4 2 6 3 2" xfId="14786" xr:uid="{75BD6354-6A99-4B57-AE7E-AEFF739A30B4}"/>
    <cellStyle name="Normal 2 4 2 4 2 6 4" xfId="10568" xr:uid="{E075E38B-BFD7-4EFC-9362-4FB44C77AE17}"/>
    <cellStyle name="Normal 2 4 2 4 2 7" xfId="2466" xr:uid="{00000000-0005-0000-0000-00005C0F0000}"/>
    <cellStyle name="Normal 2 4 2 4 2 7 2" xfId="6749" xr:uid="{00000000-0005-0000-0000-00005D0F0000}"/>
    <cellStyle name="Normal 2 4 2 4 2 7 2 2" xfId="15199" xr:uid="{6624D7C6-DFC8-4F6B-BA40-D7029198034C}"/>
    <cellStyle name="Normal 2 4 2 4 2 7 3" xfId="10981" xr:uid="{3D110F89-86DC-4934-8819-E2530E4344F1}"/>
    <cellStyle name="Normal 2 4 2 4 2 8" xfId="4683" xr:uid="{00000000-0005-0000-0000-00005E0F0000}"/>
    <cellStyle name="Normal 2 4 2 4 2 8 2" xfId="13133" xr:uid="{BB0595C7-DA10-4A4A-A3F0-BCBE35064844}"/>
    <cellStyle name="Normal 2 4 2 4 2 9" xfId="8915" xr:uid="{5A29A212-8D22-48E9-8311-5CEE53502485}"/>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F6276C35-6342-4983-A93E-672317C37703}"/>
    <cellStyle name="Normal 2 4 2 4 3 2 2 3" xfId="11476" xr:uid="{0AC35018-8B7B-482B-92E5-23D1EA912D36}"/>
    <cellStyle name="Normal 2 4 2 4 3 2 3" xfId="5099" xr:uid="{00000000-0005-0000-0000-0000630F0000}"/>
    <cellStyle name="Normal 2 4 2 4 3 2 3 2" xfId="13549" xr:uid="{AD96F224-2501-4318-B09A-7B1E0DBDDED5}"/>
    <cellStyle name="Normal 2 4 2 4 3 2 4" xfId="9331" xr:uid="{6C27F805-E291-440F-93CE-91EA3944AA21}"/>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7E84A210-6FF2-415B-9996-6B33DB6950D1}"/>
    <cellStyle name="Normal 2 4 2 4 3 3 2 3" xfId="11889" xr:uid="{F044FCE5-7AE6-4C77-80FE-11B3360C3231}"/>
    <cellStyle name="Normal 2 4 2 4 3 3 3" xfId="5512" xr:uid="{00000000-0005-0000-0000-0000670F0000}"/>
    <cellStyle name="Normal 2 4 2 4 3 3 3 2" xfId="13962" xr:uid="{09B92BCF-7E81-4CCC-96B3-C5B485EF1999}"/>
    <cellStyle name="Normal 2 4 2 4 3 3 4" xfId="9744" xr:uid="{8A022EC6-25A7-4852-BDB6-C275C05D6BEB}"/>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17B6F1CE-02CB-4929-9C63-9200C2C4E6B0}"/>
    <cellStyle name="Normal 2 4 2 4 3 4 2 3" xfId="12302" xr:uid="{B6B38B15-2F73-4E20-8BCA-B791FE4DB0B0}"/>
    <cellStyle name="Normal 2 4 2 4 3 4 3" xfId="5925" xr:uid="{00000000-0005-0000-0000-00006B0F0000}"/>
    <cellStyle name="Normal 2 4 2 4 3 4 3 2" xfId="14375" xr:uid="{6E6B46DA-1013-4291-85A8-17FAD13080E5}"/>
    <cellStyle name="Normal 2 4 2 4 3 4 4" xfId="10157" xr:uid="{3AD9F140-349F-4C68-AA5A-4E3BE903D34C}"/>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AAD5B06D-E3B9-44CF-A312-B7E5396ED5D1}"/>
    <cellStyle name="Normal 2 4 2 4 3 5 2 3" xfId="12715" xr:uid="{6BE83FA3-C751-4591-A257-2E93F1BA2726}"/>
    <cellStyle name="Normal 2 4 2 4 3 5 3" xfId="6338" xr:uid="{00000000-0005-0000-0000-00006F0F0000}"/>
    <cellStyle name="Normal 2 4 2 4 3 5 3 2" xfId="14788" xr:uid="{97C434A1-CE24-40D6-975E-889B172E2B5B}"/>
    <cellStyle name="Normal 2 4 2 4 3 5 4" xfId="10570" xr:uid="{7ED6D59D-6A00-433C-BFFE-FC6B053B155F}"/>
    <cellStyle name="Normal 2 4 2 4 3 6" xfId="2468" xr:uid="{00000000-0005-0000-0000-0000700F0000}"/>
    <cellStyle name="Normal 2 4 2 4 3 6 2" xfId="6751" xr:uid="{00000000-0005-0000-0000-0000710F0000}"/>
    <cellStyle name="Normal 2 4 2 4 3 6 2 2" xfId="15201" xr:uid="{D7D5853F-9E6B-4DB3-9EAF-955855C3F591}"/>
    <cellStyle name="Normal 2 4 2 4 3 6 3" xfId="10983" xr:uid="{6AAD3266-10C6-41C0-AAEA-FB2143BF5C44}"/>
    <cellStyle name="Normal 2 4 2 4 3 7" xfId="4685" xr:uid="{00000000-0005-0000-0000-0000720F0000}"/>
    <cellStyle name="Normal 2 4 2 4 3 7 2" xfId="13135" xr:uid="{74846350-21C3-46AA-B5B5-FC687522A04A}"/>
    <cellStyle name="Normal 2 4 2 4 3 8" xfId="8917" xr:uid="{28997EB6-540B-4F36-8CBF-718AA915E2FE}"/>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83E8830B-B514-4EAA-89A1-8B060C3C111E}"/>
    <cellStyle name="Normal 2 4 2 4 4 2 3" xfId="11473" xr:uid="{0D90AC82-1100-4CC3-A846-A7F953E24F2E}"/>
    <cellStyle name="Normal 2 4 2 4 4 3" xfId="5096" xr:uid="{00000000-0005-0000-0000-0000760F0000}"/>
    <cellStyle name="Normal 2 4 2 4 4 3 2" xfId="13546" xr:uid="{6F40F064-0AD6-4BCA-A139-2AF274BF7806}"/>
    <cellStyle name="Normal 2 4 2 4 4 4" xfId="9328" xr:uid="{D9DE36E6-C8F4-43C0-8204-158728290564}"/>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5EA26C46-11D0-43C1-9D2E-1BEA0BEFE250}"/>
    <cellStyle name="Normal 2 4 2 4 5 2 3" xfId="11886" xr:uid="{9BB8E73C-B360-44AE-9AD6-45F3D17C9C93}"/>
    <cellStyle name="Normal 2 4 2 4 5 3" xfId="5509" xr:uid="{00000000-0005-0000-0000-00007A0F0000}"/>
    <cellStyle name="Normal 2 4 2 4 5 3 2" xfId="13959" xr:uid="{DE61A079-C38D-47B4-BBDF-C4FA810C3A22}"/>
    <cellStyle name="Normal 2 4 2 4 5 4" xfId="9741" xr:uid="{447E359D-BDEA-440C-87D2-5665242FF023}"/>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DF0DDDFF-44ED-44D2-917F-7C4958865526}"/>
    <cellStyle name="Normal 2 4 2 4 6 2 3" xfId="12299" xr:uid="{CB979E48-9484-4D87-9364-8C8D3B3502D3}"/>
    <cellStyle name="Normal 2 4 2 4 6 3" xfId="5922" xr:uid="{00000000-0005-0000-0000-00007E0F0000}"/>
    <cellStyle name="Normal 2 4 2 4 6 3 2" xfId="14372" xr:uid="{F7A01667-D6A5-4A2D-9A5D-2CAA9F561773}"/>
    <cellStyle name="Normal 2 4 2 4 6 4" xfId="10154" xr:uid="{17B6705A-8CC3-4A37-8711-2008EFD1D1AC}"/>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737B1874-4E3C-453A-843A-347C50FAA894}"/>
    <cellStyle name="Normal 2 4 2 4 7 2 3" xfId="12712" xr:uid="{77595120-DC7B-48F1-A0CD-011E4241000B}"/>
    <cellStyle name="Normal 2 4 2 4 7 3" xfId="6335" xr:uid="{00000000-0005-0000-0000-0000820F0000}"/>
    <cellStyle name="Normal 2 4 2 4 7 3 2" xfId="14785" xr:uid="{3805D637-7F6D-4801-959F-3597E2E3B0B0}"/>
    <cellStyle name="Normal 2 4 2 4 7 4" xfId="10567" xr:uid="{802A305B-45CB-4915-BB7C-1060BCE7E59F}"/>
    <cellStyle name="Normal 2 4 2 4 8" xfId="2465" xr:uid="{00000000-0005-0000-0000-0000830F0000}"/>
    <cellStyle name="Normal 2 4 2 4 8 2" xfId="6748" xr:uid="{00000000-0005-0000-0000-0000840F0000}"/>
    <cellStyle name="Normal 2 4 2 4 8 2 2" xfId="15198" xr:uid="{64871D15-AE37-4534-B086-E673EA8430B5}"/>
    <cellStyle name="Normal 2 4 2 4 8 3" xfId="10980" xr:uid="{DA5500E0-B354-4B88-A200-AC9FEB7A767F}"/>
    <cellStyle name="Normal 2 4 2 4 9" xfId="4682" xr:uid="{00000000-0005-0000-0000-0000850F0000}"/>
    <cellStyle name="Normal 2 4 2 4 9 2" xfId="13132" xr:uid="{B7FDC4F4-0EF1-439F-8965-E358A8B78966}"/>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7F3A5FBA-F394-4AF6-A8B1-AAE2B7BDCB42}"/>
    <cellStyle name="Normal 2 4 2 5 2 2 2 3" xfId="11478" xr:uid="{826926B2-870B-4893-89EE-F11EB5725F23}"/>
    <cellStyle name="Normal 2 4 2 5 2 2 3" xfId="5101" xr:uid="{00000000-0005-0000-0000-00008B0F0000}"/>
    <cellStyle name="Normal 2 4 2 5 2 2 3 2" xfId="13551" xr:uid="{D531985E-322D-4C8E-ACC8-6696FC260406}"/>
    <cellStyle name="Normal 2 4 2 5 2 2 4" xfId="9333" xr:uid="{D72A6BD8-85AB-4900-B358-E8527AE0806F}"/>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4D3F17BD-BF14-43E0-9EC8-6C32111E58A0}"/>
    <cellStyle name="Normal 2 4 2 5 2 3 2 3" xfId="11891" xr:uid="{D5D3F1B7-3026-4299-857C-F99BB4DE7132}"/>
    <cellStyle name="Normal 2 4 2 5 2 3 3" xfId="5514" xr:uid="{00000000-0005-0000-0000-00008F0F0000}"/>
    <cellStyle name="Normal 2 4 2 5 2 3 3 2" xfId="13964" xr:uid="{DAC8B365-7C27-47F5-998B-1782F35694A4}"/>
    <cellStyle name="Normal 2 4 2 5 2 3 4" xfId="9746" xr:uid="{AD7C13E3-90B8-4AAE-ADBE-5A7ADF7300FB}"/>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9097E57A-170B-40D4-9480-E891781EDC73}"/>
    <cellStyle name="Normal 2 4 2 5 2 4 2 3" xfId="12304" xr:uid="{A774DFBB-A163-453C-B36C-344C64119E77}"/>
    <cellStyle name="Normal 2 4 2 5 2 4 3" xfId="5927" xr:uid="{00000000-0005-0000-0000-0000930F0000}"/>
    <cellStyle name="Normal 2 4 2 5 2 4 3 2" xfId="14377" xr:uid="{A481DFE7-EF39-4C25-AE8B-10720F02CEAB}"/>
    <cellStyle name="Normal 2 4 2 5 2 4 4" xfId="10159" xr:uid="{C5A91C42-B50C-4B84-9940-556AFE60C948}"/>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65974907-43D4-45C8-8545-73A12326C4B7}"/>
    <cellStyle name="Normal 2 4 2 5 2 5 2 3" xfId="12717" xr:uid="{381A3995-B570-43FF-8538-B673B74E0244}"/>
    <cellStyle name="Normal 2 4 2 5 2 5 3" xfId="6340" xr:uid="{00000000-0005-0000-0000-0000970F0000}"/>
    <cellStyle name="Normal 2 4 2 5 2 5 3 2" xfId="14790" xr:uid="{5AAF38C9-406C-4184-9D4E-BC000A3AC9CC}"/>
    <cellStyle name="Normal 2 4 2 5 2 5 4" xfId="10572" xr:uid="{060C5124-57A3-43FB-8D8B-68B015BF647D}"/>
    <cellStyle name="Normal 2 4 2 5 2 6" xfId="2470" xr:uid="{00000000-0005-0000-0000-0000980F0000}"/>
    <cellStyle name="Normal 2 4 2 5 2 6 2" xfId="6753" xr:uid="{00000000-0005-0000-0000-0000990F0000}"/>
    <cellStyle name="Normal 2 4 2 5 2 6 2 2" xfId="15203" xr:uid="{9697C54F-31AC-471E-9317-3A383E91485A}"/>
    <cellStyle name="Normal 2 4 2 5 2 6 3" xfId="10985" xr:uid="{29699AB1-05EB-48D3-83E2-7F2BA81DDE13}"/>
    <cellStyle name="Normal 2 4 2 5 2 7" xfId="4687" xr:uid="{00000000-0005-0000-0000-00009A0F0000}"/>
    <cellStyle name="Normal 2 4 2 5 2 7 2" xfId="13137" xr:uid="{04C70841-8208-4891-A252-942AEC831077}"/>
    <cellStyle name="Normal 2 4 2 5 2 8" xfId="8919" xr:uid="{C603AF93-8CE5-46A5-852B-8369FE5AE011}"/>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F0562458-229F-4838-9D80-74891BD30D54}"/>
    <cellStyle name="Normal 2 4 2 5 3 2 3" xfId="11477" xr:uid="{DB7ABBD1-1A60-480D-A594-41CDB987C7E0}"/>
    <cellStyle name="Normal 2 4 2 5 3 3" xfId="5100" xr:uid="{00000000-0005-0000-0000-00009E0F0000}"/>
    <cellStyle name="Normal 2 4 2 5 3 3 2" xfId="13550" xr:uid="{877A7393-6EF6-434B-B1AE-850175F5470C}"/>
    <cellStyle name="Normal 2 4 2 5 3 4" xfId="9332" xr:uid="{94D57AD2-ECC0-4DDA-85AF-70DCBD9ACE84}"/>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380FD405-0690-4354-93CF-A37761C26B0C}"/>
    <cellStyle name="Normal 2 4 2 5 4 2 3" xfId="11890" xr:uid="{2DA3B68F-B25F-4FFD-B4AC-43AB7F669647}"/>
    <cellStyle name="Normal 2 4 2 5 4 3" xfId="5513" xr:uid="{00000000-0005-0000-0000-0000A20F0000}"/>
    <cellStyle name="Normal 2 4 2 5 4 3 2" xfId="13963" xr:uid="{8F323ED3-F27D-49D2-B068-9314CC3DD756}"/>
    <cellStyle name="Normal 2 4 2 5 4 4" xfId="9745" xr:uid="{7D45CF02-97EA-417A-9DED-6BBCDD57966F}"/>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BBC0E1A6-DEE0-4CEB-9BE2-AE740160E566}"/>
    <cellStyle name="Normal 2 4 2 5 5 2 3" xfId="12303" xr:uid="{5B277EFF-3C54-43BA-B3F5-06ADD9A4DD95}"/>
    <cellStyle name="Normal 2 4 2 5 5 3" xfId="5926" xr:uid="{00000000-0005-0000-0000-0000A60F0000}"/>
    <cellStyle name="Normal 2 4 2 5 5 3 2" xfId="14376" xr:uid="{14AA047D-7D0D-4A49-A3B7-4EF75140ABA4}"/>
    <cellStyle name="Normal 2 4 2 5 5 4" xfId="10158" xr:uid="{3AF3AFA3-1B49-4E27-80CD-03DC603368B5}"/>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236EF962-0D69-457D-8929-9FF064219584}"/>
    <cellStyle name="Normal 2 4 2 5 6 2 3" xfId="12716" xr:uid="{B456D217-E0D9-4DDD-961A-FF852CE681B6}"/>
    <cellStyle name="Normal 2 4 2 5 6 3" xfId="6339" xr:uid="{00000000-0005-0000-0000-0000AA0F0000}"/>
    <cellStyle name="Normal 2 4 2 5 6 3 2" xfId="14789" xr:uid="{41E07F30-A0B6-4BCA-BDDC-7E0102F23C12}"/>
    <cellStyle name="Normal 2 4 2 5 6 4" xfId="10571" xr:uid="{F9326CE7-4DAC-422D-8459-8CA80A13090B}"/>
    <cellStyle name="Normal 2 4 2 5 7" xfId="2469" xr:uid="{00000000-0005-0000-0000-0000AB0F0000}"/>
    <cellStyle name="Normal 2 4 2 5 7 2" xfId="6752" xr:uid="{00000000-0005-0000-0000-0000AC0F0000}"/>
    <cellStyle name="Normal 2 4 2 5 7 2 2" xfId="15202" xr:uid="{5E8A7D04-644B-4AB6-9627-07F99EFEDCE0}"/>
    <cellStyle name="Normal 2 4 2 5 7 3" xfId="10984" xr:uid="{3DBFE7C4-4283-4490-8F74-66A9F058CCA3}"/>
    <cellStyle name="Normal 2 4 2 5 8" xfId="4686" xr:uid="{00000000-0005-0000-0000-0000AD0F0000}"/>
    <cellStyle name="Normal 2 4 2 5 8 2" xfId="13136" xr:uid="{0653C666-2042-4803-94F7-C0FF7A8A38DD}"/>
    <cellStyle name="Normal 2 4 2 5 9" xfId="8918" xr:uid="{BD95608F-BF41-451D-879E-722A4FB9A42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34FFBD36-894F-4B39-BB91-DD4331CA8357}"/>
    <cellStyle name="Normal 2 4 2 6 2 2 3" xfId="11479" xr:uid="{CEFB5156-C39C-4228-A7CA-FFDF0D34BECA}"/>
    <cellStyle name="Normal 2 4 2 6 2 3" xfId="5102" xr:uid="{00000000-0005-0000-0000-0000B20F0000}"/>
    <cellStyle name="Normal 2 4 2 6 2 3 2" xfId="13552" xr:uid="{2C119065-8416-41DD-B010-AB661396BF93}"/>
    <cellStyle name="Normal 2 4 2 6 2 4" xfId="9334" xr:uid="{61342F7E-9896-4F5B-84B6-3BE0B9E23CBD}"/>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472C4B7D-FCF3-459D-8975-5F5D9AA21C70}"/>
    <cellStyle name="Normal 2 4 2 6 3 2 3" xfId="11892" xr:uid="{A0796888-F4DD-45BE-8CDC-3F502C65FD14}"/>
    <cellStyle name="Normal 2 4 2 6 3 3" xfId="5515" xr:uid="{00000000-0005-0000-0000-0000B60F0000}"/>
    <cellStyle name="Normal 2 4 2 6 3 3 2" xfId="13965" xr:uid="{E96BD018-D1D8-41F2-85E8-320EBB02A28C}"/>
    <cellStyle name="Normal 2 4 2 6 3 4" xfId="9747" xr:uid="{DDD95655-2B93-46D9-AB6C-0979439BF7A6}"/>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91EC4733-CA7D-496F-AA69-A15F2550C19C}"/>
    <cellStyle name="Normal 2 4 2 6 4 2 3" xfId="12305" xr:uid="{670F4459-2F02-4001-B1F8-D28616F0FD84}"/>
    <cellStyle name="Normal 2 4 2 6 4 3" xfId="5928" xr:uid="{00000000-0005-0000-0000-0000BA0F0000}"/>
    <cellStyle name="Normal 2 4 2 6 4 3 2" xfId="14378" xr:uid="{4DBAA02D-D082-44E9-9B8F-73D7F4AAAE7E}"/>
    <cellStyle name="Normal 2 4 2 6 4 4" xfId="10160" xr:uid="{05A36A42-60BB-4A84-AFFA-A8B371097AD3}"/>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D77227FD-39B9-4B77-88EB-73E1D1440F13}"/>
    <cellStyle name="Normal 2 4 2 6 5 2 3" xfId="12718" xr:uid="{A95E1F82-9093-4FF1-9585-F4BA89E94E9A}"/>
    <cellStyle name="Normal 2 4 2 6 5 3" xfId="6341" xr:uid="{00000000-0005-0000-0000-0000BE0F0000}"/>
    <cellStyle name="Normal 2 4 2 6 5 3 2" xfId="14791" xr:uid="{CA684219-2CBD-4C71-BF4C-5B8E7F7D1D4A}"/>
    <cellStyle name="Normal 2 4 2 6 5 4" xfId="10573" xr:uid="{D4F2D850-5ED3-4338-8081-E5EDAAAA84C2}"/>
    <cellStyle name="Normal 2 4 2 6 6" xfId="2471" xr:uid="{00000000-0005-0000-0000-0000BF0F0000}"/>
    <cellStyle name="Normal 2 4 2 6 6 2" xfId="6754" xr:uid="{00000000-0005-0000-0000-0000C00F0000}"/>
    <cellStyle name="Normal 2 4 2 6 6 2 2" xfId="15204" xr:uid="{B78E43B5-75DB-449A-B5EF-A617114C9B74}"/>
    <cellStyle name="Normal 2 4 2 6 6 3" xfId="10986" xr:uid="{422FF3D4-6333-47A7-A763-1EE177C6CD0C}"/>
    <cellStyle name="Normal 2 4 2 6 7" xfId="4688" xr:uid="{00000000-0005-0000-0000-0000C10F0000}"/>
    <cellStyle name="Normal 2 4 2 6 7 2" xfId="13138" xr:uid="{FE5F94D2-21D9-437E-B7FC-C7EED640181F}"/>
    <cellStyle name="Normal 2 4 2 6 8" xfId="8920" xr:uid="{5E34400C-F791-438A-A6AF-E2A094CCD2B1}"/>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91B5B5CE-13AD-4A87-9F83-0069F49AF6BD}"/>
    <cellStyle name="Normal 2 4 2 7 2 3" xfId="11464" xr:uid="{EC389FDD-BA42-4CA5-909F-C6EFF905C479}"/>
    <cellStyle name="Normal 2 4 2 7 3" xfId="5087" xr:uid="{00000000-0005-0000-0000-0000C50F0000}"/>
    <cellStyle name="Normal 2 4 2 7 3 2" xfId="13537" xr:uid="{B819245E-71F8-4DD8-8B1B-4A80FEE0D51C}"/>
    <cellStyle name="Normal 2 4 2 7 4" xfId="9319" xr:uid="{1D6FF3E6-F44E-4E1E-9F85-233D891800A4}"/>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0391CA5A-5AFF-4BC2-9320-799564805E2A}"/>
    <cellStyle name="Normal 2 4 2 8 2 3" xfId="11877" xr:uid="{D8C7A1F8-1F85-453B-9E28-8B90DB7548C2}"/>
    <cellStyle name="Normal 2 4 2 8 3" xfId="5500" xr:uid="{00000000-0005-0000-0000-0000C90F0000}"/>
    <cellStyle name="Normal 2 4 2 8 3 2" xfId="13950" xr:uid="{FD64B685-3B9B-4EE3-8620-E1081D4C4BAF}"/>
    <cellStyle name="Normal 2 4 2 8 4" xfId="9732" xr:uid="{48EB19C6-F5F0-4993-94EE-AFBBAFDA4CBF}"/>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80C48A17-13FD-444D-B58C-D1A1F66C78B0}"/>
    <cellStyle name="Normal 2 4 2 9 2 3" xfId="12290" xr:uid="{6D0B3EF4-8BA4-4181-B3BD-355117333769}"/>
    <cellStyle name="Normal 2 4 2 9 3" xfId="5913" xr:uid="{00000000-0005-0000-0000-0000CD0F0000}"/>
    <cellStyle name="Normal 2 4 2 9 3 2" xfId="14363" xr:uid="{AFECEE9F-4328-4C0E-B9E2-10904DB0ABB1}"/>
    <cellStyle name="Normal 2 4 2 9 4" xfId="10145" xr:uid="{60CAC7B7-E39B-473F-A9A8-0BB6D9CA74F3}"/>
    <cellStyle name="Normal 2 4 3" xfId="296" xr:uid="{00000000-0005-0000-0000-0000CE0F0000}"/>
    <cellStyle name="Normal 2 4 3 10" xfId="8921" xr:uid="{7059FE65-3DE4-4329-966B-3CA8BC4ACDC1}"/>
    <cellStyle name="Normal 2 4 3 2" xfId="297" xr:uid="{00000000-0005-0000-0000-0000CF0F0000}"/>
    <cellStyle name="Normal 2 4 3 3" xfId="298" xr:uid="{00000000-0005-0000-0000-0000D00F0000}"/>
    <cellStyle name="Normal 2 4 3 3 10" xfId="8922" xr:uid="{F3857241-9CFF-4AD2-8AB6-D66D49CD2E91}"/>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4ECF6BCB-56A5-4727-A94F-D5AB488E5B03}"/>
    <cellStyle name="Normal 2 4 3 3 2 2 2 2 3" xfId="11483" xr:uid="{BF39A127-265C-49AC-9DC1-441F5F41B91D}"/>
    <cellStyle name="Normal 2 4 3 3 2 2 2 3" xfId="5106" xr:uid="{00000000-0005-0000-0000-0000D60F0000}"/>
    <cellStyle name="Normal 2 4 3 3 2 2 2 3 2" xfId="13556" xr:uid="{9B89D8D8-0D0D-4746-BC6E-FB8909319D92}"/>
    <cellStyle name="Normal 2 4 3 3 2 2 2 4" xfId="9338" xr:uid="{A2C2900B-F109-4BFD-A85F-1C52939D64A8}"/>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91F90ED5-74B9-4B24-B576-A58D0137D1AD}"/>
    <cellStyle name="Normal 2 4 3 3 2 2 3 2 3" xfId="11896" xr:uid="{9E4C017F-EAD1-4312-BE27-A4CE060B443E}"/>
    <cellStyle name="Normal 2 4 3 3 2 2 3 3" xfId="5519" xr:uid="{00000000-0005-0000-0000-0000DA0F0000}"/>
    <cellStyle name="Normal 2 4 3 3 2 2 3 3 2" xfId="13969" xr:uid="{6DB71AE4-BD9A-472D-8EA6-B3126F20D405}"/>
    <cellStyle name="Normal 2 4 3 3 2 2 3 4" xfId="9751" xr:uid="{86D7AF66-1FE1-4A5A-9B32-61C16E42A563}"/>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0D4F24B2-7A49-4116-9F9E-0B0FC14F75FB}"/>
    <cellStyle name="Normal 2 4 3 3 2 2 4 2 3" xfId="12309" xr:uid="{C9F25B1F-B7EB-4C0C-9E64-2996BA3BCE72}"/>
    <cellStyle name="Normal 2 4 3 3 2 2 4 3" xfId="5932" xr:uid="{00000000-0005-0000-0000-0000DE0F0000}"/>
    <cellStyle name="Normal 2 4 3 3 2 2 4 3 2" xfId="14382" xr:uid="{A6031410-7B39-4EDA-BB35-3F59DA18AFC6}"/>
    <cellStyle name="Normal 2 4 3 3 2 2 4 4" xfId="10164" xr:uid="{7DCDDDC1-D5E9-40D6-BF5B-1D20DFE0B4AA}"/>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ACD77C53-BE47-4A78-AD10-A2450B15D362}"/>
    <cellStyle name="Normal 2 4 3 3 2 2 5 2 3" xfId="12722" xr:uid="{2E14AFCD-CD92-405F-A60F-5640BD782F72}"/>
    <cellStyle name="Normal 2 4 3 3 2 2 5 3" xfId="6345" xr:uid="{00000000-0005-0000-0000-0000E20F0000}"/>
    <cellStyle name="Normal 2 4 3 3 2 2 5 3 2" xfId="14795" xr:uid="{7A2F4C3A-6F46-443C-B06A-8A40D4B38F98}"/>
    <cellStyle name="Normal 2 4 3 3 2 2 5 4" xfId="10577" xr:uid="{62154C39-3D7F-45FE-A619-6BA8FD9CFB36}"/>
    <cellStyle name="Normal 2 4 3 3 2 2 6" xfId="2475" xr:uid="{00000000-0005-0000-0000-0000E30F0000}"/>
    <cellStyle name="Normal 2 4 3 3 2 2 6 2" xfId="6758" xr:uid="{00000000-0005-0000-0000-0000E40F0000}"/>
    <cellStyle name="Normal 2 4 3 3 2 2 6 2 2" xfId="15208" xr:uid="{DFE90BDC-3571-457E-9C63-0D62F01A1F53}"/>
    <cellStyle name="Normal 2 4 3 3 2 2 6 3" xfId="10990" xr:uid="{17949685-F6A3-490A-AF29-AADB6D3D84A9}"/>
    <cellStyle name="Normal 2 4 3 3 2 2 7" xfId="4692" xr:uid="{00000000-0005-0000-0000-0000E50F0000}"/>
    <cellStyle name="Normal 2 4 3 3 2 2 7 2" xfId="13142" xr:uid="{B6EE324C-D57D-4AE7-80D1-687270E76A45}"/>
    <cellStyle name="Normal 2 4 3 3 2 2 8" xfId="8924" xr:uid="{EDEC2198-1852-490A-ACF4-C924A50B7942}"/>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372F6599-A98D-423F-A215-9515B9475CB2}"/>
    <cellStyle name="Normal 2 4 3 3 2 3 2 3" xfId="11482" xr:uid="{42447938-D01F-4C6C-AA3D-F5E8621A8C9B}"/>
    <cellStyle name="Normal 2 4 3 3 2 3 3" xfId="5105" xr:uid="{00000000-0005-0000-0000-0000E90F0000}"/>
    <cellStyle name="Normal 2 4 3 3 2 3 3 2" xfId="13555" xr:uid="{EAD2BAD9-8573-40F2-BA93-E685849E3DAF}"/>
    <cellStyle name="Normal 2 4 3 3 2 3 4" xfId="9337" xr:uid="{E3FA801A-F6EC-4492-A662-A17333FCC40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1E9AD9CE-1F68-4066-9FFD-640D35A7FABD}"/>
    <cellStyle name="Normal 2 4 3 3 2 4 2 3" xfId="11895" xr:uid="{958D6811-B1C6-430B-BF06-CC73AFDB13E6}"/>
    <cellStyle name="Normal 2 4 3 3 2 4 3" xfId="5518" xr:uid="{00000000-0005-0000-0000-0000ED0F0000}"/>
    <cellStyle name="Normal 2 4 3 3 2 4 3 2" xfId="13968" xr:uid="{E3CDD8C8-2347-43A6-ACC6-339943FDFD73}"/>
    <cellStyle name="Normal 2 4 3 3 2 4 4" xfId="9750" xr:uid="{4CD86B42-E0C7-482E-A95B-24CCBFC013BF}"/>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181392DC-7800-42D6-8F5D-F7509B3E6210}"/>
    <cellStyle name="Normal 2 4 3 3 2 5 2 3" xfId="12308" xr:uid="{1A77C242-B984-46FF-964A-8CB99EBA3ADE}"/>
    <cellStyle name="Normal 2 4 3 3 2 5 3" xfId="5931" xr:uid="{00000000-0005-0000-0000-0000F10F0000}"/>
    <cellStyle name="Normal 2 4 3 3 2 5 3 2" xfId="14381" xr:uid="{439383EC-35F8-4F46-9046-95F5E0C06082}"/>
    <cellStyle name="Normal 2 4 3 3 2 5 4" xfId="10163" xr:uid="{969133FD-D18E-481F-9306-29ED81AC0313}"/>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5251F779-57BF-487C-B918-DBBC63318AE4}"/>
    <cellStyle name="Normal 2 4 3 3 2 6 2 3" xfId="12721" xr:uid="{188FBE3D-7213-4AA1-B839-57721C1DC3B7}"/>
    <cellStyle name="Normal 2 4 3 3 2 6 3" xfId="6344" xr:uid="{00000000-0005-0000-0000-0000F50F0000}"/>
    <cellStyle name="Normal 2 4 3 3 2 6 3 2" xfId="14794" xr:uid="{B4E48CB0-B2A0-4F2A-B262-4D6FC435BB14}"/>
    <cellStyle name="Normal 2 4 3 3 2 6 4" xfId="10576" xr:uid="{7A818DC1-871A-4703-96AE-ADD8AA35F67D}"/>
    <cellStyle name="Normal 2 4 3 3 2 7" xfId="2474" xr:uid="{00000000-0005-0000-0000-0000F60F0000}"/>
    <cellStyle name="Normal 2 4 3 3 2 7 2" xfId="6757" xr:uid="{00000000-0005-0000-0000-0000F70F0000}"/>
    <cellStyle name="Normal 2 4 3 3 2 7 2 2" xfId="15207" xr:uid="{F6DF8F2D-C045-4535-8C25-207ECEF05EAF}"/>
    <cellStyle name="Normal 2 4 3 3 2 7 3" xfId="10989" xr:uid="{EB64DED7-C560-4F92-8941-62ADA6D2D2F3}"/>
    <cellStyle name="Normal 2 4 3 3 2 8" xfId="4691" xr:uid="{00000000-0005-0000-0000-0000F80F0000}"/>
    <cellStyle name="Normal 2 4 3 3 2 8 2" xfId="13141" xr:uid="{D2238350-D4D3-48CD-8283-292FD3E3CD15}"/>
    <cellStyle name="Normal 2 4 3 3 2 9" xfId="8923" xr:uid="{9C45BEED-9546-469D-B8E4-03629FA1CE7B}"/>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49B00143-41C2-4830-97EB-30AFDF29085F}"/>
    <cellStyle name="Normal 2 4 3 3 3 2 2 3" xfId="11484" xr:uid="{69897732-C1DA-48CF-A038-783DE6997FBB}"/>
    <cellStyle name="Normal 2 4 3 3 3 2 3" xfId="5107" xr:uid="{00000000-0005-0000-0000-0000FD0F0000}"/>
    <cellStyle name="Normal 2 4 3 3 3 2 3 2" xfId="13557" xr:uid="{C94E92B5-4DC5-4C1F-80D7-E55C6A9E6A82}"/>
    <cellStyle name="Normal 2 4 3 3 3 2 4" xfId="9339" xr:uid="{998B1072-5CDA-439A-89FA-253F51FF295B}"/>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9E5B7FA5-F33E-4390-9B8E-DF7FA26AD715}"/>
    <cellStyle name="Normal 2 4 3 3 3 3 2 3" xfId="11897" xr:uid="{FC746A5C-D5E8-4EA8-B7F3-E13DD1171E87}"/>
    <cellStyle name="Normal 2 4 3 3 3 3 3" xfId="5520" xr:uid="{00000000-0005-0000-0000-000001100000}"/>
    <cellStyle name="Normal 2 4 3 3 3 3 3 2" xfId="13970" xr:uid="{636B7837-448C-427A-A567-651F2C4E6B68}"/>
    <cellStyle name="Normal 2 4 3 3 3 3 4" xfId="9752" xr:uid="{5A1B2A4C-1186-466A-8B38-83A4898792DB}"/>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EDB87B0E-9408-47F3-9E74-20FED82CA36F}"/>
    <cellStyle name="Normal 2 4 3 3 3 4 2 3" xfId="12310" xr:uid="{315488EE-BF1E-45DB-8A43-A5F5D1126B09}"/>
    <cellStyle name="Normal 2 4 3 3 3 4 3" xfId="5933" xr:uid="{00000000-0005-0000-0000-000005100000}"/>
    <cellStyle name="Normal 2 4 3 3 3 4 3 2" xfId="14383" xr:uid="{C5584C76-9F1C-45E9-83F6-98B851C956A1}"/>
    <cellStyle name="Normal 2 4 3 3 3 4 4" xfId="10165" xr:uid="{6D8DE164-FE51-443D-9F2A-7867129B8CD7}"/>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C3C651FA-1C2E-4FE7-907B-4A9A12B1E747}"/>
    <cellStyle name="Normal 2 4 3 3 3 5 2 3" xfId="12723" xr:uid="{44607836-CAB0-4FAF-832A-126A434AC349}"/>
    <cellStyle name="Normal 2 4 3 3 3 5 3" xfId="6346" xr:uid="{00000000-0005-0000-0000-000009100000}"/>
    <cellStyle name="Normal 2 4 3 3 3 5 3 2" xfId="14796" xr:uid="{528DF90A-25FB-4DA2-BCBD-497B0DF09481}"/>
    <cellStyle name="Normal 2 4 3 3 3 5 4" xfId="10578" xr:uid="{95DB417F-E9B4-4E27-9F0C-5566C387CD05}"/>
    <cellStyle name="Normal 2 4 3 3 3 6" xfId="2476" xr:uid="{00000000-0005-0000-0000-00000A100000}"/>
    <cellStyle name="Normal 2 4 3 3 3 6 2" xfId="6759" xr:uid="{00000000-0005-0000-0000-00000B100000}"/>
    <cellStyle name="Normal 2 4 3 3 3 6 2 2" xfId="15209" xr:uid="{9108D650-5DA0-4535-91B1-48D8C72025C0}"/>
    <cellStyle name="Normal 2 4 3 3 3 6 3" xfId="10991" xr:uid="{28EE30C6-5C02-49CC-9887-17A25C7FB61E}"/>
    <cellStyle name="Normal 2 4 3 3 3 7" xfId="4693" xr:uid="{00000000-0005-0000-0000-00000C100000}"/>
    <cellStyle name="Normal 2 4 3 3 3 7 2" xfId="13143" xr:uid="{F56FC144-54F9-4B05-9A80-FF1E6D22652C}"/>
    <cellStyle name="Normal 2 4 3 3 3 8" xfId="8925" xr:uid="{63C0B68F-4AAB-452F-AF6A-5761135FD19F}"/>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D65D983F-43D9-4D6A-B1BB-86CF6260CF60}"/>
    <cellStyle name="Normal 2 4 3 3 4 2 3" xfId="11481" xr:uid="{DAFA88E7-B4B0-4DD8-8762-50283EDDAB54}"/>
    <cellStyle name="Normal 2 4 3 3 4 3" xfId="5104" xr:uid="{00000000-0005-0000-0000-000010100000}"/>
    <cellStyle name="Normal 2 4 3 3 4 3 2" xfId="13554" xr:uid="{07FEB588-2C5C-43C3-9BD2-5E6FF187F8E4}"/>
    <cellStyle name="Normal 2 4 3 3 4 4" xfId="9336" xr:uid="{2F41B847-C65F-4684-9435-97FEC7A6E9D0}"/>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FAC3BDB9-4033-4963-9445-1B7BCE96CD2D}"/>
    <cellStyle name="Normal 2 4 3 3 5 2 3" xfId="11894" xr:uid="{B2BDB8C4-6E88-4A20-A2C4-DCF8F886401A}"/>
    <cellStyle name="Normal 2 4 3 3 5 3" xfId="5517" xr:uid="{00000000-0005-0000-0000-000014100000}"/>
    <cellStyle name="Normal 2 4 3 3 5 3 2" xfId="13967" xr:uid="{0617FADC-3FF7-42B5-BD46-A504874E0AC0}"/>
    <cellStyle name="Normal 2 4 3 3 5 4" xfId="9749" xr:uid="{472F61FD-4253-435C-8D35-AAE89A670F5E}"/>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2C2AE29E-9AD3-423D-81F8-F10D970210D7}"/>
    <cellStyle name="Normal 2 4 3 3 6 2 3" xfId="12307" xr:uid="{0AEC7C08-46B2-4576-AE1E-CCF65D6839F4}"/>
    <cellStyle name="Normal 2 4 3 3 6 3" xfId="5930" xr:uid="{00000000-0005-0000-0000-000018100000}"/>
    <cellStyle name="Normal 2 4 3 3 6 3 2" xfId="14380" xr:uid="{FA9A55D9-0524-4E37-9CED-31B5B3795837}"/>
    <cellStyle name="Normal 2 4 3 3 6 4" xfId="10162" xr:uid="{1D72FA2D-DF85-459E-BEDE-B7FC2AC7D2D9}"/>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7114E4DC-01C5-4DE9-8F0C-144C1D770F04}"/>
    <cellStyle name="Normal 2 4 3 3 7 2 3" xfId="12720" xr:uid="{8D3AE078-8C0E-432D-8755-522040323C41}"/>
    <cellStyle name="Normal 2 4 3 3 7 3" xfId="6343" xr:uid="{00000000-0005-0000-0000-00001C100000}"/>
    <cellStyle name="Normal 2 4 3 3 7 3 2" xfId="14793" xr:uid="{2C183792-0377-4071-BEF1-E6B8B83408F3}"/>
    <cellStyle name="Normal 2 4 3 3 7 4" xfId="10575" xr:uid="{F9CB8FFE-F9A4-4B97-859C-22468702BCC3}"/>
    <cellStyle name="Normal 2 4 3 3 8" xfId="2473" xr:uid="{00000000-0005-0000-0000-00001D100000}"/>
    <cellStyle name="Normal 2 4 3 3 8 2" xfId="6756" xr:uid="{00000000-0005-0000-0000-00001E100000}"/>
    <cellStyle name="Normal 2 4 3 3 8 2 2" xfId="15206" xr:uid="{900FB0B3-35A2-4EF9-ABDE-66702862D64A}"/>
    <cellStyle name="Normal 2 4 3 3 8 3" xfId="10988" xr:uid="{E50672C2-5020-4232-9039-69CE7D354D48}"/>
    <cellStyle name="Normal 2 4 3 3 9" xfId="4690" xr:uid="{00000000-0005-0000-0000-00001F100000}"/>
    <cellStyle name="Normal 2 4 3 3 9 2" xfId="13140" xr:uid="{56680B5C-11B6-470E-ADE5-2FFCE4A2DAAB}"/>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C3C7EADF-6257-46AD-A2E5-58B6FDBBEC69}"/>
    <cellStyle name="Normal 2 4 3 4 2 3" xfId="11480" xr:uid="{C5B914D7-FE88-4A65-98B1-CBF5B0E283D6}"/>
    <cellStyle name="Normal 2 4 3 4 3" xfId="5103" xr:uid="{00000000-0005-0000-0000-000023100000}"/>
    <cellStyle name="Normal 2 4 3 4 3 2" xfId="13553" xr:uid="{9D327C2F-18B2-441F-B5BF-AD08936C98A7}"/>
    <cellStyle name="Normal 2 4 3 4 4" xfId="9335" xr:uid="{68C25AE6-4CD5-49CF-A49A-68C7EDB2BB6C}"/>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95BC04FE-9168-41CF-BB68-B57B997BC429}"/>
    <cellStyle name="Normal 2 4 3 5 2 3" xfId="11893" xr:uid="{A428DAF1-BDA2-4451-8192-EB260287DD57}"/>
    <cellStyle name="Normal 2 4 3 5 3" xfId="5516" xr:uid="{00000000-0005-0000-0000-000027100000}"/>
    <cellStyle name="Normal 2 4 3 5 3 2" xfId="13966" xr:uid="{A80809CA-000C-4B93-8208-BCD014E51F44}"/>
    <cellStyle name="Normal 2 4 3 5 4" xfId="9748" xr:uid="{6473DA22-F010-421D-89D8-3958FA55227E}"/>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BDDB4F31-2BD2-43C4-88E6-34677BC129D5}"/>
    <cellStyle name="Normal 2 4 3 6 2 3" xfId="12306" xr:uid="{3ED78746-21BE-4500-A0BC-8DEA985D7305}"/>
    <cellStyle name="Normal 2 4 3 6 3" xfId="5929" xr:uid="{00000000-0005-0000-0000-00002B100000}"/>
    <cellStyle name="Normal 2 4 3 6 3 2" xfId="14379" xr:uid="{AF8DA327-87F0-4478-99E2-655D300F0BB1}"/>
    <cellStyle name="Normal 2 4 3 6 4" xfId="10161" xr:uid="{B15D0E40-831F-4B56-9635-664B23238161}"/>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1597C568-C172-4BD8-BD1B-6F5B47FDDAE0}"/>
    <cellStyle name="Normal 2 4 3 7 2 3" xfId="12719" xr:uid="{52A76B17-ADCE-4B78-A8E5-E8E33D51D7EB}"/>
    <cellStyle name="Normal 2 4 3 7 3" xfId="6342" xr:uid="{00000000-0005-0000-0000-00002F100000}"/>
    <cellStyle name="Normal 2 4 3 7 3 2" xfId="14792" xr:uid="{8892C655-040D-4629-8A7D-6D84A729B232}"/>
    <cellStyle name="Normal 2 4 3 7 4" xfId="10574" xr:uid="{B6F6C74E-4EB0-4684-A91F-F122FC4BE8D7}"/>
    <cellStyle name="Normal 2 4 3 8" xfId="2472" xr:uid="{00000000-0005-0000-0000-000030100000}"/>
    <cellStyle name="Normal 2 4 3 8 2" xfId="6755" xr:uid="{00000000-0005-0000-0000-000031100000}"/>
    <cellStyle name="Normal 2 4 3 8 2 2" xfId="15205" xr:uid="{D3C38E39-4CCA-4C4B-BC00-43397D383BF9}"/>
    <cellStyle name="Normal 2 4 3 8 3" xfId="10987" xr:uid="{50679948-8467-468B-8CFB-87F242CD7ED7}"/>
    <cellStyle name="Normal 2 4 3 9" xfId="4689" xr:uid="{00000000-0005-0000-0000-000032100000}"/>
    <cellStyle name="Normal 2 4 3 9 2" xfId="13139" xr:uid="{295881D5-7A11-40B9-A04D-631A00EC05E8}"/>
    <cellStyle name="Normal 2 4 4" xfId="302" xr:uid="{00000000-0005-0000-0000-000033100000}"/>
    <cellStyle name="Normal 2 4 5" xfId="303" xr:uid="{00000000-0005-0000-0000-000034100000}"/>
    <cellStyle name="Normal 2 4 5 10" xfId="4694" xr:uid="{00000000-0005-0000-0000-000035100000}"/>
    <cellStyle name="Normal 2 4 5 10 2" xfId="13144" xr:uid="{82D91735-E7F3-4578-ACDF-4A84513C21DD}"/>
    <cellStyle name="Normal 2 4 5 11" xfId="8926" xr:uid="{14E014C9-2BE6-43E7-B461-1BAF3086C356}"/>
    <cellStyle name="Normal 2 4 5 2" xfId="304" xr:uid="{00000000-0005-0000-0000-000036100000}"/>
    <cellStyle name="Normal 2 4 5 2 10" xfId="8927" xr:uid="{CC575C79-E33E-4CB2-948E-033FD3F5FC35}"/>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D88A5B53-9E5E-4D42-8905-AF9045F91F89}"/>
    <cellStyle name="Normal 2 4 5 2 2 2 2 2 3" xfId="11488" xr:uid="{0C30FE82-150E-4ED3-9E3F-7A068A7AFA62}"/>
    <cellStyle name="Normal 2 4 5 2 2 2 2 3" xfId="5111" xr:uid="{00000000-0005-0000-0000-00003C100000}"/>
    <cellStyle name="Normal 2 4 5 2 2 2 2 3 2" xfId="13561" xr:uid="{4D519D7E-BA06-4BF1-8061-5292E91FC102}"/>
    <cellStyle name="Normal 2 4 5 2 2 2 2 4" xfId="9343" xr:uid="{E88A4930-3AEE-4AE3-A689-38A130C52625}"/>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24DCA2AA-46D7-48C7-9523-052F1592B096}"/>
    <cellStyle name="Normal 2 4 5 2 2 2 3 2 3" xfId="11901" xr:uid="{86E8E33C-7AD5-4BEF-BA99-00A832F9E769}"/>
    <cellStyle name="Normal 2 4 5 2 2 2 3 3" xfId="5524" xr:uid="{00000000-0005-0000-0000-000040100000}"/>
    <cellStyle name="Normal 2 4 5 2 2 2 3 3 2" xfId="13974" xr:uid="{3B062F78-A511-4B84-810D-A754D7EDC0B9}"/>
    <cellStyle name="Normal 2 4 5 2 2 2 3 4" xfId="9756" xr:uid="{8FE44600-D5EA-4C9A-A10E-5575FCFE72F2}"/>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FE0B5BF1-4050-4675-BBB3-FCE34646F7F1}"/>
    <cellStyle name="Normal 2 4 5 2 2 2 4 2 3" xfId="12314" xr:uid="{1512F54B-F186-4827-BDD3-99FFACFA132A}"/>
    <cellStyle name="Normal 2 4 5 2 2 2 4 3" xfId="5937" xr:uid="{00000000-0005-0000-0000-000044100000}"/>
    <cellStyle name="Normal 2 4 5 2 2 2 4 3 2" xfId="14387" xr:uid="{09E39212-C287-4C19-B46F-45E00901879B}"/>
    <cellStyle name="Normal 2 4 5 2 2 2 4 4" xfId="10169" xr:uid="{B00B3966-2099-433C-A0DC-0507C169A7D5}"/>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B4F18D10-9177-4AC4-94E7-7637778E5330}"/>
    <cellStyle name="Normal 2 4 5 2 2 2 5 2 3" xfId="12727" xr:uid="{AD018688-65AF-4B68-BB51-79427C0B6DC4}"/>
    <cellStyle name="Normal 2 4 5 2 2 2 5 3" xfId="6350" xr:uid="{00000000-0005-0000-0000-000048100000}"/>
    <cellStyle name="Normal 2 4 5 2 2 2 5 3 2" xfId="14800" xr:uid="{07A0F34E-40E4-41ED-8CC3-75E96AFBDA43}"/>
    <cellStyle name="Normal 2 4 5 2 2 2 5 4" xfId="10582" xr:uid="{5388484E-0545-4BDE-B806-33EEDD056788}"/>
    <cellStyle name="Normal 2 4 5 2 2 2 6" xfId="2480" xr:uid="{00000000-0005-0000-0000-000049100000}"/>
    <cellStyle name="Normal 2 4 5 2 2 2 6 2" xfId="6763" xr:uid="{00000000-0005-0000-0000-00004A100000}"/>
    <cellStyle name="Normal 2 4 5 2 2 2 6 2 2" xfId="15213" xr:uid="{51770402-8EAA-4257-80F1-56C22796FB85}"/>
    <cellStyle name="Normal 2 4 5 2 2 2 6 3" xfId="10995" xr:uid="{861E333E-F8C6-49F3-8DB8-5AD86F73EFCA}"/>
    <cellStyle name="Normal 2 4 5 2 2 2 7" xfId="4697" xr:uid="{00000000-0005-0000-0000-00004B100000}"/>
    <cellStyle name="Normal 2 4 5 2 2 2 7 2" xfId="13147" xr:uid="{891610DF-3D14-4071-9C85-A180144B5087}"/>
    <cellStyle name="Normal 2 4 5 2 2 2 8" xfId="8929" xr:uid="{ED60DC1B-7C5E-4ADD-ACCF-092BC3D4FABF}"/>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51572228-BBA5-4CDD-B4CE-833CE32D481D}"/>
    <cellStyle name="Normal 2 4 5 2 2 3 2 3" xfId="11487" xr:uid="{3BE2029A-4866-4B3B-A22D-3E5D520C9583}"/>
    <cellStyle name="Normal 2 4 5 2 2 3 3" xfId="5110" xr:uid="{00000000-0005-0000-0000-00004F100000}"/>
    <cellStyle name="Normal 2 4 5 2 2 3 3 2" xfId="13560" xr:uid="{0FB8A5C6-6981-4DA4-BCEF-64AAE26999FB}"/>
    <cellStyle name="Normal 2 4 5 2 2 3 4" xfId="9342" xr:uid="{B75E965B-D053-4992-B987-C2538BC33F33}"/>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29680177-BBF9-4012-AA31-5953FF917267}"/>
    <cellStyle name="Normal 2 4 5 2 2 4 2 3" xfId="11900" xr:uid="{F488ECF4-879F-4E52-8100-D999D0F47DB4}"/>
    <cellStyle name="Normal 2 4 5 2 2 4 3" xfId="5523" xr:uid="{00000000-0005-0000-0000-000053100000}"/>
    <cellStyle name="Normal 2 4 5 2 2 4 3 2" xfId="13973" xr:uid="{4FA07D56-69BF-4AF2-86FE-8BA2C9F0CF28}"/>
    <cellStyle name="Normal 2 4 5 2 2 4 4" xfId="9755" xr:uid="{01E33F90-6B2A-4429-A2EC-6EC0A808FF17}"/>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13890748-3622-4A49-886A-DBF111A735D1}"/>
    <cellStyle name="Normal 2 4 5 2 2 5 2 3" xfId="12313" xr:uid="{0A91810B-3C30-4D7D-BBF2-8401741E9FAA}"/>
    <cellStyle name="Normal 2 4 5 2 2 5 3" xfId="5936" xr:uid="{00000000-0005-0000-0000-000057100000}"/>
    <cellStyle name="Normal 2 4 5 2 2 5 3 2" xfId="14386" xr:uid="{EE2E64C4-FD2A-4583-B437-F3E5AAEA9611}"/>
    <cellStyle name="Normal 2 4 5 2 2 5 4" xfId="10168" xr:uid="{2ABC0C61-54E1-4923-80F8-853E1D16E0F6}"/>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20140A57-DE6F-4DDE-B4D1-C83C68EC1E35}"/>
    <cellStyle name="Normal 2 4 5 2 2 6 2 3" xfId="12726" xr:uid="{740A6A7D-5B97-4856-B016-09D3A404E346}"/>
    <cellStyle name="Normal 2 4 5 2 2 6 3" xfId="6349" xr:uid="{00000000-0005-0000-0000-00005B100000}"/>
    <cellStyle name="Normal 2 4 5 2 2 6 3 2" xfId="14799" xr:uid="{341400B1-656F-44B1-9A87-A5079CBA400E}"/>
    <cellStyle name="Normal 2 4 5 2 2 6 4" xfId="10581" xr:uid="{95CA0802-D072-4D06-BAEE-D3BC94C5D86C}"/>
    <cellStyle name="Normal 2 4 5 2 2 7" xfId="2479" xr:uid="{00000000-0005-0000-0000-00005C100000}"/>
    <cellStyle name="Normal 2 4 5 2 2 7 2" xfId="6762" xr:uid="{00000000-0005-0000-0000-00005D100000}"/>
    <cellStyle name="Normal 2 4 5 2 2 7 2 2" xfId="15212" xr:uid="{B70B3A71-A10C-4445-9AB0-B621AD14DAF6}"/>
    <cellStyle name="Normal 2 4 5 2 2 7 3" xfId="10994" xr:uid="{603950B1-45C2-405B-A845-42874536C981}"/>
    <cellStyle name="Normal 2 4 5 2 2 8" xfId="4696" xr:uid="{00000000-0005-0000-0000-00005E100000}"/>
    <cellStyle name="Normal 2 4 5 2 2 8 2" xfId="13146" xr:uid="{E229485B-BBEE-4D83-9F7C-1F813278F86D}"/>
    <cellStyle name="Normal 2 4 5 2 2 9" xfId="8928" xr:uid="{E688AB97-F934-4ECE-BA2E-1BC6D29752B2}"/>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75F9AD19-0A3A-4029-BC72-530EEB82507B}"/>
    <cellStyle name="Normal 2 4 5 2 3 2 2 3" xfId="11489" xr:uid="{97A85916-6E9A-4442-8207-16FAA9D246B6}"/>
    <cellStyle name="Normal 2 4 5 2 3 2 3" xfId="5112" xr:uid="{00000000-0005-0000-0000-000063100000}"/>
    <cellStyle name="Normal 2 4 5 2 3 2 3 2" xfId="13562" xr:uid="{073FD49C-085B-426D-A5A0-0C952FB78914}"/>
    <cellStyle name="Normal 2 4 5 2 3 2 4" xfId="9344" xr:uid="{6F7EBDBC-E7C0-4A61-9C2E-E512AB4CEB41}"/>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76E319E0-AE75-41C1-AAF8-07976F49E73F}"/>
    <cellStyle name="Normal 2 4 5 2 3 3 2 3" xfId="11902" xr:uid="{437D37C1-6B4C-4C46-8893-C960E17B3D70}"/>
    <cellStyle name="Normal 2 4 5 2 3 3 3" xfId="5525" xr:uid="{00000000-0005-0000-0000-000067100000}"/>
    <cellStyle name="Normal 2 4 5 2 3 3 3 2" xfId="13975" xr:uid="{63EBEB8E-3350-47C9-84D8-141A561C799B}"/>
    <cellStyle name="Normal 2 4 5 2 3 3 4" xfId="9757" xr:uid="{683872D4-2E2A-4614-8A47-9598C636D3D8}"/>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F743CB9B-1DFE-417D-B50D-7E629C2153C7}"/>
    <cellStyle name="Normal 2 4 5 2 3 4 2 3" xfId="12315" xr:uid="{9951A29D-3406-4EC0-93DB-A366D101CEBB}"/>
    <cellStyle name="Normal 2 4 5 2 3 4 3" xfId="5938" xr:uid="{00000000-0005-0000-0000-00006B100000}"/>
    <cellStyle name="Normal 2 4 5 2 3 4 3 2" xfId="14388" xr:uid="{951683BC-F0C7-4671-911F-5CF3C810C2C4}"/>
    <cellStyle name="Normal 2 4 5 2 3 4 4" xfId="10170" xr:uid="{747771B8-8DDD-48D0-B3A9-8782B3A227AC}"/>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8AEB1DA0-D2EF-4A5C-B5A2-999C9836748B}"/>
    <cellStyle name="Normal 2 4 5 2 3 5 2 3" xfId="12728" xr:uid="{EDBFAA4B-A675-40E5-B46F-8D3BA7F9A502}"/>
    <cellStyle name="Normal 2 4 5 2 3 5 3" xfId="6351" xr:uid="{00000000-0005-0000-0000-00006F100000}"/>
    <cellStyle name="Normal 2 4 5 2 3 5 3 2" xfId="14801" xr:uid="{3D64CB03-1569-4A07-ADC0-F8EFA03E632F}"/>
    <cellStyle name="Normal 2 4 5 2 3 5 4" xfId="10583" xr:uid="{99155412-1519-4EAD-9347-2ADCACE31851}"/>
    <cellStyle name="Normal 2 4 5 2 3 6" xfId="2481" xr:uid="{00000000-0005-0000-0000-000070100000}"/>
    <cellStyle name="Normal 2 4 5 2 3 6 2" xfId="6764" xr:uid="{00000000-0005-0000-0000-000071100000}"/>
    <cellStyle name="Normal 2 4 5 2 3 6 2 2" xfId="15214" xr:uid="{60A2E9FB-B8CF-4220-AD57-11F7BA6F8CF6}"/>
    <cellStyle name="Normal 2 4 5 2 3 6 3" xfId="10996" xr:uid="{E6E202F5-AE8E-4D4F-B41F-392C2FE21AD7}"/>
    <cellStyle name="Normal 2 4 5 2 3 7" xfId="4698" xr:uid="{00000000-0005-0000-0000-000072100000}"/>
    <cellStyle name="Normal 2 4 5 2 3 7 2" xfId="13148" xr:uid="{AC9A0B39-A067-41EC-8CE3-BF9AE71E8428}"/>
    <cellStyle name="Normal 2 4 5 2 3 8" xfId="8930" xr:uid="{96651675-8679-4144-8AE2-443F1A90CEE0}"/>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E958DE95-F67E-45ED-8A06-7F843069BE53}"/>
    <cellStyle name="Normal 2 4 5 2 4 2 3" xfId="11486" xr:uid="{E279714B-992F-4D13-9694-A292B697A017}"/>
    <cellStyle name="Normal 2 4 5 2 4 3" xfId="5109" xr:uid="{00000000-0005-0000-0000-000076100000}"/>
    <cellStyle name="Normal 2 4 5 2 4 3 2" xfId="13559" xr:uid="{720591DE-B8C2-473F-8257-F45341458E94}"/>
    <cellStyle name="Normal 2 4 5 2 4 4" xfId="9341" xr:uid="{CE21C2B7-6400-430A-814F-2D5EEE5D1DB1}"/>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84DBC15A-D943-45FF-8FFA-F4CE2D212EFD}"/>
    <cellStyle name="Normal 2 4 5 2 5 2 3" xfId="11899" xr:uid="{54EAF11D-C7FD-4CD7-AA51-DB69AB3EE530}"/>
    <cellStyle name="Normal 2 4 5 2 5 3" xfId="5522" xr:uid="{00000000-0005-0000-0000-00007A100000}"/>
    <cellStyle name="Normal 2 4 5 2 5 3 2" xfId="13972" xr:uid="{BE56BCB7-3521-4CDB-9C3E-54FABF50CD7A}"/>
    <cellStyle name="Normal 2 4 5 2 5 4" xfId="9754" xr:uid="{490943CE-A35D-42F3-A662-86AE3867C35E}"/>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B184EA14-0CF3-45EF-B67F-476C6542575D}"/>
    <cellStyle name="Normal 2 4 5 2 6 2 3" xfId="12312" xr:uid="{010BF62A-AC73-4A38-A51C-230ACD6ED96F}"/>
    <cellStyle name="Normal 2 4 5 2 6 3" xfId="5935" xr:uid="{00000000-0005-0000-0000-00007E100000}"/>
    <cellStyle name="Normal 2 4 5 2 6 3 2" xfId="14385" xr:uid="{C71C80B7-8CD6-4A14-97A6-CEC817AF10B5}"/>
    <cellStyle name="Normal 2 4 5 2 6 4" xfId="10167" xr:uid="{7F67D2E5-6421-470F-BB2D-BA106F92C412}"/>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B93026AD-FA12-4E4A-9B5A-C3583F644C6B}"/>
    <cellStyle name="Normal 2 4 5 2 7 2 3" xfId="12725" xr:uid="{888EEA90-23D1-4C3E-9D15-313EC4F1B097}"/>
    <cellStyle name="Normal 2 4 5 2 7 3" xfId="6348" xr:uid="{00000000-0005-0000-0000-000082100000}"/>
    <cellStyle name="Normal 2 4 5 2 7 3 2" xfId="14798" xr:uid="{227C2AE8-5767-48F1-9F71-EFAEEE20CBDC}"/>
    <cellStyle name="Normal 2 4 5 2 7 4" xfId="10580" xr:uid="{CF002B9E-9712-41FA-A290-976A3F41B89C}"/>
    <cellStyle name="Normal 2 4 5 2 8" xfId="2478" xr:uid="{00000000-0005-0000-0000-000083100000}"/>
    <cellStyle name="Normal 2 4 5 2 8 2" xfId="6761" xr:uid="{00000000-0005-0000-0000-000084100000}"/>
    <cellStyle name="Normal 2 4 5 2 8 2 2" xfId="15211" xr:uid="{5E2794AC-16C1-4E01-81B3-75CFDE0802A7}"/>
    <cellStyle name="Normal 2 4 5 2 8 3" xfId="10993" xr:uid="{3E4478D2-CADD-4A32-83DB-1690AF01CB3E}"/>
    <cellStyle name="Normal 2 4 5 2 9" xfId="4695" xr:uid="{00000000-0005-0000-0000-000085100000}"/>
    <cellStyle name="Normal 2 4 5 2 9 2" xfId="13145" xr:uid="{19FFBDD9-5611-4B91-97B9-AFB1B3CA0AA6}"/>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F7B42D28-5C36-4D83-9EB4-E9348C2CDF48}"/>
    <cellStyle name="Normal 2 4 5 3 2 2 2 3" xfId="11491" xr:uid="{365ECBB9-680C-46B3-8A60-34DEE4F2B84C}"/>
    <cellStyle name="Normal 2 4 5 3 2 2 3" xfId="5114" xr:uid="{00000000-0005-0000-0000-00008B100000}"/>
    <cellStyle name="Normal 2 4 5 3 2 2 3 2" xfId="13564" xr:uid="{6A5799A4-AB3C-4292-8544-5403B092B741}"/>
    <cellStyle name="Normal 2 4 5 3 2 2 4" xfId="9346" xr:uid="{9D3F55FE-720A-4772-95D0-EAA693512D9B}"/>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23445265-2C5C-4E5D-B41D-6E20870A9B4E}"/>
    <cellStyle name="Normal 2 4 5 3 2 3 2 3" xfId="11904" xr:uid="{8421BE32-5268-409D-BD38-0E465B80632C}"/>
    <cellStyle name="Normal 2 4 5 3 2 3 3" xfId="5527" xr:uid="{00000000-0005-0000-0000-00008F100000}"/>
    <cellStyle name="Normal 2 4 5 3 2 3 3 2" xfId="13977" xr:uid="{42F0E24E-BCC0-4EB5-A9E3-77BDB1047F4C}"/>
    <cellStyle name="Normal 2 4 5 3 2 3 4" xfId="9759" xr:uid="{83CD280E-4855-43DE-9F10-B28EBEF61D39}"/>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8BFBCA30-A498-41A8-B1CB-B4E309E9E491}"/>
    <cellStyle name="Normal 2 4 5 3 2 4 2 3" xfId="12317" xr:uid="{A482E659-4F31-417C-AA9C-E824E260B52D}"/>
    <cellStyle name="Normal 2 4 5 3 2 4 3" xfId="5940" xr:uid="{00000000-0005-0000-0000-000093100000}"/>
    <cellStyle name="Normal 2 4 5 3 2 4 3 2" xfId="14390" xr:uid="{85A2859A-16EF-4E94-8C87-5AD1B446A534}"/>
    <cellStyle name="Normal 2 4 5 3 2 4 4" xfId="10172" xr:uid="{800A4FC1-A224-438E-A313-855A14C3F77B}"/>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6B1339B5-CD40-45F4-B7A4-D1CA55E734AD}"/>
    <cellStyle name="Normal 2 4 5 3 2 5 2 3" xfId="12730" xr:uid="{F7EC3686-62F7-4591-8B41-4D9B4DF8F3FA}"/>
    <cellStyle name="Normal 2 4 5 3 2 5 3" xfId="6353" xr:uid="{00000000-0005-0000-0000-000097100000}"/>
    <cellStyle name="Normal 2 4 5 3 2 5 3 2" xfId="14803" xr:uid="{1998ED21-10E2-4D0F-9342-BE4CDB83B75F}"/>
    <cellStyle name="Normal 2 4 5 3 2 5 4" xfId="10585" xr:uid="{52826BA3-8379-4142-897D-CDF10BEF2CDA}"/>
    <cellStyle name="Normal 2 4 5 3 2 6" xfId="2483" xr:uid="{00000000-0005-0000-0000-000098100000}"/>
    <cellStyle name="Normal 2 4 5 3 2 6 2" xfId="6766" xr:uid="{00000000-0005-0000-0000-000099100000}"/>
    <cellStyle name="Normal 2 4 5 3 2 6 2 2" xfId="15216" xr:uid="{B9CEC280-93C0-493D-BF1D-7BC4034D73B8}"/>
    <cellStyle name="Normal 2 4 5 3 2 6 3" xfId="10998" xr:uid="{92115238-75BE-4FE6-8F07-8807B1B07D15}"/>
    <cellStyle name="Normal 2 4 5 3 2 7" xfId="4700" xr:uid="{00000000-0005-0000-0000-00009A100000}"/>
    <cellStyle name="Normal 2 4 5 3 2 7 2" xfId="13150" xr:uid="{6F45087E-FC60-4F5D-8771-41F5EAD4D9CD}"/>
    <cellStyle name="Normal 2 4 5 3 2 8" xfId="8932" xr:uid="{D3FA4E1F-B447-467F-827A-B605CAA69D1C}"/>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F7133B0E-71BD-4476-949E-21CBC0DFB7BF}"/>
    <cellStyle name="Normal 2 4 5 3 3 2 3" xfId="11490" xr:uid="{D3B3160E-8682-423D-8B70-5BE34A13226B}"/>
    <cellStyle name="Normal 2 4 5 3 3 3" xfId="5113" xr:uid="{00000000-0005-0000-0000-00009E100000}"/>
    <cellStyle name="Normal 2 4 5 3 3 3 2" xfId="13563" xr:uid="{C6ED84C4-1135-45C3-A32B-1E7B80E32D20}"/>
    <cellStyle name="Normal 2 4 5 3 3 4" xfId="9345" xr:uid="{E025D82C-7130-439F-BA61-CFF1A9822681}"/>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477B26D3-F797-4278-86BE-CC29D110FE8B}"/>
    <cellStyle name="Normal 2 4 5 3 4 2 3" xfId="11903" xr:uid="{49B251F2-B45B-4C63-BE3E-0416CDD50477}"/>
    <cellStyle name="Normal 2 4 5 3 4 3" xfId="5526" xr:uid="{00000000-0005-0000-0000-0000A2100000}"/>
    <cellStyle name="Normal 2 4 5 3 4 3 2" xfId="13976" xr:uid="{FFC81AB8-475E-446D-B2EF-F01FE24983AB}"/>
    <cellStyle name="Normal 2 4 5 3 4 4" xfId="9758" xr:uid="{A342B5CE-1DE0-448F-98F1-9B2DE77B4904}"/>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D0A9FDE1-5E25-4427-B2AD-3B90E9300773}"/>
    <cellStyle name="Normal 2 4 5 3 5 2 3" xfId="12316" xr:uid="{09E9EC71-3B86-4569-A44F-749AB4BC5270}"/>
    <cellStyle name="Normal 2 4 5 3 5 3" xfId="5939" xr:uid="{00000000-0005-0000-0000-0000A6100000}"/>
    <cellStyle name="Normal 2 4 5 3 5 3 2" xfId="14389" xr:uid="{C371CC72-0F6A-4190-9102-8D855D919630}"/>
    <cellStyle name="Normal 2 4 5 3 5 4" xfId="10171" xr:uid="{1AE5468E-98DF-4C93-AFD5-8F40F3CB464D}"/>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9974DE2B-759C-4F69-85B3-E9BD7110AC93}"/>
    <cellStyle name="Normal 2 4 5 3 6 2 3" xfId="12729" xr:uid="{1CE70C30-8CDB-4F81-81CF-BCCC0CC7FC37}"/>
    <cellStyle name="Normal 2 4 5 3 6 3" xfId="6352" xr:uid="{00000000-0005-0000-0000-0000AA100000}"/>
    <cellStyle name="Normal 2 4 5 3 6 3 2" xfId="14802" xr:uid="{468EEAD5-BE8F-427B-897E-ABDED3ED67C2}"/>
    <cellStyle name="Normal 2 4 5 3 6 4" xfId="10584" xr:uid="{89F850B8-513A-4227-A9EA-8A01E4EE5CAE}"/>
    <cellStyle name="Normal 2 4 5 3 7" xfId="2482" xr:uid="{00000000-0005-0000-0000-0000AB100000}"/>
    <cellStyle name="Normal 2 4 5 3 7 2" xfId="6765" xr:uid="{00000000-0005-0000-0000-0000AC100000}"/>
    <cellStyle name="Normal 2 4 5 3 7 2 2" xfId="15215" xr:uid="{9169FB0E-E3A6-4BC3-B50E-A586C3BC4A77}"/>
    <cellStyle name="Normal 2 4 5 3 7 3" xfId="10997" xr:uid="{86B8F1EF-33EE-44D9-A1B0-1D73A5E8C800}"/>
    <cellStyle name="Normal 2 4 5 3 8" xfId="4699" xr:uid="{00000000-0005-0000-0000-0000AD100000}"/>
    <cellStyle name="Normal 2 4 5 3 8 2" xfId="13149" xr:uid="{437413CC-8F67-4A0E-B5BB-BBAAC0E26653}"/>
    <cellStyle name="Normal 2 4 5 3 9" xfId="8931" xr:uid="{A3774868-7D5D-4917-99EC-131D13C2BDDA}"/>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C2E13D19-71D8-4015-A0E6-CBAE6DF5E5C2}"/>
    <cellStyle name="Normal 2 4 5 4 2 2 3" xfId="11492" xr:uid="{54811ED9-FC44-4B75-8847-549232A2889B}"/>
    <cellStyle name="Normal 2 4 5 4 2 3" xfId="5115" xr:uid="{00000000-0005-0000-0000-0000B2100000}"/>
    <cellStyle name="Normal 2 4 5 4 2 3 2" xfId="13565" xr:uid="{C1AEA2A0-8DC9-41D0-847B-1DF5FFB3069F}"/>
    <cellStyle name="Normal 2 4 5 4 2 4" xfId="9347" xr:uid="{B5D53D42-608B-4349-9A1C-064E49E4186B}"/>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62BB5A6D-C6AA-4197-B040-82215C351AC8}"/>
    <cellStyle name="Normal 2 4 5 4 3 2 3" xfId="11905" xr:uid="{EC5649DB-1130-4E2A-A379-B13FA774A5C3}"/>
    <cellStyle name="Normal 2 4 5 4 3 3" xfId="5528" xr:uid="{00000000-0005-0000-0000-0000B6100000}"/>
    <cellStyle name="Normal 2 4 5 4 3 3 2" xfId="13978" xr:uid="{2BF61BC2-563F-45D2-A2C0-E9268EDF96F6}"/>
    <cellStyle name="Normal 2 4 5 4 3 4" xfId="9760" xr:uid="{DE2A837E-A902-4C0E-AA4F-D8393767D0B8}"/>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743A6DCE-75F3-45CD-8F01-49E2B576313E}"/>
    <cellStyle name="Normal 2 4 5 4 4 2 3" xfId="12318" xr:uid="{8E50043C-2BB6-491A-92DD-26B46F054576}"/>
    <cellStyle name="Normal 2 4 5 4 4 3" xfId="5941" xr:uid="{00000000-0005-0000-0000-0000BA100000}"/>
    <cellStyle name="Normal 2 4 5 4 4 3 2" xfId="14391" xr:uid="{FC9F3DB7-53E2-45D6-89A0-4910057CBE10}"/>
    <cellStyle name="Normal 2 4 5 4 4 4" xfId="10173" xr:uid="{625AB1DE-708A-4F3F-8B74-6D6838700A2C}"/>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06E672DC-72BA-410F-93A2-4589BDE59406}"/>
    <cellStyle name="Normal 2 4 5 4 5 2 3" xfId="12731" xr:uid="{5ED1E47A-27B5-404A-8403-56D89B44DC7F}"/>
    <cellStyle name="Normal 2 4 5 4 5 3" xfId="6354" xr:uid="{00000000-0005-0000-0000-0000BE100000}"/>
    <cellStyle name="Normal 2 4 5 4 5 3 2" xfId="14804" xr:uid="{DEA1B9EE-BCDB-45FE-AE9D-F8409A289721}"/>
    <cellStyle name="Normal 2 4 5 4 5 4" xfId="10586" xr:uid="{46B98258-DE22-433D-85F7-D9D9CCE9DF7C}"/>
    <cellStyle name="Normal 2 4 5 4 6" xfId="2484" xr:uid="{00000000-0005-0000-0000-0000BF100000}"/>
    <cellStyle name="Normal 2 4 5 4 6 2" xfId="6767" xr:uid="{00000000-0005-0000-0000-0000C0100000}"/>
    <cellStyle name="Normal 2 4 5 4 6 2 2" xfId="15217" xr:uid="{707A3512-C4E4-49F5-896C-3D3AFF903EB5}"/>
    <cellStyle name="Normal 2 4 5 4 6 3" xfId="10999" xr:uid="{7F36E126-E57E-48F5-BFB0-8C27BAEF4657}"/>
    <cellStyle name="Normal 2 4 5 4 7" xfId="4701" xr:uid="{00000000-0005-0000-0000-0000C1100000}"/>
    <cellStyle name="Normal 2 4 5 4 7 2" xfId="13151" xr:uid="{6F967147-7718-4F60-999D-17D75F46EC55}"/>
    <cellStyle name="Normal 2 4 5 4 8" xfId="8933" xr:uid="{26545769-88B7-42EA-8D1A-1A43069AF50F}"/>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1F38B3BA-5C73-4232-9DAC-B9F4DA2437EB}"/>
    <cellStyle name="Normal 2 4 5 5 2 3" xfId="11485" xr:uid="{4B6B5315-455F-474B-A5FF-F76C9BD98576}"/>
    <cellStyle name="Normal 2 4 5 5 3" xfId="5108" xr:uid="{00000000-0005-0000-0000-0000C5100000}"/>
    <cellStyle name="Normal 2 4 5 5 3 2" xfId="13558" xr:uid="{A7A8F8C8-E325-45D1-8582-494A6CC28614}"/>
    <cellStyle name="Normal 2 4 5 5 4" xfId="9340" xr:uid="{2BCD5A21-ABD8-46EA-9ECA-2A927D6DA461}"/>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BF26E8E7-EE45-4041-A479-04DCB23F83F6}"/>
    <cellStyle name="Normal 2 4 5 6 2 3" xfId="11898" xr:uid="{1A69D9C7-BDEF-465B-B285-F2D3EC6A8DA4}"/>
    <cellStyle name="Normal 2 4 5 6 3" xfId="5521" xr:uid="{00000000-0005-0000-0000-0000C9100000}"/>
    <cellStyle name="Normal 2 4 5 6 3 2" xfId="13971" xr:uid="{8AF0BDA8-752F-44DF-B9DE-11A87675144A}"/>
    <cellStyle name="Normal 2 4 5 6 4" xfId="9753" xr:uid="{B0053247-22A6-47FF-BA09-695D8B8AB619}"/>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16835B98-9321-488D-9147-C2750B3E82A4}"/>
    <cellStyle name="Normal 2 4 5 7 2 3" xfId="12311" xr:uid="{2CEEBD25-30A2-401D-959B-ED92E51EC1A3}"/>
    <cellStyle name="Normal 2 4 5 7 3" xfId="5934" xr:uid="{00000000-0005-0000-0000-0000CD100000}"/>
    <cellStyle name="Normal 2 4 5 7 3 2" xfId="14384" xr:uid="{3CBFF33D-E3A0-47C8-960F-621B31D01BC7}"/>
    <cellStyle name="Normal 2 4 5 7 4" xfId="10166" xr:uid="{A9579616-F3B4-444A-9012-848767B225F7}"/>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D61C1910-CC77-4B8E-A41D-BBA901A8A554}"/>
    <cellStyle name="Normal 2 4 5 8 2 3" xfId="12724" xr:uid="{C43FED28-BD99-4899-BB81-980874894EB9}"/>
    <cellStyle name="Normal 2 4 5 8 3" xfId="6347" xr:uid="{00000000-0005-0000-0000-0000D1100000}"/>
    <cellStyle name="Normal 2 4 5 8 3 2" xfId="14797" xr:uid="{141E7187-83C6-4F89-A61E-3783D8D67FB2}"/>
    <cellStyle name="Normal 2 4 5 8 4" xfId="10579" xr:uid="{12DD7C06-378D-4C9A-A034-700A48F12949}"/>
    <cellStyle name="Normal 2 4 5 9" xfId="2477" xr:uid="{00000000-0005-0000-0000-0000D2100000}"/>
    <cellStyle name="Normal 2 4 5 9 2" xfId="6760" xr:uid="{00000000-0005-0000-0000-0000D3100000}"/>
    <cellStyle name="Normal 2 4 5 9 2 2" xfId="15210" xr:uid="{444F393D-43CC-4113-B64F-ECED37A3E5D9}"/>
    <cellStyle name="Normal 2 4 5 9 3" xfId="10992" xr:uid="{AF8894BE-94BD-4F5A-A714-A4F531BA867C}"/>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988C65CE-1FC7-4CF5-A104-1FE008FB48E3}"/>
    <cellStyle name="Normal 2 4 7 2 2 2 3" xfId="11494" xr:uid="{42726AF7-A73E-481C-B505-789BD4CAA470}"/>
    <cellStyle name="Normal 2 4 7 2 2 3" xfId="5117" xr:uid="{00000000-0005-0000-0000-0000DA100000}"/>
    <cellStyle name="Normal 2 4 7 2 2 3 2" xfId="13567" xr:uid="{FE217265-149F-4BFE-9FF4-33DD9D637465}"/>
    <cellStyle name="Normal 2 4 7 2 2 4" xfId="9349" xr:uid="{79BE0F9A-7F0E-459C-AFC0-5D683E4E06DA}"/>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B3F3C0DD-E483-43C2-AE38-E786B2AB4104}"/>
    <cellStyle name="Normal 2 4 7 2 3 2 3" xfId="11907" xr:uid="{1A1447AB-4641-4A37-B0B3-E17E3D51C17D}"/>
    <cellStyle name="Normal 2 4 7 2 3 3" xfId="5530" xr:uid="{00000000-0005-0000-0000-0000DE100000}"/>
    <cellStyle name="Normal 2 4 7 2 3 3 2" xfId="13980" xr:uid="{87126775-5FE3-4795-A1F0-F36C77168D6C}"/>
    <cellStyle name="Normal 2 4 7 2 3 4" xfId="9762" xr:uid="{89D89DAB-CB4B-4B86-BA7B-15CDFA948F33}"/>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B0F96563-BD00-435F-85CF-78009BC78058}"/>
    <cellStyle name="Normal 2 4 7 2 4 2 3" xfId="12320" xr:uid="{9B1E0445-E81D-4383-96A4-E44FE11DC01F}"/>
    <cellStyle name="Normal 2 4 7 2 4 3" xfId="5943" xr:uid="{00000000-0005-0000-0000-0000E2100000}"/>
    <cellStyle name="Normal 2 4 7 2 4 3 2" xfId="14393" xr:uid="{BE8CFF19-8A3A-437C-A318-8CC739617650}"/>
    <cellStyle name="Normal 2 4 7 2 4 4" xfId="10175" xr:uid="{2AE5ED3D-EB7F-4B20-8885-F31A2BEE07BA}"/>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4C8B6D7B-0EF9-447C-9D29-F2E0057F9F4D}"/>
    <cellStyle name="Normal 2 4 7 2 5 2 3" xfId="12733" xr:uid="{87015E5B-2A0D-416D-88B2-99DCF077385F}"/>
    <cellStyle name="Normal 2 4 7 2 5 3" xfId="6356" xr:uid="{00000000-0005-0000-0000-0000E6100000}"/>
    <cellStyle name="Normal 2 4 7 2 5 3 2" xfId="14806" xr:uid="{CF33A0E1-D780-4E0A-8241-D8F51F62662F}"/>
    <cellStyle name="Normal 2 4 7 2 5 4" xfId="10588" xr:uid="{347F5297-9331-4FF7-8A49-6A7396192CAC}"/>
    <cellStyle name="Normal 2 4 7 2 6" xfId="2486" xr:uid="{00000000-0005-0000-0000-0000E7100000}"/>
    <cellStyle name="Normal 2 4 7 2 6 2" xfId="6769" xr:uid="{00000000-0005-0000-0000-0000E8100000}"/>
    <cellStyle name="Normal 2 4 7 2 6 2 2" xfId="15219" xr:uid="{D4BABCD7-7941-417B-99EC-FD9E5E143EE5}"/>
    <cellStyle name="Normal 2 4 7 2 6 3" xfId="11001" xr:uid="{F3672F84-10DA-4A30-8F4A-362769E09283}"/>
    <cellStyle name="Normal 2 4 7 2 7" xfId="4703" xr:uid="{00000000-0005-0000-0000-0000E9100000}"/>
    <cellStyle name="Normal 2 4 7 2 7 2" xfId="13153" xr:uid="{402F1F79-8974-43B9-84E3-160A6F6AC969}"/>
    <cellStyle name="Normal 2 4 7 2 8" xfId="8935" xr:uid="{8C0C55E8-BA5C-4713-8382-39678446E5E6}"/>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F8A921AF-EF0D-4E48-96D3-FA6F1250FDA4}"/>
    <cellStyle name="Normal 2 4 7 3 2 3" xfId="11493" xr:uid="{FE33B07C-40A5-45CA-ACF6-2C9E34B8AA1E}"/>
    <cellStyle name="Normal 2 4 7 3 3" xfId="5116" xr:uid="{00000000-0005-0000-0000-0000ED100000}"/>
    <cellStyle name="Normal 2 4 7 3 3 2" xfId="13566" xr:uid="{4CDEAA5A-8EFB-4787-80ED-CE7AA3565168}"/>
    <cellStyle name="Normal 2 4 7 3 4" xfId="9348" xr:uid="{BE78FCDA-6693-4F6C-8D14-3527512ACF0F}"/>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490F1FE0-538D-4714-8477-13C70E7A15CD}"/>
    <cellStyle name="Normal 2 4 7 4 2 3" xfId="11906" xr:uid="{8E453CA3-BA87-45FF-B315-CF4BDBD387D6}"/>
    <cellStyle name="Normal 2 4 7 4 3" xfId="5529" xr:uid="{00000000-0005-0000-0000-0000F1100000}"/>
    <cellStyle name="Normal 2 4 7 4 3 2" xfId="13979" xr:uid="{77EF88A5-06E1-44AB-A11E-D831D665AB69}"/>
    <cellStyle name="Normal 2 4 7 4 4" xfId="9761" xr:uid="{5E307CBB-BE7D-435F-872E-7C335055765D}"/>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5789D9BF-8D94-4220-851E-F4C7E95FC612}"/>
    <cellStyle name="Normal 2 4 7 5 2 3" xfId="12319" xr:uid="{A0683100-DE9D-40AD-BBA2-012A828C395E}"/>
    <cellStyle name="Normal 2 4 7 5 3" xfId="5942" xr:uid="{00000000-0005-0000-0000-0000F5100000}"/>
    <cellStyle name="Normal 2 4 7 5 3 2" xfId="14392" xr:uid="{5BDCA060-0736-4EB0-8C6B-2A69C19D898F}"/>
    <cellStyle name="Normal 2 4 7 5 4" xfId="10174" xr:uid="{C9AC906B-2EB2-456B-86AA-630DEF656C12}"/>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25A6078F-ABAF-4FCB-8D9E-A3B5E987636B}"/>
    <cellStyle name="Normal 2 4 7 6 2 3" xfId="12732" xr:uid="{37C1288B-8283-494A-B846-EEB46577E371}"/>
    <cellStyle name="Normal 2 4 7 6 3" xfId="6355" xr:uid="{00000000-0005-0000-0000-0000F9100000}"/>
    <cellStyle name="Normal 2 4 7 6 3 2" xfId="14805" xr:uid="{092300C2-EF39-40D0-B731-D81CC94DA463}"/>
    <cellStyle name="Normal 2 4 7 6 4" xfId="10587" xr:uid="{CD01C70F-BB6F-4775-BE2A-3BCA51AB3B80}"/>
    <cellStyle name="Normal 2 4 7 7" xfId="2485" xr:uid="{00000000-0005-0000-0000-0000FA100000}"/>
    <cellStyle name="Normal 2 4 7 7 2" xfId="6768" xr:uid="{00000000-0005-0000-0000-0000FB100000}"/>
    <cellStyle name="Normal 2 4 7 7 2 2" xfId="15218" xr:uid="{AC07C6B7-3B36-4C21-A0F1-F4DD3BBFF88C}"/>
    <cellStyle name="Normal 2 4 7 7 3" xfId="11000" xr:uid="{75C80F55-9933-48C9-8F42-FA2F2A597328}"/>
    <cellStyle name="Normal 2 4 7 8" xfId="4702" xr:uid="{00000000-0005-0000-0000-0000FC100000}"/>
    <cellStyle name="Normal 2 4 7 8 2" xfId="13152" xr:uid="{ED240B25-4D2F-4A42-B018-6BFC0E00719D}"/>
    <cellStyle name="Normal 2 4 7 9" xfId="8934" xr:uid="{DFA090F4-6514-46D9-A3A2-688B61626C8A}"/>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396F5FAB-F692-47CA-A40A-9343389D6BFF}"/>
    <cellStyle name="Normal 2 4 8 2 2 3" xfId="11495" xr:uid="{87718B29-B7DE-465D-9793-25A62C68AFCA}"/>
    <cellStyle name="Normal 2 4 8 2 3" xfId="5118" xr:uid="{00000000-0005-0000-0000-000001110000}"/>
    <cellStyle name="Normal 2 4 8 2 3 2" xfId="13568" xr:uid="{4CC791F9-95DB-4BED-A5B7-6CD09D6CF8E8}"/>
    <cellStyle name="Normal 2 4 8 2 4" xfId="9350" xr:uid="{FC5C9EAD-0AC9-49EF-9B2C-916FB07DA07E}"/>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72AE1A53-995F-4DD6-AD52-6FD1C7E95085}"/>
    <cellStyle name="Normal 2 4 8 3 2 3" xfId="11908" xr:uid="{9AFED35E-2DE2-417A-9837-72ED4678FB07}"/>
    <cellStyle name="Normal 2 4 8 3 3" xfId="5531" xr:uid="{00000000-0005-0000-0000-000005110000}"/>
    <cellStyle name="Normal 2 4 8 3 3 2" xfId="13981" xr:uid="{3B44930D-663B-436E-97E3-17244EEEBA6F}"/>
    <cellStyle name="Normal 2 4 8 3 4" xfId="9763" xr:uid="{3045AC77-F070-451A-9ADC-4E9076A02DF2}"/>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75CBA59A-C10A-4921-9BD5-94BFB75E69E6}"/>
    <cellStyle name="Normal 2 4 8 4 2 3" xfId="12321" xr:uid="{A2D3A57A-7A15-4819-B2FD-57520EFE4EC8}"/>
    <cellStyle name="Normal 2 4 8 4 3" xfId="5944" xr:uid="{00000000-0005-0000-0000-000009110000}"/>
    <cellStyle name="Normal 2 4 8 4 3 2" xfId="14394" xr:uid="{035E91CB-C8FF-4050-8114-124CC578CEB0}"/>
    <cellStyle name="Normal 2 4 8 4 4" xfId="10176" xr:uid="{E5A16D2D-F2CC-4432-813B-B4B4ED5E26F8}"/>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C978D024-AE12-49BC-96CA-F92873098F36}"/>
    <cellStyle name="Normal 2 4 8 5 2 3" xfId="12734" xr:uid="{262A27D6-4FB6-4BCC-868F-22067D4EED5B}"/>
    <cellStyle name="Normal 2 4 8 5 3" xfId="6357" xr:uid="{00000000-0005-0000-0000-00000D110000}"/>
    <cellStyle name="Normal 2 4 8 5 3 2" xfId="14807" xr:uid="{B5184752-AF0D-4A5E-86A6-69B47F9D000F}"/>
    <cellStyle name="Normal 2 4 8 5 4" xfId="10589" xr:uid="{7ED3A8FB-30CE-4CA1-9C03-1D3E9BB6069F}"/>
    <cellStyle name="Normal 2 4 8 6" xfId="2487" xr:uid="{00000000-0005-0000-0000-00000E110000}"/>
    <cellStyle name="Normal 2 4 8 6 2" xfId="6770" xr:uid="{00000000-0005-0000-0000-00000F110000}"/>
    <cellStyle name="Normal 2 4 8 6 2 2" xfId="15220" xr:uid="{6156D3FF-7F7B-4004-9DD7-C890312C460C}"/>
    <cellStyle name="Normal 2 4 8 6 3" xfId="11002" xr:uid="{593A6DBD-F7A9-4F97-BCBD-BD3C62B6B467}"/>
    <cellStyle name="Normal 2 4 8 7" xfId="4704" xr:uid="{00000000-0005-0000-0000-000010110000}"/>
    <cellStyle name="Normal 2 4 8 7 2" xfId="13154" xr:uid="{DC7825B0-9C5E-4470-9D2C-5C8A9FF7150B}"/>
    <cellStyle name="Normal 2 4 8 8" xfId="8936" xr:uid="{FA36845B-C4F9-4428-98A5-B346856240CA}"/>
    <cellStyle name="Normal 2 5" xfId="315" xr:uid="{00000000-0005-0000-0000-000011110000}"/>
    <cellStyle name="Normal 2 5 10" xfId="4705" xr:uid="{00000000-0005-0000-0000-000012110000}"/>
    <cellStyle name="Normal 2 5 10 2" xfId="13155" xr:uid="{672A18C0-C07B-49A1-8A28-FCF2AA1B4822}"/>
    <cellStyle name="Normal 2 5 11" xfId="8937" xr:uid="{4A66C48A-1E2B-4E66-9D60-42EB48B2B33B}"/>
    <cellStyle name="Normal 2 5 2" xfId="316" xr:uid="{00000000-0005-0000-0000-000013110000}"/>
    <cellStyle name="Normal 2 5 3" xfId="317" xr:uid="{00000000-0005-0000-0000-000014110000}"/>
    <cellStyle name="Normal 2 5 4" xfId="318" xr:uid="{00000000-0005-0000-0000-000015110000}"/>
    <cellStyle name="Normal 2 5 4 10" xfId="8938" xr:uid="{062BE000-F24F-4F30-B5F3-1DEB003240F8}"/>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8A2591B0-34D1-4F6B-AB02-46BAA75F6BB0}"/>
    <cellStyle name="Normal 2 5 4 2 2 2 2 3" xfId="11499" xr:uid="{DFCD53BC-83CB-42B2-B9EF-704BD534CB7A}"/>
    <cellStyle name="Normal 2 5 4 2 2 2 3" xfId="5122" xr:uid="{00000000-0005-0000-0000-00001B110000}"/>
    <cellStyle name="Normal 2 5 4 2 2 2 3 2" xfId="13572" xr:uid="{4BB4C247-6CF6-44B0-8E0D-0378070FBEE3}"/>
    <cellStyle name="Normal 2 5 4 2 2 2 4" xfId="9354" xr:uid="{31AD8D9F-D53E-431A-8DC2-CDD32B803E2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A11B41E1-7D5D-46A2-8ED8-46848F46DA2F}"/>
    <cellStyle name="Normal 2 5 4 2 2 3 2 3" xfId="11912" xr:uid="{B66BF13C-1CF1-4A7B-B1FD-7EE52EC73FC5}"/>
    <cellStyle name="Normal 2 5 4 2 2 3 3" xfId="5535" xr:uid="{00000000-0005-0000-0000-00001F110000}"/>
    <cellStyle name="Normal 2 5 4 2 2 3 3 2" xfId="13985" xr:uid="{79273A12-A663-420D-8A0F-ED7ED26A7620}"/>
    <cellStyle name="Normal 2 5 4 2 2 3 4" xfId="9767" xr:uid="{48BE7877-3850-456E-BE19-1A91F7A17D9F}"/>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FF57B163-57B1-4ED5-85EF-D6F8F1C45F01}"/>
    <cellStyle name="Normal 2 5 4 2 2 4 2 3" xfId="12325" xr:uid="{EDD41643-D0F9-4C4F-B9AF-204EEAF0F22B}"/>
    <cellStyle name="Normal 2 5 4 2 2 4 3" xfId="5948" xr:uid="{00000000-0005-0000-0000-000023110000}"/>
    <cellStyle name="Normal 2 5 4 2 2 4 3 2" xfId="14398" xr:uid="{A1B7F4D2-C40F-4F18-A363-498AA9811BC9}"/>
    <cellStyle name="Normal 2 5 4 2 2 4 4" xfId="10180" xr:uid="{6B283A2D-206D-4904-9DA3-6352382522E7}"/>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88FA4098-A3B2-4B5A-B0B7-D3975F0278D7}"/>
    <cellStyle name="Normal 2 5 4 2 2 5 2 3" xfId="12738" xr:uid="{242E1A61-FA37-4A39-93F0-A8E7A7DFA60C}"/>
    <cellStyle name="Normal 2 5 4 2 2 5 3" xfId="6361" xr:uid="{00000000-0005-0000-0000-000027110000}"/>
    <cellStyle name="Normal 2 5 4 2 2 5 3 2" xfId="14811" xr:uid="{C495F80D-A805-4813-9A40-BFE7F3F8A0EF}"/>
    <cellStyle name="Normal 2 5 4 2 2 5 4" xfId="10593" xr:uid="{4EEF231C-6F55-4354-BA48-5BA611D35F71}"/>
    <cellStyle name="Normal 2 5 4 2 2 6" xfId="2491" xr:uid="{00000000-0005-0000-0000-000028110000}"/>
    <cellStyle name="Normal 2 5 4 2 2 6 2" xfId="6774" xr:uid="{00000000-0005-0000-0000-000029110000}"/>
    <cellStyle name="Normal 2 5 4 2 2 6 2 2" xfId="15224" xr:uid="{0F6371CB-AE02-4BDF-88EE-4C8E9E172616}"/>
    <cellStyle name="Normal 2 5 4 2 2 6 3" xfId="11006" xr:uid="{543F4831-560B-4668-8BB4-59FD14831389}"/>
    <cellStyle name="Normal 2 5 4 2 2 7" xfId="4708" xr:uid="{00000000-0005-0000-0000-00002A110000}"/>
    <cellStyle name="Normal 2 5 4 2 2 7 2" xfId="13158" xr:uid="{67F280C2-2A90-4A84-949B-47EF9D324B80}"/>
    <cellStyle name="Normal 2 5 4 2 2 8" xfId="8940" xr:uid="{470A86AF-4488-486C-950F-61CF3606D8BA}"/>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FE860017-0730-4895-961F-643CF25FBA41}"/>
    <cellStyle name="Normal 2 5 4 2 3 2 3" xfId="11498" xr:uid="{A53ADD42-D37B-4B7C-8F6F-73D77B7DB18D}"/>
    <cellStyle name="Normal 2 5 4 2 3 3" xfId="5121" xr:uid="{00000000-0005-0000-0000-00002E110000}"/>
    <cellStyle name="Normal 2 5 4 2 3 3 2" xfId="13571" xr:uid="{F862C9EC-A646-4065-9BDC-A7701EAA10E3}"/>
    <cellStyle name="Normal 2 5 4 2 3 4" xfId="9353" xr:uid="{C65DFABE-635E-430F-BA41-96F05C79D2B6}"/>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DB19D558-855A-4AF4-966D-FDC1B8680C2D}"/>
    <cellStyle name="Normal 2 5 4 2 4 2 3" xfId="11911" xr:uid="{E0FA950F-4AF8-43ED-AB3E-E5BF9D84DBE2}"/>
    <cellStyle name="Normal 2 5 4 2 4 3" xfId="5534" xr:uid="{00000000-0005-0000-0000-000032110000}"/>
    <cellStyle name="Normal 2 5 4 2 4 3 2" xfId="13984" xr:uid="{277B629B-41AA-41D9-B50D-40AAA54AC2C4}"/>
    <cellStyle name="Normal 2 5 4 2 4 4" xfId="9766" xr:uid="{6A8E5CF9-F593-4A8D-9E96-54D6F16B5A1A}"/>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43DE4A12-D44F-4416-8CDC-43C237AE8CD3}"/>
    <cellStyle name="Normal 2 5 4 2 5 2 3" xfId="12324" xr:uid="{0A5FDE60-3DAF-411F-ABA1-4956DF028B14}"/>
    <cellStyle name="Normal 2 5 4 2 5 3" xfId="5947" xr:uid="{00000000-0005-0000-0000-000036110000}"/>
    <cellStyle name="Normal 2 5 4 2 5 3 2" xfId="14397" xr:uid="{1948384F-726F-4399-8CD4-BE1FCD50FE9C}"/>
    <cellStyle name="Normal 2 5 4 2 5 4" xfId="10179" xr:uid="{EEEA8AFE-CC26-4C99-BFB5-01F48C3F9326}"/>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F97EA051-5254-4CB4-9425-E76857F4A16C}"/>
    <cellStyle name="Normal 2 5 4 2 6 2 3" xfId="12737" xr:uid="{E58E0D6C-11A0-4FFB-9F19-8A89988F02BB}"/>
    <cellStyle name="Normal 2 5 4 2 6 3" xfId="6360" xr:uid="{00000000-0005-0000-0000-00003A110000}"/>
    <cellStyle name="Normal 2 5 4 2 6 3 2" xfId="14810" xr:uid="{B3F8C697-8528-45AF-9D65-65F63DA53DCF}"/>
    <cellStyle name="Normal 2 5 4 2 6 4" xfId="10592" xr:uid="{B52391EC-1554-43B7-9EB9-A80D98EECEB7}"/>
    <cellStyle name="Normal 2 5 4 2 7" xfId="2490" xr:uid="{00000000-0005-0000-0000-00003B110000}"/>
    <cellStyle name="Normal 2 5 4 2 7 2" xfId="6773" xr:uid="{00000000-0005-0000-0000-00003C110000}"/>
    <cellStyle name="Normal 2 5 4 2 7 2 2" xfId="15223" xr:uid="{6E4CD337-E782-4092-B895-99186EB462DF}"/>
    <cellStyle name="Normal 2 5 4 2 7 3" xfId="11005" xr:uid="{D41F0F33-3110-47E4-BDC0-640BCD2C0002}"/>
    <cellStyle name="Normal 2 5 4 2 8" xfId="4707" xr:uid="{00000000-0005-0000-0000-00003D110000}"/>
    <cellStyle name="Normal 2 5 4 2 8 2" xfId="13157" xr:uid="{13681373-430F-4F3F-8873-EB2469DEA8C3}"/>
    <cellStyle name="Normal 2 5 4 2 9" xfId="8939" xr:uid="{B565A21C-EE7C-4A33-B014-640C90D9C321}"/>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F869214A-FCE3-4A3E-A94C-CC656DB69F17}"/>
    <cellStyle name="Normal 2 5 4 3 2 2 3" xfId="11500" xr:uid="{571F13BD-A63B-444A-BF5E-8769D06ECD6C}"/>
    <cellStyle name="Normal 2 5 4 3 2 3" xfId="5123" xr:uid="{00000000-0005-0000-0000-000042110000}"/>
    <cellStyle name="Normal 2 5 4 3 2 3 2" xfId="13573" xr:uid="{FFDB6505-B830-45B1-A3F1-1BA1FA666512}"/>
    <cellStyle name="Normal 2 5 4 3 2 4" xfId="9355" xr:uid="{764AE856-4417-4916-8464-B8B3F1833A4E}"/>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4A8CB3D5-D651-4EA2-9C4A-18938EF7355C}"/>
    <cellStyle name="Normal 2 5 4 3 3 2 3" xfId="11913" xr:uid="{EF28D75F-E272-412D-B93A-EFC1E814C4F3}"/>
    <cellStyle name="Normal 2 5 4 3 3 3" xfId="5536" xr:uid="{00000000-0005-0000-0000-000046110000}"/>
    <cellStyle name="Normal 2 5 4 3 3 3 2" xfId="13986" xr:uid="{3A0DA54C-15D1-414B-BB0C-8A634982AD55}"/>
    <cellStyle name="Normal 2 5 4 3 3 4" xfId="9768" xr:uid="{A9376FAD-9854-4F87-9755-81972C6F7D21}"/>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BBC2AB00-26FB-4965-81C8-311F91A8F7F9}"/>
    <cellStyle name="Normal 2 5 4 3 4 2 3" xfId="12326" xr:uid="{24A56F13-45DD-49FD-B515-4020F0B4CE3F}"/>
    <cellStyle name="Normal 2 5 4 3 4 3" xfId="5949" xr:uid="{00000000-0005-0000-0000-00004A110000}"/>
    <cellStyle name="Normal 2 5 4 3 4 3 2" xfId="14399" xr:uid="{38958869-AFBA-417D-BA60-5285DFDD8751}"/>
    <cellStyle name="Normal 2 5 4 3 4 4" xfId="10181" xr:uid="{C42A0BE7-2E5D-418D-B52E-63FC26EE500D}"/>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64C4E182-E58F-439B-9300-795F3B30483B}"/>
    <cellStyle name="Normal 2 5 4 3 5 2 3" xfId="12739" xr:uid="{28B6DE2C-5651-40B4-A831-80093D9A9661}"/>
    <cellStyle name="Normal 2 5 4 3 5 3" xfId="6362" xr:uid="{00000000-0005-0000-0000-00004E110000}"/>
    <cellStyle name="Normal 2 5 4 3 5 3 2" xfId="14812" xr:uid="{2C819F0F-961A-4596-8176-DEE1241B71EE}"/>
    <cellStyle name="Normal 2 5 4 3 5 4" xfId="10594" xr:uid="{AB9F1C5C-7806-4800-804D-3952BD56F52E}"/>
    <cellStyle name="Normal 2 5 4 3 6" xfId="2492" xr:uid="{00000000-0005-0000-0000-00004F110000}"/>
    <cellStyle name="Normal 2 5 4 3 6 2" xfId="6775" xr:uid="{00000000-0005-0000-0000-000050110000}"/>
    <cellStyle name="Normal 2 5 4 3 6 2 2" xfId="15225" xr:uid="{B09E8E6B-34BE-468F-BEC8-451656C1ADAB}"/>
    <cellStyle name="Normal 2 5 4 3 6 3" xfId="11007" xr:uid="{DBA76BC6-883D-48F0-8343-C2531A189440}"/>
    <cellStyle name="Normal 2 5 4 3 7" xfId="4709" xr:uid="{00000000-0005-0000-0000-000051110000}"/>
    <cellStyle name="Normal 2 5 4 3 7 2" xfId="13159" xr:uid="{ED00DED9-D84E-4B7E-A188-B3D632D2A5CA}"/>
    <cellStyle name="Normal 2 5 4 3 8" xfId="8941" xr:uid="{EB0DE1EE-25CD-4575-B862-E8C009CB34E7}"/>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61434AB9-BCC8-4064-A1D4-EABDDBFC2D5D}"/>
    <cellStyle name="Normal 2 5 4 4 2 3" xfId="11497" xr:uid="{889159DB-B133-46CE-9D9F-B997EDD9B6EB}"/>
    <cellStyle name="Normal 2 5 4 4 3" xfId="5120" xr:uid="{00000000-0005-0000-0000-000055110000}"/>
    <cellStyle name="Normal 2 5 4 4 3 2" xfId="13570" xr:uid="{336042B6-8370-4A0F-B0BC-5F6760376E26}"/>
    <cellStyle name="Normal 2 5 4 4 4" xfId="9352" xr:uid="{5A1F481C-DC05-41A3-BD90-99C0708B7906}"/>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665E8B7D-B481-4D4D-BC34-C44CC21EAD47}"/>
    <cellStyle name="Normal 2 5 4 5 2 3" xfId="11910" xr:uid="{E11C6A43-2CB5-486B-B961-45BB305AF12B}"/>
    <cellStyle name="Normal 2 5 4 5 3" xfId="5533" xr:uid="{00000000-0005-0000-0000-000059110000}"/>
    <cellStyle name="Normal 2 5 4 5 3 2" xfId="13983" xr:uid="{516DB3DA-B749-4059-968B-A08543E611E9}"/>
    <cellStyle name="Normal 2 5 4 5 4" xfId="9765" xr:uid="{508F5B56-F06A-4545-A197-BFF2460ED150}"/>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7A5A7F24-8EA0-4899-83B8-865282176A31}"/>
    <cellStyle name="Normal 2 5 4 6 2 3" xfId="12323" xr:uid="{49F9806A-2ACB-444E-A9C3-C400F6AE0694}"/>
    <cellStyle name="Normal 2 5 4 6 3" xfId="5946" xr:uid="{00000000-0005-0000-0000-00005D110000}"/>
    <cellStyle name="Normal 2 5 4 6 3 2" xfId="14396" xr:uid="{A8452650-EFC7-473A-ADF0-3F4E79AFCAA6}"/>
    <cellStyle name="Normal 2 5 4 6 4" xfId="10178" xr:uid="{9703AD03-5B0B-4401-959C-809E855EE2A8}"/>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6709D5CC-63E0-4B1D-9515-E0F6389B5D2A}"/>
    <cellStyle name="Normal 2 5 4 7 2 3" xfId="12736" xr:uid="{312CB898-1EC8-447E-800D-7725BBC5B912}"/>
    <cellStyle name="Normal 2 5 4 7 3" xfId="6359" xr:uid="{00000000-0005-0000-0000-000061110000}"/>
    <cellStyle name="Normal 2 5 4 7 3 2" xfId="14809" xr:uid="{71844866-3FD1-41E2-BFCD-74CB664429C8}"/>
    <cellStyle name="Normal 2 5 4 7 4" xfId="10591" xr:uid="{E92E2141-5F00-4C4A-8EA1-0BBDFB1A0A4F}"/>
    <cellStyle name="Normal 2 5 4 8" xfId="2489" xr:uid="{00000000-0005-0000-0000-000062110000}"/>
    <cellStyle name="Normal 2 5 4 8 2" xfId="6772" xr:uid="{00000000-0005-0000-0000-000063110000}"/>
    <cellStyle name="Normal 2 5 4 8 2 2" xfId="15222" xr:uid="{54E1AC83-D3BF-4C5F-912F-9B622AA557C9}"/>
    <cellStyle name="Normal 2 5 4 8 3" xfId="11004" xr:uid="{7ECE236C-4C6B-4B44-9929-9C0CCAFFA9DA}"/>
    <cellStyle name="Normal 2 5 4 9" xfId="4706" xr:uid="{00000000-0005-0000-0000-000064110000}"/>
    <cellStyle name="Normal 2 5 4 9 2" xfId="13156" xr:uid="{994B413C-4F95-45A2-B2CD-A9FD768815F1}"/>
    <cellStyle name="Normal 2 5 5" xfId="803" xr:uid="{00000000-0005-0000-0000-000065110000}"/>
    <cellStyle name="Normal 2 5 5 2" xfId="3042" xr:uid="{00000000-0005-0000-0000-000066110000}"/>
    <cellStyle name="Normal 2 5 5 2 2" xfId="7264" xr:uid="{00000000-0005-0000-0000-000067110000}"/>
    <cellStyle name="Normal 2 5 5 2 2 2" xfId="15714" xr:uid="{53084221-0742-4CDB-93B3-F87257CFADD9}"/>
    <cellStyle name="Normal 2 5 5 2 3" xfId="11496" xr:uid="{8B5C0EEB-2EE9-47DB-9E6D-71C5AA472C7B}"/>
    <cellStyle name="Normal 2 5 5 3" xfId="5119" xr:uid="{00000000-0005-0000-0000-000068110000}"/>
    <cellStyle name="Normal 2 5 5 3 2" xfId="13569" xr:uid="{734BADAE-2B75-4B63-88FE-96BF363DA16A}"/>
    <cellStyle name="Normal 2 5 5 4" xfId="9351" xr:uid="{FE03F9AE-0F74-4770-ADE2-1B906F0D438F}"/>
    <cellStyle name="Normal 2 5 6" xfId="1225" xr:uid="{00000000-0005-0000-0000-000069110000}"/>
    <cellStyle name="Normal 2 5 6 2" xfId="3455" xr:uid="{00000000-0005-0000-0000-00006A110000}"/>
    <cellStyle name="Normal 2 5 6 2 2" xfId="7677" xr:uid="{00000000-0005-0000-0000-00006B110000}"/>
    <cellStyle name="Normal 2 5 6 2 2 2" xfId="16127" xr:uid="{3F29C939-549E-4808-8C9C-3DAE24D0243F}"/>
    <cellStyle name="Normal 2 5 6 2 3" xfId="11909" xr:uid="{642A7474-9B1A-4376-8874-69F84A7F955E}"/>
    <cellStyle name="Normal 2 5 6 3" xfId="5532" xr:uid="{00000000-0005-0000-0000-00006C110000}"/>
    <cellStyle name="Normal 2 5 6 3 2" xfId="13982" xr:uid="{B75BCB94-A7A0-44FB-BA73-D7CBCA3AF05C}"/>
    <cellStyle name="Normal 2 5 6 4" xfId="9764" xr:uid="{9EE1F310-F3C9-4EBB-8DB7-A87400AB1257}"/>
    <cellStyle name="Normal 2 5 7" xfId="1638" xr:uid="{00000000-0005-0000-0000-00006D110000}"/>
    <cellStyle name="Normal 2 5 7 2" xfId="3868" xr:uid="{00000000-0005-0000-0000-00006E110000}"/>
    <cellStyle name="Normal 2 5 7 2 2" xfId="8090" xr:uid="{00000000-0005-0000-0000-00006F110000}"/>
    <cellStyle name="Normal 2 5 7 2 2 2" xfId="16540" xr:uid="{6B325AB7-BB2E-4AA3-A862-82103262F1B9}"/>
    <cellStyle name="Normal 2 5 7 2 3" xfId="12322" xr:uid="{A5585E38-27E9-4B0D-8183-D31269C505D0}"/>
    <cellStyle name="Normal 2 5 7 3" xfId="5945" xr:uid="{00000000-0005-0000-0000-000070110000}"/>
    <cellStyle name="Normal 2 5 7 3 2" xfId="14395" xr:uid="{0E811C57-7DCE-47DC-9DD6-F0C093EB3673}"/>
    <cellStyle name="Normal 2 5 7 4" xfId="10177" xr:uid="{BCB0E6B9-AD37-45E9-9E68-B53DC6D6299C}"/>
    <cellStyle name="Normal 2 5 8" xfId="2052" xr:uid="{00000000-0005-0000-0000-000071110000}"/>
    <cellStyle name="Normal 2 5 8 2" xfId="4281" xr:uid="{00000000-0005-0000-0000-000072110000}"/>
    <cellStyle name="Normal 2 5 8 2 2" xfId="8503" xr:uid="{00000000-0005-0000-0000-000073110000}"/>
    <cellStyle name="Normal 2 5 8 2 2 2" xfId="16953" xr:uid="{7D6C4054-73DB-4B5A-B9ED-2EB59D93CF7C}"/>
    <cellStyle name="Normal 2 5 8 2 3" xfId="12735" xr:uid="{42CFCC40-5208-46F4-9759-A602E2D02C89}"/>
    <cellStyle name="Normal 2 5 8 3" xfId="6358" xr:uid="{00000000-0005-0000-0000-000074110000}"/>
    <cellStyle name="Normal 2 5 8 3 2" xfId="14808" xr:uid="{FD073189-67DF-44CC-BBEA-EE2843DB53C3}"/>
    <cellStyle name="Normal 2 5 8 4" xfId="10590" xr:uid="{927005F0-9863-4E22-AFD7-6C19AE9FBDCC}"/>
    <cellStyle name="Normal 2 5 9" xfId="2488" xr:uid="{00000000-0005-0000-0000-000075110000}"/>
    <cellStyle name="Normal 2 5 9 2" xfId="6771" xr:uid="{00000000-0005-0000-0000-000076110000}"/>
    <cellStyle name="Normal 2 5 9 2 2" xfId="15221" xr:uid="{83C73469-6554-40D0-9460-209F99018D0F}"/>
    <cellStyle name="Normal 2 5 9 3" xfId="11003" xr:uid="{4BC532AF-1F27-4AD5-9E92-233D0BB298C1}"/>
    <cellStyle name="Normal 2 6" xfId="322" xr:uid="{00000000-0005-0000-0000-000077110000}"/>
    <cellStyle name="Normal 2 7" xfId="769" xr:uid="{00000000-0005-0000-0000-000078110000}"/>
    <cellStyle name="Normal 2 8" xfId="4495" xr:uid="{00000000-0005-0000-0000-000079110000}"/>
    <cellStyle name="Normal 2 8 2" xfId="12947" xr:uid="{FC89778C-9B60-4217-93C5-6447289C6C4C}"/>
    <cellStyle name="Normal 3" xfId="323" xr:uid="{00000000-0005-0000-0000-00007A110000}"/>
    <cellStyle name="Normal 3 2" xfId="324" xr:uid="{00000000-0005-0000-0000-00007B110000}"/>
    <cellStyle name="Normal 3 2 10" xfId="8942" xr:uid="{5F00E137-F695-4E82-A495-BA30E6CA12D6}"/>
    <cellStyle name="Normal 3 2 2" xfId="325" xr:uid="{00000000-0005-0000-0000-00007C110000}"/>
    <cellStyle name="Normal 3 2 2 2" xfId="810" xr:uid="{00000000-0005-0000-0000-00007D110000}"/>
    <cellStyle name="Normal 3 2 3" xfId="326" xr:uid="{00000000-0005-0000-0000-00007E110000}"/>
    <cellStyle name="Normal 3 2 3 10" xfId="8943" xr:uid="{D7AB3D11-17FB-4DBD-8462-65960CE7F697}"/>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4BD86B38-A6C9-4807-8372-8A03643479F8}"/>
    <cellStyle name="Normal 3 2 3 2 2 2 2 3" xfId="11504" xr:uid="{A7E9D673-CB94-4D03-9CC2-7544E2EFAE11}"/>
    <cellStyle name="Normal 3 2 3 2 2 2 3" xfId="5127" xr:uid="{00000000-0005-0000-0000-000084110000}"/>
    <cellStyle name="Normal 3 2 3 2 2 2 3 2" xfId="13577" xr:uid="{2F0EFC2E-82BA-4478-98A5-BEF66D9BC631}"/>
    <cellStyle name="Normal 3 2 3 2 2 2 4" xfId="9359" xr:uid="{4428953A-1308-44E6-ADE6-D56E86C1447D}"/>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C400B051-E2A5-4EB3-94C1-3F6FDA09AA01}"/>
    <cellStyle name="Normal 3 2 3 2 2 3 2 3" xfId="11917" xr:uid="{6906A798-5F82-43CD-A608-9D1CB70ACC47}"/>
    <cellStyle name="Normal 3 2 3 2 2 3 3" xfId="5540" xr:uid="{00000000-0005-0000-0000-000088110000}"/>
    <cellStyle name="Normal 3 2 3 2 2 3 3 2" xfId="13990" xr:uid="{59430C1A-EB96-462C-A706-51D4C9278BC3}"/>
    <cellStyle name="Normal 3 2 3 2 2 3 4" xfId="9772" xr:uid="{382FF6FB-325C-48E0-B9B5-3015AA62A7AC}"/>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7A303C3F-5811-4D64-B8FC-814AFA202E27}"/>
    <cellStyle name="Normal 3 2 3 2 2 4 2 3" xfId="12330" xr:uid="{235E20FC-CF1F-4D38-B992-66F4FBBDC403}"/>
    <cellStyle name="Normal 3 2 3 2 2 4 3" xfId="5953" xr:uid="{00000000-0005-0000-0000-00008C110000}"/>
    <cellStyle name="Normal 3 2 3 2 2 4 3 2" xfId="14403" xr:uid="{595A53B1-2425-46BE-B63E-458063A50D51}"/>
    <cellStyle name="Normal 3 2 3 2 2 4 4" xfId="10185" xr:uid="{A20580FD-E696-4FE0-B25D-9EA9B255E1BE}"/>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28334BD2-A993-4CCD-8561-420A5402B6EA}"/>
    <cellStyle name="Normal 3 2 3 2 2 5 2 3" xfId="12743" xr:uid="{689F8C74-B3AC-42FB-8B59-CCEB51BD0117}"/>
    <cellStyle name="Normal 3 2 3 2 2 5 3" xfId="6366" xr:uid="{00000000-0005-0000-0000-000090110000}"/>
    <cellStyle name="Normal 3 2 3 2 2 5 3 2" xfId="14816" xr:uid="{85B88741-5BFE-4D75-AA64-C79413D26CF8}"/>
    <cellStyle name="Normal 3 2 3 2 2 5 4" xfId="10598" xr:uid="{907A8084-3EFB-483A-9AC2-21467ABDFC62}"/>
    <cellStyle name="Normal 3 2 3 2 2 6" xfId="2496" xr:uid="{00000000-0005-0000-0000-000091110000}"/>
    <cellStyle name="Normal 3 2 3 2 2 6 2" xfId="6779" xr:uid="{00000000-0005-0000-0000-000092110000}"/>
    <cellStyle name="Normal 3 2 3 2 2 6 2 2" xfId="15229" xr:uid="{DFFDBB95-3B66-4EEF-BBA5-D462076F20BC}"/>
    <cellStyle name="Normal 3 2 3 2 2 6 3" xfId="11011" xr:uid="{6D75FD7F-B50B-4B20-9C49-1E429D981BF8}"/>
    <cellStyle name="Normal 3 2 3 2 2 7" xfId="4713" xr:uid="{00000000-0005-0000-0000-000093110000}"/>
    <cellStyle name="Normal 3 2 3 2 2 7 2" xfId="13163" xr:uid="{817D939D-95F9-4C72-BC36-F3FE49AA3AD2}"/>
    <cellStyle name="Normal 3 2 3 2 2 8" xfId="8945" xr:uid="{8E92A1BD-E393-47A6-A754-4DE4ED795DF3}"/>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50CEA7CC-C90E-423D-8A0A-D9DA2DE99A1C}"/>
    <cellStyle name="Normal 3 2 3 2 3 2 3" xfId="11503" xr:uid="{6EE57685-E1D4-4B7B-9804-B7464CD5F261}"/>
    <cellStyle name="Normal 3 2 3 2 3 3" xfId="5126" xr:uid="{00000000-0005-0000-0000-000097110000}"/>
    <cellStyle name="Normal 3 2 3 2 3 3 2" xfId="13576" xr:uid="{B2C7C623-9D82-448F-B3C6-CB8D11143404}"/>
    <cellStyle name="Normal 3 2 3 2 3 4" xfId="9358" xr:uid="{70B57535-637B-47D4-A03A-16487E1214AF}"/>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6ABBEB89-D379-48D8-83B5-9422B341C972}"/>
    <cellStyle name="Normal 3 2 3 2 4 2 3" xfId="11916" xr:uid="{946B6820-0829-4948-9556-9212ECD0C053}"/>
    <cellStyle name="Normal 3 2 3 2 4 3" xfId="5539" xr:uid="{00000000-0005-0000-0000-00009B110000}"/>
    <cellStyle name="Normal 3 2 3 2 4 3 2" xfId="13989" xr:uid="{C6034E32-D9FD-46D6-A1DE-F46108484869}"/>
    <cellStyle name="Normal 3 2 3 2 4 4" xfId="9771" xr:uid="{47DD9943-5469-48DC-B12A-F02B3F9CD7DA}"/>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E4E57E60-EBBC-472D-8F4B-81AC871318BA}"/>
    <cellStyle name="Normal 3 2 3 2 5 2 3" xfId="12329" xr:uid="{4F8461B8-6B2D-476E-9008-45BA68FEB574}"/>
    <cellStyle name="Normal 3 2 3 2 5 3" xfId="5952" xr:uid="{00000000-0005-0000-0000-00009F110000}"/>
    <cellStyle name="Normal 3 2 3 2 5 3 2" xfId="14402" xr:uid="{1A26346D-70A9-4CC3-8077-7A21E2D8DC2C}"/>
    <cellStyle name="Normal 3 2 3 2 5 4" xfId="10184" xr:uid="{0934E606-FA10-4B5C-B5A1-7E1286955881}"/>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C22A95E0-1EFD-4A26-B2B8-7AEFE8C7CE48}"/>
    <cellStyle name="Normal 3 2 3 2 6 2 3" xfId="12742" xr:uid="{BEDF5162-94A6-4086-A3DB-08B481AB80DB}"/>
    <cellStyle name="Normal 3 2 3 2 6 3" xfId="6365" xr:uid="{00000000-0005-0000-0000-0000A3110000}"/>
    <cellStyle name="Normal 3 2 3 2 6 3 2" xfId="14815" xr:uid="{0C47AA75-D299-4E3F-8470-7B7C0FDB2388}"/>
    <cellStyle name="Normal 3 2 3 2 6 4" xfId="10597" xr:uid="{296FB677-11E5-4FAC-A32A-84E13A0934BC}"/>
    <cellStyle name="Normal 3 2 3 2 7" xfId="2495" xr:uid="{00000000-0005-0000-0000-0000A4110000}"/>
    <cellStyle name="Normal 3 2 3 2 7 2" xfId="6778" xr:uid="{00000000-0005-0000-0000-0000A5110000}"/>
    <cellStyle name="Normal 3 2 3 2 7 2 2" xfId="15228" xr:uid="{44814381-B45C-4BBC-93E2-39F636765A7A}"/>
    <cellStyle name="Normal 3 2 3 2 7 3" xfId="11010" xr:uid="{89D9BDBA-7407-48DB-A4AA-C90DF3CBF65E}"/>
    <cellStyle name="Normal 3 2 3 2 8" xfId="4712" xr:uid="{00000000-0005-0000-0000-0000A6110000}"/>
    <cellStyle name="Normal 3 2 3 2 8 2" xfId="13162" xr:uid="{481FAD5D-D4DE-41F6-9DB0-FA6FD4E32AB4}"/>
    <cellStyle name="Normal 3 2 3 2 9" xfId="8944" xr:uid="{E1180F15-82B1-4F27-B61B-1E03686CE02C}"/>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DB4D956E-FB49-4788-93A4-E7D1FA256A4C}"/>
    <cellStyle name="Normal 3 2 3 3 2 2 3" xfId="11505" xr:uid="{0FF24D21-E7B5-48CD-9B7F-F8CCB09B1982}"/>
    <cellStyle name="Normal 3 2 3 3 2 3" xfId="5128" xr:uid="{00000000-0005-0000-0000-0000AB110000}"/>
    <cellStyle name="Normal 3 2 3 3 2 3 2" xfId="13578" xr:uid="{D6D30B9D-55A6-4552-854C-1E72E0C60753}"/>
    <cellStyle name="Normal 3 2 3 3 2 4" xfId="9360" xr:uid="{8DA5B5BD-2A62-4C7B-BF63-0B1C991AE87A}"/>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F12A0442-F9DC-43EE-9029-3DF0FD1B9943}"/>
    <cellStyle name="Normal 3 2 3 3 3 2 3" xfId="11918" xr:uid="{A752B756-3F29-4D54-A61B-035BE97EC147}"/>
    <cellStyle name="Normal 3 2 3 3 3 3" xfId="5541" xr:uid="{00000000-0005-0000-0000-0000AF110000}"/>
    <cellStyle name="Normal 3 2 3 3 3 3 2" xfId="13991" xr:uid="{7DE2C3CB-4737-4772-AC3B-6DACACDDB5A6}"/>
    <cellStyle name="Normal 3 2 3 3 3 4" xfId="9773" xr:uid="{1C0A0EBA-AFE2-4173-B1BE-2A41F8C3AFC5}"/>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FC820FC1-6EBB-44C7-8676-6EA7E64B6737}"/>
    <cellStyle name="Normal 3 2 3 3 4 2 3" xfId="12331" xr:uid="{1226099B-0079-44B3-B0CF-4E250DA1D07B}"/>
    <cellStyle name="Normal 3 2 3 3 4 3" xfId="5954" xr:uid="{00000000-0005-0000-0000-0000B3110000}"/>
    <cellStyle name="Normal 3 2 3 3 4 3 2" xfId="14404" xr:uid="{45FED461-0945-4FD7-B99E-444EA7E19865}"/>
    <cellStyle name="Normal 3 2 3 3 4 4" xfId="10186" xr:uid="{54E8E33D-5BEC-42B5-A487-0961335E385E}"/>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CEEB3681-AD85-4876-80C4-A9B609AAEFA7}"/>
    <cellStyle name="Normal 3 2 3 3 5 2 3" xfId="12744" xr:uid="{84B12173-A769-4F71-B948-D715CFE6A0A5}"/>
    <cellStyle name="Normal 3 2 3 3 5 3" xfId="6367" xr:uid="{00000000-0005-0000-0000-0000B7110000}"/>
    <cellStyle name="Normal 3 2 3 3 5 3 2" xfId="14817" xr:uid="{D56A1F02-D473-4983-B876-484EBA951474}"/>
    <cellStyle name="Normal 3 2 3 3 5 4" xfId="10599" xr:uid="{A69F8FDC-5BA7-4D1B-B8DA-5AAD7A8D6D63}"/>
    <cellStyle name="Normal 3 2 3 3 6" xfId="2497" xr:uid="{00000000-0005-0000-0000-0000B8110000}"/>
    <cellStyle name="Normal 3 2 3 3 6 2" xfId="6780" xr:uid="{00000000-0005-0000-0000-0000B9110000}"/>
    <cellStyle name="Normal 3 2 3 3 6 2 2" xfId="15230" xr:uid="{F279654C-8B31-4BBE-8BE4-51E6920FA3B8}"/>
    <cellStyle name="Normal 3 2 3 3 6 3" xfId="11012" xr:uid="{79107ABD-46A3-4A0E-BF2A-2171B9C1D5C8}"/>
    <cellStyle name="Normal 3 2 3 3 7" xfId="4714" xr:uid="{00000000-0005-0000-0000-0000BA110000}"/>
    <cellStyle name="Normal 3 2 3 3 7 2" xfId="13164" xr:uid="{57A00B57-08D5-4651-A675-709877BEC80F}"/>
    <cellStyle name="Normal 3 2 3 3 8" xfId="8946" xr:uid="{D3392879-981E-4914-BEF4-A8FE3DC42CC2}"/>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218B9065-1B35-426E-BE0C-F40967F3F125}"/>
    <cellStyle name="Normal 3 2 3 4 2 3" xfId="11502" xr:uid="{C4478BB1-4AED-4FBE-99E7-A3D83BF70E11}"/>
    <cellStyle name="Normal 3 2 3 4 3" xfId="5125" xr:uid="{00000000-0005-0000-0000-0000BE110000}"/>
    <cellStyle name="Normal 3 2 3 4 3 2" xfId="13575" xr:uid="{5D9287A6-06BD-414C-8FA7-48F2595EEB47}"/>
    <cellStyle name="Normal 3 2 3 4 4" xfId="9357" xr:uid="{A6AE4C63-2D78-4759-A6C7-1E1273938E21}"/>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80226321-013C-43E3-A862-9DBAD7476099}"/>
    <cellStyle name="Normal 3 2 3 5 2 3" xfId="11915" xr:uid="{7DEB3440-CEC1-4753-87E4-F8A638AF6AA4}"/>
    <cellStyle name="Normal 3 2 3 5 3" xfId="5538" xr:uid="{00000000-0005-0000-0000-0000C2110000}"/>
    <cellStyle name="Normal 3 2 3 5 3 2" xfId="13988" xr:uid="{93386C8F-8301-440F-9875-9DCD15448821}"/>
    <cellStyle name="Normal 3 2 3 5 4" xfId="9770" xr:uid="{FFC0DA7A-1E77-4365-A0F5-76E8AEF7DD28}"/>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09C461D0-FD1A-41CF-AC3F-287FCE38C34C}"/>
    <cellStyle name="Normal 3 2 3 6 2 3" xfId="12328" xr:uid="{F011F5A8-7668-43ED-8E35-5C44CDADD25C}"/>
    <cellStyle name="Normal 3 2 3 6 3" xfId="5951" xr:uid="{00000000-0005-0000-0000-0000C6110000}"/>
    <cellStyle name="Normal 3 2 3 6 3 2" xfId="14401" xr:uid="{6184CD3E-0F69-44C3-9E05-E4C662E40419}"/>
    <cellStyle name="Normal 3 2 3 6 4" xfId="10183" xr:uid="{53081E2E-4213-4B35-867E-C4DA92CCD985}"/>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0587D503-C333-4BAF-9FFA-59D0228E71AE}"/>
    <cellStyle name="Normal 3 2 3 7 2 3" xfId="12741" xr:uid="{3F59112F-DF03-4BBB-A52D-EEF3A0E9ADB5}"/>
    <cellStyle name="Normal 3 2 3 7 3" xfId="6364" xr:uid="{00000000-0005-0000-0000-0000CA110000}"/>
    <cellStyle name="Normal 3 2 3 7 3 2" xfId="14814" xr:uid="{0FCCE6E8-5166-43AC-B174-60632AE10EAE}"/>
    <cellStyle name="Normal 3 2 3 7 4" xfId="10596" xr:uid="{EE1D0C59-CA40-4BDF-B12E-BCFACD9AD66A}"/>
    <cellStyle name="Normal 3 2 3 8" xfId="2494" xr:uid="{00000000-0005-0000-0000-0000CB110000}"/>
    <cellStyle name="Normal 3 2 3 8 2" xfId="6777" xr:uid="{00000000-0005-0000-0000-0000CC110000}"/>
    <cellStyle name="Normal 3 2 3 8 2 2" xfId="15227" xr:uid="{41784504-8DA9-4CC5-B5DA-3F8EDB4DFE65}"/>
    <cellStyle name="Normal 3 2 3 8 3" xfId="11009" xr:uid="{240D1AC6-2AAA-45DC-83A0-A653D4FC4A9B}"/>
    <cellStyle name="Normal 3 2 3 9" xfId="4711" xr:uid="{00000000-0005-0000-0000-0000CD110000}"/>
    <cellStyle name="Normal 3 2 3 9 2" xfId="13161" xr:uid="{2363669E-DB24-4CE3-960A-04BD91613F2D}"/>
    <cellStyle name="Normal 3 2 4" xfId="809" xr:uid="{00000000-0005-0000-0000-0000CE110000}"/>
    <cellStyle name="Normal 3 2 4 2" xfId="3047" xr:uid="{00000000-0005-0000-0000-0000CF110000}"/>
    <cellStyle name="Normal 3 2 4 2 2" xfId="7269" xr:uid="{00000000-0005-0000-0000-0000D0110000}"/>
    <cellStyle name="Normal 3 2 4 2 2 2" xfId="15719" xr:uid="{D8A27605-43CD-4A28-BB37-184C6B301F09}"/>
    <cellStyle name="Normal 3 2 4 2 3" xfId="11501" xr:uid="{4E8033D0-C4E9-49FE-A538-581AD6DA24A6}"/>
    <cellStyle name="Normal 3 2 4 3" xfId="5124" xr:uid="{00000000-0005-0000-0000-0000D1110000}"/>
    <cellStyle name="Normal 3 2 4 3 2" xfId="13574" xr:uid="{DF2F5E9F-7463-4050-849C-DA3C04649DDF}"/>
    <cellStyle name="Normal 3 2 4 4" xfId="9356" xr:uid="{53A56499-FE62-4AB3-9E91-D17396E81715}"/>
    <cellStyle name="Normal 3 2 5" xfId="1230" xr:uid="{00000000-0005-0000-0000-0000D2110000}"/>
    <cellStyle name="Normal 3 2 5 2" xfId="3460" xr:uid="{00000000-0005-0000-0000-0000D3110000}"/>
    <cellStyle name="Normal 3 2 5 2 2" xfId="7682" xr:uid="{00000000-0005-0000-0000-0000D4110000}"/>
    <cellStyle name="Normal 3 2 5 2 2 2" xfId="16132" xr:uid="{878265CC-B60C-4209-9147-DC52E9958A37}"/>
    <cellStyle name="Normal 3 2 5 2 3" xfId="11914" xr:uid="{449C2CCD-E63E-437B-8CD6-01E09373D134}"/>
    <cellStyle name="Normal 3 2 5 3" xfId="5537" xr:uid="{00000000-0005-0000-0000-0000D5110000}"/>
    <cellStyle name="Normal 3 2 5 3 2" xfId="13987" xr:uid="{7A884266-0AE7-4963-AE80-54A7F000054D}"/>
    <cellStyle name="Normal 3 2 5 4" xfId="9769" xr:uid="{AB943CEF-C697-47D5-BF02-387D3DB6702A}"/>
    <cellStyle name="Normal 3 2 6" xfId="1643" xr:uid="{00000000-0005-0000-0000-0000D6110000}"/>
    <cellStyle name="Normal 3 2 6 2" xfId="3873" xr:uid="{00000000-0005-0000-0000-0000D7110000}"/>
    <cellStyle name="Normal 3 2 6 2 2" xfId="8095" xr:uid="{00000000-0005-0000-0000-0000D8110000}"/>
    <cellStyle name="Normal 3 2 6 2 2 2" xfId="16545" xr:uid="{F62438A0-C68A-47EF-8E24-99317CF295E7}"/>
    <cellStyle name="Normal 3 2 6 2 3" xfId="12327" xr:uid="{3CD146AB-0825-40DE-8B99-3C9BB336E927}"/>
    <cellStyle name="Normal 3 2 6 3" xfId="5950" xr:uid="{00000000-0005-0000-0000-0000D9110000}"/>
    <cellStyle name="Normal 3 2 6 3 2" xfId="14400" xr:uid="{4A357D66-AABB-44B0-A33D-400AFC93693D}"/>
    <cellStyle name="Normal 3 2 6 4" xfId="10182" xr:uid="{E582762D-0938-44BE-B8BD-8841FE8CE293}"/>
    <cellStyle name="Normal 3 2 7" xfId="2057" xr:uid="{00000000-0005-0000-0000-0000DA110000}"/>
    <cellStyle name="Normal 3 2 7 2" xfId="4286" xr:uid="{00000000-0005-0000-0000-0000DB110000}"/>
    <cellStyle name="Normal 3 2 7 2 2" xfId="8508" xr:uid="{00000000-0005-0000-0000-0000DC110000}"/>
    <cellStyle name="Normal 3 2 7 2 2 2" xfId="16958" xr:uid="{7AF791D1-8BD6-43EC-B770-6C62842B5878}"/>
    <cellStyle name="Normal 3 2 7 2 3" xfId="12740" xr:uid="{4491A4D2-8107-48F0-B0AD-32BE4CE03587}"/>
    <cellStyle name="Normal 3 2 7 3" xfId="6363" xr:uid="{00000000-0005-0000-0000-0000DD110000}"/>
    <cellStyle name="Normal 3 2 7 3 2" xfId="14813" xr:uid="{4BD3F3FA-6D72-4671-880D-25D5400841BA}"/>
    <cellStyle name="Normal 3 2 7 4" xfId="10595" xr:uid="{B1C3C440-4071-465B-B119-FAEFD234B3F1}"/>
    <cellStyle name="Normal 3 2 8" xfId="2493" xr:uid="{00000000-0005-0000-0000-0000DE110000}"/>
    <cellStyle name="Normal 3 2 8 2" xfId="6776" xr:uid="{00000000-0005-0000-0000-0000DF110000}"/>
    <cellStyle name="Normal 3 2 8 2 2" xfId="15226" xr:uid="{AE4BD8FC-DD4E-463B-B674-105DFF232560}"/>
    <cellStyle name="Normal 3 2 8 3" xfId="11008" xr:uid="{6653C55B-15F2-435A-B111-839F2B8C2B76}"/>
    <cellStyle name="Normal 3 2 9" xfId="4710" xr:uid="{00000000-0005-0000-0000-0000E0110000}"/>
    <cellStyle name="Normal 3 2 9 2" xfId="13160" xr:uid="{0F2FBFAA-4E0B-4D8E-AD2A-E71B577CA136}"/>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87A63708-4BA9-4C5D-A65E-423D2FB71FD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13222F83-29F6-42B9-92FC-2089734C9FB0}"/>
    <cellStyle name="Normal 4 2 2 10 2 3" xfId="12745" xr:uid="{DCE224FA-C69A-4A46-BF99-0C4DBD7D585E}"/>
    <cellStyle name="Normal 4 2 2 10 3" xfId="6368" xr:uid="{00000000-0005-0000-0000-0000ED110000}"/>
    <cellStyle name="Normal 4 2 2 10 3 2" xfId="14818" xr:uid="{E6E8106A-94CA-4330-9BEF-689A2463CA45}"/>
    <cellStyle name="Normal 4 2 2 10 4" xfId="10600" xr:uid="{D3D173F5-D17E-4E25-9678-8EE961C1F2E3}"/>
    <cellStyle name="Normal 4 2 2 11" xfId="2498" xr:uid="{00000000-0005-0000-0000-0000EE110000}"/>
    <cellStyle name="Normal 4 2 2 11 2" xfId="6781" xr:uid="{00000000-0005-0000-0000-0000EF110000}"/>
    <cellStyle name="Normal 4 2 2 11 2 2" xfId="15231" xr:uid="{E988B4CC-5892-4473-8C9C-930C56FCEDF5}"/>
    <cellStyle name="Normal 4 2 2 11 3" xfId="11013" xr:uid="{AD817B81-EDE2-48DF-8D4C-65EBAFE19A7E}"/>
    <cellStyle name="Normal 4 2 2 12" xfId="4716" xr:uid="{00000000-0005-0000-0000-0000F0110000}"/>
    <cellStyle name="Normal 4 2 2 12 2" xfId="13166" xr:uid="{426DE54B-9CF6-4BEB-9E4D-DF8AB44CA8BD}"/>
    <cellStyle name="Normal 4 2 2 13" xfId="8948" xr:uid="{03AB7C30-9FCD-4F39-BBE2-5DFC8237A8BF}"/>
    <cellStyle name="Normal 4 2 2 2" xfId="338" xr:uid="{00000000-0005-0000-0000-0000F1110000}"/>
    <cellStyle name="Normal 4 2 2 3" xfId="339" xr:uid="{00000000-0005-0000-0000-0000F2110000}"/>
    <cellStyle name="Normal 4 2 2 3 10" xfId="4717" xr:uid="{00000000-0005-0000-0000-0000F3110000}"/>
    <cellStyle name="Normal 4 2 2 3 10 2" xfId="13167" xr:uid="{20B6E2A4-BC7B-424A-A1B0-29FFE6D7F2EB}"/>
    <cellStyle name="Normal 4 2 2 3 11" xfId="8949" xr:uid="{C5862618-1BD4-4F50-9257-C5C92DD3AEE2}"/>
    <cellStyle name="Normal 4 2 2 3 2" xfId="340" xr:uid="{00000000-0005-0000-0000-0000F4110000}"/>
    <cellStyle name="Normal 4 2 2 3 2 10" xfId="8950" xr:uid="{43A2F76A-55FA-4DF2-8B39-533784613913}"/>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FF270CD6-97A3-4173-906D-C29B97598B50}"/>
    <cellStyle name="Normal 4 2 2 3 2 2 2 2 2 3" xfId="11510" xr:uid="{0C8BE002-0A6B-468D-A3D1-8DE0694BA141}"/>
    <cellStyle name="Normal 4 2 2 3 2 2 2 2 3" xfId="5133" xr:uid="{00000000-0005-0000-0000-0000FA110000}"/>
    <cellStyle name="Normal 4 2 2 3 2 2 2 2 3 2" xfId="13583" xr:uid="{741B2B53-497A-4AF0-BC0A-50A25204EF8A}"/>
    <cellStyle name="Normal 4 2 2 3 2 2 2 2 4" xfId="9365" xr:uid="{359DE239-559B-4566-95DE-928CC0D0CA49}"/>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5F9E6C2B-BFA9-43B5-8520-7AEAEF20146E}"/>
    <cellStyle name="Normal 4 2 2 3 2 2 2 3 2 3" xfId="11923" xr:uid="{DFCA17BC-DF2F-4FCD-A1B4-8C420CD87122}"/>
    <cellStyle name="Normal 4 2 2 3 2 2 2 3 3" xfId="5546" xr:uid="{00000000-0005-0000-0000-0000FE110000}"/>
    <cellStyle name="Normal 4 2 2 3 2 2 2 3 3 2" xfId="13996" xr:uid="{16ED80C6-BBC0-4A7A-AE02-1D51B7A335B3}"/>
    <cellStyle name="Normal 4 2 2 3 2 2 2 3 4" xfId="9778" xr:uid="{07F19312-A771-417B-BF41-45706A7F9374}"/>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47E5B408-D3FE-4CE4-A3D0-391548B6EE61}"/>
    <cellStyle name="Normal 4 2 2 3 2 2 2 4 2 3" xfId="12336" xr:uid="{B1E8CBAB-7A57-4919-AE1C-9636F6C9BB16}"/>
    <cellStyle name="Normal 4 2 2 3 2 2 2 4 3" xfId="5959" xr:uid="{00000000-0005-0000-0000-000002120000}"/>
    <cellStyle name="Normal 4 2 2 3 2 2 2 4 3 2" xfId="14409" xr:uid="{12366D45-6E78-4E49-AC62-26919C24AB10}"/>
    <cellStyle name="Normal 4 2 2 3 2 2 2 4 4" xfId="10191" xr:uid="{514B592A-27C5-4B18-8F25-4FC80D9097D5}"/>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F2916C58-55CB-4276-9807-12A3938D4BB5}"/>
    <cellStyle name="Normal 4 2 2 3 2 2 2 5 2 3" xfId="12749" xr:uid="{8400FB09-FCCE-49B3-9194-ADC25FACFC2B}"/>
    <cellStyle name="Normal 4 2 2 3 2 2 2 5 3" xfId="6372" xr:uid="{00000000-0005-0000-0000-000006120000}"/>
    <cellStyle name="Normal 4 2 2 3 2 2 2 5 3 2" xfId="14822" xr:uid="{814FDEB3-BE5B-470D-8AE7-11C32DC021E6}"/>
    <cellStyle name="Normal 4 2 2 3 2 2 2 5 4" xfId="10604" xr:uid="{38164C41-7C54-41AF-9EBF-B790FBB25F8B}"/>
    <cellStyle name="Normal 4 2 2 3 2 2 2 6" xfId="2502" xr:uid="{00000000-0005-0000-0000-000007120000}"/>
    <cellStyle name="Normal 4 2 2 3 2 2 2 6 2" xfId="6785" xr:uid="{00000000-0005-0000-0000-000008120000}"/>
    <cellStyle name="Normal 4 2 2 3 2 2 2 6 2 2" xfId="15235" xr:uid="{447317F7-4053-4CCD-ABED-4ABD5314BC9D}"/>
    <cellStyle name="Normal 4 2 2 3 2 2 2 6 3" xfId="11017" xr:uid="{1DD85190-097F-4E8F-9861-0C51206C8567}"/>
    <cellStyle name="Normal 4 2 2 3 2 2 2 7" xfId="4720" xr:uid="{00000000-0005-0000-0000-000009120000}"/>
    <cellStyle name="Normal 4 2 2 3 2 2 2 7 2" xfId="13170" xr:uid="{59D9EB3F-1465-4026-860D-782317CB3B35}"/>
    <cellStyle name="Normal 4 2 2 3 2 2 2 8" xfId="8952" xr:uid="{B791C352-2974-4541-A08C-7286D7F74496}"/>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C27CFC5E-DDA0-4043-93E4-B76AB1A49161}"/>
    <cellStyle name="Normal 4 2 2 3 2 2 3 2 3" xfId="11509" xr:uid="{103D1516-B4F0-488B-B692-520B7C5B2A17}"/>
    <cellStyle name="Normal 4 2 2 3 2 2 3 3" xfId="5132" xr:uid="{00000000-0005-0000-0000-00000D120000}"/>
    <cellStyle name="Normal 4 2 2 3 2 2 3 3 2" xfId="13582" xr:uid="{9E82E24D-C854-4CC0-8205-3E7B64FB53D2}"/>
    <cellStyle name="Normal 4 2 2 3 2 2 3 4" xfId="9364" xr:uid="{1654D6FF-6CB8-4F41-BA13-08B8652DE76C}"/>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6267E469-B38E-4C0F-9C84-91AC21F5FD69}"/>
    <cellStyle name="Normal 4 2 2 3 2 2 4 2 3" xfId="11922" xr:uid="{A3DBA7F9-3F16-495A-A569-894A5E0E593B}"/>
    <cellStyle name="Normal 4 2 2 3 2 2 4 3" xfId="5545" xr:uid="{00000000-0005-0000-0000-000011120000}"/>
    <cellStyle name="Normal 4 2 2 3 2 2 4 3 2" xfId="13995" xr:uid="{7ED4567A-2E7E-4E8F-B3AF-05B600B77399}"/>
    <cellStyle name="Normal 4 2 2 3 2 2 4 4" xfId="9777" xr:uid="{DA267B9E-D3B2-4764-B38E-AAA5685B6081}"/>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FFC94F9F-5BE4-485C-9BFF-CABBD6E728C2}"/>
    <cellStyle name="Normal 4 2 2 3 2 2 5 2 3" xfId="12335" xr:uid="{F0E87B7D-A387-438E-A0D2-FA08CCE0CED9}"/>
    <cellStyle name="Normal 4 2 2 3 2 2 5 3" xfId="5958" xr:uid="{00000000-0005-0000-0000-000015120000}"/>
    <cellStyle name="Normal 4 2 2 3 2 2 5 3 2" xfId="14408" xr:uid="{189A600F-48C8-4212-95FB-0761A8B707FC}"/>
    <cellStyle name="Normal 4 2 2 3 2 2 5 4" xfId="10190" xr:uid="{62DD8CF9-B213-468E-A328-616BEDEF7565}"/>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FAE58660-A33E-450B-B23B-EB03E6A001A1}"/>
    <cellStyle name="Normal 4 2 2 3 2 2 6 2 3" xfId="12748" xr:uid="{A3710709-B99B-44E5-8CDE-024DA505259C}"/>
    <cellStyle name="Normal 4 2 2 3 2 2 6 3" xfId="6371" xr:uid="{00000000-0005-0000-0000-000019120000}"/>
    <cellStyle name="Normal 4 2 2 3 2 2 6 3 2" xfId="14821" xr:uid="{C1C4F118-5362-45DC-9544-93C07A1100AB}"/>
    <cellStyle name="Normal 4 2 2 3 2 2 6 4" xfId="10603" xr:uid="{46056C0F-8032-48C4-B709-AD8F0925E367}"/>
    <cellStyle name="Normal 4 2 2 3 2 2 7" xfId="2501" xr:uid="{00000000-0005-0000-0000-00001A120000}"/>
    <cellStyle name="Normal 4 2 2 3 2 2 7 2" xfId="6784" xr:uid="{00000000-0005-0000-0000-00001B120000}"/>
    <cellStyle name="Normal 4 2 2 3 2 2 7 2 2" xfId="15234" xr:uid="{FA183558-11BE-43FD-B1A8-AFA0BD249D62}"/>
    <cellStyle name="Normal 4 2 2 3 2 2 7 3" xfId="11016" xr:uid="{4CF2BDA9-B04B-47A6-AEF0-625E5B3A7C03}"/>
    <cellStyle name="Normal 4 2 2 3 2 2 8" xfId="4719" xr:uid="{00000000-0005-0000-0000-00001C120000}"/>
    <cellStyle name="Normal 4 2 2 3 2 2 8 2" xfId="13169" xr:uid="{1FB8B095-F1F8-439F-8281-64AD08E82ECC}"/>
    <cellStyle name="Normal 4 2 2 3 2 2 9" xfId="8951" xr:uid="{F7F63111-36B9-404A-89CB-07C85D386E14}"/>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701BA10F-249D-459C-A28B-350728BE928F}"/>
    <cellStyle name="Normal 4 2 2 3 2 3 2 2 3" xfId="11511" xr:uid="{CA872A6D-4C0D-46A8-9BFD-F7C3FD19F6E7}"/>
    <cellStyle name="Normal 4 2 2 3 2 3 2 3" xfId="5134" xr:uid="{00000000-0005-0000-0000-000021120000}"/>
    <cellStyle name="Normal 4 2 2 3 2 3 2 3 2" xfId="13584" xr:uid="{51B56B2B-A9D0-4779-83B7-07E99731AEB2}"/>
    <cellStyle name="Normal 4 2 2 3 2 3 2 4" xfId="9366" xr:uid="{AE96CE65-B6C3-4FA4-A864-C6912B697247}"/>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E690F582-6787-4975-91E1-C988CAD9E591}"/>
    <cellStyle name="Normal 4 2 2 3 2 3 3 2 3" xfId="11924" xr:uid="{25624AA5-B6FF-40F1-A2AC-DA9775D3D519}"/>
    <cellStyle name="Normal 4 2 2 3 2 3 3 3" xfId="5547" xr:uid="{00000000-0005-0000-0000-000025120000}"/>
    <cellStyle name="Normal 4 2 2 3 2 3 3 3 2" xfId="13997" xr:uid="{D4DCE6AC-E7E6-4D8E-A102-DC9BD5C77363}"/>
    <cellStyle name="Normal 4 2 2 3 2 3 3 4" xfId="9779" xr:uid="{5D836D69-363D-487D-986C-EFB880914B4F}"/>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AECC17C6-116B-44AE-80F0-CCC6AD27A58F}"/>
    <cellStyle name="Normal 4 2 2 3 2 3 4 2 3" xfId="12337" xr:uid="{0D1A370F-69C1-47C3-B477-EB1FA5763C6B}"/>
    <cellStyle name="Normal 4 2 2 3 2 3 4 3" xfId="5960" xr:uid="{00000000-0005-0000-0000-000029120000}"/>
    <cellStyle name="Normal 4 2 2 3 2 3 4 3 2" xfId="14410" xr:uid="{59768DCA-F8DD-403B-8FF4-6B495932C84A}"/>
    <cellStyle name="Normal 4 2 2 3 2 3 4 4" xfId="10192" xr:uid="{2BB58F62-4A95-4195-A7CB-889231BBD8FF}"/>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52E1E19F-76ED-4506-A830-B73EDABEEE4C}"/>
    <cellStyle name="Normal 4 2 2 3 2 3 5 2 3" xfId="12750" xr:uid="{8C5212B8-AD7C-4ED3-92F6-78B39A2FDF77}"/>
    <cellStyle name="Normal 4 2 2 3 2 3 5 3" xfId="6373" xr:uid="{00000000-0005-0000-0000-00002D120000}"/>
    <cellStyle name="Normal 4 2 2 3 2 3 5 3 2" xfId="14823" xr:uid="{A3B34519-4E2F-443E-B347-1640627732D1}"/>
    <cellStyle name="Normal 4 2 2 3 2 3 5 4" xfId="10605" xr:uid="{EBA5FED8-614B-49F0-967F-EB451EA7590F}"/>
    <cellStyle name="Normal 4 2 2 3 2 3 6" xfId="2503" xr:uid="{00000000-0005-0000-0000-00002E120000}"/>
    <cellStyle name="Normal 4 2 2 3 2 3 6 2" xfId="6786" xr:uid="{00000000-0005-0000-0000-00002F120000}"/>
    <cellStyle name="Normal 4 2 2 3 2 3 6 2 2" xfId="15236" xr:uid="{E7A09822-F4AE-4F0B-B3C7-55D20126A691}"/>
    <cellStyle name="Normal 4 2 2 3 2 3 6 3" xfId="11018" xr:uid="{CD3CE6DB-9DC9-4F95-B891-AFBF7DBFB429}"/>
    <cellStyle name="Normal 4 2 2 3 2 3 7" xfId="4721" xr:uid="{00000000-0005-0000-0000-000030120000}"/>
    <cellStyle name="Normal 4 2 2 3 2 3 7 2" xfId="13171" xr:uid="{B376D12D-D284-48DC-B0B4-3FCB2600FC28}"/>
    <cellStyle name="Normal 4 2 2 3 2 3 8" xfId="8953" xr:uid="{9477C7CC-2E8C-4F86-9484-755E1805E5F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1C7BE017-07E8-4CF0-8304-D07FA3554441}"/>
    <cellStyle name="Normal 4 2 2 3 2 4 2 3" xfId="11508" xr:uid="{FFAC697B-7166-4412-BD2D-DC638425DE01}"/>
    <cellStyle name="Normal 4 2 2 3 2 4 3" xfId="5131" xr:uid="{00000000-0005-0000-0000-000034120000}"/>
    <cellStyle name="Normal 4 2 2 3 2 4 3 2" xfId="13581" xr:uid="{7C94FD93-E3F2-4445-B484-ED9D9436EBA7}"/>
    <cellStyle name="Normal 4 2 2 3 2 4 4" xfId="9363" xr:uid="{0D53051A-DEDD-46EF-B7B2-FE2D02946DA8}"/>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94BA80C5-AFEC-41F6-A467-CB62C81C3F2F}"/>
    <cellStyle name="Normal 4 2 2 3 2 5 2 3" xfId="11921" xr:uid="{253010F2-E502-49BF-B7E8-A278A6A35C5E}"/>
    <cellStyle name="Normal 4 2 2 3 2 5 3" xfId="5544" xr:uid="{00000000-0005-0000-0000-000038120000}"/>
    <cellStyle name="Normal 4 2 2 3 2 5 3 2" xfId="13994" xr:uid="{8229D93E-AB80-4974-878A-DB2BD2801F49}"/>
    <cellStyle name="Normal 4 2 2 3 2 5 4" xfId="9776" xr:uid="{51A511D5-28D2-4BC7-97CD-2B1D09E127A3}"/>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87675F25-C600-4178-AFC4-7878302CC91E}"/>
    <cellStyle name="Normal 4 2 2 3 2 6 2 3" xfId="12334" xr:uid="{2C34F944-E817-43D2-BD66-DB0B0134C11D}"/>
    <cellStyle name="Normal 4 2 2 3 2 6 3" xfId="5957" xr:uid="{00000000-0005-0000-0000-00003C120000}"/>
    <cellStyle name="Normal 4 2 2 3 2 6 3 2" xfId="14407" xr:uid="{3BD0E603-B68A-4FE0-838B-F644F820EBD4}"/>
    <cellStyle name="Normal 4 2 2 3 2 6 4" xfId="10189" xr:uid="{2CBABF7D-59D9-422D-8BC1-F047C93A818E}"/>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384872B7-67BC-4C56-ADF6-3E25303BF1BC}"/>
    <cellStyle name="Normal 4 2 2 3 2 7 2 3" xfId="12747" xr:uid="{3FE51919-1BAA-4538-B347-55FF533045F2}"/>
    <cellStyle name="Normal 4 2 2 3 2 7 3" xfId="6370" xr:uid="{00000000-0005-0000-0000-000040120000}"/>
    <cellStyle name="Normal 4 2 2 3 2 7 3 2" xfId="14820" xr:uid="{14D202FF-0098-4B6F-80E3-740D228D965B}"/>
    <cellStyle name="Normal 4 2 2 3 2 7 4" xfId="10602" xr:uid="{4B51B4CB-E096-44F2-A0D5-CEFF3B7F245A}"/>
    <cellStyle name="Normal 4 2 2 3 2 8" xfId="2500" xr:uid="{00000000-0005-0000-0000-000041120000}"/>
    <cellStyle name="Normal 4 2 2 3 2 8 2" xfId="6783" xr:uid="{00000000-0005-0000-0000-000042120000}"/>
    <cellStyle name="Normal 4 2 2 3 2 8 2 2" xfId="15233" xr:uid="{0A9FE20B-7822-4EEC-9D5A-51DE048484C9}"/>
    <cellStyle name="Normal 4 2 2 3 2 8 3" xfId="11015" xr:uid="{A809435D-9284-4E01-ABD9-A576926A4A3D}"/>
    <cellStyle name="Normal 4 2 2 3 2 9" xfId="4718" xr:uid="{00000000-0005-0000-0000-000043120000}"/>
    <cellStyle name="Normal 4 2 2 3 2 9 2" xfId="13168" xr:uid="{D3E530BC-5DD5-4BB9-A899-6E9209130E3A}"/>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CBF11542-7C71-4B06-B0FC-C7C967AD5C94}"/>
    <cellStyle name="Normal 4 2 2 3 3 2 2 2 3" xfId="11513" xr:uid="{14AA3FFD-6714-4079-8AF6-8526582EAC9A}"/>
    <cellStyle name="Normal 4 2 2 3 3 2 2 3" xfId="5136" xr:uid="{00000000-0005-0000-0000-000049120000}"/>
    <cellStyle name="Normal 4 2 2 3 3 2 2 3 2" xfId="13586" xr:uid="{F96903B8-6D58-4DD1-B4A6-3A413D5CED20}"/>
    <cellStyle name="Normal 4 2 2 3 3 2 2 4" xfId="9368" xr:uid="{D1DE7CE1-D01A-4CF1-AF81-6A81B15CEFDB}"/>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4E3E22F8-00FB-4A4C-94F9-D5AEE235BCD4}"/>
    <cellStyle name="Normal 4 2 2 3 3 2 3 2 3" xfId="11926" xr:uid="{C2EE7E47-37B7-48D6-A042-B6B1E5DBA303}"/>
    <cellStyle name="Normal 4 2 2 3 3 2 3 3" xfId="5549" xr:uid="{00000000-0005-0000-0000-00004D120000}"/>
    <cellStyle name="Normal 4 2 2 3 3 2 3 3 2" xfId="13999" xr:uid="{3523AD79-3C5E-4463-A4C6-51A374A654A6}"/>
    <cellStyle name="Normal 4 2 2 3 3 2 3 4" xfId="9781" xr:uid="{169AFBA1-3E56-4D55-9BFC-7C92D022C3F5}"/>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D29E122F-82B2-41DE-9F9C-C5790BB3F413}"/>
    <cellStyle name="Normal 4 2 2 3 3 2 4 2 3" xfId="12339" xr:uid="{16AFBAC9-5FB6-41FA-9D21-3B2E472BE72A}"/>
    <cellStyle name="Normal 4 2 2 3 3 2 4 3" xfId="5962" xr:uid="{00000000-0005-0000-0000-000051120000}"/>
    <cellStyle name="Normal 4 2 2 3 3 2 4 3 2" xfId="14412" xr:uid="{D7E5A4F8-C7BB-469C-956E-25888D39DDCC}"/>
    <cellStyle name="Normal 4 2 2 3 3 2 4 4" xfId="10194" xr:uid="{AAE7B493-E06E-4C9E-B73F-176B89E3C73C}"/>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19DE7D73-B12E-4A8D-B1D6-BC3FE0ED0664}"/>
    <cellStyle name="Normal 4 2 2 3 3 2 5 2 3" xfId="12752" xr:uid="{0197C0A3-36EF-4AE5-A377-B87E4C9453B1}"/>
    <cellStyle name="Normal 4 2 2 3 3 2 5 3" xfId="6375" xr:uid="{00000000-0005-0000-0000-000055120000}"/>
    <cellStyle name="Normal 4 2 2 3 3 2 5 3 2" xfId="14825" xr:uid="{77319A16-9CA1-48B8-A6AB-98D03C8F43FF}"/>
    <cellStyle name="Normal 4 2 2 3 3 2 5 4" xfId="10607" xr:uid="{CB6AEE0F-B87C-410B-AE4D-AD08E3F8DCB1}"/>
    <cellStyle name="Normal 4 2 2 3 3 2 6" xfId="2505" xr:uid="{00000000-0005-0000-0000-000056120000}"/>
    <cellStyle name="Normal 4 2 2 3 3 2 6 2" xfId="6788" xr:uid="{00000000-0005-0000-0000-000057120000}"/>
    <cellStyle name="Normal 4 2 2 3 3 2 6 2 2" xfId="15238" xr:uid="{AFCC70A8-7A91-4A36-9A9E-450C365D03BB}"/>
    <cellStyle name="Normal 4 2 2 3 3 2 6 3" xfId="11020" xr:uid="{4983E4A0-A25C-4B74-812D-A0CB2836FE60}"/>
    <cellStyle name="Normal 4 2 2 3 3 2 7" xfId="4723" xr:uid="{00000000-0005-0000-0000-000058120000}"/>
    <cellStyle name="Normal 4 2 2 3 3 2 7 2" xfId="13173" xr:uid="{104ED02B-907F-4009-A267-9AADC401CBEA}"/>
    <cellStyle name="Normal 4 2 2 3 3 2 8" xfId="8955" xr:uid="{C68DA9D9-2F95-44B4-8C0F-29FE38631824}"/>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13F4B5E4-C842-438A-9F5A-33A1D5A96195}"/>
    <cellStyle name="Normal 4 2 2 3 3 3 2 3" xfId="11512" xr:uid="{50B5B077-8B71-4FA7-9DC4-526F8C540016}"/>
    <cellStyle name="Normal 4 2 2 3 3 3 3" xfId="5135" xr:uid="{00000000-0005-0000-0000-00005C120000}"/>
    <cellStyle name="Normal 4 2 2 3 3 3 3 2" xfId="13585" xr:uid="{EEA6F74D-9E25-4F93-8E12-BF57C32FE720}"/>
    <cellStyle name="Normal 4 2 2 3 3 3 4" xfId="9367" xr:uid="{F60BC6CA-8B23-4C1B-BB4E-AE2324707BE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5E73D411-A9B4-4F2E-BD0D-3B050CC6FBBA}"/>
    <cellStyle name="Normal 4 2 2 3 3 4 2 3" xfId="11925" xr:uid="{DB8A525A-5E20-4F5E-8577-DCF3281D9650}"/>
    <cellStyle name="Normal 4 2 2 3 3 4 3" xfId="5548" xr:uid="{00000000-0005-0000-0000-000060120000}"/>
    <cellStyle name="Normal 4 2 2 3 3 4 3 2" xfId="13998" xr:uid="{C6424DEA-4CBA-4FEB-985B-299C222CF25E}"/>
    <cellStyle name="Normal 4 2 2 3 3 4 4" xfId="9780" xr:uid="{124EFB7A-AD46-494C-8FC6-349F95AC0059}"/>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D1044BD7-D0E4-4B5E-9B2E-B3556C293EC7}"/>
    <cellStyle name="Normal 4 2 2 3 3 5 2 3" xfId="12338" xr:uid="{E6298FD4-1D68-48E9-9295-586F7DE4290D}"/>
    <cellStyle name="Normal 4 2 2 3 3 5 3" xfId="5961" xr:uid="{00000000-0005-0000-0000-000064120000}"/>
    <cellStyle name="Normal 4 2 2 3 3 5 3 2" xfId="14411" xr:uid="{13EF9F10-A562-436F-B686-44BB9C55C6AB}"/>
    <cellStyle name="Normal 4 2 2 3 3 5 4" xfId="10193" xr:uid="{D1FE2DAD-6FBA-46CC-A0D1-F47BFD911EA3}"/>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CA972098-3E8E-498C-A81B-9E80218D020A}"/>
    <cellStyle name="Normal 4 2 2 3 3 6 2 3" xfId="12751" xr:uid="{CA5B74C8-E528-4AA5-97CF-36F8F1CEDF3F}"/>
    <cellStyle name="Normal 4 2 2 3 3 6 3" xfId="6374" xr:uid="{00000000-0005-0000-0000-000068120000}"/>
    <cellStyle name="Normal 4 2 2 3 3 6 3 2" xfId="14824" xr:uid="{8B8E2D19-DE58-4AF3-940C-218B68EAEB25}"/>
    <cellStyle name="Normal 4 2 2 3 3 6 4" xfId="10606" xr:uid="{3C1AA65E-BC77-4999-BB7A-485359091EB5}"/>
    <cellStyle name="Normal 4 2 2 3 3 7" xfId="2504" xr:uid="{00000000-0005-0000-0000-000069120000}"/>
    <cellStyle name="Normal 4 2 2 3 3 7 2" xfId="6787" xr:uid="{00000000-0005-0000-0000-00006A120000}"/>
    <cellStyle name="Normal 4 2 2 3 3 7 2 2" xfId="15237" xr:uid="{BC29BD81-604B-4332-9C02-3638F918BB5B}"/>
    <cellStyle name="Normal 4 2 2 3 3 7 3" xfId="11019" xr:uid="{A958F3E0-D8EF-47A0-896B-D662B33DDD40}"/>
    <cellStyle name="Normal 4 2 2 3 3 8" xfId="4722" xr:uid="{00000000-0005-0000-0000-00006B120000}"/>
    <cellStyle name="Normal 4 2 2 3 3 8 2" xfId="13172" xr:uid="{D5054CD1-222A-4728-9650-05FF7ABC86D8}"/>
    <cellStyle name="Normal 4 2 2 3 3 9" xfId="8954" xr:uid="{320FBD22-6BCF-4196-8250-515E4CE98268}"/>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ADD6DD7C-9B90-41C1-A86D-55EFF17D9C91}"/>
    <cellStyle name="Normal 4 2 2 3 4 2 2 3" xfId="11514" xr:uid="{164A5AA7-C90F-4DE8-8481-507058330A5C}"/>
    <cellStyle name="Normal 4 2 2 3 4 2 3" xfId="5137" xr:uid="{00000000-0005-0000-0000-000070120000}"/>
    <cellStyle name="Normal 4 2 2 3 4 2 3 2" xfId="13587" xr:uid="{02E776F2-C527-40BF-A5DB-CE64D59FAF0D}"/>
    <cellStyle name="Normal 4 2 2 3 4 2 4" xfId="9369" xr:uid="{A6264AC7-7841-4FAB-BD19-55416DA7884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F41D01CD-BFE0-4734-AB1A-60EEF423C8AA}"/>
    <cellStyle name="Normal 4 2 2 3 4 3 2 3" xfId="11927" xr:uid="{2B27D446-1689-415A-90D7-F1E02385F7BE}"/>
    <cellStyle name="Normal 4 2 2 3 4 3 3" xfId="5550" xr:uid="{00000000-0005-0000-0000-000074120000}"/>
    <cellStyle name="Normal 4 2 2 3 4 3 3 2" xfId="14000" xr:uid="{672C45BB-E2C1-4F11-8205-273E1991A87B}"/>
    <cellStyle name="Normal 4 2 2 3 4 3 4" xfId="9782" xr:uid="{C6AA1776-FA1B-4B01-99D7-AC6D9ACFDB0A}"/>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E76DEDF7-04D3-491E-94C9-3D58EF3B254C}"/>
    <cellStyle name="Normal 4 2 2 3 4 4 2 3" xfId="12340" xr:uid="{DBC0D49D-EB59-4E95-A6A5-256105377344}"/>
    <cellStyle name="Normal 4 2 2 3 4 4 3" xfId="5963" xr:uid="{00000000-0005-0000-0000-000078120000}"/>
    <cellStyle name="Normal 4 2 2 3 4 4 3 2" xfId="14413" xr:uid="{0E913246-4642-48A6-AAB4-9A9AC4E8F038}"/>
    <cellStyle name="Normal 4 2 2 3 4 4 4" xfId="10195" xr:uid="{E500075F-4F4C-40A0-A035-16679118E122}"/>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61E48941-1DCB-4128-850E-272D04FFD0FB}"/>
    <cellStyle name="Normal 4 2 2 3 4 5 2 3" xfId="12753" xr:uid="{F25FB376-7BA7-4D45-9DAB-690897974FD6}"/>
    <cellStyle name="Normal 4 2 2 3 4 5 3" xfId="6376" xr:uid="{00000000-0005-0000-0000-00007C120000}"/>
    <cellStyle name="Normal 4 2 2 3 4 5 3 2" xfId="14826" xr:uid="{295A3D0D-3BA2-40FC-A911-C2E6016A4DA4}"/>
    <cellStyle name="Normal 4 2 2 3 4 5 4" xfId="10608" xr:uid="{A03BFF13-B198-44FE-A2D2-76B1B2D79531}"/>
    <cellStyle name="Normal 4 2 2 3 4 6" xfId="2506" xr:uid="{00000000-0005-0000-0000-00007D120000}"/>
    <cellStyle name="Normal 4 2 2 3 4 6 2" xfId="6789" xr:uid="{00000000-0005-0000-0000-00007E120000}"/>
    <cellStyle name="Normal 4 2 2 3 4 6 2 2" xfId="15239" xr:uid="{8D662676-BBB2-4239-A4D1-16FB0400B2D6}"/>
    <cellStyle name="Normal 4 2 2 3 4 6 3" xfId="11021" xr:uid="{61FEC10B-E2AB-48C2-9E84-AC29378BF26B}"/>
    <cellStyle name="Normal 4 2 2 3 4 7" xfId="4724" xr:uid="{00000000-0005-0000-0000-00007F120000}"/>
    <cellStyle name="Normal 4 2 2 3 4 7 2" xfId="13174" xr:uid="{CBCB66E8-6324-4E21-94CF-4FCF7B9B8E5B}"/>
    <cellStyle name="Normal 4 2 2 3 4 8" xfId="8956" xr:uid="{CEABB1C8-BA27-4912-B693-4B26686782A1}"/>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A86D561D-8DE4-4D30-80E8-6CE7E1E7AE8B}"/>
    <cellStyle name="Normal 4 2 2 3 5 2 3" xfId="11507" xr:uid="{10A479FA-69A0-429C-8D9D-8ABE87031403}"/>
    <cellStyle name="Normal 4 2 2 3 5 3" xfId="5130" xr:uid="{00000000-0005-0000-0000-000083120000}"/>
    <cellStyle name="Normal 4 2 2 3 5 3 2" xfId="13580" xr:uid="{101F2793-984C-41EC-9566-6FD4EB177F1F}"/>
    <cellStyle name="Normal 4 2 2 3 5 4" xfId="9362" xr:uid="{AFDAFE80-819A-40EE-8522-B47C8025C97B}"/>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26CAADF6-AC4B-44CB-8DE8-CFFCD69F741E}"/>
    <cellStyle name="Normal 4 2 2 3 6 2 3" xfId="11920" xr:uid="{DE9A47BD-36B1-4410-9A1A-DF19526EADBC}"/>
    <cellStyle name="Normal 4 2 2 3 6 3" xfId="5543" xr:uid="{00000000-0005-0000-0000-000087120000}"/>
    <cellStyle name="Normal 4 2 2 3 6 3 2" xfId="13993" xr:uid="{D47B0419-D6B1-481A-BE81-2984A8926440}"/>
    <cellStyle name="Normal 4 2 2 3 6 4" xfId="9775" xr:uid="{CA0381E8-FADE-4E64-8296-8E046BC21C53}"/>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0EC6C02B-A7A3-451C-B5BF-6FA70E14FA84}"/>
    <cellStyle name="Normal 4 2 2 3 7 2 3" xfId="12333" xr:uid="{ECABA9BA-5FB2-455E-9249-E11D8D327DED}"/>
    <cellStyle name="Normal 4 2 2 3 7 3" xfId="5956" xr:uid="{00000000-0005-0000-0000-00008B120000}"/>
    <cellStyle name="Normal 4 2 2 3 7 3 2" xfId="14406" xr:uid="{0687D192-8B0F-43F4-9F83-68C3B23F76FC}"/>
    <cellStyle name="Normal 4 2 2 3 7 4" xfId="10188" xr:uid="{A3AC5DE2-CCB9-4983-A78D-3A7C3F846BC9}"/>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28E61F4A-C214-4087-BEE6-5C4A8FA427D9}"/>
    <cellStyle name="Normal 4 2 2 3 8 2 3" xfId="12746" xr:uid="{81DE6DEB-E2ED-4E1E-9087-46AAC78BEB1D}"/>
    <cellStyle name="Normal 4 2 2 3 8 3" xfId="6369" xr:uid="{00000000-0005-0000-0000-00008F120000}"/>
    <cellStyle name="Normal 4 2 2 3 8 3 2" xfId="14819" xr:uid="{96353BEA-C015-4531-A6FB-D798761FD109}"/>
    <cellStyle name="Normal 4 2 2 3 8 4" xfId="10601" xr:uid="{FCE6D65D-2B67-418C-890B-57B00E0864B1}"/>
    <cellStyle name="Normal 4 2 2 3 9" xfId="2499" xr:uid="{00000000-0005-0000-0000-000090120000}"/>
    <cellStyle name="Normal 4 2 2 3 9 2" xfId="6782" xr:uid="{00000000-0005-0000-0000-000091120000}"/>
    <cellStyle name="Normal 4 2 2 3 9 2 2" xfId="15232" xr:uid="{261F42F8-CD60-4E41-9AC9-48A922A0AB32}"/>
    <cellStyle name="Normal 4 2 2 3 9 3" xfId="11014" xr:uid="{12BE1C96-3B56-49E8-AF9D-66871639B969}"/>
    <cellStyle name="Normal 4 2 2 4" xfId="347" xr:uid="{00000000-0005-0000-0000-000092120000}"/>
    <cellStyle name="Normal 4 2 2 4 10" xfId="8957" xr:uid="{A0A40D1D-6697-4CDE-A2A6-68EFDC8E8D8C}"/>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D70E817F-C718-4E93-9911-86D975FD4AF8}"/>
    <cellStyle name="Normal 4 2 2 4 2 2 2 2 3" xfId="11517" xr:uid="{68276ED6-8B20-4D85-8F19-94E505DA56E6}"/>
    <cellStyle name="Normal 4 2 2 4 2 2 2 3" xfId="5140" xr:uid="{00000000-0005-0000-0000-000098120000}"/>
    <cellStyle name="Normal 4 2 2 4 2 2 2 3 2" xfId="13590" xr:uid="{02941813-0FD3-4C74-A502-635C3DC7ADA5}"/>
    <cellStyle name="Normal 4 2 2 4 2 2 2 4" xfId="9372" xr:uid="{C1F29F00-58F3-4C5B-9DB6-0D6F5D6F90EB}"/>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F720814E-4F60-4F24-A92B-6596AF683C61}"/>
    <cellStyle name="Normal 4 2 2 4 2 2 3 2 3" xfId="11930" xr:uid="{D6C69F0A-6554-4BF6-A656-DB0D95D51E51}"/>
    <cellStyle name="Normal 4 2 2 4 2 2 3 3" xfId="5553" xr:uid="{00000000-0005-0000-0000-00009C120000}"/>
    <cellStyle name="Normal 4 2 2 4 2 2 3 3 2" xfId="14003" xr:uid="{C418DED2-8D11-4B0E-AE03-D5351D3AD4FD}"/>
    <cellStyle name="Normal 4 2 2 4 2 2 3 4" xfId="9785" xr:uid="{BC1849F5-3998-47CC-897B-CB2BA8FB2239}"/>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897F1E59-F3BE-4C0F-B2E2-5505087C5941}"/>
    <cellStyle name="Normal 4 2 2 4 2 2 4 2 3" xfId="12343" xr:uid="{E5B9DDA9-2AF4-48FF-A704-1945720C54C7}"/>
    <cellStyle name="Normal 4 2 2 4 2 2 4 3" xfId="5966" xr:uid="{00000000-0005-0000-0000-0000A0120000}"/>
    <cellStyle name="Normal 4 2 2 4 2 2 4 3 2" xfId="14416" xr:uid="{DA99D203-A4B6-4B73-A7D1-75D4F207BF90}"/>
    <cellStyle name="Normal 4 2 2 4 2 2 4 4" xfId="10198" xr:uid="{7615759E-AEEF-44C4-ABBE-0FD530687C46}"/>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F4239F7F-3C92-43BD-93DE-2F8B8F541E05}"/>
    <cellStyle name="Normal 4 2 2 4 2 2 5 2 3" xfId="12756" xr:uid="{DA3B0316-6306-4DD8-85F5-48168230D415}"/>
    <cellStyle name="Normal 4 2 2 4 2 2 5 3" xfId="6379" xr:uid="{00000000-0005-0000-0000-0000A4120000}"/>
    <cellStyle name="Normal 4 2 2 4 2 2 5 3 2" xfId="14829" xr:uid="{44A57099-2908-4320-ABE9-903ECD889CCF}"/>
    <cellStyle name="Normal 4 2 2 4 2 2 5 4" xfId="10611" xr:uid="{90293B2C-FCBE-4D68-B0AA-832A96DE0FEA}"/>
    <cellStyle name="Normal 4 2 2 4 2 2 6" xfId="2509" xr:uid="{00000000-0005-0000-0000-0000A5120000}"/>
    <cellStyle name="Normal 4 2 2 4 2 2 6 2" xfId="6792" xr:uid="{00000000-0005-0000-0000-0000A6120000}"/>
    <cellStyle name="Normal 4 2 2 4 2 2 6 2 2" xfId="15242" xr:uid="{F19D0C71-6FD4-44E0-91F6-2A4872FCD87E}"/>
    <cellStyle name="Normal 4 2 2 4 2 2 6 3" xfId="11024" xr:uid="{07A3FFDF-9247-40B9-B7A0-FC0ADC8D0171}"/>
    <cellStyle name="Normal 4 2 2 4 2 2 7" xfId="4727" xr:uid="{00000000-0005-0000-0000-0000A7120000}"/>
    <cellStyle name="Normal 4 2 2 4 2 2 7 2" xfId="13177" xr:uid="{B27F8FFA-EBD5-4FAC-A758-219126BF8F37}"/>
    <cellStyle name="Normal 4 2 2 4 2 2 8" xfId="8959" xr:uid="{7E059455-5E8D-4C6D-8839-4BAC257D2B16}"/>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F08F6A0D-2BD1-4F53-8530-6336CF767855}"/>
    <cellStyle name="Normal 4 2 2 4 2 3 2 3" xfId="11516" xr:uid="{BDDEBA3E-6945-4F83-A9E3-5A065070C6CF}"/>
    <cellStyle name="Normal 4 2 2 4 2 3 3" xfId="5139" xr:uid="{00000000-0005-0000-0000-0000AB120000}"/>
    <cellStyle name="Normal 4 2 2 4 2 3 3 2" xfId="13589" xr:uid="{23299797-718C-413C-81CF-3E9B281350F5}"/>
    <cellStyle name="Normal 4 2 2 4 2 3 4" xfId="9371" xr:uid="{21EF158C-EA72-487E-84AA-7A2DC9AF6E94}"/>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F58D5551-4B0C-4256-9D5B-59735D710F17}"/>
    <cellStyle name="Normal 4 2 2 4 2 4 2 3" xfId="11929" xr:uid="{E49F4F65-035E-420A-9175-A68F10828C4F}"/>
    <cellStyle name="Normal 4 2 2 4 2 4 3" xfId="5552" xr:uid="{00000000-0005-0000-0000-0000AF120000}"/>
    <cellStyle name="Normal 4 2 2 4 2 4 3 2" xfId="14002" xr:uid="{63183208-9A4C-44CA-9E27-28CABEB4274F}"/>
    <cellStyle name="Normal 4 2 2 4 2 4 4" xfId="9784" xr:uid="{A69D44CE-0668-4154-959B-487DE6FCC2C1}"/>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C276B266-85CF-44EF-8AB6-982F651EB8EE}"/>
    <cellStyle name="Normal 4 2 2 4 2 5 2 3" xfId="12342" xr:uid="{34FDF50E-9635-41B7-950D-DD48ADD59EAE}"/>
    <cellStyle name="Normal 4 2 2 4 2 5 3" xfId="5965" xr:uid="{00000000-0005-0000-0000-0000B3120000}"/>
    <cellStyle name="Normal 4 2 2 4 2 5 3 2" xfId="14415" xr:uid="{BE379C5E-9FD8-4567-A96A-7D43EB4629AA}"/>
    <cellStyle name="Normal 4 2 2 4 2 5 4" xfId="10197" xr:uid="{8CEE6198-4D19-4670-B671-6683B45A1DEE}"/>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528B00EF-1CAA-4BEA-8D5E-59C6FAE0A94B}"/>
    <cellStyle name="Normal 4 2 2 4 2 6 2 3" xfId="12755" xr:uid="{F16BE8CB-BB5A-4E5D-AF9A-CAC28661A528}"/>
    <cellStyle name="Normal 4 2 2 4 2 6 3" xfId="6378" xr:uid="{00000000-0005-0000-0000-0000B7120000}"/>
    <cellStyle name="Normal 4 2 2 4 2 6 3 2" xfId="14828" xr:uid="{F77AA19F-0B6B-4C2E-BA19-F68706CAACF9}"/>
    <cellStyle name="Normal 4 2 2 4 2 6 4" xfId="10610" xr:uid="{8D5D4432-BB8A-4C98-95C5-9DE059D450D6}"/>
    <cellStyle name="Normal 4 2 2 4 2 7" xfId="2508" xr:uid="{00000000-0005-0000-0000-0000B8120000}"/>
    <cellStyle name="Normal 4 2 2 4 2 7 2" xfId="6791" xr:uid="{00000000-0005-0000-0000-0000B9120000}"/>
    <cellStyle name="Normal 4 2 2 4 2 7 2 2" xfId="15241" xr:uid="{21AC1C25-DFA8-41E1-9A0F-A74C167F4212}"/>
    <cellStyle name="Normal 4 2 2 4 2 7 3" xfId="11023" xr:uid="{21FEF38D-A0F6-48E6-9204-DE10B5931522}"/>
    <cellStyle name="Normal 4 2 2 4 2 8" xfId="4726" xr:uid="{00000000-0005-0000-0000-0000BA120000}"/>
    <cellStyle name="Normal 4 2 2 4 2 8 2" xfId="13176" xr:uid="{409BF4A2-CACA-4C14-8716-095E206C6F5D}"/>
    <cellStyle name="Normal 4 2 2 4 2 9" xfId="8958" xr:uid="{DF765627-1F31-44EF-AFB3-1FEF72331ABA}"/>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14B256C4-4F8A-4B1E-BA0E-1C5D28659CC4}"/>
    <cellStyle name="Normal 4 2 2 4 3 2 2 3" xfId="11518" xr:uid="{A18E816E-E2F9-4404-8819-139901BCCBD8}"/>
    <cellStyle name="Normal 4 2 2 4 3 2 3" xfId="5141" xr:uid="{00000000-0005-0000-0000-0000BF120000}"/>
    <cellStyle name="Normal 4 2 2 4 3 2 3 2" xfId="13591" xr:uid="{8B7D74BD-6EDC-4995-B74E-C319615D24E3}"/>
    <cellStyle name="Normal 4 2 2 4 3 2 4" xfId="9373" xr:uid="{4D1452B1-A30F-4F70-BC51-6F9C16EF2AA6}"/>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B5561E22-6C89-4070-A4D8-3B6C665D40AB}"/>
    <cellStyle name="Normal 4 2 2 4 3 3 2 3" xfId="11931" xr:uid="{103FED37-7D36-408E-B1D5-FDAEC7D65E04}"/>
    <cellStyle name="Normal 4 2 2 4 3 3 3" xfId="5554" xr:uid="{00000000-0005-0000-0000-0000C3120000}"/>
    <cellStyle name="Normal 4 2 2 4 3 3 3 2" xfId="14004" xr:uid="{331E43AD-EE50-4B11-A3DE-76996FF653F6}"/>
    <cellStyle name="Normal 4 2 2 4 3 3 4" xfId="9786" xr:uid="{0BFE984E-837E-4B23-9343-795BCDC100C6}"/>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6F6E3FF3-96F3-422A-B45E-60C741B5B400}"/>
    <cellStyle name="Normal 4 2 2 4 3 4 2 3" xfId="12344" xr:uid="{E3DFCD3E-0140-4025-BC57-2B19FDDBA785}"/>
    <cellStyle name="Normal 4 2 2 4 3 4 3" xfId="5967" xr:uid="{00000000-0005-0000-0000-0000C7120000}"/>
    <cellStyle name="Normal 4 2 2 4 3 4 3 2" xfId="14417" xr:uid="{0FE25F9B-B248-43EC-BA8F-C8976725BB11}"/>
    <cellStyle name="Normal 4 2 2 4 3 4 4" xfId="10199" xr:uid="{B966C6C4-932C-4A3D-8E18-8C5A9876292A}"/>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06FB18B7-5A6D-4454-B354-0F599328EA1D}"/>
    <cellStyle name="Normal 4 2 2 4 3 5 2 3" xfId="12757" xr:uid="{3E3E7662-4F0C-429C-B6AC-DC9ED12C51BC}"/>
    <cellStyle name="Normal 4 2 2 4 3 5 3" xfId="6380" xr:uid="{00000000-0005-0000-0000-0000CB120000}"/>
    <cellStyle name="Normal 4 2 2 4 3 5 3 2" xfId="14830" xr:uid="{0B581F4F-22AA-4457-8070-ADD5842170DB}"/>
    <cellStyle name="Normal 4 2 2 4 3 5 4" xfId="10612" xr:uid="{2A3687E5-79ED-4AB7-A4B0-8BB06F83F8C4}"/>
    <cellStyle name="Normal 4 2 2 4 3 6" xfId="2510" xr:uid="{00000000-0005-0000-0000-0000CC120000}"/>
    <cellStyle name="Normal 4 2 2 4 3 6 2" xfId="6793" xr:uid="{00000000-0005-0000-0000-0000CD120000}"/>
    <cellStyle name="Normal 4 2 2 4 3 6 2 2" xfId="15243" xr:uid="{57F7D3DC-7060-49A6-AA37-F1BA4A09605C}"/>
    <cellStyle name="Normal 4 2 2 4 3 6 3" xfId="11025" xr:uid="{54E6F665-8DAC-4626-8076-31022C4293E2}"/>
    <cellStyle name="Normal 4 2 2 4 3 7" xfId="4728" xr:uid="{00000000-0005-0000-0000-0000CE120000}"/>
    <cellStyle name="Normal 4 2 2 4 3 7 2" xfId="13178" xr:uid="{B50ECF13-3E8D-4366-B0E3-A0BA7FE9EC51}"/>
    <cellStyle name="Normal 4 2 2 4 3 8" xfId="8960" xr:uid="{6588B7A0-6EC0-4CB9-8B9C-CE4E86A3B3AC}"/>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57524104-CC00-4651-866E-DFD26E775242}"/>
    <cellStyle name="Normal 4 2 2 4 4 2 3" xfId="11515" xr:uid="{0ED1A52A-C33B-4D2F-B5F4-D5942078F57D}"/>
    <cellStyle name="Normal 4 2 2 4 4 3" xfId="5138" xr:uid="{00000000-0005-0000-0000-0000D2120000}"/>
    <cellStyle name="Normal 4 2 2 4 4 3 2" xfId="13588" xr:uid="{EC23CDE3-6D93-4F56-9187-9B41E3A84F0F}"/>
    <cellStyle name="Normal 4 2 2 4 4 4" xfId="9370" xr:uid="{18F6171A-43C9-4632-AA11-4BFB1890B2C6}"/>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15CF49BE-DB6F-4A25-9FB2-57A5A7234D20}"/>
    <cellStyle name="Normal 4 2 2 4 5 2 3" xfId="11928" xr:uid="{F63FCE66-E02E-4D26-AFCE-D2F4BF95716C}"/>
    <cellStyle name="Normal 4 2 2 4 5 3" xfId="5551" xr:uid="{00000000-0005-0000-0000-0000D6120000}"/>
    <cellStyle name="Normal 4 2 2 4 5 3 2" xfId="14001" xr:uid="{7DCACDF4-B655-425E-8EAB-D792AC9EF5D1}"/>
    <cellStyle name="Normal 4 2 2 4 5 4" xfId="9783" xr:uid="{1FA5419A-2EF2-4B55-AD0D-AC53D6DA4B70}"/>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833A4F6D-1DD4-41FA-A7E3-1B3BDD938965}"/>
    <cellStyle name="Normal 4 2 2 4 6 2 3" xfId="12341" xr:uid="{B9CF81BE-2263-4A9A-89FF-049E04ADE39C}"/>
    <cellStyle name="Normal 4 2 2 4 6 3" xfId="5964" xr:uid="{00000000-0005-0000-0000-0000DA120000}"/>
    <cellStyle name="Normal 4 2 2 4 6 3 2" xfId="14414" xr:uid="{74A9F596-4606-47A6-A352-BCE8C0FA9C32}"/>
    <cellStyle name="Normal 4 2 2 4 6 4" xfId="10196" xr:uid="{62879B3C-45B1-48C3-B929-3975D19335C2}"/>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8A39017F-23FA-4FC3-9A13-9F31E638FDFE}"/>
    <cellStyle name="Normal 4 2 2 4 7 2 3" xfId="12754" xr:uid="{8075BDDC-7D7B-4307-80DA-A573D91E1D29}"/>
    <cellStyle name="Normal 4 2 2 4 7 3" xfId="6377" xr:uid="{00000000-0005-0000-0000-0000DE120000}"/>
    <cellStyle name="Normal 4 2 2 4 7 3 2" xfId="14827" xr:uid="{60F7E35E-B19E-46AA-B8C5-A365A9A9AD72}"/>
    <cellStyle name="Normal 4 2 2 4 7 4" xfId="10609" xr:uid="{59D711FD-7D79-4054-BE98-0F0032BCE28E}"/>
    <cellStyle name="Normal 4 2 2 4 8" xfId="2507" xr:uid="{00000000-0005-0000-0000-0000DF120000}"/>
    <cellStyle name="Normal 4 2 2 4 8 2" xfId="6790" xr:uid="{00000000-0005-0000-0000-0000E0120000}"/>
    <cellStyle name="Normal 4 2 2 4 8 2 2" xfId="15240" xr:uid="{1821C8B1-7AA2-4F2D-8F1D-7D96E5C43572}"/>
    <cellStyle name="Normal 4 2 2 4 8 3" xfId="11022" xr:uid="{09274BF4-9E1C-4D66-910D-87E2F9A2AF5F}"/>
    <cellStyle name="Normal 4 2 2 4 9" xfId="4725" xr:uid="{00000000-0005-0000-0000-0000E1120000}"/>
    <cellStyle name="Normal 4 2 2 4 9 2" xfId="13175" xr:uid="{D0CFA621-BD2D-4DF7-BE79-B4A9F7EA4C67}"/>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87AA595A-C76F-41E2-9D6B-58646A30B20B}"/>
    <cellStyle name="Normal 4 2 2 5 2 2 2 3" xfId="11520" xr:uid="{BFC1F359-08C7-475C-9EC7-943EFB125606}"/>
    <cellStyle name="Normal 4 2 2 5 2 2 3" xfId="5143" xr:uid="{00000000-0005-0000-0000-0000E7120000}"/>
    <cellStyle name="Normal 4 2 2 5 2 2 3 2" xfId="13593" xr:uid="{AE1B730C-96EF-4D4B-B9B2-D6AE2536BEB1}"/>
    <cellStyle name="Normal 4 2 2 5 2 2 4" xfId="9375" xr:uid="{4F2CA734-E2C7-42B1-A396-3950B4CB051D}"/>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6ACEA7B3-EFC6-4A88-B342-1553378B9220}"/>
    <cellStyle name="Normal 4 2 2 5 2 3 2 3" xfId="11933" xr:uid="{E029BFA4-BB78-4F9B-AB21-2C89DC182EB6}"/>
    <cellStyle name="Normal 4 2 2 5 2 3 3" xfId="5556" xr:uid="{00000000-0005-0000-0000-0000EB120000}"/>
    <cellStyle name="Normal 4 2 2 5 2 3 3 2" xfId="14006" xr:uid="{71D9266D-54BD-465F-AFD4-7754D4E82CC7}"/>
    <cellStyle name="Normal 4 2 2 5 2 3 4" xfId="9788" xr:uid="{A3DF424E-27F0-482C-AECE-F8395CF796E9}"/>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30FB1B4E-0D0E-4828-8C08-66CA23D6EA04}"/>
    <cellStyle name="Normal 4 2 2 5 2 4 2 3" xfId="12346" xr:uid="{E8FC0E09-19A3-4BC5-B637-48ECEB5D3860}"/>
    <cellStyle name="Normal 4 2 2 5 2 4 3" xfId="5969" xr:uid="{00000000-0005-0000-0000-0000EF120000}"/>
    <cellStyle name="Normal 4 2 2 5 2 4 3 2" xfId="14419" xr:uid="{0CE373F0-2B05-4F64-8674-831CBC53E114}"/>
    <cellStyle name="Normal 4 2 2 5 2 4 4" xfId="10201" xr:uid="{65F1C5A7-F62A-4600-8D53-CABFDAB388D9}"/>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CC8606FC-D175-4FF1-A767-0F643665F80F}"/>
    <cellStyle name="Normal 4 2 2 5 2 5 2 3" xfId="12759" xr:uid="{E2421660-4F94-41A2-ACE9-B7D7B1E97F16}"/>
    <cellStyle name="Normal 4 2 2 5 2 5 3" xfId="6382" xr:uid="{00000000-0005-0000-0000-0000F3120000}"/>
    <cellStyle name="Normal 4 2 2 5 2 5 3 2" xfId="14832" xr:uid="{43365670-1A73-4FD5-9B11-33CE112C5AC6}"/>
    <cellStyle name="Normal 4 2 2 5 2 5 4" xfId="10614" xr:uid="{7412DD45-260B-4B09-B35C-6E1307B0AAAD}"/>
    <cellStyle name="Normal 4 2 2 5 2 6" xfId="2512" xr:uid="{00000000-0005-0000-0000-0000F4120000}"/>
    <cellStyle name="Normal 4 2 2 5 2 6 2" xfId="6795" xr:uid="{00000000-0005-0000-0000-0000F5120000}"/>
    <cellStyle name="Normal 4 2 2 5 2 6 2 2" xfId="15245" xr:uid="{DB99E6CB-24F5-45B3-A399-4862CCE2EA4E}"/>
    <cellStyle name="Normal 4 2 2 5 2 6 3" xfId="11027" xr:uid="{B67ECEB0-FA7A-4997-8FF1-2FADB1BC60B6}"/>
    <cellStyle name="Normal 4 2 2 5 2 7" xfId="4730" xr:uid="{00000000-0005-0000-0000-0000F6120000}"/>
    <cellStyle name="Normal 4 2 2 5 2 7 2" xfId="13180" xr:uid="{C819CDC1-1222-4712-8AD3-88D3E852A0BD}"/>
    <cellStyle name="Normal 4 2 2 5 2 8" xfId="8962" xr:uid="{6E9270E8-0F4F-4193-88B4-340D7C243FD9}"/>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579E90B5-6F6E-474E-9539-A00E486191FD}"/>
    <cellStyle name="Normal 4 2 2 5 3 2 3" xfId="11519" xr:uid="{150BE9C0-E27E-457D-9331-E16CB5035EB7}"/>
    <cellStyle name="Normal 4 2 2 5 3 3" xfId="5142" xr:uid="{00000000-0005-0000-0000-0000FA120000}"/>
    <cellStyle name="Normal 4 2 2 5 3 3 2" xfId="13592" xr:uid="{9538CAA8-B775-4842-984A-C6D00FE6310D}"/>
    <cellStyle name="Normal 4 2 2 5 3 4" xfId="9374" xr:uid="{A66A270C-74C7-40B0-B277-D18590E6B280}"/>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6D172311-D5F2-4C3B-94ED-54E326B0C841}"/>
    <cellStyle name="Normal 4 2 2 5 4 2 3" xfId="11932" xr:uid="{5CF3BB16-8A75-4E6B-AFA6-C122EAD58FF2}"/>
    <cellStyle name="Normal 4 2 2 5 4 3" xfId="5555" xr:uid="{00000000-0005-0000-0000-0000FE120000}"/>
    <cellStyle name="Normal 4 2 2 5 4 3 2" xfId="14005" xr:uid="{BD67DD05-F207-407E-86C3-2F9BD293AFAF}"/>
    <cellStyle name="Normal 4 2 2 5 4 4" xfId="9787" xr:uid="{C63784D4-9070-4EA7-A49C-3A5C2F1E07C4}"/>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B771CD1C-26F6-45AD-8754-48B4B5BF839D}"/>
    <cellStyle name="Normal 4 2 2 5 5 2 3" xfId="12345" xr:uid="{94AF0C0E-7EE3-4409-9DF6-0886720A2080}"/>
    <cellStyle name="Normal 4 2 2 5 5 3" xfId="5968" xr:uid="{00000000-0005-0000-0000-000002130000}"/>
    <cellStyle name="Normal 4 2 2 5 5 3 2" xfId="14418" xr:uid="{92B681BC-7392-40D4-8685-1BF70891F891}"/>
    <cellStyle name="Normal 4 2 2 5 5 4" xfId="10200" xr:uid="{66C5912A-061F-4994-A4CC-702DC0A6F940}"/>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0C401C98-ADEE-4134-9D3A-92C22BD5F432}"/>
    <cellStyle name="Normal 4 2 2 5 6 2 3" xfId="12758" xr:uid="{C45C1F2F-EA2E-4787-82AE-6B43D2791975}"/>
    <cellStyle name="Normal 4 2 2 5 6 3" xfId="6381" xr:uid="{00000000-0005-0000-0000-000006130000}"/>
    <cellStyle name="Normal 4 2 2 5 6 3 2" xfId="14831" xr:uid="{49BD9003-DD05-4A96-96F6-4956B88A56A7}"/>
    <cellStyle name="Normal 4 2 2 5 6 4" xfId="10613" xr:uid="{B6136977-35EA-482A-AB1C-3A26DCE73D91}"/>
    <cellStyle name="Normal 4 2 2 5 7" xfId="2511" xr:uid="{00000000-0005-0000-0000-000007130000}"/>
    <cellStyle name="Normal 4 2 2 5 7 2" xfId="6794" xr:uid="{00000000-0005-0000-0000-000008130000}"/>
    <cellStyle name="Normal 4 2 2 5 7 2 2" xfId="15244" xr:uid="{9D6A9DDB-8A76-4323-A27D-E0997AEDE03A}"/>
    <cellStyle name="Normal 4 2 2 5 7 3" xfId="11026" xr:uid="{0B237711-3671-43DA-8049-618FDAADAB75}"/>
    <cellStyle name="Normal 4 2 2 5 8" xfId="4729" xr:uid="{00000000-0005-0000-0000-000009130000}"/>
    <cellStyle name="Normal 4 2 2 5 8 2" xfId="13179" xr:uid="{7A1162EA-F8F8-4ACC-940A-B319D7FE4AB9}"/>
    <cellStyle name="Normal 4 2 2 5 9" xfId="8961" xr:uid="{57B16734-8393-43DB-B2D2-E97DCAED1D87}"/>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9CA7CAD2-1E62-40B5-9213-CEEEA71648C1}"/>
    <cellStyle name="Normal 4 2 2 6 2 2 3" xfId="11521" xr:uid="{11737014-2A07-4B50-B57B-50F0E7E5048F}"/>
    <cellStyle name="Normal 4 2 2 6 2 3" xfId="5144" xr:uid="{00000000-0005-0000-0000-00000E130000}"/>
    <cellStyle name="Normal 4 2 2 6 2 3 2" xfId="13594" xr:uid="{A699EC97-4951-4CA4-B20A-75239B487C90}"/>
    <cellStyle name="Normal 4 2 2 6 2 4" xfId="9376" xr:uid="{9919D7C6-F4B7-4359-BCE2-EE725A65C7FD}"/>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A7ACD470-B35D-430B-BC9D-152DDA3143D3}"/>
    <cellStyle name="Normal 4 2 2 6 3 2 3" xfId="11934" xr:uid="{0B032E66-7190-4878-A8E4-321BB662A9DC}"/>
    <cellStyle name="Normal 4 2 2 6 3 3" xfId="5557" xr:uid="{00000000-0005-0000-0000-000012130000}"/>
    <cellStyle name="Normal 4 2 2 6 3 3 2" xfId="14007" xr:uid="{EC9413DF-A027-4B24-B0DC-DDF712D1B63A}"/>
    <cellStyle name="Normal 4 2 2 6 3 4" xfId="9789" xr:uid="{EE05C7DB-7F05-480A-AF3A-85D7693BE8A6}"/>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18BA4868-87AA-4FF3-9836-F3D4090DBE4B}"/>
    <cellStyle name="Normal 4 2 2 6 4 2 3" xfId="12347" xr:uid="{4BC4B4C2-35C0-4BE4-AEB3-5EAA61E13785}"/>
    <cellStyle name="Normal 4 2 2 6 4 3" xfId="5970" xr:uid="{00000000-0005-0000-0000-000016130000}"/>
    <cellStyle name="Normal 4 2 2 6 4 3 2" xfId="14420" xr:uid="{60209185-04BC-4099-94DD-51FE29AA9C74}"/>
    <cellStyle name="Normal 4 2 2 6 4 4" xfId="10202" xr:uid="{1AE1BE2D-9550-41F2-AFFE-795FF5F5E70E}"/>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49DBCDAD-EE9F-4C2E-9402-536B9D6A65CA}"/>
    <cellStyle name="Normal 4 2 2 6 5 2 3" xfId="12760" xr:uid="{2368FE35-2EEB-4986-95B8-00861D97CA29}"/>
    <cellStyle name="Normal 4 2 2 6 5 3" xfId="6383" xr:uid="{00000000-0005-0000-0000-00001A130000}"/>
    <cellStyle name="Normal 4 2 2 6 5 3 2" xfId="14833" xr:uid="{D429041A-37B6-4E63-B728-A21025FF21D9}"/>
    <cellStyle name="Normal 4 2 2 6 5 4" xfId="10615" xr:uid="{D70BB57B-C326-4CE3-9D56-BBEB6E186250}"/>
    <cellStyle name="Normal 4 2 2 6 6" xfId="2513" xr:uid="{00000000-0005-0000-0000-00001B130000}"/>
    <cellStyle name="Normal 4 2 2 6 6 2" xfId="6796" xr:uid="{00000000-0005-0000-0000-00001C130000}"/>
    <cellStyle name="Normal 4 2 2 6 6 2 2" xfId="15246" xr:uid="{E9981359-B27A-4F4B-B2F8-519FA4A284B0}"/>
    <cellStyle name="Normal 4 2 2 6 6 3" xfId="11028" xr:uid="{0C87FFB5-D37B-4D3A-999B-449912E6941C}"/>
    <cellStyle name="Normal 4 2 2 6 7" xfId="4731" xr:uid="{00000000-0005-0000-0000-00001D130000}"/>
    <cellStyle name="Normal 4 2 2 6 7 2" xfId="13181" xr:uid="{F5E9A8DC-E3BE-441D-8D0E-FE095F7A6D52}"/>
    <cellStyle name="Normal 4 2 2 6 8" xfId="8963" xr:uid="{A8F2CB2C-33AE-46D8-A104-4B1A5C072A97}"/>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CD628980-51E3-44BE-A525-FB9947EE5E9C}"/>
    <cellStyle name="Normal 4 2 2 7 2 3" xfId="11506" xr:uid="{268BFF08-A1D5-4497-805A-84000B81622F}"/>
    <cellStyle name="Normal 4 2 2 7 3" xfId="5129" xr:uid="{00000000-0005-0000-0000-000021130000}"/>
    <cellStyle name="Normal 4 2 2 7 3 2" xfId="13579" xr:uid="{01B54D49-05BB-4205-944B-B4012AC61B1E}"/>
    <cellStyle name="Normal 4 2 2 7 4" xfId="9361" xr:uid="{0EEA0F3B-8D4F-41C6-B709-3AF92620FBF1}"/>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1817DBE5-8BEC-47F8-AF6D-AB92E795C85B}"/>
    <cellStyle name="Normal 4 2 2 8 2 3" xfId="11919" xr:uid="{59292D3A-BC79-4641-BBA4-77250247EE1E}"/>
    <cellStyle name="Normal 4 2 2 8 3" xfId="5542" xr:uid="{00000000-0005-0000-0000-000025130000}"/>
    <cellStyle name="Normal 4 2 2 8 3 2" xfId="13992" xr:uid="{48FD7BAB-335E-46E4-95DA-5FFCE4DC57D3}"/>
    <cellStyle name="Normal 4 2 2 8 4" xfId="9774" xr:uid="{A736A1AA-D173-44A2-B2B2-F63B8B045F03}"/>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0E7E0527-CCE9-43B5-89C8-2A2D584EB59D}"/>
    <cellStyle name="Normal 4 2 2 9 2 3" xfId="12332" xr:uid="{333FDE36-8124-4A4F-9660-F951C1E10AE6}"/>
    <cellStyle name="Normal 4 2 2 9 3" xfId="5955" xr:uid="{00000000-0005-0000-0000-000029130000}"/>
    <cellStyle name="Normal 4 2 2 9 3 2" xfId="14405" xr:uid="{63A62685-6187-4757-A7D8-4BF0F37D2688}"/>
    <cellStyle name="Normal 4 2 2 9 4" xfId="10187" xr:uid="{BBB828FD-E799-4C5D-8ADB-D929D5112234}"/>
    <cellStyle name="Normal 4 2 3" xfId="354" xr:uid="{00000000-0005-0000-0000-00002A130000}"/>
    <cellStyle name="Normal 4 2 4" xfId="355" xr:uid="{00000000-0005-0000-0000-00002B130000}"/>
    <cellStyle name="Normal 4 2 4 10" xfId="4732" xr:uid="{00000000-0005-0000-0000-00002C130000}"/>
    <cellStyle name="Normal 4 2 4 10 2" xfId="13182" xr:uid="{3D8287B0-478C-48F4-969E-152C1D45CA31}"/>
    <cellStyle name="Normal 4 2 4 11" xfId="8964" xr:uid="{DBFA071A-68EC-4472-BD83-BC591FA47413}"/>
    <cellStyle name="Normal 4 2 4 2" xfId="356" xr:uid="{00000000-0005-0000-0000-00002D130000}"/>
    <cellStyle name="Normal 4 2 4 2 10" xfId="8965" xr:uid="{5863614A-78F5-4216-A426-E5E402C9A278}"/>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2816164D-80E6-40E9-B208-8E721DDCA3E5}"/>
    <cellStyle name="Normal 4 2 4 2 2 2 2 2 3" xfId="11525" xr:uid="{9CF93DEB-E71E-4DF0-B8A7-FF3E7C0887EC}"/>
    <cellStyle name="Normal 4 2 4 2 2 2 2 3" xfId="5148" xr:uid="{00000000-0005-0000-0000-000033130000}"/>
    <cellStyle name="Normal 4 2 4 2 2 2 2 3 2" xfId="13598" xr:uid="{5F28C36B-872A-437D-A1C5-27F4B06E0601}"/>
    <cellStyle name="Normal 4 2 4 2 2 2 2 4" xfId="9380" xr:uid="{DE06A373-C17C-448C-B8EF-2F9407F10393}"/>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6975A712-65C5-45F0-880D-979C618F8536}"/>
    <cellStyle name="Normal 4 2 4 2 2 2 3 2 3" xfId="11938" xr:uid="{FDB4D1E9-33B1-4526-8D8F-EEB7FD0E63F2}"/>
    <cellStyle name="Normal 4 2 4 2 2 2 3 3" xfId="5561" xr:uid="{00000000-0005-0000-0000-000037130000}"/>
    <cellStyle name="Normal 4 2 4 2 2 2 3 3 2" xfId="14011" xr:uid="{693CCC1B-E196-4C4A-972B-7A90B3B2C131}"/>
    <cellStyle name="Normal 4 2 4 2 2 2 3 4" xfId="9793" xr:uid="{47E0042D-41F3-4483-957C-45607B221C2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4F423E48-514C-4E11-85DD-9F6E1083014F}"/>
    <cellStyle name="Normal 4 2 4 2 2 2 4 2 3" xfId="12351" xr:uid="{C58AB2C0-A0AB-476A-88E5-52B2AE31B983}"/>
    <cellStyle name="Normal 4 2 4 2 2 2 4 3" xfId="5974" xr:uid="{00000000-0005-0000-0000-00003B130000}"/>
    <cellStyle name="Normal 4 2 4 2 2 2 4 3 2" xfId="14424" xr:uid="{BBC5F94F-971E-49B3-A2E4-D6F9A46B0698}"/>
    <cellStyle name="Normal 4 2 4 2 2 2 4 4" xfId="10206" xr:uid="{513894A6-39B1-4A44-AFEC-B71D299D2F8E}"/>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1815D7BA-FFFC-41D7-8BBE-9E82EB60DF1E}"/>
    <cellStyle name="Normal 4 2 4 2 2 2 5 2 3" xfId="12764" xr:uid="{62A37CD4-CA14-488C-95F1-72980D0AE034}"/>
    <cellStyle name="Normal 4 2 4 2 2 2 5 3" xfId="6387" xr:uid="{00000000-0005-0000-0000-00003F130000}"/>
    <cellStyle name="Normal 4 2 4 2 2 2 5 3 2" xfId="14837" xr:uid="{35CD4A80-BEFA-4EC2-973B-FEE3D6F94413}"/>
    <cellStyle name="Normal 4 2 4 2 2 2 5 4" xfId="10619" xr:uid="{13580490-A6D3-48AB-846C-7F77ADA6C3A3}"/>
    <cellStyle name="Normal 4 2 4 2 2 2 6" xfId="2517" xr:uid="{00000000-0005-0000-0000-000040130000}"/>
    <cellStyle name="Normal 4 2 4 2 2 2 6 2" xfId="6800" xr:uid="{00000000-0005-0000-0000-000041130000}"/>
    <cellStyle name="Normal 4 2 4 2 2 2 6 2 2" xfId="15250" xr:uid="{97BBF24E-185A-4CD2-B279-36C8DBD1874E}"/>
    <cellStyle name="Normal 4 2 4 2 2 2 6 3" xfId="11032" xr:uid="{46898267-C2AE-4E74-A44E-B4D5185D3AAE}"/>
    <cellStyle name="Normal 4 2 4 2 2 2 7" xfId="4735" xr:uid="{00000000-0005-0000-0000-000042130000}"/>
    <cellStyle name="Normal 4 2 4 2 2 2 7 2" xfId="13185" xr:uid="{1B166FBE-B923-46DD-A5B7-C972979C1470}"/>
    <cellStyle name="Normal 4 2 4 2 2 2 8" xfId="8967" xr:uid="{8057D722-0AD4-4546-AD0D-1450BD35631D}"/>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41720AB4-BA6E-475D-9A89-B45500D59815}"/>
    <cellStyle name="Normal 4 2 4 2 2 3 2 3" xfId="11524" xr:uid="{776A2B8A-DA3D-459B-AE5C-1F12BAAF235D}"/>
    <cellStyle name="Normal 4 2 4 2 2 3 3" xfId="5147" xr:uid="{00000000-0005-0000-0000-000046130000}"/>
    <cellStyle name="Normal 4 2 4 2 2 3 3 2" xfId="13597" xr:uid="{0EE1B871-473B-4458-A417-AE15910B85A5}"/>
    <cellStyle name="Normal 4 2 4 2 2 3 4" xfId="9379" xr:uid="{E6B0E865-B029-4534-882F-FD574BE719CA}"/>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20B7F7E5-0408-4534-A531-FDE3B26328F0}"/>
    <cellStyle name="Normal 4 2 4 2 2 4 2 3" xfId="11937" xr:uid="{80E52228-5A8E-4274-9D13-D7D5481EE856}"/>
    <cellStyle name="Normal 4 2 4 2 2 4 3" xfId="5560" xr:uid="{00000000-0005-0000-0000-00004A130000}"/>
    <cellStyle name="Normal 4 2 4 2 2 4 3 2" xfId="14010" xr:uid="{03E92419-F731-4ED5-9FFC-D65F77B1A0FC}"/>
    <cellStyle name="Normal 4 2 4 2 2 4 4" xfId="9792" xr:uid="{D9B8BA59-E467-4E88-B69D-E92621E3EADA}"/>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39BB1FDF-54A5-4748-BE3B-2094D05D1660}"/>
    <cellStyle name="Normal 4 2 4 2 2 5 2 3" xfId="12350" xr:uid="{33A252BB-BF59-4054-BFAF-A52F40167443}"/>
    <cellStyle name="Normal 4 2 4 2 2 5 3" xfId="5973" xr:uid="{00000000-0005-0000-0000-00004E130000}"/>
    <cellStyle name="Normal 4 2 4 2 2 5 3 2" xfId="14423" xr:uid="{199BC89D-5EB3-42AB-994D-3EAD47BF0A70}"/>
    <cellStyle name="Normal 4 2 4 2 2 5 4" xfId="10205" xr:uid="{133465F0-1970-40F9-8EEC-BB61050164B8}"/>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479C2EAD-87EE-43BC-BF7C-6CB61C1924B0}"/>
    <cellStyle name="Normal 4 2 4 2 2 6 2 3" xfId="12763" xr:uid="{641E316C-61E1-4CA3-B062-3AE0069BF0BF}"/>
    <cellStyle name="Normal 4 2 4 2 2 6 3" xfId="6386" xr:uid="{00000000-0005-0000-0000-000052130000}"/>
    <cellStyle name="Normal 4 2 4 2 2 6 3 2" xfId="14836" xr:uid="{31ED2C8E-0990-450A-8469-06F4C24C8D25}"/>
    <cellStyle name="Normal 4 2 4 2 2 6 4" xfId="10618" xr:uid="{9B4CF317-6753-4E9A-A624-08960FC5101D}"/>
    <cellStyle name="Normal 4 2 4 2 2 7" xfId="2516" xr:uid="{00000000-0005-0000-0000-000053130000}"/>
    <cellStyle name="Normal 4 2 4 2 2 7 2" xfId="6799" xr:uid="{00000000-0005-0000-0000-000054130000}"/>
    <cellStyle name="Normal 4 2 4 2 2 7 2 2" xfId="15249" xr:uid="{08607DB0-D1B6-4DF7-9F20-D5891AD6F3D6}"/>
    <cellStyle name="Normal 4 2 4 2 2 7 3" xfId="11031" xr:uid="{DB9832D2-FC56-4476-8467-81E1B122AAE7}"/>
    <cellStyle name="Normal 4 2 4 2 2 8" xfId="4734" xr:uid="{00000000-0005-0000-0000-000055130000}"/>
    <cellStyle name="Normal 4 2 4 2 2 8 2" xfId="13184" xr:uid="{4BDFDF2F-4835-48CF-A231-B283B9824913}"/>
    <cellStyle name="Normal 4 2 4 2 2 9" xfId="8966" xr:uid="{A1665767-42C3-4B94-9DDB-CC853C072535}"/>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837F2F2E-4F75-4E9E-AEAA-9B32E87112E8}"/>
    <cellStyle name="Normal 4 2 4 2 3 2 2 3" xfId="11526" xr:uid="{546E6691-7127-4BBF-A999-C5B6B69662F2}"/>
    <cellStyle name="Normal 4 2 4 2 3 2 3" xfId="5149" xr:uid="{00000000-0005-0000-0000-00005A130000}"/>
    <cellStyle name="Normal 4 2 4 2 3 2 3 2" xfId="13599" xr:uid="{ED24DB0A-67B1-4645-946D-CD3C91C5EFBC}"/>
    <cellStyle name="Normal 4 2 4 2 3 2 4" xfId="9381" xr:uid="{AAC54F0B-C51F-4D81-880C-7BAB0794582E}"/>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2539654F-50A1-4146-A94A-FE3496B89B5E}"/>
    <cellStyle name="Normal 4 2 4 2 3 3 2 3" xfId="11939" xr:uid="{786CD44D-B038-4F52-85EA-4566A5A9C44A}"/>
    <cellStyle name="Normal 4 2 4 2 3 3 3" xfId="5562" xr:uid="{00000000-0005-0000-0000-00005E130000}"/>
    <cellStyle name="Normal 4 2 4 2 3 3 3 2" xfId="14012" xr:uid="{FEF32134-A69F-43E0-BEBF-5DD0CC9D340E}"/>
    <cellStyle name="Normal 4 2 4 2 3 3 4" xfId="9794" xr:uid="{F362871A-49DC-4B81-88AF-244533A20F6E}"/>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1FEA143D-C8B7-4F22-98A1-4D207F065D93}"/>
    <cellStyle name="Normal 4 2 4 2 3 4 2 3" xfId="12352" xr:uid="{7298C960-3063-451C-9498-A04F038C3BD0}"/>
    <cellStyle name="Normal 4 2 4 2 3 4 3" xfId="5975" xr:uid="{00000000-0005-0000-0000-000062130000}"/>
    <cellStyle name="Normal 4 2 4 2 3 4 3 2" xfId="14425" xr:uid="{04366764-9FEB-434F-A5AF-3712B761C68C}"/>
    <cellStyle name="Normal 4 2 4 2 3 4 4" xfId="10207" xr:uid="{E96AD5C9-72F1-4131-BA84-765C3EDD7292}"/>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B4582E13-13B5-41E9-B8DD-3DD4F4225943}"/>
    <cellStyle name="Normal 4 2 4 2 3 5 2 3" xfId="12765" xr:uid="{F06B5E4C-446A-4179-B40E-02613736A92B}"/>
    <cellStyle name="Normal 4 2 4 2 3 5 3" xfId="6388" xr:uid="{00000000-0005-0000-0000-000066130000}"/>
    <cellStyle name="Normal 4 2 4 2 3 5 3 2" xfId="14838" xr:uid="{1E9D1CE6-FECB-4B01-B723-0BF9A6EF541A}"/>
    <cellStyle name="Normal 4 2 4 2 3 5 4" xfId="10620" xr:uid="{6942AED7-8DD9-4A64-8063-3069FB44C872}"/>
    <cellStyle name="Normal 4 2 4 2 3 6" xfId="2518" xr:uid="{00000000-0005-0000-0000-000067130000}"/>
    <cellStyle name="Normal 4 2 4 2 3 6 2" xfId="6801" xr:uid="{00000000-0005-0000-0000-000068130000}"/>
    <cellStyle name="Normal 4 2 4 2 3 6 2 2" xfId="15251" xr:uid="{3DDB4D97-B889-4660-B6F9-1BC4179853DE}"/>
    <cellStyle name="Normal 4 2 4 2 3 6 3" xfId="11033" xr:uid="{D85D216B-A329-4574-8187-206851339648}"/>
    <cellStyle name="Normal 4 2 4 2 3 7" xfId="4736" xr:uid="{00000000-0005-0000-0000-000069130000}"/>
    <cellStyle name="Normal 4 2 4 2 3 7 2" xfId="13186" xr:uid="{4BB47808-FE15-497C-9CAB-C34998873ABF}"/>
    <cellStyle name="Normal 4 2 4 2 3 8" xfId="8968" xr:uid="{828330FB-59A4-4DD1-9220-45E5347A72B2}"/>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D9F005F4-DE9A-4E96-AE98-D12880F857FF}"/>
    <cellStyle name="Normal 4 2 4 2 4 2 3" xfId="11523" xr:uid="{4BFA20E7-C2CC-4589-A0DB-C4499787BDB6}"/>
    <cellStyle name="Normal 4 2 4 2 4 3" xfId="5146" xr:uid="{00000000-0005-0000-0000-00006D130000}"/>
    <cellStyle name="Normal 4 2 4 2 4 3 2" xfId="13596" xr:uid="{E00CDE1B-D161-41B9-A3EB-3036AF5223A2}"/>
    <cellStyle name="Normal 4 2 4 2 4 4" xfId="9378" xr:uid="{9C7CF067-12F1-410A-9C49-CD2A3D249A1B}"/>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8E901C7D-585F-444D-ABB3-DB5DF65F1305}"/>
    <cellStyle name="Normal 4 2 4 2 5 2 3" xfId="11936" xr:uid="{5A4212D7-02FF-4E01-859C-E0DA3CD4F49F}"/>
    <cellStyle name="Normal 4 2 4 2 5 3" xfId="5559" xr:uid="{00000000-0005-0000-0000-000071130000}"/>
    <cellStyle name="Normal 4 2 4 2 5 3 2" xfId="14009" xr:uid="{384A56D0-3902-4C6B-B49A-F8DECB881D79}"/>
    <cellStyle name="Normal 4 2 4 2 5 4" xfId="9791" xr:uid="{BC8D5626-4295-47FF-AA79-A6D21E8F479E}"/>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0DDA9F99-C2DF-4AB0-A4AA-A7586516E7F7}"/>
    <cellStyle name="Normal 4 2 4 2 6 2 3" xfId="12349" xr:uid="{96547803-41D0-475D-8390-35B8D1047407}"/>
    <cellStyle name="Normal 4 2 4 2 6 3" xfId="5972" xr:uid="{00000000-0005-0000-0000-000075130000}"/>
    <cellStyle name="Normal 4 2 4 2 6 3 2" xfId="14422" xr:uid="{20F868C5-12E4-46AB-8D73-C837529F87EF}"/>
    <cellStyle name="Normal 4 2 4 2 6 4" xfId="10204" xr:uid="{B903BFB0-6A29-4B3A-BD55-EEDA1EE069D6}"/>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55C6A435-5D70-46DA-8257-AB9DC4F58BF5}"/>
    <cellStyle name="Normal 4 2 4 2 7 2 3" xfId="12762" xr:uid="{AD6C333C-9321-4662-90A1-23F40EF23C89}"/>
    <cellStyle name="Normal 4 2 4 2 7 3" xfId="6385" xr:uid="{00000000-0005-0000-0000-000079130000}"/>
    <cellStyle name="Normal 4 2 4 2 7 3 2" xfId="14835" xr:uid="{8E45FC5F-6372-4144-8D87-20C0A9ABB58E}"/>
    <cellStyle name="Normal 4 2 4 2 7 4" xfId="10617" xr:uid="{2B19BC40-3E31-473D-97B1-0510BB456548}"/>
    <cellStyle name="Normal 4 2 4 2 8" xfId="2515" xr:uid="{00000000-0005-0000-0000-00007A130000}"/>
    <cellStyle name="Normal 4 2 4 2 8 2" xfId="6798" xr:uid="{00000000-0005-0000-0000-00007B130000}"/>
    <cellStyle name="Normal 4 2 4 2 8 2 2" xfId="15248" xr:uid="{B1D42DE4-CD59-482E-A5E6-107EA444897B}"/>
    <cellStyle name="Normal 4 2 4 2 8 3" xfId="11030" xr:uid="{D768C4A0-1B1D-4886-8C92-3C606C2F28BA}"/>
    <cellStyle name="Normal 4 2 4 2 9" xfId="4733" xr:uid="{00000000-0005-0000-0000-00007C130000}"/>
    <cellStyle name="Normal 4 2 4 2 9 2" xfId="13183" xr:uid="{9465723D-9D13-4D3F-A74B-0C1D8B190406}"/>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6345A9FD-A88A-4202-BADE-09EE7BE7326C}"/>
    <cellStyle name="Normal 4 2 4 3 2 2 2 3" xfId="11528" xr:uid="{CB950C05-DAB9-4A94-8B1D-6ADC01039092}"/>
    <cellStyle name="Normal 4 2 4 3 2 2 3" xfId="5151" xr:uid="{00000000-0005-0000-0000-000082130000}"/>
    <cellStyle name="Normal 4 2 4 3 2 2 3 2" xfId="13601" xr:uid="{E93A46F0-DDE8-4225-B8A9-074E97BAA1C1}"/>
    <cellStyle name="Normal 4 2 4 3 2 2 4" xfId="9383" xr:uid="{8B8C04BC-E403-4F89-A69F-BF8243A4C566}"/>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E8020CEC-CE3B-4181-ADA6-B15800C52808}"/>
    <cellStyle name="Normal 4 2 4 3 2 3 2 3" xfId="11941" xr:uid="{5BC58799-0483-463E-8FE2-187B75C65870}"/>
    <cellStyle name="Normal 4 2 4 3 2 3 3" xfId="5564" xr:uid="{00000000-0005-0000-0000-000086130000}"/>
    <cellStyle name="Normal 4 2 4 3 2 3 3 2" xfId="14014" xr:uid="{66DB3D05-B151-4D5A-A45C-0553EE55B072}"/>
    <cellStyle name="Normal 4 2 4 3 2 3 4" xfId="9796" xr:uid="{77A089E4-5B18-476C-815F-5F1267AA8B2A}"/>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F20288C1-7168-40D3-A9DB-F2E6DF8A901A}"/>
    <cellStyle name="Normal 4 2 4 3 2 4 2 3" xfId="12354" xr:uid="{740EE232-49C0-4BFF-AB46-0DA6674CB126}"/>
    <cellStyle name="Normal 4 2 4 3 2 4 3" xfId="5977" xr:uid="{00000000-0005-0000-0000-00008A130000}"/>
    <cellStyle name="Normal 4 2 4 3 2 4 3 2" xfId="14427" xr:uid="{8E43E772-2DC6-4845-968F-022B2F0C9A22}"/>
    <cellStyle name="Normal 4 2 4 3 2 4 4" xfId="10209" xr:uid="{BC86F1D6-CE79-4B9B-9749-839F8034B4D9}"/>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986C4415-B269-4195-A66F-0D059A1DAFE9}"/>
    <cellStyle name="Normal 4 2 4 3 2 5 2 3" xfId="12767" xr:uid="{DA40AE47-08F3-478F-8F5A-AE85AAB3B093}"/>
    <cellStyle name="Normal 4 2 4 3 2 5 3" xfId="6390" xr:uid="{00000000-0005-0000-0000-00008E130000}"/>
    <cellStyle name="Normal 4 2 4 3 2 5 3 2" xfId="14840" xr:uid="{84D4544C-B5E0-4C5A-9FA2-8E29FD078959}"/>
    <cellStyle name="Normal 4 2 4 3 2 5 4" xfId="10622" xr:uid="{C9DA2F2A-1E1D-417B-932C-6A702652AC75}"/>
    <cellStyle name="Normal 4 2 4 3 2 6" xfId="2520" xr:uid="{00000000-0005-0000-0000-00008F130000}"/>
    <cellStyle name="Normal 4 2 4 3 2 6 2" xfId="6803" xr:uid="{00000000-0005-0000-0000-000090130000}"/>
    <cellStyle name="Normal 4 2 4 3 2 6 2 2" xfId="15253" xr:uid="{E60A1C8A-E2B9-49D3-9A1A-884F9965AD82}"/>
    <cellStyle name="Normal 4 2 4 3 2 6 3" xfId="11035" xr:uid="{BBB6FC49-1ABC-486B-9456-5CD3965C6676}"/>
    <cellStyle name="Normal 4 2 4 3 2 7" xfId="4738" xr:uid="{00000000-0005-0000-0000-000091130000}"/>
    <cellStyle name="Normal 4 2 4 3 2 7 2" xfId="13188" xr:uid="{470B6B1F-B161-4991-A725-3F70751C5B12}"/>
    <cellStyle name="Normal 4 2 4 3 2 8" xfId="8970" xr:uid="{38210903-D84C-4291-BA33-95084307E6E5}"/>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C02942D2-8B84-491B-A2D4-85D93CEAE24C}"/>
    <cellStyle name="Normal 4 2 4 3 3 2 3" xfId="11527" xr:uid="{F5723E0F-7378-4F06-8E97-660ED5C62D29}"/>
    <cellStyle name="Normal 4 2 4 3 3 3" xfId="5150" xr:uid="{00000000-0005-0000-0000-000095130000}"/>
    <cellStyle name="Normal 4 2 4 3 3 3 2" xfId="13600" xr:uid="{DFC89320-A309-418E-A48E-941C95A761AB}"/>
    <cellStyle name="Normal 4 2 4 3 3 4" xfId="9382" xr:uid="{07FCB8D2-5DF8-4050-AB97-D1D74DF4A374}"/>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30B19D3A-F587-40D4-9FC0-5982D71EE47A}"/>
    <cellStyle name="Normal 4 2 4 3 4 2 3" xfId="11940" xr:uid="{BAE6406B-2B0A-465A-BE28-706E819CE892}"/>
    <cellStyle name="Normal 4 2 4 3 4 3" xfId="5563" xr:uid="{00000000-0005-0000-0000-000099130000}"/>
    <cellStyle name="Normal 4 2 4 3 4 3 2" xfId="14013" xr:uid="{65226E70-2AE8-4D0D-81FD-2F85C9C31DB2}"/>
    <cellStyle name="Normal 4 2 4 3 4 4" xfId="9795" xr:uid="{521EB94C-24AB-423C-B1E6-507F1235D0BB}"/>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E7F694E0-A5C5-445A-B142-29BA2E6D0E29}"/>
    <cellStyle name="Normal 4 2 4 3 5 2 3" xfId="12353" xr:uid="{87998C14-225C-4073-9EA5-C4358CEF5EE2}"/>
    <cellStyle name="Normal 4 2 4 3 5 3" xfId="5976" xr:uid="{00000000-0005-0000-0000-00009D130000}"/>
    <cellStyle name="Normal 4 2 4 3 5 3 2" xfId="14426" xr:uid="{F09E347A-48CC-4E04-9E04-87C1CC09D3E8}"/>
    <cellStyle name="Normal 4 2 4 3 5 4" xfId="10208" xr:uid="{F7B345C1-717E-41CA-A378-4C59A3843DAB}"/>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020E549E-60E8-476B-900D-C57C01829859}"/>
    <cellStyle name="Normal 4 2 4 3 6 2 3" xfId="12766" xr:uid="{3DBDDCA3-A0AE-4042-9454-14732761992D}"/>
    <cellStyle name="Normal 4 2 4 3 6 3" xfId="6389" xr:uid="{00000000-0005-0000-0000-0000A1130000}"/>
    <cellStyle name="Normal 4 2 4 3 6 3 2" xfId="14839" xr:uid="{5790EB09-E79F-412B-AD1B-6DCF80AF4879}"/>
    <cellStyle name="Normal 4 2 4 3 6 4" xfId="10621" xr:uid="{1AA0A08E-B3DF-4352-A67A-BC0686AD84A7}"/>
    <cellStyle name="Normal 4 2 4 3 7" xfId="2519" xr:uid="{00000000-0005-0000-0000-0000A2130000}"/>
    <cellStyle name="Normal 4 2 4 3 7 2" xfId="6802" xr:uid="{00000000-0005-0000-0000-0000A3130000}"/>
    <cellStyle name="Normal 4 2 4 3 7 2 2" xfId="15252" xr:uid="{7D1D06D4-4CA0-46AB-8B82-82CC039BCCFE}"/>
    <cellStyle name="Normal 4 2 4 3 7 3" xfId="11034" xr:uid="{BA6E93F0-A7CB-483F-92E5-2568E7764296}"/>
    <cellStyle name="Normal 4 2 4 3 8" xfId="4737" xr:uid="{00000000-0005-0000-0000-0000A4130000}"/>
    <cellStyle name="Normal 4 2 4 3 8 2" xfId="13187" xr:uid="{4F57FBB2-0DFB-4813-A9D3-0CD15119BC3E}"/>
    <cellStyle name="Normal 4 2 4 3 9" xfId="8969" xr:uid="{2773AFB1-FFBD-4ADA-A4C0-2BA100A7467A}"/>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6A427ADB-8803-43EB-A3CA-95A4E2C19AA5}"/>
    <cellStyle name="Normal 4 2 4 4 2 2 3" xfId="11529" xr:uid="{91A271CC-CF9D-4C0B-A794-B652E5DBDC9B}"/>
    <cellStyle name="Normal 4 2 4 4 2 3" xfId="5152" xr:uid="{00000000-0005-0000-0000-0000A9130000}"/>
    <cellStyle name="Normal 4 2 4 4 2 3 2" xfId="13602" xr:uid="{703580C2-F305-4C40-B764-8B3BA0686719}"/>
    <cellStyle name="Normal 4 2 4 4 2 4" xfId="9384" xr:uid="{B59CE0DD-FACD-4B75-8B27-2AEDF1924A9E}"/>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1C7127A3-052C-416E-B729-FFC7E772A03D}"/>
    <cellStyle name="Normal 4 2 4 4 3 2 3" xfId="11942" xr:uid="{D7E475E8-F535-4E61-B9AE-B84BB43A03FA}"/>
    <cellStyle name="Normal 4 2 4 4 3 3" xfId="5565" xr:uid="{00000000-0005-0000-0000-0000AD130000}"/>
    <cellStyle name="Normal 4 2 4 4 3 3 2" xfId="14015" xr:uid="{F0837B5A-84AE-4334-9DE1-37F614E0F811}"/>
    <cellStyle name="Normal 4 2 4 4 3 4" xfId="9797" xr:uid="{995B254A-C965-4AE1-AE9B-B6BC1B911FD8}"/>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500CD47D-3E56-4C5B-84B3-05DCFE7029B0}"/>
    <cellStyle name="Normal 4 2 4 4 4 2 3" xfId="12355" xr:uid="{8AAD7580-A109-46D5-A95D-737237EB1443}"/>
    <cellStyle name="Normal 4 2 4 4 4 3" xfId="5978" xr:uid="{00000000-0005-0000-0000-0000B1130000}"/>
    <cellStyle name="Normal 4 2 4 4 4 3 2" xfId="14428" xr:uid="{4CC9095D-902B-43DD-B58E-7177322BA728}"/>
    <cellStyle name="Normal 4 2 4 4 4 4" xfId="10210" xr:uid="{AE0EC827-088E-473D-8AE9-681B4736AD61}"/>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9B8CE2BF-6775-4FCD-BD9C-DBDFBA929C88}"/>
    <cellStyle name="Normal 4 2 4 4 5 2 3" xfId="12768" xr:uid="{C9BE6756-ACFA-4715-87CD-046AE22EC0D6}"/>
    <cellStyle name="Normal 4 2 4 4 5 3" xfId="6391" xr:uid="{00000000-0005-0000-0000-0000B5130000}"/>
    <cellStyle name="Normal 4 2 4 4 5 3 2" xfId="14841" xr:uid="{1EEFAE74-DCEF-4271-BAC3-C7192B9FEC06}"/>
    <cellStyle name="Normal 4 2 4 4 5 4" xfId="10623" xr:uid="{BB9B1417-E320-455E-96EE-B95834968C21}"/>
    <cellStyle name="Normal 4 2 4 4 6" xfId="2521" xr:uid="{00000000-0005-0000-0000-0000B6130000}"/>
    <cellStyle name="Normal 4 2 4 4 6 2" xfId="6804" xr:uid="{00000000-0005-0000-0000-0000B7130000}"/>
    <cellStyle name="Normal 4 2 4 4 6 2 2" xfId="15254" xr:uid="{0B57ED74-D151-4BE4-8244-DB8D9BCE014D}"/>
    <cellStyle name="Normal 4 2 4 4 6 3" xfId="11036" xr:uid="{B663FAAC-6CBD-47DE-954E-8229DC4E30EC}"/>
    <cellStyle name="Normal 4 2 4 4 7" xfId="4739" xr:uid="{00000000-0005-0000-0000-0000B8130000}"/>
    <cellStyle name="Normal 4 2 4 4 7 2" xfId="13189" xr:uid="{292FE011-BB43-4703-9FEC-FA92546D4999}"/>
    <cellStyle name="Normal 4 2 4 4 8" xfId="8971" xr:uid="{8F135044-1AA9-4F96-A2B1-19EB6D55BC5A}"/>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83271B55-DC0F-429F-BDFA-0F19E8985B14}"/>
    <cellStyle name="Normal 4 2 4 5 2 3" xfId="11522" xr:uid="{02E3A6B3-5731-44FE-B5C4-FA59E05C7ABF}"/>
    <cellStyle name="Normal 4 2 4 5 3" xfId="5145" xr:uid="{00000000-0005-0000-0000-0000BC130000}"/>
    <cellStyle name="Normal 4 2 4 5 3 2" xfId="13595" xr:uid="{E9C80CE8-6D8C-44F7-909A-95AEDA0F5610}"/>
    <cellStyle name="Normal 4 2 4 5 4" xfId="9377" xr:uid="{51CA720A-C95C-4A1A-8656-E2037641C443}"/>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404AE7D4-900E-46AF-8BD2-F81DC5CA373D}"/>
    <cellStyle name="Normal 4 2 4 6 2 3" xfId="11935" xr:uid="{736D4847-ABCC-4A48-9730-61302C89FAFF}"/>
    <cellStyle name="Normal 4 2 4 6 3" xfId="5558" xr:uid="{00000000-0005-0000-0000-0000C0130000}"/>
    <cellStyle name="Normal 4 2 4 6 3 2" xfId="14008" xr:uid="{0E2F221D-0015-41E8-88D0-486B8481241C}"/>
    <cellStyle name="Normal 4 2 4 6 4" xfId="9790" xr:uid="{7BF22E87-F627-41E3-B7BC-C143EDD48AAF}"/>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B43F9F53-F868-46E5-A41A-B03BECF5CE5D}"/>
    <cellStyle name="Normal 4 2 4 7 2 3" xfId="12348" xr:uid="{8347D573-F166-4220-A06A-103D07B6E748}"/>
    <cellStyle name="Normal 4 2 4 7 3" xfId="5971" xr:uid="{00000000-0005-0000-0000-0000C4130000}"/>
    <cellStyle name="Normal 4 2 4 7 3 2" xfId="14421" xr:uid="{A2742135-45A1-45E8-9A15-71846D616823}"/>
    <cellStyle name="Normal 4 2 4 7 4" xfId="10203" xr:uid="{873E193D-042C-49E4-8B3A-391A9BFD378E}"/>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8848604D-ABD9-4442-B530-A841BEB840CB}"/>
    <cellStyle name="Normal 4 2 4 8 2 3" xfId="12761" xr:uid="{CB631724-CBEF-4278-836D-C863BDA1B6D3}"/>
    <cellStyle name="Normal 4 2 4 8 3" xfId="6384" xr:uid="{00000000-0005-0000-0000-0000C8130000}"/>
    <cellStyle name="Normal 4 2 4 8 3 2" xfId="14834" xr:uid="{71A0B23C-E322-40F2-BA59-11F488570BED}"/>
    <cellStyle name="Normal 4 2 4 8 4" xfId="10616" xr:uid="{1D875BE3-19E7-4FA4-895A-1680D8396C76}"/>
    <cellStyle name="Normal 4 2 4 9" xfId="2514" xr:uid="{00000000-0005-0000-0000-0000C9130000}"/>
    <cellStyle name="Normal 4 2 4 9 2" xfId="6797" xr:uid="{00000000-0005-0000-0000-0000CA130000}"/>
    <cellStyle name="Normal 4 2 4 9 2 2" xfId="15247" xr:uid="{98162AE0-C6C8-49BE-B951-909ABB6F34FA}"/>
    <cellStyle name="Normal 4 2 4 9 3" xfId="11029" xr:uid="{77C264CA-F19D-4F83-BC3F-12D159A9B755}"/>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8422A923-2F06-4DB4-AF49-EBCD787C3395}"/>
    <cellStyle name="Normal 4 2 5 2 2 2 3" xfId="11531" xr:uid="{57A1B4E6-7368-4AF3-9B1A-35F06F8AEACA}"/>
    <cellStyle name="Normal 4 2 5 2 2 3" xfId="5154" xr:uid="{00000000-0005-0000-0000-0000D0130000}"/>
    <cellStyle name="Normal 4 2 5 2 2 3 2" xfId="13604" xr:uid="{CC6AFB14-654C-4535-9C48-591BBB49E5B0}"/>
    <cellStyle name="Normal 4 2 5 2 2 4" xfId="9386" xr:uid="{C9A79554-8A1C-4CBA-B917-753261727FB4}"/>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DA309C25-38DB-47BE-BB69-CFF7CAEF012E}"/>
    <cellStyle name="Normal 4 2 5 2 3 2 3" xfId="11944" xr:uid="{73692A5B-453E-4E4A-800B-047B560FF62C}"/>
    <cellStyle name="Normal 4 2 5 2 3 3" xfId="5567" xr:uid="{00000000-0005-0000-0000-0000D4130000}"/>
    <cellStyle name="Normal 4 2 5 2 3 3 2" xfId="14017" xr:uid="{ED932B5F-9A3D-4D55-A715-EA13623F5E49}"/>
    <cellStyle name="Normal 4 2 5 2 3 4" xfId="9799" xr:uid="{48DC30F3-0E2E-4D09-9FAD-F5FC0B4F5E3A}"/>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F67B5EA2-6061-44A6-856E-E55C2A650819}"/>
    <cellStyle name="Normal 4 2 5 2 4 2 3" xfId="12357" xr:uid="{B8BEC089-D233-466C-8DE0-D44E800D4355}"/>
    <cellStyle name="Normal 4 2 5 2 4 3" xfId="5980" xr:uid="{00000000-0005-0000-0000-0000D8130000}"/>
    <cellStyle name="Normal 4 2 5 2 4 3 2" xfId="14430" xr:uid="{72F635B2-8EDC-42AF-B4D0-3B060A755873}"/>
    <cellStyle name="Normal 4 2 5 2 4 4" xfId="10212" xr:uid="{9ED7ED0E-CCF3-4E1B-9C51-0EA668E7BF04}"/>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34C7DF1D-B943-4812-9A9E-11EF923C4B3F}"/>
    <cellStyle name="Normal 4 2 5 2 5 2 3" xfId="12770" xr:uid="{827F672B-72B6-4036-90AF-3E66BF8B5EAC}"/>
    <cellStyle name="Normal 4 2 5 2 5 3" xfId="6393" xr:uid="{00000000-0005-0000-0000-0000DC130000}"/>
    <cellStyle name="Normal 4 2 5 2 5 3 2" xfId="14843" xr:uid="{4F0DD69E-15E7-463C-B1AD-A8E348ADC53D}"/>
    <cellStyle name="Normal 4 2 5 2 5 4" xfId="10625" xr:uid="{3ABF1147-BDB5-4B7D-995E-1CA1CB6EFEB6}"/>
    <cellStyle name="Normal 4 2 5 2 6" xfId="2523" xr:uid="{00000000-0005-0000-0000-0000DD130000}"/>
    <cellStyle name="Normal 4 2 5 2 6 2" xfId="6806" xr:uid="{00000000-0005-0000-0000-0000DE130000}"/>
    <cellStyle name="Normal 4 2 5 2 6 2 2" xfId="15256" xr:uid="{6D191FE0-2474-4A31-930A-0E72B3A451B1}"/>
    <cellStyle name="Normal 4 2 5 2 6 3" xfId="11038" xr:uid="{FA032C6E-B89C-41B2-96EA-ED33FFAC0A9E}"/>
    <cellStyle name="Normal 4 2 5 2 7" xfId="4741" xr:uid="{00000000-0005-0000-0000-0000DF130000}"/>
    <cellStyle name="Normal 4 2 5 2 7 2" xfId="13191" xr:uid="{7E64CCEA-2C80-4EEA-96FC-7A9A8C48A020}"/>
    <cellStyle name="Normal 4 2 5 2 8" xfId="8973" xr:uid="{4051B0D1-0B21-4EF6-BFCD-DF1681111EB1}"/>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37127803-55BF-4F6B-98A1-CB82A2A1186E}"/>
    <cellStyle name="Normal 4 2 5 3 2 3" xfId="11530" xr:uid="{96C5E970-3855-4908-82E2-799BEA352861}"/>
    <cellStyle name="Normal 4 2 5 3 3" xfId="5153" xr:uid="{00000000-0005-0000-0000-0000E3130000}"/>
    <cellStyle name="Normal 4 2 5 3 3 2" xfId="13603" xr:uid="{08164C45-7400-4EE8-A477-69843A501F31}"/>
    <cellStyle name="Normal 4 2 5 3 4" xfId="9385" xr:uid="{C49558AF-6A26-4AB1-8EDA-C9921ECC9DF4}"/>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86D6FBBC-0A85-42C4-932D-D48D72C4BD2D}"/>
    <cellStyle name="Normal 4 2 5 4 2 3" xfId="11943" xr:uid="{8AB23128-A8EF-4F7B-B4EC-4D822AB3A4F2}"/>
    <cellStyle name="Normal 4 2 5 4 3" xfId="5566" xr:uid="{00000000-0005-0000-0000-0000E7130000}"/>
    <cellStyle name="Normal 4 2 5 4 3 2" xfId="14016" xr:uid="{4E6276C7-9540-45D4-A6BB-A24576C66F92}"/>
    <cellStyle name="Normal 4 2 5 4 4" xfId="9798" xr:uid="{1927B4CC-47BD-4A82-B370-B004C977277C}"/>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A8FC5077-0F5A-466E-936B-B2323A5B5454}"/>
    <cellStyle name="Normal 4 2 5 5 2 3" xfId="12356" xr:uid="{32157CC5-8861-4E9D-B08F-AB734957577C}"/>
    <cellStyle name="Normal 4 2 5 5 3" xfId="5979" xr:uid="{00000000-0005-0000-0000-0000EB130000}"/>
    <cellStyle name="Normal 4 2 5 5 3 2" xfId="14429" xr:uid="{35A733FC-725B-41AE-8091-A19B1C3BB9E6}"/>
    <cellStyle name="Normal 4 2 5 5 4" xfId="10211" xr:uid="{DFBB605B-2122-474E-96C0-18601D2DE190}"/>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DF8AEC45-F518-4F90-8F08-7D8D08113F7E}"/>
    <cellStyle name="Normal 4 2 5 6 2 3" xfId="12769" xr:uid="{B2499893-FF1B-4AB6-BE63-60069D567D18}"/>
    <cellStyle name="Normal 4 2 5 6 3" xfId="6392" xr:uid="{00000000-0005-0000-0000-0000EF130000}"/>
    <cellStyle name="Normal 4 2 5 6 3 2" xfId="14842" xr:uid="{8B6F70AF-3A6B-450A-8209-00897106A876}"/>
    <cellStyle name="Normal 4 2 5 6 4" xfId="10624" xr:uid="{B88F3456-A030-487B-AB14-7F082755B53B}"/>
    <cellStyle name="Normal 4 2 5 7" xfId="2522" xr:uid="{00000000-0005-0000-0000-0000F0130000}"/>
    <cellStyle name="Normal 4 2 5 7 2" xfId="6805" xr:uid="{00000000-0005-0000-0000-0000F1130000}"/>
    <cellStyle name="Normal 4 2 5 7 2 2" xfId="15255" xr:uid="{1DC48B5C-F35F-46DC-8FAF-BD01B4FACA36}"/>
    <cellStyle name="Normal 4 2 5 7 3" xfId="11037" xr:uid="{0E94906D-DF06-407C-9C6F-FDC94A6987D0}"/>
    <cellStyle name="Normal 4 2 5 8" xfId="4740" xr:uid="{00000000-0005-0000-0000-0000F2130000}"/>
    <cellStyle name="Normal 4 2 5 8 2" xfId="13190" xr:uid="{1E58A75A-D2DC-4E64-AA73-9A990339B0F9}"/>
    <cellStyle name="Normal 4 2 5 9" xfId="8972" xr:uid="{4D5EB1DC-7983-4180-8B47-62CE0D603B95}"/>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8C3845C3-7590-4262-99EA-EC9C6AE40855}"/>
    <cellStyle name="Normal 4 2 6 2 2 3" xfId="11532" xr:uid="{844A3A4D-35F4-4780-9F94-E80F77432DA6}"/>
    <cellStyle name="Normal 4 2 6 2 3" xfId="5155" xr:uid="{00000000-0005-0000-0000-0000F7130000}"/>
    <cellStyle name="Normal 4 2 6 2 3 2" xfId="13605" xr:uid="{68E888AE-4520-431A-A0A5-9E9727A156CA}"/>
    <cellStyle name="Normal 4 2 6 2 4" xfId="9387" xr:uid="{848BE886-5B0C-40D5-8371-98420B96903B}"/>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933330DF-EBA9-4406-9216-9D1B664C625F}"/>
    <cellStyle name="Normal 4 2 6 3 2 3" xfId="11945" xr:uid="{342E74A7-14A5-4BEE-825B-662690BA48CF}"/>
    <cellStyle name="Normal 4 2 6 3 3" xfId="5568" xr:uid="{00000000-0005-0000-0000-0000FB130000}"/>
    <cellStyle name="Normal 4 2 6 3 3 2" xfId="14018" xr:uid="{54B796B6-5F22-465B-A111-BE9FFE10024B}"/>
    <cellStyle name="Normal 4 2 6 3 4" xfId="9800" xr:uid="{9949755F-1881-493D-B912-082F5AA636FA}"/>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F6ED1174-2532-4641-90FE-6825E79FD5FB}"/>
    <cellStyle name="Normal 4 2 6 4 2 3" xfId="12358" xr:uid="{5F31E374-43A2-4C3F-A1BE-B6AB1304273F}"/>
    <cellStyle name="Normal 4 2 6 4 3" xfId="5981" xr:uid="{00000000-0005-0000-0000-0000FF130000}"/>
    <cellStyle name="Normal 4 2 6 4 3 2" xfId="14431" xr:uid="{34335177-FCE4-4078-932D-1EE22297EC3D}"/>
    <cellStyle name="Normal 4 2 6 4 4" xfId="10213" xr:uid="{D2BAF003-FACC-4F70-9A14-4150285ACD40}"/>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231C5D8B-57A1-49C3-B6ED-7E83442AAFAC}"/>
    <cellStyle name="Normal 4 2 6 5 2 3" xfId="12771" xr:uid="{C0AD58AA-2D15-44E9-B485-463CB15E1BC5}"/>
    <cellStyle name="Normal 4 2 6 5 3" xfId="6394" xr:uid="{00000000-0005-0000-0000-000003140000}"/>
    <cellStyle name="Normal 4 2 6 5 3 2" xfId="14844" xr:uid="{535697A8-C065-401A-931D-A2991B1ACB6C}"/>
    <cellStyle name="Normal 4 2 6 5 4" xfId="10626" xr:uid="{2063A823-4664-4764-B053-092552F4731D}"/>
    <cellStyle name="Normal 4 2 6 6" xfId="2524" xr:uid="{00000000-0005-0000-0000-000004140000}"/>
    <cellStyle name="Normal 4 2 6 6 2" xfId="6807" xr:uid="{00000000-0005-0000-0000-000005140000}"/>
    <cellStyle name="Normal 4 2 6 6 2 2" xfId="15257" xr:uid="{7DEE8813-626E-4F73-BC75-47C7CDACB6DA}"/>
    <cellStyle name="Normal 4 2 6 6 3" xfId="11039" xr:uid="{BD8C488D-F5F5-440B-88BA-6294B2F52E92}"/>
    <cellStyle name="Normal 4 2 6 7" xfId="4742" xr:uid="{00000000-0005-0000-0000-000006140000}"/>
    <cellStyle name="Normal 4 2 6 7 2" xfId="13192" xr:uid="{3AB41258-D8DD-4E57-99F7-44BCD0A90C4F}"/>
    <cellStyle name="Normal 4 2 6 8" xfId="8974" xr:uid="{05A83462-2C16-479D-9198-1E5926BE1302}"/>
    <cellStyle name="Normal 4 3" xfId="366" xr:uid="{00000000-0005-0000-0000-000007140000}"/>
    <cellStyle name="Normal 4 3 10" xfId="8975" xr:uid="{0A9D28EC-8791-45AB-B3AB-537CA27787C2}"/>
    <cellStyle name="Normal 4 3 2" xfId="367" xr:uid="{00000000-0005-0000-0000-000008140000}"/>
    <cellStyle name="Normal 4 3 2 2" xfId="368" xr:uid="{00000000-0005-0000-0000-000009140000}"/>
    <cellStyle name="Normal 4 3 2 2 2" xfId="369" xr:uid="{00000000-0005-0000-0000-00000A140000}"/>
    <cellStyle name="Normal 4 3 2 2 2 10" xfId="8976" xr:uid="{0FDCAA66-DFE8-46D8-8C05-F2B2B66915C4}"/>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CFAFB506-03D9-4DE9-A2C2-F0EA672DAF8B}"/>
    <cellStyle name="Normal 4 3 2 2 2 2 2 2 2 3" xfId="11536" xr:uid="{97CBF3E4-16D8-4981-9065-98A803EA45E4}"/>
    <cellStyle name="Normal 4 3 2 2 2 2 2 2 3" xfId="5159" xr:uid="{00000000-0005-0000-0000-000010140000}"/>
    <cellStyle name="Normal 4 3 2 2 2 2 2 2 3 2" xfId="13609" xr:uid="{07AEF6E0-2A3B-4A95-A0D6-0D69B1927FC9}"/>
    <cellStyle name="Normal 4 3 2 2 2 2 2 2 4" xfId="9391" xr:uid="{601F177C-7BA5-4D47-9057-543765BD8CF6}"/>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6F9A7CAE-EE00-457E-815A-CDDB11007551}"/>
    <cellStyle name="Normal 4 3 2 2 2 2 2 3 2 3" xfId="11949" xr:uid="{1EC24F5E-FD0C-4936-861E-493F1CB7CEC8}"/>
    <cellStyle name="Normal 4 3 2 2 2 2 2 3 3" xfId="5572" xr:uid="{00000000-0005-0000-0000-000014140000}"/>
    <cellStyle name="Normal 4 3 2 2 2 2 2 3 3 2" xfId="14022" xr:uid="{BB56AF0D-E6EC-4DB4-84FB-87BB44E4193E}"/>
    <cellStyle name="Normal 4 3 2 2 2 2 2 3 4" xfId="9804" xr:uid="{5DC47ACE-F639-4C48-90F5-7B9806DFB9CB}"/>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E2007B7E-74B7-41A8-85F1-0ECCF62D1308}"/>
    <cellStyle name="Normal 4 3 2 2 2 2 2 4 2 3" xfId="12362" xr:uid="{1450C365-DD3A-4B6C-9589-88C222DEB5F7}"/>
    <cellStyle name="Normal 4 3 2 2 2 2 2 4 3" xfId="5985" xr:uid="{00000000-0005-0000-0000-000018140000}"/>
    <cellStyle name="Normal 4 3 2 2 2 2 2 4 3 2" xfId="14435" xr:uid="{91D19F4A-20AC-44FB-9C61-E95010350536}"/>
    <cellStyle name="Normal 4 3 2 2 2 2 2 4 4" xfId="10217" xr:uid="{BD630C3F-A6E8-4908-9509-007A879A7823}"/>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4B09CB7C-0795-40F4-83A1-40EB48ACF108}"/>
    <cellStyle name="Normal 4 3 2 2 2 2 2 5 2 3" xfId="12775" xr:uid="{6D7025AC-7A53-4C80-A008-3CBB034CCD5E}"/>
    <cellStyle name="Normal 4 3 2 2 2 2 2 5 3" xfId="6398" xr:uid="{00000000-0005-0000-0000-00001C140000}"/>
    <cellStyle name="Normal 4 3 2 2 2 2 2 5 3 2" xfId="14848" xr:uid="{742ACE81-B822-4001-8786-E6083B253631}"/>
    <cellStyle name="Normal 4 3 2 2 2 2 2 5 4" xfId="10630" xr:uid="{8BFF0AE1-A805-4069-AFCF-5959E5B0FD76}"/>
    <cellStyle name="Normal 4 3 2 2 2 2 2 6" xfId="2528" xr:uid="{00000000-0005-0000-0000-00001D140000}"/>
    <cellStyle name="Normal 4 3 2 2 2 2 2 6 2" xfId="6811" xr:uid="{00000000-0005-0000-0000-00001E140000}"/>
    <cellStyle name="Normal 4 3 2 2 2 2 2 6 2 2" xfId="15261" xr:uid="{C5FAF4EA-0F7D-4885-9011-536F9A79A6E2}"/>
    <cellStyle name="Normal 4 3 2 2 2 2 2 6 3" xfId="11043" xr:uid="{DAFE0CC3-870D-425C-B9CD-36CA80F4DF17}"/>
    <cellStyle name="Normal 4 3 2 2 2 2 2 7" xfId="4746" xr:uid="{00000000-0005-0000-0000-00001F140000}"/>
    <cellStyle name="Normal 4 3 2 2 2 2 2 7 2" xfId="13196" xr:uid="{A0D848D5-0E01-449D-860B-783FC2B00AD4}"/>
    <cellStyle name="Normal 4 3 2 2 2 2 2 8" xfId="8978" xr:uid="{E6902064-8298-41A8-B6C5-F21F24440927}"/>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1D78EBE9-4CBC-49AC-A5B3-FCACF6F43DEC}"/>
    <cellStyle name="Normal 4 3 2 2 2 2 3 2 3" xfId="11535" xr:uid="{83B85B8E-5388-4E2B-B287-55D2D1975472}"/>
    <cellStyle name="Normal 4 3 2 2 2 2 3 3" xfId="5158" xr:uid="{00000000-0005-0000-0000-000023140000}"/>
    <cellStyle name="Normal 4 3 2 2 2 2 3 3 2" xfId="13608" xr:uid="{D9FCA037-5BD2-4E37-AE6B-DCB79C476F7A}"/>
    <cellStyle name="Normal 4 3 2 2 2 2 3 4" xfId="9390" xr:uid="{DEFE26E8-6B01-4F3D-B013-6AC5046DB2D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2204C953-15FA-45B5-9B31-44838D449383}"/>
    <cellStyle name="Normal 4 3 2 2 2 2 4 2 3" xfId="11948" xr:uid="{1F86D3A2-4211-4688-A031-6D944AD20A56}"/>
    <cellStyle name="Normal 4 3 2 2 2 2 4 3" xfId="5571" xr:uid="{00000000-0005-0000-0000-000027140000}"/>
    <cellStyle name="Normal 4 3 2 2 2 2 4 3 2" xfId="14021" xr:uid="{20DC891A-AEC4-4B8B-ABBF-5003893E2B5A}"/>
    <cellStyle name="Normal 4 3 2 2 2 2 4 4" xfId="9803" xr:uid="{807118B1-FE35-4876-BCF2-F18C1D8A53F4}"/>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7121CC93-6E6B-4890-ABB2-F8724F85DFB6}"/>
    <cellStyle name="Normal 4 3 2 2 2 2 5 2 3" xfId="12361" xr:uid="{BEEF098C-D7C6-4655-A302-47F2F9DE6D20}"/>
    <cellStyle name="Normal 4 3 2 2 2 2 5 3" xfId="5984" xr:uid="{00000000-0005-0000-0000-00002B140000}"/>
    <cellStyle name="Normal 4 3 2 2 2 2 5 3 2" xfId="14434" xr:uid="{7CFFE374-1744-4F1A-888E-DCE785CA37A8}"/>
    <cellStyle name="Normal 4 3 2 2 2 2 5 4" xfId="10216" xr:uid="{1C9B6583-8A77-4E26-ADB7-69200BFC3D8B}"/>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B3C1CCDF-1950-463F-AD0B-BE419F32E686}"/>
    <cellStyle name="Normal 4 3 2 2 2 2 6 2 3" xfId="12774" xr:uid="{128659E9-3AEE-4D60-ABFF-03B0F01421DE}"/>
    <cellStyle name="Normal 4 3 2 2 2 2 6 3" xfId="6397" xr:uid="{00000000-0005-0000-0000-00002F140000}"/>
    <cellStyle name="Normal 4 3 2 2 2 2 6 3 2" xfId="14847" xr:uid="{F0512D9F-7E79-416A-BA54-DA97B2833FA6}"/>
    <cellStyle name="Normal 4 3 2 2 2 2 6 4" xfId="10629" xr:uid="{00EA6B20-AE8B-461C-A9E0-D98D56184765}"/>
    <cellStyle name="Normal 4 3 2 2 2 2 7" xfId="2527" xr:uid="{00000000-0005-0000-0000-000030140000}"/>
    <cellStyle name="Normal 4 3 2 2 2 2 7 2" xfId="6810" xr:uid="{00000000-0005-0000-0000-000031140000}"/>
    <cellStyle name="Normal 4 3 2 2 2 2 7 2 2" xfId="15260" xr:uid="{772A14EF-AC07-4DFC-A6DE-0C4E44B55CF3}"/>
    <cellStyle name="Normal 4 3 2 2 2 2 7 3" xfId="11042" xr:uid="{22874BFE-471E-4F98-A667-D27D05D67B06}"/>
    <cellStyle name="Normal 4 3 2 2 2 2 8" xfId="4745" xr:uid="{00000000-0005-0000-0000-000032140000}"/>
    <cellStyle name="Normal 4 3 2 2 2 2 8 2" xfId="13195" xr:uid="{DFED1A0F-DFDE-4B6D-9392-C60DBFCAE14C}"/>
    <cellStyle name="Normal 4 3 2 2 2 2 9" xfId="8977" xr:uid="{C78C2D77-4520-4BF1-BC15-87FA1269DF7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9093C0F5-F0D0-4B6F-92CE-1CC950121C70}"/>
    <cellStyle name="Normal 4 3 2 2 2 3 2 2 3" xfId="11537" xr:uid="{BD467D0F-1FAA-44DA-BB7E-A9B3AF7E5A98}"/>
    <cellStyle name="Normal 4 3 2 2 2 3 2 3" xfId="5160" xr:uid="{00000000-0005-0000-0000-000037140000}"/>
    <cellStyle name="Normal 4 3 2 2 2 3 2 3 2" xfId="13610" xr:uid="{965C3836-1A58-459F-BBDF-61B6FAC012DA}"/>
    <cellStyle name="Normal 4 3 2 2 2 3 2 4" xfId="9392" xr:uid="{63DF7390-C196-4603-8D1C-89711AC836D3}"/>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F59797EC-0273-4400-8C21-6043BAE54BEE}"/>
    <cellStyle name="Normal 4 3 2 2 2 3 3 2 3" xfId="11950" xr:uid="{690CB121-B25B-4304-BF92-7B4EE651BDEF}"/>
    <cellStyle name="Normal 4 3 2 2 2 3 3 3" xfId="5573" xr:uid="{00000000-0005-0000-0000-00003B140000}"/>
    <cellStyle name="Normal 4 3 2 2 2 3 3 3 2" xfId="14023" xr:uid="{082DDB85-7A39-4642-9147-BB584C567AA2}"/>
    <cellStyle name="Normal 4 3 2 2 2 3 3 4" xfId="9805" xr:uid="{A333E912-CA7E-4E8A-977F-A014B489350D}"/>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5377EAF3-75E6-4A01-8965-5B1F31D6D0F2}"/>
    <cellStyle name="Normal 4 3 2 2 2 3 4 2 3" xfId="12363" xr:uid="{F920CCF4-1C5B-4541-9861-10C6C8A3D1CB}"/>
    <cellStyle name="Normal 4 3 2 2 2 3 4 3" xfId="5986" xr:uid="{00000000-0005-0000-0000-00003F140000}"/>
    <cellStyle name="Normal 4 3 2 2 2 3 4 3 2" xfId="14436" xr:uid="{B2FD993D-4B93-45B5-ADAC-A9A81D6A2EA2}"/>
    <cellStyle name="Normal 4 3 2 2 2 3 4 4" xfId="10218" xr:uid="{A8CA22CB-5DC3-4123-9A79-1FE9EEE703A8}"/>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FAAC2728-8993-4418-9381-D0D9F906CBC1}"/>
    <cellStyle name="Normal 4 3 2 2 2 3 5 2 3" xfId="12776" xr:uid="{64D9A269-ACD5-4338-A7B7-5448002DAAF1}"/>
    <cellStyle name="Normal 4 3 2 2 2 3 5 3" xfId="6399" xr:uid="{00000000-0005-0000-0000-000043140000}"/>
    <cellStyle name="Normal 4 3 2 2 2 3 5 3 2" xfId="14849" xr:uid="{7F406847-F448-4434-A410-B2338ABB588E}"/>
    <cellStyle name="Normal 4 3 2 2 2 3 5 4" xfId="10631" xr:uid="{80DFFD98-7E45-4FAB-9F39-DC4ABC18EE1B}"/>
    <cellStyle name="Normal 4 3 2 2 2 3 6" xfId="2529" xr:uid="{00000000-0005-0000-0000-000044140000}"/>
    <cellStyle name="Normal 4 3 2 2 2 3 6 2" xfId="6812" xr:uid="{00000000-0005-0000-0000-000045140000}"/>
    <cellStyle name="Normal 4 3 2 2 2 3 6 2 2" xfId="15262" xr:uid="{A1FB7753-0C5A-400A-B88B-DB3D403EC45E}"/>
    <cellStyle name="Normal 4 3 2 2 2 3 6 3" xfId="11044" xr:uid="{C2148B5A-1094-4764-9C9F-313AED648865}"/>
    <cellStyle name="Normal 4 3 2 2 2 3 7" xfId="4747" xr:uid="{00000000-0005-0000-0000-000046140000}"/>
    <cellStyle name="Normal 4 3 2 2 2 3 7 2" xfId="13197" xr:uid="{4AEDC77E-C4C5-4F44-AB1F-EB6995196D8C}"/>
    <cellStyle name="Normal 4 3 2 2 2 3 8" xfId="8979" xr:uid="{BBAC889A-7B04-42A7-ADDE-32307CDD9729}"/>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F7F37EC1-18BA-4868-A05C-388DB3BA23CC}"/>
    <cellStyle name="Normal 4 3 2 2 2 4 2 3" xfId="11534" xr:uid="{FAAF0CB8-EB5E-41FB-A155-B4C3D8266ABF}"/>
    <cellStyle name="Normal 4 3 2 2 2 4 3" xfId="5157" xr:uid="{00000000-0005-0000-0000-00004A140000}"/>
    <cellStyle name="Normal 4 3 2 2 2 4 3 2" xfId="13607" xr:uid="{73E57304-D84D-4094-9D03-3BC2875AF9EB}"/>
    <cellStyle name="Normal 4 3 2 2 2 4 4" xfId="9389" xr:uid="{780E2286-0AFC-4219-BC36-28764580A81A}"/>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0B4715BC-AC70-4A3D-95B8-15CAF08D50D9}"/>
    <cellStyle name="Normal 4 3 2 2 2 5 2 3" xfId="11947" xr:uid="{B84426F7-719D-4A9F-845B-F6A6DDD30FDA}"/>
    <cellStyle name="Normal 4 3 2 2 2 5 3" xfId="5570" xr:uid="{00000000-0005-0000-0000-00004E140000}"/>
    <cellStyle name="Normal 4 3 2 2 2 5 3 2" xfId="14020" xr:uid="{86F88052-473A-4A45-91D9-FAEA2343DEE6}"/>
    <cellStyle name="Normal 4 3 2 2 2 5 4" xfId="9802" xr:uid="{8C69DBD4-92AB-4777-A796-9CE6EC0C0C4A}"/>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220A72D0-2415-4A4E-9940-076C89D73FDE}"/>
    <cellStyle name="Normal 4 3 2 2 2 6 2 3" xfId="12360" xr:uid="{5D186258-0C9F-4BDF-AC50-203C3F297499}"/>
    <cellStyle name="Normal 4 3 2 2 2 6 3" xfId="5983" xr:uid="{00000000-0005-0000-0000-000052140000}"/>
    <cellStyle name="Normal 4 3 2 2 2 6 3 2" xfId="14433" xr:uid="{90E779C1-2DB1-4AA2-B5E5-261D4B0ACB9C}"/>
    <cellStyle name="Normal 4 3 2 2 2 6 4" xfId="10215" xr:uid="{D5B20BB3-B57B-45FF-A174-D786258CEA81}"/>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43D43512-F420-4051-A18E-9B91708A045E}"/>
    <cellStyle name="Normal 4 3 2 2 2 7 2 3" xfId="12773" xr:uid="{9D5ED748-AF1B-4A19-A6A1-CCAD8006F40A}"/>
    <cellStyle name="Normal 4 3 2 2 2 7 3" xfId="6396" xr:uid="{00000000-0005-0000-0000-000056140000}"/>
    <cellStyle name="Normal 4 3 2 2 2 7 3 2" xfId="14846" xr:uid="{FD19FA69-82C9-40E5-BFBE-0BF5D3D05B03}"/>
    <cellStyle name="Normal 4 3 2 2 2 7 4" xfId="10628" xr:uid="{EC1F02C9-A0FA-49DD-BCE4-03F9D6D64175}"/>
    <cellStyle name="Normal 4 3 2 2 2 8" xfId="2526" xr:uid="{00000000-0005-0000-0000-000057140000}"/>
    <cellStyle name="Normal 4 3 2 2 2 8 2" xfId="6809" xr:uid="{00000000-0005-0000-0000-000058140000}"/>
    <cellStyle name="Normal 4 3 2 2 2 8 2 2" xfId="15259" xr:uid="{57A8D435-48D8-4038-94EA-D14E922DD9F7}"/>
    <cellStyle name="Normal 4 3 2 2 2 8 3" xfId="11041" xr:uid="{36B87290-1FDA-4AEC-B534-D0FE76824AF4}"/>
    <cellStyle name="Normal 4 3 2 2 2 9" xfId="4744" xr:uid="{00000000-0005-0000-0000-000059140000}"/>
    <cellStyle name="Normal 4 3 2 2 2 9 2" xfId="13194" xr:uid="{84206127-A4FE-41AB-B73B-150082C966E3}"/>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2B944852-7D20-4B04-AFFB-4B48FBAA99D6}"/>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01AA3190-1288-4408-8793-3343B8A88CD9}"/>
    <cellStyle name="Normal 4 3 3 2 2 2 2 3" xfId="11540" xr:uid="{2D2BFB87-7EFE-4E80-B5D5-2BBFC116396A}"/>
    <cellStyle name="Normal 4 3 3 2 2 2 3" xfId="5163" xr:uid="{00000000-0005-0000-0000-000063140000}"/>
    <cellStyle name="Normal 4 3 3 2 2 2 3 2" xfId="13613" xr:uid="{433C6E49-8054-4240-8BEE-F08F4994CA03}"/>
    <cellStyle name="Normal 4 3 3 2 2 2 4" xfId="9395" xr:uid="{7323FB0E-08F5-44F5-8148-62152EDEA525}"/>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99C63DC2-EEE9-476A-AC6E-25AE49C993F6}"/>
    <cellStyle name="Normal 4 3 3 2 2 3 2 3" xfId="11953" xr:uid="{C6558C9D-2753-4B40-85C2-59EB4A92318B}"/>
    <cellStyle name="Normal 4 3 3 2 2 3 3" xfId="5576" xr:uid="{00000000-0005-0000-0000-000067140000}"/>
    <cellStyle name="Normal 4 3 3 2 2 3 3 2" xfId="14026" xr:uid="{9E0CF957-4F52-4370-B42B-AB1F44F9866C}"/>
    <cellStyle name="Normal 4 3 3 2 2 3 4" xfId="9808" xr:uid="{C4CB460A-590D-48CC-85A1-C472608E7CC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156B9A2C-9CE4-478E-8415-3444A8B943B4}"/>
    <cellStyle name="Normal 4 3 3 2 2 4 2 3" xfId="12366" xr:uid="{75D2EB05-CF06-4864-8EC1-6CE507CA6893}"/>
    <cellStyle name="Normal 4 3 3 2 2 4 3" xfId="5989" xr:uid="{00000000-0005-0000-0000-00006B140000}"/>
    <cellStyle name="Normal 4 3 3 2 2 4 3 2" xfId="14439" xr:uid="{5A3D16AF-7A52-4476-A9C1-1B0CC8F5AEB3}"/>
    <cellStyle name="Normal 4 3 3 2 2 4 4" xfId="10221" xr:uid="{E92632CD-3050-47EC-9E75-05BA6ED1BCEC}"/>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837C23FD-7FEF-4847-A281-971E8CA391D8}"/>
    <cellStyle name="Normal 4 3 3 2 2 5 2 3" xfId="12779" xr:uid="{F048A4F2-9790-4CD2-8D69-5933BAD83C86}"/>
    <cellStyle name="Normal 4 3 3 2 2 5 3" xfId="6402" xr:uid="{00000000-0005-0000-0000-00006F140000}"/>
    <cellStyle name="Normal 4 3 3 2 2 5 3 2" xfId="14852" xr:uid="{99D28343-6D18-4756-9262-CBE84AA1F74A}"/>
    <cellStyle name="Normal 4 3 3 2 2 5 4" xfId="10634" xr:uid="{68A590E1-E95D-46B3-B5BE-D12645441B8A}"/>
    <cellStyle name="Normal 4 3 3 2 2 6" xfId="2532" xr:uid="{00000000-0005-0000-0000-000070140000}"/>
    <cellStyle name="Normal 4 3 3 2 2 6 2" xfId="6815" xr:uid="{00000000-0005-0000-0000-000071140000}"/>
    <cellStyle name="Normal 4 3 3 2 2 6 2 2" xfId="15265" xr:uid="{30EF6452-FE51-4ED9-ACDC-EF05FF1DC203}"/>
    <cellStyle name="Normal 4 3 3 2 2 6 3" xfId="11047" xr:uid="{687624F8-E7BD-464A-92B7-EC247D12C10A}"/>
    <cellStyle name="Normal 4 3 3 2 2 7" xfId="4750" xr:uid="{00000000-0005-0000-0000-000072140000}"/>
    <cellStyle name="Normal 4 3 3 2 2 7 2" xfId="13200" xr:uid="{2AE3E4DB-5920-4C2F-84DF-A99FA94FF5C5}"/>
    <cellStyle name="Normal 4 3 3 2 2 8" xfId="8982" xr:uid="{1A537DFF-4C2D-4B00-9424-019F18FD536E}"/>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37262846-5D55-4754-A99E-CBE6E3F35EA1}"/>
    <cellStyle name="Normal 4 3 3 2 3 2 3" xfId="11539" xr:uid="{77DA1B3C-ACFF-4A82-B3EF-7F0FFED29B7E}"/>
    <cellStyle name="Normal 4 3 3 2 3 3" xfId="5162" xr:uid="{00000000-0005-0000-0000-000076140000}"/>
    <cellStyle name="Normal 4 3 3 2 3 3 2" xfId="13612" xr:uid="{AF55341B-3F52-46D2-BF3C-21E6E64B4659}"/>
    <cellStyle name="Normal 4 3 3 2 3 4" xfId="9394" xr:uid="{580F8F47-48FC-4C30-BFAF-923E901F8FF6}"/>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CE198C70-79F4-4B87-A1D5-4DE8D5DEDBF1}"/>
    <cellStyle name="Normal 4 3 3 2 4 2 3" xfId="11952" xr:uid="{3DBEF8F4-5A33-47FE-BEE3-6E378717D070}"/>
    <cellStyle name="Normal 4 3 3 2 4 3" xfId="5575" xr:uid="{00000000-0005-0000-0000-00007A140000}"/>
    <cellStyle name="Normal 4 3 3 2 4 3 2" xfId="14025" xr:uid="{E12717E8-697F-4E81-BA13-61BC240E87A4}"/>
    <cellStyle name="Normal 4 3 3 2 4 4" xfId="9807" xr:uid="{B85E7364-0EB8-40A9-8DB6-5C326B0A5C1D}"/>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3C83E9A8-F98C-4549-856D-E9961C98ACBB}"/>
    <cellStyle name="Normal 4 3 3 2 5 2 3" xfId="12365" xr:uid="{FA03DF3A-0740-475A-B446-A67DC1599B7A}"/>
    <cellStyle name="Normal 4 3 3 2 5 3" xfId="5988" xr:uid="{00000000-0005-0000-0000-00007E140000}"/>
    <cellStyle name="Normal 4 3 3 2 5 3 2" xfId="14438" xr:uid="{DEFCD11A-AB37-49D8-8BE9-26E79A53FDB4}"/>
    <cellStyle name="Normal 4 3 3 2 5 4" xfId="10220" xr:uid="{28E0C9EA-70DB-4494-BA9B-43E1F0720876}"/>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6D79373C-1010-4A1D-97C1-63274F395D53}"/>
    <cellStyle name="Normal 4 3 3 2 6 2 3" xfId="12778" xr:uid="{F2D4F4CE-6B73-4CB5-8ABA-B736CF501379}"/>
    <cellStyle name="Normal 4 3 3 2 6 3" xfId="6401" xr:uid="{00000000-0005-0000-0000-000082140000}"/>
    <cellStyle name="Normal 4 3 3 2 6 3 2" xfId="14851" xr:uid="{D1BB3DB1-820B-4CE7-9790-4CED7F57633C}"/>
    <cellStyle name="Normal 4 3 3 2 6 4" xfId="10633" xr:uid="{00860188-D5CC-4D56-ACBA-3D6EBEB3A144}"/>
    <cellStyle name="Normal 4 3 3 2 7" xfId="2531" xr:uid="{00000000-0005-0000-0000-000083140000}"/>
    <cellStyle name="Normal 4 3 3 2 7 2" xfId="6814" xr:uid="{00000000-0005-0000-0000-000084140000}"/>
    <cellStyle name="Normal 4 3 3 2 7 2 2" xfId="15264" xr:uid="{1F24A87D-42D1-491C-BDFD-A0E8F0A0C565}"/>
    <cellStyle name="Normal 4 3 3 2 7 3" xfId="11046" xr:uid="{8CBE571A-96FB-4E43-A4FB-B2D7BF6952A7}"/>
    <cellStyle name="Normal 4 3 3 2 8" xfId="4749" xr:uid="{00000000-0005-0000-0000-000085140000}"/>
    <cellStyle name="Normal 4 3 3 2 8 2" xfId="13199" xr:uid="{D8D0BF08-A355-4FC5-8319-7AFE2C14988A}"/>
    <cellStyle name="Normal 4 3 3 2 9" xfId="8981" xr:uid="{C26F8B60-CA46-4DF8-AB1E-B224CF78AF63}"/>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880C4138-35BE-4F38-844A-7273F24A2BAE}"/>
    <cellStyle name="Normal 4 3 3 3 2 2 3" xfId="11541" xr:uid="{433D8032-B102-49BC-86DB-1755AD566405}"/>
    <cellStyle name="Normal 4 3 3 3 2 3" xfId="5164" xr:uid="{00000000-0005-0000-0000-00008A140000}"/>
    <cellStyle name="Normal 4 3 3 3 2 3 2" xfId="13614" xr:uid="{3D091F9E-F0AE-4868-8C88-D1D77F6DC0B6}"/>
    <cellStyle name="Normal 4 3 3 3 2 4" xfId="9396" xr:uid="{338D6E1C-9686-47A2-917D-DCC365F3D49F}"/>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DFED9599-6DD6-40B8-9045-299E66200951}"/>
    <cellStyle name="Normal 4 3 3 3 3 2 3" xfId="11954" xr:uid="{CA648952-6ED6-483A-B89C-E76EE4A1528A}"/>
    <cellStyle name="Normal 4 3 3 3 3 3" xfId="5577" xr:uid="{00000000-0005-0000-0000-00008E140000}"/>
    <cellStyle name="Normal 4 3 3 3 3 3 2" xfId="14027" xr:uid="{477B45AE-39F1-414E-9603-592601A336B4}"/>
    <cellStyle name="Normal 4 3 3 3 3 4" xfId="9809" xr:uid="{8E1664B0-D0CA-44BC-9468-8F90692813DE}"/>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C522278F-2D80-4946-A6AB-391B95D26842}"/>
    <cellStyle name="Normal 4 3 3 3 4 2 3" xfId="12367" xr:uid="{EE4B0612-EDB4-4108-BB0D-1EBAF18B9C04}"/>
    <cellStyle name="Normal 4 3 3 3 4 3" xfId="5990" xr:uid="{00000000-0005-0000-0000-000092140000}"/>
    <cellStyle name="Normal 4 3 3 3 4 3 2" xfId="14440" xr:uid="{D1073A66-B6DF-49F6-9087-A0C626E102A5}"/>
    <cellStyle name="Normal 4 3 3 3 4 4" xfId="10222" xr:uid="{97C5904C-5DD9-445F-AC40-D024B3AC59D4}"/>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FFC92E01-00A3-4AB0-9C1F-167BCF202F5C}"/>
    <cellStyle name="Normal 4 3 3 3 5 2 3" xfId="12780" xr:uid="{D0845BD6-0EB2-4482-91FC-C9675011F873}"/>
    <cellStyle name="Normal 4 3 3 3 5 3" xfId="6403" xr:uid="{00000000-0005-0000-0000-000096140000}"/>
    <cellStyle name="Normal 4 3 3 3 5 3 2" xfId="14853" xr:uid="{54CF920B-499C-4449-A637-A4A57069C59D}"/>
    <cellStyle name="Normal 4 3 3 3 5 4" xfId="10635" xr:uid="{426EB83A-70B8-4BCA-A9A2-E779572BDCFD}"/>
    <cellStyle name="Normal 4 3 3 3 6" xfId="2533" xr:uid="{00000000-0005-0000-0000-000097140000}"/>
    <cellStyle name="Normal 4 3 3 3 6 2" xfId="6816" xr:uid="{00000000-0005-0000-0000-000098140000}"/>
    <cellStyle name="Normal 4 3 3 3 6 2 2" xfId="15266" xr:uid="{6FDA81F8-E3EF-459F-85AF-DE177FB94F54}"/>
    <cellStyle name="Normal 4 3 3 3 6 3" xfId="11048" xr:uid="{3696EED4-8C3D-4632-97B8-DBE11B260304}"/>
    <cellStyle name="Normal 4 3 3 3 7" xfId="4751" xr:uid="{00000000-0005-0000-0000-000099140000}"/>
    <cellStyle name="Normal 4 3 3 3 7 2" xfId="13201" xr:uid="{3C9CF341-2ABB-40AD-92F5-076B37F2F908}"/>
    <cellStyle name="Normal 4 3 3 3 8" xfId="8983" xr:uid="{8F67FAB6-326A-4089-8DF9-E6484032346F}"/>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7631A736-AA0F-4CE0-B3DA-4390253B35E5}"/>
    <cellStyle name="Normal 4 3 3 4 2 3" xfId="11538" xr:uid="{D7A1B041-0980-43B0-92AF-1FAB75AD73BC}"/>
    <cellStyle name="Normal 4 3 3 4 3" xfId="5161" xr:uid="{00000000-0005-0000-0000-00009D140000}"/>
    <cellStyle name="Normal 4 3 3 4 3 2" xfId="13611" xr:uid="{03B58244-F7C3-4AB5-8564-863A3E91A9F0}"/>
    <cellStyle name="Normal 4 3 3 4 4" xfId="9393" xr:uid="{4ED49175-1AC6-4A3E-9654-6BE857F33794}"/>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E5CEF64D-3A4E-45F7-87B0-9DFA25424759}"/>
    <cellStyle name="Normal 4 3 3 5 2 3" xfId="11951" xr:uid="{D1E474C2-D4FC-43E1-8891-2F9BA75676F9}"/>
    <cellStyle name="Normal 4 3 3 5 3" xfId="5574" xr:uid="{00000000-0005-0000-0000-0000A1140000}"/>
    <cellStyle name="Normal 4 3 3 5 3 2" xfId="14024" xr:uid="{41937F71-BFB5-4C35-8C1C-AD760A69C5E8}"/>
    <cellStyle name="Normal 4 3 3 5 4" xfId="9806" xr:uid="{CB35FBA5-1D8D-4DE2-8242-4D795859F5DE}"/>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B62BC870-DF51-4070-B01F-3DB75782551B}"/>
    <cellStyle name="Normal 4 3 3 6 2 3" xfId="12364" xr:uid="{004E0A54-DB36-473E-9B50-B8A0EDC47C8D}"/>
    <cellStyle name="Normal 4 3 3 6 3" xfId="5987" xr:uid="{00000000-0005-0000-0000-0000A5140000}"/>
    <cellStyle name="Normal 4 3 3 6 3 2" xfId="14437" xr:uid="{52524957-465B-41E0-AEF3-AFDE538920F4}"/>
    <cellStyle name="Normal 4 3 3 6 4" xfId="10219" xr:uid="{CE976EDC-0A62-42B8-B5CB-6A7ECC08D248}"/>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2797B86F-1BE2-48DA-9014-CE087491E598}"/>
    <cellStyle name="Normal 4 3 3 7 2 3" xfId="12777" xr:uid="{5802BF65-2FFB-4204-9026-BE99BCF4250E}"/>
    <cellStyle name="Normal 4 3 3 7 3" xfId="6400" xr:uid="{00000000-0005-0000-0000-0000A9140000}"/>
    <cellStyle name="Normal 4 3 3 7 3 2" xfId="14850" xr:uid="{53640222-9BF5-4148-8DD1-96DD93031E9B}"/>
    <cellStyle name="Normal 4 3 3 7 4" xfId="10632" xr:uid="{0548CFC5-4E34-4A8C-B9CC-7A49DBFCF40B}"/>
    <cellStyle name="Normal 4 3 3 8" xfId="2530" xr:uid="{00000000-0005-0000-0000-0000AA140000}"/>
    <cellStyle name="Normal 4 3 3 8 2" xfId="6813" xr:uid="{00000000-0005-0000-0000-0000AB140000}"/>
    <cellStyle name="Normal 4 3 3 8 2 2" xfId="15263" xr:uid="{2C25A4E3-46BF-4C42-A832-184FCE003BB6}"/>
    <cellStyle name="Normal 4 3 3 8 3" xfId="11045" xr:uid="{B5A8DFE0-E552-466C-8144-DFC8EF6121F6}"/>
    <cellStyle name="Normal 4 3 3 9" xfId="4748" xr:uid="{00000000-0005-0000-0000-0000AC140000}"/>
    <cellStyle name="Normal 4 3 3 9 2" xfId="13198" xr:uid="{6C8B16EF-447C-4D77-96D1-62F74D3B5C62}"/>
    <cellStyle name="Normal 4 3 4" xfId="842" xr:uid="{00000000-0005-0000-0000-0000AD140000}"/>
    <cellStyle name="Normal 4 3 4 2" xfId="3079" xr:uid="{00000000-0005-0000-0000-0000AE140000}"/>
    <cellStyle name="Normal 4 3 4 2 2" xfId="7301" xr:uid="{00000000-0005-0000-0000-0000AF140000}"/>
    <cellStyle name="Normal 4 3 4 2 2 2" xfId="15751" xr:uid="{FF95DA9A-272C-4114-9BB2-227A09C21E51}"/>
    <cellStyle name="Normal 4 3 4 2 3" xfId="11533" xr:uid="{4D639C10-4433-42C6-9BF9-C6BD6ACB5B54}"/>
    <cellStyle name="Normal 4 3 4 3" xfId="5156" xr:uid="{00000000-0005-0000-0000-0000B0140000}"/>
    <cellStyle name="Normal 4 3 4 3 2" xfId="13606" xr:uid="{DEA3EE02-2328-42DE-9820-49653ACE32A8}"/>
    <cellStyle name="Normal 4 3 4 4" xfId="9388" xr:uid="{A6CCA948-D2C2-487B-B37E-CF1AB6C0CFF7}"/>
    <cellStyle name="Normal 4 3 5" xfId="1262" xr:uid="{00000000-0005-0000-0000-0000B1140000}"/>
    <cellStyle name="Normal 4 3 5 2" xfId="3492" xr:uid="{00000000-0005-0000-0000-0000B2140000}"/>
    <cellStyle name="Normal 4 3 5 2 2" xfId="7714" xr:uid="{00000000-0005-0000-0000-0000B3140000}"/>
    <cellStyle name="Normal 4 3 5 2 2 2" xfId="16164" xr:uid="{F9E5FF66-348F-4873-AD6F-5961FD21CB96}"/>
    <cellStyle name="Normal 4 3 5 2 3" xfId="11946" xr:uid="{D1859C7A-0EAF-446C-998D-0DC7F680D6F5}"/>
    <cellStyle name="Normal 4 3 5 3" xfId="5569" xr:uid="{00000000-0005-0000-0000-0000B4140000}"/>
    <cellStyle name="Normal 4 3 5 3 2" xfId="14019" xr:uid="{AA01A2FE-45CF-4075-8916-00A07ACAAAD8}"/>
    <cellStyle name="Normal 4 3 5 4" xfId="9801" xr:uid="{81019253-1378-44E9-BEF7-5CA0F419FDB4}"/>
    <cellStyle name="Normal 4 3 6" xfId="1675" xr:uid="{00000000-0005-0000-0000-0000B5140000}"/>
    <cellStyle name="Normal 4 3 6 2" xfId="3905" xr:uid="{00000000-0005-0000-0000-0000B6140000}"/>
    <cellStyle name="Normal 4 3 6 2 2" xfId="8127" xr:uid="{00000000-0005-0000-0000-0000B7140000}"/>
    <cellStyle name="Normal 4 3 6 2 2 2" xfId="16577" xr:uid="{9D5708C2-F021-4C76-8161-4E09DB20DFAC}"/>
    <cellStyle name="Normal 4 3 6 2 3" xfId="12359" xr:uid="{CAB74CD5-6E1C-4252-B2BB-559554A2B10C}"/>
    <cellStyle name="Normal 4 3 6 3" xfId="5982" xr:uid="{00000000-0005-0000-0000-0000B8140000}"/>
    <cellStyle name="Normal 4 3 6 3 2" xfId="14432" xr:uid="{28851570-D809-46FC-BFAE-743BE54A145E}"/>
    <cellStyle name="Normal 4 3 6 4" xfId="10214" xr:uid="{7C5B64B5-2EA5-42E2-BD57-7EB64600E987}"/>
    <cellStyle name="Normal 4 3 7" xfId="2089" xr:uid="{00000000-0005-0000-0000-0000B9140000}"/>
    <cellStyle name="Normal 4 3 7 2" xfId="4318" xr:uid="{00000000-0005-0000-0000-0000BA140000}"/>
    <cellStyle name="Normal 4 3 7 2 2" xfId="8540" xr:uid="{00000000-0005-0000-0000-0000BB140000}"/>
    <cellStyle name="Normal 4 3 7 2 2 2" xfId="16990" xr:uid="{DE3E412F-A834-490B-B767-12987F451FF9}"/>
    <cellStyle name="Normal 4 3 7 2 3" xfId="12772" xr:uid="{D5029028-3F05-4FB3-B535-3BE630D7F5E9}"/>
    <cellStyle name="Normal 4 3 7 3" xfId="6395" xr:uid="{00000000-0005-0000-0000-0000BC140000}"/>
    <cellStyle name="Normal 4 3 7 3 2" xfId="14845" xr:uid="{2FDF5AE5-6086-447F-BF66-9ECB2A0A32CC}"/>
    <cellStyle name="Normal 4 3 7 4" xfId="10627" xr:uid="{FB9AD0AE-DF55-4D89-8AA6-4A387E406505}"/>
    <cellStyle name="Normal 4 3 8" xfId="2525" xr:uid="{00000000-0005-0000-0000-0000BD140000}"/>
    <cellStyle name="Normal 4 3 8 2" xfId="6808" xr:uid="{00000000-0005-0000-0000-0000BE140000}"/>
    <cellStyle name="Normal 4 3 8 2 2" xfId="15258" xr:uid="{332AEA79-8687-4006-A172-985579C5AC01}"/>
    <cellStyle name="Normal 4 3 8 3" xfId="11040" xr:uid="{8C2C6706-EBAB-4F9D-9B52-455F170E146A}"/>
    <cellStyle name="Normal 4 3 9" xfId="4743" xr:uid="{00000000-0005-0000-0000-0000BF140000}"/>
    <cellStyle name="Normal 4 3 9 2" xfId="13193" xr:uid="{EEAC57B0-99BB-425D-ADDE-A48133B17DC0}"/>
    <cellStyle name="Normal 4 4" xfId="378" xr:uid="{00000000-0005-0000-0000-0000C0140000}"/>
    <cellStyle name="Normal 4 4 10" xfId="2534" xr:uid="{00000000-0005-0000-0000-0000C1140000}"/>
    <cellStyle name="Normal 4 4 10 2" xfId="6817" xr:uid="{00000000-0005-0000-0000-0000C2140000}"/>
    <cellStyle name="Normal 4 4 10 2 2" xfId="15267" xr:uid="{DBAE8882-4F22-42D9-BE69-92C538198016}"/>
    <cellStyle name="Normal 4 4 10 3" xfId="11049" xr:uid="{E434C3AF-8D69-4EBD-BEED-A314232FEB41}"/>
    <cellStyle name="Normal 4 4 11" xfId="4752" xr:uid="{00000000-0005-0000-0000-0000C3140000}"/>
    <cellStyle name="Normal 4 4 11 2" xfId="13202" xr:uid="{1D8887D0-E594-4A9F-9279-1DDB7EB15C62}"/>
    <cellStyle name="Normal 4 4 12" xfId="8984" xr:uid="{67EE5A3E-6D94-4C67-B17D-008083AF94E0}"/>
    <cellStyle name="Normal 4 4 2" xfId="379" xr:uid="{00000000-0005-0000-0000-0000C4140000}"/>
    <cellStyle name="Normal 4 4 2 10" xfId="4753" xr:uid="{00000000-0005-0000-0000-0000C5140000}"/>
    <cellStyle name="Normal 4 4 2 10 2" xfId="13203" xr:uid="{77077740-26B6-4FBB-A42B-799E40EAD270}"/>
    <cellStyle name="Normal 4 4 2 11" xfId="8985" xr:uid="{E499E13B-1567-436A-BD13-57F9E2DDA0C4}"/>
    <cellStyle name="Normal 4 4 2 2" xfId="380" xr:uid="{00000000-0005-0000-0000-0000C6140000}"/>
    <cellStyle name="Normal 4 4 2 2 10" xfId="8986" xr:uid="{FF74D7A2-C8BB-4C3C-8F39-1CAFC05368D7}"/>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DBB841D7-9953-49F5-AF6D-5048CBD43A77}"/>
    <cellStyle name="Normal 4 4 2 2 2 2 2 2 3" xfId="11546" xr:uid="{32F27FDB-903C-418F-8C61-5E9A30154344}"/>
    <cellStyle name="Normal 4 4 2 2 2 2 2 3" xfId="5169" xr:uid="{00000000-0005-0000-0000-0000CC140000}"/>
    <cellStyle name="Normal 4 4 2 2 2 2 2 3 2" xfId="13619" xr:uid="{7B86F325-E7EE-4FCE-BE70-37304869B603}"/>
    <cellStyle name="Normal 4 4 2 2 2 2 2 4" xfId="9401" xr:uid="{29256D35-0256-4543-B0BB-30ACD8B385CE}"/>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67F55AF1-795A-4015-96B1-0372B1958D81}"/>
    <cellStyle name="Normal 4 4 2 2 2 2 3 2 3" xfId="11959" xr:uid="{764C5141-E29C-4214-A4DB-ACDB4E6F46F0}"/>
    <cellStyle name="Normal 4 4 2 2 2 2 3 3" xfId="5582" xr:uid="{00000000-0005-0000-0000-0000D0140000}"/>
    <cellStyle name="Normal 4 4 2 2 2 2 3 3 2" xfId="14032" xr:uid="{4F9D13FE-77E6-4D80-94A7-FCBEE2A6EC3F}"/>
    <cellStyle name="Normal 4 4 2 2 2 2 3 4" xfId="9814" xr:uid="{BC9AB7DD-B831-4F54-B36B-776D65A63288}"/>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ADDBC0B0-35AC-4F4C-BA5C-62E4B8ABF6C3}"/>
    <cellStyle name="Normal 4 4 2 2 2 2 4 2 3" xfId="12372" xr:uid="{A748A386-1DC2-4348-A621-6DB021601E3F}"/>
    <cellStyle name="Normal 4 4 2 2 2 2 4 3" xfId="5995" xr:uid="{00000000-0005-0000-0000-0000D4140000}"/>
    <cellStyle name="Normal 4 4 2 2 2 2 4 3 2" xfId="14445" xr:uid="{15E67D0E-564D-445C-A54C-20F74DF11515}"/>
    <cellStyle name="Normal 4 4 2 2 2 2 4 4" xfId="10227" xr:uid="{9E8C9A9D-213F-45E0-9290-6ED6E7178BF9}"/>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F45D410B-1294-4A5D-A2C5-FE7DBD43898B}"/>
    <cellStyle name="Normal 4 4 2 2 2 2 5 2 3" xfId="12785" xr:uid="{2C16928C-DFC8-42FD-A033-05AD8C140838}"/>
    <cellStyle name="Normal 4 4 2 2 2 2 5 3" xfId="6408" xr:uid="{00000000-0005-0000-0000-0000D8140000}"/>
    <cellStyle name="Normal 4 4 2 2 2 2 5 3 2" xfId="14858" xr:uid="{8AE1D54A-FF23-4A2D-84F0-160548EFAEC6}"/>
    <cellStyle name="Normal 4 4 2 2 2 2 5 4" xfId="10640" xr:uid="{A86FAE90-E6C1-4ED9-B13A-12F9DBD4F558}"/>
    <cellStyle name="Normal 4 4 2 2 2 2 6" xfId="2538" xr:uid="{00000000-0005-0000-0000-0000D9140000}"/>
    <cellStyle name="Normal 4 4 2 2 2 2 6 2" xfId="6821" xr:uid="{00000000-0005-0000-0000-0000DA140000}"/>
    <cellStyle name="Normal 4 4 2 2 2 2 6 2 2" xfId="15271" xr:uid="{43CE187E-A43E-4ED3-8E84-30D21D0EFDB1}"/>
    <cellStyle name="Normal 4 4 2 2 2 2 6 3" xfId="11053" xr:uid="{E9690E05-3684-426B-A5A0-DA55122F4EC1}"/>
    <cellStyle name="Normal 4 4 2 2 2 2 7" xfId="4756" xr:uid="{00000000-0005-0000-0000-0000DB140000}"/>
    <cellStyle name="Normal 4 4 2 2 2 2 7 2" xfId="13206" xr:uid="{31F3524D-C795-4CAE-81AE-BCFAE162B69E}"/>
    <cellStyle name="Normal 4 4 2 2 2 2 8" xfId="8988" xr:uid="{AA8B9A64-33D9-45AB-BF81-0BDF4851D129}"/>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515B9118-44C3-4267-89BB-843F4D74011B}"/>
    <cellStyle name="Normal 4 4 2 2 2 3 2 3" xfId="11545" xr:uid="{2EDF791F-D1C8-4702-9145-FB140EFF3826}"/>
    <cellStyle name="Normal 4 4 2 2 2 3 3" xfId="5168" xr:uid="{00000000-0005-0000-0000-0000DF140000}"/>
    <cellStyle name="Normal 4 4 2 2 2 3 3 2" xfId="13618" xr:uid="{28B764B3-A649-48D2-B630-2AF3C58BC401}"/>
    <cellStyle name="Normal 4 4 2 2 2 3 4" xfId="9400" xr:uid="{198D3F71-E4FC-4061-9688-9C54134AF1BB}"/>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A7AB26E9-C509-43DA-89F0-D004F4B1B2B4}"/>
    <cellStyle name="Normal 4 4 2 2 2 4 2 3" xfId="11958" xr:uid="{B6706CA0-DF65-4114-8E06-59715F607546}"/>
    <cellStyle name="Normal 4 4 2 2 2 4 3" xfId="5581" xr:uid="{00000000-0005-0000-0000-0000E3140000}"/>
    <cellStyle name="Normal 4 4 2 2 2 4 3 2" xfId="14031" xr:uid="{157AB7D9-757D-4F9A-873C-17C2A485BBFC}"/>
    <cellStyle name="Normal 4 4 2 2 2 4 4" xfId="9813" xr:uid="{2F1B495A-442D-47A4-A581-3CF849030A1D}"/>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FCF738B2-ACD6-45FA-889E-6421225134D5}"/>
    <cellStyle name="Normal 4 4 2 2 2 5 2 3" xfId="12371" xr:uid="{61CF69BD-D957-4BE2-ACA5-9AC22AA91325}"/>
    <cellStyle name="Normal 4 4 2 2 2 5 3" xfId="5994" xr:uid="{00000000-0005-0000-0000-0000E7140000}"/>
    <cellStyle name="Normal 4 4 2 2 2 5 3 2" xfId="14444" xr:uid="{D6F019C4-A5D5-4F9C-BD7B-F8120BCDDF91}"/>
    <cellStyle name="Normal 4 4 2 2 2 5 4" xfId="10226" xr:uid="{9673F617-BD9A-463C-98F8-CDB6C2E2745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19A6A4DF-318F-4857-8270-54BC456833DE}"/>
    <cellStyle name="Normal 4 4 2 2 2 6 2 3" xfId="12784" xr:uid="{C7FDCCB3-AD24-41D4-986C-9FBC6BC142C5}"/>
    <cellStyle name="Normal 4 4 2 2 2 6 3" xfId="6407" xr:uid="{00000000-0005-0000-0000-0000EB140000}"/>
    <cellStyle name="Normal 4 4 2 2 2 6 3 2" xfId="14857" xr:uid="{5249D8D0-34F2-4F7A-8CC4-DE6DEB2F8A52}"/>
    <cellStyle name="Normal 4 4 2 2 2 6 4" xfId="10639" xr:uid="{571A926B-94DD-4196-87B7-F9AA164E853C}"/>
    <cellStyle name="Normal 4 4 2 2 2 7" xfId="2537" xr:uid="{00000000-0005-0000-0000-0000EC140000}"/>
    <cellStyle name="Normal 4 4 2 2 2 7 2" xfId="6820" xr:uid="{00000000-0005-0000-0000-0000ED140000}"/>
    <cellStyle name="Normal 4 4 2 2 2 7 2 2" xfId="15270" xr:uid="{42E795CA-B6DD-4B91-B78B-BF9E745C64E0}"/>
    <cellStyle name="Normal 4 4 2 2 2 7 3" xfId="11052" xr:uid="{7C0D3ADF-5413-4EA0-BC7A-915747E0BAB1}"/>
    <cellStyle name="Normal 4 4 2 2 2 8" xfId="4755" xr:uid="{00000000-0005-0000-0000-0000EE140000}"/>
    <cellStyle name="Normal 4 4 2 2 2 8 2" xfId="13205" xr:uid="{C6622A07-8F06-4F04-9B83-D6354FDB8073}"/>
    <cellStyle name="Normal 4 4 2 2 2 9" xfId="8987" xr:uid="{009BE049-41A6-4D2D-B4BA-E93E7120BB2D}"/>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E91D208A-1BF9-46FF-A851-2E9A0134E0A6}"/>
    <cellStyle name="Normal 4 4 2 2 3 2 2 3" xfId="11547" xr:uid="{07BB2DC4-D05E-4899-BCC5-F3BEB78B1837}"/>
    <cellStyle name="Normal 4 4 2 2 3 2 3" xfId="5170" xr:uid="{00000000-0005-0000-0000-0000F3140000}"/>
    <cellStyle name="Normal 4 4 2 2 3 2 3 2" xfId="13620" xr:uid="{1A605817-1AFA-45C0-A7B5-E2A7F66811F7}"/>
    <cellStyle name="Normal 4 4 2 2 3 2 4" xfId="9402" xr:uid="{27B73EFE-2741-49AF-BB41-54698AE98145}"/>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22844CDC-DA74-41DB-9AFB-95CA2CB3A62F}"/>
    <cellStyle name="Normal 4 4 2 2 3 3 2 3" xfId="11960" xr:uid="{183F804C-F3B8-47FC-AD41-E5C69357E728}"/>
    <cellStyle name="Normal 4 4 2 2 3 3 3" xfId="5583" xr:uid="{00000000-0005-0000-0000-0000F7140000}"/>
    <cellStyle name="Normal 4 4 2 2 3 3 3 2" xfId="14033" xr:uid="{D281C4F7-A64F-4B14-A432-B53B38A0C214}"/>
    <cellStyle name="Normal 4 4 2 2 3 3 4" xfId="9815" xr:uid="{CA86D8B5-42FD-4C4E-B5FE-6200D7C69C7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69482DAD-5CA8-4770-9C4C-001C1B8FC8AC}"/>
    <cellStyle name="Normal 4 4 2 2 3 4 2 3" xfId="12373" xr:uid="{198FDF31-36A3-4383-91F6-2069C39FD23C}"/>
    <cellStyle name="Normal 4 4 2 2 3 4 3" xfId="5996" xr:uid="{00000000-0005-0000-0000-0000FB140000}"/>
    <cellStyle name="Normal 4 4 2 2 3 4 3 2" xfId="14446" xr:uid="{6C883345-7B7D-408B-BEFF-60369222424E}"/>
    <cellStyle name="Normal 4 4 2 2 3 4 4" xfId="10228" xr:uid="{CA5560CD-F5A5-4932-95CB-549D0D6DC428}"/>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47B698BA-CDC4-42CE-A5FA-DD1C3E047CFF}"/>
    <cellStyle name="Normal 4 4 2 2 3 5 2 3" xfId="12786" xr:uid="{EFCF80F9-6440-40BE-ABA4-7CEB0F794EA8}"/>
    <cellStyle name="Normal 4 4 2 2 3 5 3" xfId="6409" xr:uid="{00000000-0005-0000-0000-0000FF140000}"/>
    <cellStyle name="Normal 4 4 2 2 3 5 3 2" xfId="14859" xr:uid="{CF683B5A-C5CA-47D6-A716-B0DB79AEB483}"/>
    <cellStyle name="Normal 4 4 2 2 3 5 4" xfId="10641" xr:uid="{26FA7753-32B6-4B76-8F96-B8F73D59B5F2}"/>
    <cellStyle name="Normal 4 4 2 2 3 6" xfId="2539" xr:uid="{00000000-0005-0000-0000-000000150000}"/>
    <cellStyle name="Normal 4 4 2 2 3 6 2" xfId="6822" xr:uid="{00000000-0005-0000-0000-000001150000}"/>
    <cellStyle name="Normal 4 4 2 2 3 6 2 2" xfId="15272" xr:uid="{544CE46C-09DD-4E2B-B0DD-D9824ED702EF}"/>
    <cellStyle name="Normal 4 4 2 2 3 6 3" xfId="11054" xr:uid="{B8199666-0E2D-4A91-B604-D0CA8155FF10}"/>
    <cellStyle name="Normal 4 4 2 2 3 7" xfId="4757" xr:uid="{00000000-0005-0000-0000-000002150000}"/>
    <cellStyle name="Normal 4 4 2 2 3 7 2" xfId="13207" xr:uid="{9738A7BE-C68E-4192-8919-E948CDC92463}"/>
    <cellStyle name="Normal 4 4 2 2 3 8" xfId="8989" xr:uid="{5F56882F-9423-473E-802F-B8A25B309E15}"/>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D4D10ECB-469C-4983-AF9F-473BC027CDBB}"/>
    <cellStyle name="Normal 4 4 2 2 4 2 3" xfId="11544" xr:uid="{AB01E163-3723-4D09-9F58-38D42B3AAA13}"/>
    <cellStyle name="Normal 4 4 2 2 4 3" xfId="5167" xr:uid="{00000000-0005-0000-0000-000006150000}"/>
    <cellStyle name="Normal 4 4 2 2 4 3 2" xfId="13617" xr:uid="{5D8A4428-24F5-4FD5-B6FC-FE9E1A642288}"/>
    <cellStyle name="Normal 4 4 2 2 4 4" xfId="9399" xr:uid="{D598CDFC-850A-406E-BC7D-0B3649111F26}"/>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F567C88D-F32D-425A-9428-0E3694E57878}"/>
    <cellStyle name="Normal 4 4 2 2 5 2 3" xfId="11957" xr:uid="{AC1DB64F-4BB1-4C25-AD00-EA12CF577CBA}"/>
    <cellStyle name="Normal 4 4 2 2 5 3" xfId="5580" xr:uid="{00000000-0005-0000-0000-00000A150000}"/>
    <cellStyle name="Normal 4 4 2 2 5 3 2" xfId="14030" xr:uid="{EF65CC4C-293D-4B73-A77C-BF7337679010}"/>
    <cellStyle name="Normal 4 4 2 2 5 4" xfId="9812" xr:uid="{AF97E075-F6DE-41E9-8BE2-B44C842EE228}"/>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6912D9E1-7AF7-4AE8-9B3B-6FD9B2A83967}"/>
    <cellStyle name="Normal 4 4 2 2 6 2 3" xfId="12370" xr:uid="{B9F7D2D4-C36D-4415-A1CB-4E4764A16A68}"/>
    <cellStyle name="Normal 4 4 2 2 6 3" xfId="5993" xr:uid="{00000000-0005-0000-0000-00000E150000}"/>
    <cellStyle name="Normal 4 4 2 2 6 3 2" xfId="14443" xr:uid="{E02A1C8B-668E-4571-B47D-11CA36FE995B}"/>
    <cellStyle name="Normal 4 4 2 2 6 4" xfId="10225" xr:uid="{F6EF1210-3230-41AC-AED3-C268D7002392}"/>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82716B35-1C4B-490C-9260-0D9AE24BEB7D}"/>
    <cellStyle name="Normal 4 4 2 2 7 2 3" xfId="12783" xr:uid="{A35B9288-620A-45D7-9ED9-768A6B41C8C6}"/>
    <cellStyle name="Normal 4 4 2 2 7 3" xfId="6406" xr:uid="{00000000-0005-0000-0000-000012150000}"/>
    <cellStyle name="Normal 4 4 2 2 7 3 2" xfId="14856" xr:uid="{28E2144D-920E-45FC-BFB2-1CCD9D12D925}"/>
    <cellStyle name="Normal 4 4 2 2 7 4" xfId="10638" xr:uid="{DE11FCF0-7157-43A5-83A0-2EA1860938C2}"/>
    <cellStyle name="Normal 4 4 2 2 8" xfId="2536" xr:uid="{00000000-0005-0000-0000-000013150000}"/>
    <cellStyle name="Normal 4 4 2 2 8 2" xfId="6819" xr:uid="{00000000-0005-0000-0000-000014150000}"/>
    <cellStyle name="Normal 4 4 2 2 8 2 2" xfId="15269" xr:uid="{CAD61047-F328-4E11-8FB9-B652A72E7EFB}"/>
    <cellStyle name="Normal 4 4 2 2 8 3" xfId="11051" xr:uid="{FBB63BD8-08A8-4526-B9C1-45313139FD5C}"/>
    <cellStyle name="Normal 4 4 2 2 9" xfId="4754" xr:uid="{00000000-0005-0000-0000-000015150000}"/>
    <cellStyle name="Normal 4 4 2 2 9 2" xfId="13204" xr:uid="{0B6103C3-FF77-45B9-A44E-FB4771EFF176}"/>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2C31E610-188F-41DC-A763-7BE35211E9E8}"/>
    <cellStyle name="Normal 4 4 2 3 2 2 2 3" xfId="11549" xr:uid="{387A6FAD-A805-4C4C-B1B0-698801C6A282}"/>
    <cellStyle name="Normal 4 4 2 3 2 2 3" xfId="5172" xr:uid="{00000000-0005-0000-0000-00001B150000}"/>
    <cellStyle name="Normal 4 4 2 3 2 2 3 2" xfId="13622" xr:uid="{560DA916-1CBF-407C-B040-16D2B8697DF5}"/>
    <cellStyle name="Normal 4 4 2 3 2 2 4" xfId="9404" xr:uid="{8C630935-8CD2-4297-BDD5-06CE7C313608}"/>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FCDDF999-DB26-4F94-B2A0-2CAC26757F1C}"/>
    <cellStyle name="Normal 4 4 2 3 2 3 2 3" xfId="11962" xr:uid="{4A3553A2-89EE-4462-AA0A-4A7802E2B0A5}"/>
    <cellStyle name="Normal 4 4 2 3 2 3 3" xfId="5585" xr:uid="{00000000-0005-0000-0000-00001F150000}"/>
    <cellStyle name="Normal 4 4 2 3 2 3 3 2" xfId="14035" xr:uid="{AC3CE607-98E3-4443-9024-353BFFD0DFE2}"/>
    <cellStyle name="Normal 4 4 2 3 2 3 4" xfId="9817" xr:uid="{B457AC69-E070-4C1E-B688-D2749FEE969C}"/>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6AC8F79D-803A-4F5C-8754-864DA987516E}"/>
    <cellStyle name="Normal 4 4 2 3 2 4 2 3" xfId="12375" xr:uid="{24D8A26E-1EE7-4B38-B7E9-11B4CE192F82}"/>
    <cellStyle name="Normal 4 4 2 3 2 4 3" xfId="5998" xr:uid="{00000000-0005-0000-0000-000023150000}"/>
    <cellStyle name="Normal 4 4 2 3 2 4 3 2" xfId="14448" xr:uid="{7FB7D0B2-8D80-4A89-89C0-810C84BCA4D0}"/>
    <cellStyle name="Normal 4 4 2 3 2 4 4" xfId="10230" xr:uid="{C4D70A48-1667-4C7F-8171-8B9BCFF79EA8}"/>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F8995E8A-2232-4377-83C9-BA4D348176F1}"/>
    <cellStyle name="Normal 4 4 2 3 2 5 2 3" xfId="12788" xr:uid="{733FBC6E-3B0F-425A-B509-4685E414E8BF}"/>
    <cellStyle name="Normal 4 4 2 3 2 5 3" xfId="6411" xr:uid="{00000000-0005-0000-0000-000027150000}"/>
    <cellStyle name="Normal 4 4 2 3 2 5 3 2" xfId="14861" xr:uid="{4E1989DB-3AF0-4592-A0CA-09A5794A702F}"/>
    <cellStyle name="Normal 4 4 2 3 2 5 4" xfId="10643" xr:uid="{B02B5139-CDDC-4BBD-96BC-1065E0869854}"/>
    <cellStyle name="Normal 4 4 2 3 2 6" xfId="2541" xr:uid="{00000000-0005-0000-0000-000028150000}"/>
    <cellStyle name="Normal 4 4 2 3 2 6 2" xfId="6824" xr:uid="{00000000-0005-0000-0000-000029150000}"/>
    <cellStyle name="Normal 4 4 2 3 2 6 2 2" xfId="15274" xr:uid="{5CF11016-58AF-4809-B4D8-5C3BD2CAF73D}"/>
    <cellStyle name="Normal 4 4 2 3 2 6 3" xfId="11056" xr:uid="{2A2C235C-F12F-45FF-B400-3407C4D6F3DD}"/>
    <cellStyle name="Normal 4 4 2 3 2 7" xfId="4759" xr:uid="{00000000-0005-0000-0000-00002A150000}"/>
    <cellStyle name="Normal 4 4 2 3 2 7 2" xfId="13209" xr:uid="{82A4140C-D0E1-4759-B94A-14D34C0AFA01}"/>
    <cellStyle name="Normal 4 4 2 3 2 8" xfId="8991" xr:uid="{4C118EF0-5662-4ABA-922F-130A6B56A133}"/>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55817665-122E-427A-8718-AB995A74809E}"/>
    <cellStyle name="Normal 4 4 2 3 3 2 3" xfId="11548" xr:uid="{44F95EF1-9AF5-4524-8878-A42FD86861B0}"/>
    <cellStyle name="Normal 4 4 2 3 3 3" xfId="5171" xr:uid="{00000000-0005-0000-0000-00002E150000}"/>
    <cellStyle name="Normal 4 4 2 3 3 3 2" xfId="13621" xr:uid="{B7D9DF1D-E4B2-43F3-B591-103D75214AA8}"/>
    <cellStyle name="Normal 4 4 2 3 3 4" xfId="9403" xr:uid="{FAEFCCBE-8C53-4D8E-9631-A6D970D8C577}"/>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65C50B81-4CE5-4514-835D-5B480D3F55CB}"/>
    <cellStyle name="Normal 4 4 2 3 4 2 3" xfId="11961" xr:uid="{CEF8E87B-C04A-45CA-8410-38B0BF51344E}"/>
    <cellStyle name="Normal 4 4 2 3 4 3" xfId="5584" xr:uid="{00000000-0005-0000-0000-000032150000}"/>
    <cellStyle name="Normal 4 4 2 3 4 3 2" xfId="14034" xr:uid="{50E00CCD-6D94-47D9-9A7D-8E097891CDE4}"/>
    <cellStyle name="Normal 4 4 2 3 4 4" xfId="9816" xr:uid="{7E3BBE49-6877-40AE-BF3C-7A962D7104DD}"/>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3E529748-8EC9-4EA6-86BE-8CFB6C87C961}"/>
    <cellStyle name="Normal 4 4 2 3 5 2 3" xfId="12374" xr:uid="{BAF9DA7C-AF10-431E-9CCD-176C3011AB67}"/>
    <cellStyle name="Normal 4 4 2 3 5 3" xfId="5997" xr:uid="{00000000-0005-0000-0000-000036150000}"/>
    <cellStyle name="Normal 4 4 2 3 5 3 2" xfId="14447" xr:uid="{19E47E10-CE28-40D3-BB54-C66A5B34DB61}"/>
    <cellStyle name="Normal 4 4 2 3 5 4" xfId="10229" xr:uid="{6FCDA1C1-3D04-42F2-BD4D-86C03B8F7668}"/>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1575EA42-AA93-4765-95D2-693A6ACE32D0}"/>
    <cellStyle name="Normal 4 4 2 3 6 2 3" xfId="12787" xr:uid="{AFD67811-DF6B-43FE-A97F-5986D33E9A5A}"/>
    <cellStyle name="Normal 4 4 2 3 6 3" xfId="6410" xr:uid="{00000000-0005-0000-0000-00003A150000}"/>
    <cellStyle name="Normal 4 4 2 3 6 3 2" xfId="14860" xr:uid="{45A65406-7BD0-4406-A724-40B61CDFA39F}"/>
    <cellStyle name="Normal 4 4 2 3 6 4" xfId="10642" xr:uid="{1DE636A8-6369-4EC9-BB75-CBBD9FCBF9BA}"/>
    <cellStyle name="Normal 4 4 2 3 7" xfId="2540" xr:uid="{00000000-0005-0000-0000-00003B150000}"/>
    <cellStyle name="Normal 4 4 2 3 7 2" xfId="6823" xr:uid="{00000000-0005-0000-0000-00003C150000}"/>
    <cellStyle name="Normal 4 4 2 3 7 2 2" xfId="15273" xr:uid="{470E81E4-631D-4F9F-A9CB-6F95D567942A}"/>
    <cellStyle name="Normal 4 4 2 3 7 3" xfId="11055" xr:uid="{4EAF6FD0-F8F0-4504-A818-A1D079CE59BC}"/>
    <cellStyle name="Normal 4 4 2 3 8" xfId="4758" xr:uid="{00000000-0005-0000-0000-00003D150000}"/>
    <cellStyle name="Normal 4 4 2 3 8 2" xfId="13208" xr:uid="{9C7BD876-12CF-4B08-90D9-A723D1F24A52}"/>
    <cellStyle name="Normal 4 4 2 3 9" xfId="8990" xr:uid="{28A9FA65-CD43-4C6B-BE27-13432345A3EB}"/>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93464794-7A41-4529-ACD8-23BCBDC786D5}"/>
    <cellStyle name="Normal 4 4 2 4 2 2 3" xfId="11550" xr:uid="{CD74F5E8-0A4D-4C01-9344-DBEA430B1C31}"/>
    <cellStyle name="Normal 4 4 2 4 2 3" xfId="5173" xr:uid="{00000000-0005-0000-0000-000042150000}"/>
    <cellStyle name="Normal 4 4 2 4 2 3 2" xfId="13623" xr:uid="{6CE3E3AA-7DF9-47DA-B5B5-0479FEACF0A3}"/>
    <cellStyle name="Normal 4 4 2 4 2 4" xfId="9405" xr:uid="{F2F51263-8632-4F9C-8F14-FA0A40DFF4C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35CE1DDF-C76D-4A35-AF14-BDEB1A6F56C9}"/>
    <cellStyle name="Normal 4 4 2 4 3 2 3" xfId="11963" xr:uid="{9EA495F7-12BA-4A23-938A-364CE11A6AB9}"/>
    <cellStyle name="Normal 4 4 2 4 3 3" xfId="5586" xr:uid="{00000000-0005-0000-0000-000046150000}"/>
    <cellStyle name="Normal 4 4 2 4 3 3 2" xfId="14036" xr:uid="{FF4C8D78-E8D8-4660-B675-3A4B7C057C78}"/>
    <cellStyle name="Normal 4 4 2 4 3 4" xfId="9818" xr:uid="{19A8C58A-DA67-43AE-8D8C-A349B1E91933}"/>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7A598FE1-70C6-47DB-BB43-FA214A595BB9}"/>
    <cellStyle name="Normal 4 4 2 4 4 2 3" xfId="12376" xr:uid="{ABDEA5C5-F299-4017-9B9C-C38C70741ED9}"/>
    <cellStyle name="Normal 4 4 2 4 4 3" xfId="5999" xr:uid="{00000000-0005-0000-0000-00004A150000}"/>
    <cellStyle name="Normal 4 4 2 4 4 3 2" xfId="14449" xr:uid="{858FD50C-24BF-4366-9E20-99CE458BACE8}"/>
    <cellStyle name="Normal 4 4 2 4 4 4" xfId="10231" xr:uid="{9BE63ED5-1B21-49DA-A72C-4EDF774A149C}"/>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108BEBA5-A331-47F8-AE84-C4E85EEB9198}"/>
    <cellStyle name="Normal 4 4 2 4 5 2 3" xfId="12789" xr:uid="{0992AB3B-AD35-4086-9E5C-A77E8300C8AD}"/>
    <cellStyle name="Normal 4 4 2 4 5 3" xfId="6412" xr:uid="{00000000-0005-0000-0000-00004E150000}"/>
    <cellStyle name="Normal 4 4 2 4 5 3 2" xfId="14862" xr:uid="{5862195A-E620-4AA5-92B2-3E2CEE8B7826}"/>
    <cellStyle name="Normal 4 4 2 4 5 4" xfId="10644" xr:uid="{7E9C4CD0-7226-4BAA-B1D8-36DE48354449}"/>
    <cellStyle name="Normal 4 4 2 4 6" xfId="2542" xr:uid="{00000000-0005-0000-0000-00004F150000}"/>
    <cellStyle name="Normal 4 4 2 4 6 2" xfId="6825" xr:uid="{00000000-0005-0000-0000-000050150000}"/>
    <cellStyle name="Normal 4 4 2 4 6 2 2" xfId="15275" xr:uid="{C6CF9CEE-5C72-4587-AF2B-94E57AE96509}"/>
    <cellStyle name="Normal 4 4 2 4 6 3" xfId="11057" xr:uid="{EE3589AF-9ACD-445A-9476-9C03E06E93DE}"/>
    <cellStyle name="Normal 4 4 2 4 7" xfId="4760" xr:uid="{00000000-0005-0000-0000-000051150000}"/>
    <cellStyle name="Normal 4 4 2 4 7 2" xfId="13210" xr:uid="{CDA41FDF-A665-44B9-8F80-D7F1664D465E}"/>
    <cellStyle name="Normal 4 4 2 4 8" xfId="8992" xr:uid="{56ABEBC0-29F0-450C-AF19-8826376D6BD1}"/>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6F48B798-F7EA-4660-8222-D183D3634537}"/>
    <cellStyle name="Normal 4 4 2 5 2 3" xfId="11543" xr:uid="{102A70A3-5062-4D8C-A971-97E0CF155F1A}"/>
    <cellStyle name="Normal 4 4 2 5 3" xfId="5166" xr:uid="{00000000-0005-0000-0000-000055150000}"/>
    <cellStyle name="Normal 4 4 2 5 3 2" xfId="13616" xr:uid="{126016E3-12A4-4F50-8A1B-FA55125D88F2}"/>
    <cellStyle name="Normal 4 4 2 5 4" xfId="9398" xr:uid="{AD940430-F7DF-475A-91DE-22848A3C28DD}"/>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F3D47EC5-F1E7-4197-B712-DA594DA0089F}"/>
    <cellStyle name="Normal 4 4 2 6 2 3" xfId="11956" xr:uid="{1AA00C92-4356-4647-9451-DCDB09997243}"/>
    <cellStyle name="Normal 4 4 2 6 3" xfId="5579" xr:uid="{00000000-0005-0000-0000-000059150000}"/>
    <cellStyle name="Normal 4 4 2 6 3 2" xfId="14029" xr:uid="{D3CBBB16-4226-43A4-B3BE-EB61DC4D1EB6}"/>
    <cellStyle name="Normal 4 4 2 6 4" xfId="9811" xr:uid="{FB068BB7-B9E9-4F7D-AE1F-74DED811A351}"/>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BEB37EE7-786D-45D7-ADA5-DA30DD813B89}"/>
    <cellStyle name="Normal 4 4 2 7 2 3" xfId="12369" xr:uid="{C21C379C-2B18-4789-A9F4-77808585A5A8}"/>
    <cellStyle name="Normal 4 4 2 7 3" xfId="5992" xr:uid="{00000000-0005-0000-0000-00005D150000}"/>
    <cellStyle name="Normal 4 4 2 7 3 2" xfId="14442" xr:uid="{261A4D2A-D841-4AB9-B527-49F2B43031A4}"/>
    <cellStyle name="Normal 4 4 2 7 4" xfId="10224" xr:uid="{AE1D2F77-4746-4DEB-B7CC-C42EE919E248}"/>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E7AABF33-D991-4591-862F-925380519682}"/>
    <cellStyle name="Normal 4 4 2 8 2 3" xfId="12782" xr:uid="{E42BF58B-8766-4B6D-AEE3-1F24EC01C53D}"/>
    <cellStyle name="Normal 4 4 2 8 3" xfId="6405" xr:uid="{00000000-0005-0000-0000-000061150000}"/>
    <cellStyle name="Normal 4 4 2 8 3 2" xfId="14855" xr:uid="{E7D4DA18-914B-4196-9626-46DD80FDBFA2}"/>
    <cellStyle name="Normal 4 4 2 8 4" xfId="10637" xr:uid="{1DDDDA6C-3927-4813-86CA-C5858AD87395}"/>
    <cellStyle name="Normal 4 4 2 9" xfId="2535" xr:uid="{00000000-0005-0000-0000-000062150000}"/>
    <cellStyle name="Normal 4 4 2 9 2" xfId="6818" xr:uid="{00000000-0005-0000-0000-000063150000}"/>
    <cellStyle name="Normal 4 4 2 9 2 2" xfId="15268" xr:uid="{356880AB-75B3-43EA-94CF-DA2C39414A3D}"/>
    <cellStyle name="Normal 4 4 2 9 3" xfId="11050" xr:uid="{E7FA2B98-2813-43EF-897C-0F85F63B7D31}"/>
    <cellStyle name="Normal 4 4 3" xfId="387" xr:uid="{00000000-0005-0000-0000-000064150000}"/>
    <cellStyle name="Normal 4 4 3 10" xfId="8993" xr:uid="{82336A8E-E07F-4331-BCA9-B52C5D69B8FD}"/>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D22A4A09-F0A8-4582-9164-68D394CFDC82}"/>
    <cellStyle name="Normal 4 4 3 2 2 2 2 3" xfId="11553" xr:uid="{E66FE313-406B-49F1-B050-65C231CA92E8}"/>
    <cellStyle name="Normal 4 4 3 2 2 2 3" xfId="5176" xr:uid="{00000000-0005-0000-0000-00006A150000}"/>
    <cellStyle name="Normal 4 4 3 2 2 2 3 2" xfId="13626" xr:uid="{299CAFBB-FB85-4B50-9459-212CD4648782}"/>
    <cellStyle name="Normal 4 4 3 2 2 2 4" xfId="9408" xr:uid="{63C0C379-1185-4BE3-B53D-EFF8FAEF482D}"/>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BFD95A60-A500-4885-8EBA-97014F69AFFD}"/>
    <cellStyle name="Normal 4 4 3 2 2 3 2 3" xfId="11966" xr:uid="{AC5188F4-4623-4281-AD64-8B58C2BD3D30}"/>
    <cellStyle name="Normal 4 4 3 2 2 3 3" xfId="5589" xr:uid="{00000000-0005-0000-0000-00006E150000}"/>
    <cellStyle name="Normal 4 4 3 2 2 3 3 2" xfId="14039" xr:uid="{D1EB4A2C-0D20-470E-B13C-125CAD499BEA}"/>
    <cellStyle name="Normal 4 4 3 2 2 3 4" xfId="9821" xr:uid="{F3BC6B2A-07FA-4C98-AAC5-6E99F1B98781}"/>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687E3B57-8AB1-4495-8EFD-862F0DD74E3C}"/>
    <cellStyle name="Normal 4 4 3 2 2 4 2 3" xfId="12379" xr:uid="{D79CD505-B94A-4709-8DF3-DF4FB9AA9190}"/>
    <cellStyle name="Normal 4 4 3 2 2 4 3" xfId="6002" xr:uid="{00000000-0005-0000-0000-000072150000}"/>
    <cellStyle name="Normal 4 4 3 2 2 4 3 2" xfId="14452" xr:uid="{2403244B-95C1-4BB5-9604-FA580D4017A1}"/>
    <cellStyle name="Normal 4 4 3 2 2 4 4" xfId="10234" xr:uid="{30BE5886-73BE-4AA2-B300-7BF8FA987831}"/>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F659A9CC-E8E2-4922-A718-984D876621AC}"/>
    <cellStyle name="Normal 4 4 3 2 2 5 2 3" xfId="12792" xr:uid="{52A7065C-E3C7-4BA6-8FA7-7C979E2DF274}"/>
    <cellStyle name="Normal 4 4 3 2 2 5 3" xfId="6415" xr:uid="{00000000-0005-0000-0000-000076150000}"/>
    <cellStyle name="Normal 4 4 3 2 2 5 3 2" xfId="14865" xr:uid="{3C11F2D0-FA30-4262-BC7B-1DEADEC0373B}"/>
    <cellStyle name="Normal 4 4 3 2 2 5 4" xfId="10647" xr:uid="{9EE1EE1B-6AD4-43A8-BDBD-2034980028A8}"/>
    <cellStyle name="Normal 4 4 3 2 2 6" xfId="2545" xr:uid="{00000000-0005-0000-0000-000077150000}"/>
    <cellStyle name="Normal 4 4 3 2 2 6 2" xfId="6828" xr:uid="{00000000-0005-0000-0000-000078150000}"/>
    <cellStyle name="Normal 4 4 3 2 2 6 2 2" xfId="15278" xr:uid="{54F877D8-108A-4324-AA02-08B0B9B2FC7F}"/>
    <cellStyle name="Normal 4 4 3 2 2 6 3" xfId="11060" xr:uid="{293DB9B2-DA67-4904-B4A0-AC14D19CB522}"/>
    <cellStyle name="Normal 4 4 3 2 2 7" xfId="4763" xr:uid="{00000000-0005-0000-0000-000079150000}"/>
    <cellStyle name="Normal 4 4 3 2 2 7 2" xfId="13213" xr:uid="{8B90A397-FFA7-4C1B-8D24-8D4BDA4D70FF}"/>
    <cellStyle name="Normal 4 4 3 2 2 8" xfId="8995" xr:uid="{D6CA4260-2EEC-4970-AFEF-60DDDC06A2E5}"/>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0901A3F5-F26D-4142-AC5A-66BF42773195}"/>
    <cellStyle name="Normal 4 4 3 2 3 2 3" xfId="11552" xr:uid="{B20ECAFA-D7BB-466D-AB97-FE20F50F7133}"/>
    <cellStyle name="Normal 4 4 3 2 3 3" xfId="5175" xr:uid="{00000000-0005-0000-0000-00007D150000}"/>
    <cellStyle name="Normal 4 4 3 2 3 3 2" xfId="13625" xr:uid="{8FB3F75D-8131-4959-BE07-850B17D74C8E}"/>
    <cellStyle name="Normal 4 4 3 2 3 4" xfId="9407" xr:uid="{9050E3F5-7370-4F9D-8234-01AB07C9F02D}"/>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4662F36F-A60C-4435-97C4-F40651EAF735}"/>
    <cellStyle name="Normal 4 4 3 2 4 2 3" xfId="11965" xr:uid="{371B8DA8-1F7F-4F78-B1C7-8EBE85994DCF}"/>
    <cellStyle name="Normal 4 4 3 2 4 3" xfId="5588" xr:uid="{00000000-0005-0000-0000-000081150000}"/>
    <cellStyle name="Normal 4 4 3 2 4 3 2" xfId="14038" xr:uid="{75093B0A-81FA-4931-8586-C2497972570C}"/>
    <cellStyle name="Normal 4 4 3 2 4 4" xfId="9820" xr:uid="{F4A0C022-8CF5-4430-9FBE-53D097E8CB60}"/>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46F0FF15-0D74-439C-B797-DF24F5E94079}"/>
    <cellStyle name="Normal 4 4 3 2 5 2 3" xfId="12378" xr:uid="{181C50E8-A9A3-4BD8-8A20-02A2A6F15357}"/>
    <cellStyle name="Normal 4 4 3 2 5 3" xfId="6001" xr:uid="{00000000-0005-0000-0000-000085150000}"/>
    <cellStyle name="Normal 4 4 3 2 5 3 2" xfId="14451" xr:uid="{1611F2CC-009B-4228-89B7-9E6EF0462E4A}"/>
    <cellStyle name="Normal 4 4 3 2 5 4" xfId="10233" xr:uid="{AD7B969B-BCAF-423C-A50D-4322CC2DF4D4}"/>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D4872221-D22D-4AAC-9059-FA978C6CE06C}"/>
    <cellStyle name="Normal 4 4 3 2 6 2 3" xfId="12791" xr:uid="{53A1B809-3991-48A5-AAB0-7A6756E526C0}"/>
    <cellStyle name="Normal 4 4 3 2 6 3" xfId="6414" xr:uid="{00000000-0005-0000-0000-000089150000}"/>
    <cellStyle name="Normal 4 4 3 2 6 3 2" xfId="14864" xr:uid="{0E8876D1-599E-4CFE-A058-B9124D0F1EA9}"/>
    <cellStyle name="Normal 4 4 3 2 6 4" xfId="10646" xr:uid="{6215F646-B980-4D9E-B2CA-C7717327B39F}"/>
    <cellStyle name="Normal 4 4 3 2 7" xfId="2544" xr:uid="{00000000-0005-0000-0000-00008A150000}"/>
    <cellStyle name="Normal 4 4 3 2 7 2" xfId="6827" xr:uid="{00000000-0005-0000-0000-00008B150000}"/>
    <cellStyle name="Normal 4 4 3 2 7 2 2" xfId="15277" xr:uid="{1A1FAD3E-F23B-4C12-A126-D1A83CED9497}"/>
    <cellStyle name="Normal 4 4 3 2 7 3" xfId="11059" xr:uid="{5D2234AD-3326-4481-A827-70B1FB2E3529}"/>
    <cellStyle name="Normal 4 4 3 2 8" xfId="4762" xr:uid="{00000000-0005-0000-0000-00008C150000}"/>
    <cellStyle name="Normal 4 4 3 2 8 2" xfId="13212" xr:uid="{87C9FF08-F610-4380-944E-AD3919E200D5}"/>
    <cellStyle name="Normal 4 4 3 2 9" xfId="8994" xr:uid="{9404A1D9-6A12-4732-936A-B1152D373F9F}"/>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8DF3E5FB-DFA8-47FC-BD19-E916D9D46C57}"/>
    <cellStyle name="Normal 4 4 3 3 2 2 3" xfId="11554" xr:uid="{1A88268A-E090-47AD-9B81-9F9C07BD29F9}"/>
    <cellStyle name="Normal 4 4 3 3 2 3" xfId="5177" xr:uid="{00000000-0005-0000-0000-000091150000}"/>
    <cellStyle name="Normal 4 4 3 3 2 3 2" xfId="13627" xr:uid="{BDAACAAD-00B7-47BB-897C-F8226AF14626}"/>
    <cellStyle name="Normal 4 4 3 3 2 4" xfId="9409" xr:uid="{5ADD5C05-D725-4BAB-B465-F1B6D9E543A4}"/>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E8953F1D-04A5-4EA4-A672-4C20AAB22305}"/>
    <cellStyle name="Normal 4 4 3 3 3 2 3" xfId="11967" xr:uid="{2B1B1435-D497-48DF-9D78-EAB528FB023A}"/>
    <cellStyle name="Normal 4 4 3 3 3 3" xfId="5590" xr:uid="{00000000-0005-0000-0000-000095150000}"/>
    <cellStyle name="Normal 4 4 3 3 3 3 2" xfId="14040" xr:uid="{0294402B-DD3D-4D86-ADA0-DA3B53F3192C}"/>
    <cellStyle name="Normal 4 4 3 3 3 4" xfId="9822" xr:uid="{18B508E7-BAA5-4537-B55E-61E464915EE7}"/>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24D26039-CCA5-4688-BD4E-025ABB1F4BA3}"/>
    <cellStyle name="Normal 4 4 3 3 4 2 3" xfId="12380" xr:uid="{04BF48BD-5AC2-4412-92B9-1F0168A9E731}"/>
    <cellStyle name="Normal 4 4 3 3 4 3" xfId="6003" xr:uid="{00000000-0005-0000-0000-000099150000}"/>
    <cellStyle name="Normal 4 4 3 3 4 3 2" xfId="14453" xr:uid="{F1EBA7DD-9C95-4616-93C4-2F9375AE4FFB}"/>
    <cellStyle name="Normal 4 4 3 3 4 4" xfId="10235" xr:uid="{F7FCEDC0-5961-4065-A559-9261B24EEF70}"/>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7DD67FA0-C567-49B1-8E0D-8A4875DB5214}"/>
    <cellStyle name="Normal 4 4 3 3 5 2 3" xfId="12793" xr:uid="{F9B901F1-FF8D-4C82-9559-4204126D98E8}"/>
    <cellStyle name="Normal 4 4 3 3 5 3" xfId="6416" xr:uid="{00000000-0005-0000-0000-00009D150000}"/>
    <cellStyle name="Normal 4 4 3 3 5 3 2" xfId="14866" xr:uid="{D7B1EC67-8CA9-472C-A45F-E7E371554D8A}"/>
    <cellStyle name="Normal 4 4 3 3 5 4" xfId="10648" xr:uid="{8CF06D4D-7796-4920-A7B6-D35A6936DDF9}"/>
    <cellStyle name="Normal 4 4 3 3 6" xfId="2546" xr:uid="{00000000-0005-0000-0000-00009E150000}"/>
    <cellStyle name="Normal 4 4 3 3 6 2" xfId="6829" xr:uid="{00000000-0005-0000-0000-00009F150000}"/>
    <cellStyle name="Normal 4 4 3 3 6 2 2" xfId="15279" xr:uid="{C6FC3E5D-9E72-4EA1-B7D5-4213EE515FB4}"/>
    <cellStyle name="Normal 4 4 3 3 6 3" xfId="11061" xr:uid="{710DF2AE-B123-4373-BFFC-FA1DCDE82199}"/>
    <cellStyle name="Normal 4 4 3 3 7" xfId="4764" xr:uid="{00000000-0005-0000-0000-0000A0150000}"/>
    <cellStyle name="Normal 4 4 3 3 7 2" xfId="13214" xr:uid="{00949F55-E0E7-4395-AEEE-0E037FD99B95}"/>
    <cellStyle name="Normal 4 4 3 3 8" xfId="8996" xr:uid="{FF30BAE5-7182-47EE-A669-60D4475E97C0}"/>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D5E0866F-88E1-4D2C-8B36-73A1AFCFA6D2}"/>
    <cellStyle name="Normal 4 4 3 4 2 3" xfId="11551" xr:uid="{99ED505D-9AF6-4B5A-9FA7-073C6AD5326A}"/>
    <cellStyle name="Normal 4 4 3 4 3" xfId="5174" xr:uid="{00000000-0005-0000-0000-0000A4150000}"/>
    <cellStyle name="Normal 4 4 3 4 3 2" xfId="13624" xr:uid="{0B24EA2A-4C0E-469F-8CEF-6999A018929D}"/>
    <cellStyle name="Normal 4 4 3 4 4" xfId="9406" xr:uid="{82F4F941-A0AD-416D-8C79-E3F49A113A39}"/>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B07915DB-4CBA-4D19-8818-9057F6EABCA3}"/>
    <cellStyle name="Normal 4 4 3 5 2 3" xfId="11964" xr:uid="{373A2C85-4F8E-4E55-9C19-C6228744E23D}"/>
    <cellStyle name="Normal 4 4 3 5 3" xfId="5587" xr:uid="{00000000-0005-0000-0000-0000A8150000}"/>
    <cellStyle name="Normal 4 4 3 5 3 2" xfId="14037" xr:uid="{CDA1D2A6-5BCD-49A3-8C55-F64075D1EBC0}"/>
    <cellStyle name="Normal 4 4 3 5 4" xfId="9819" xr:uid="{5B07383F-99E5-454A-938A-426BFD747565}"/>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DA9388FD-BE3A-4AF7-841C-57A20DD761F8}"/>
    <cellStyle name="Normal 4 4 3 6 2 3" xfId="12377" xr:uid="{7D5FC5D5-69E4-4BAB-AFE9-C02594251BE5}"/>
    <cellStyle name="Normal 4 4 3 6 3" xfId="6000" xr:uid="{00000000-0005-0000-0000-0000AC150000}"/>
    <cellStyle name="Normal 4 4 3 6 3 2" xfId="14450" xr:uid="{2F74EADE-851E-497C-9810-7521A9ADC7CB}"/>
    <cellStyle name="Normal 4 4 3 6 4" xfId="10232" xr:uid="{F2429999-7E52-4286-9461-23CC8BA5375D}"/>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BDC2AE38-B7F3-453D-AE6E-58C4A7929DB6}"/>
    <cellStyle name="Normal 4 4 3 7 2 3" xfId="12790" xr:uid="{1AF2B2E9-E1C8-42C0-97DA-14212CE193A3}"/>
    <cellStyle name="Normal 4 4 3 7 3" xfId="6413" xr:uid="{00000000-0005-0000-0000-0000B0150000}"/>
    <cellStyle name="Normal 4 4 3 7 3 2" xfId="14863" xr:uid="{C948031B-E6B6-4432-ADD0-094CA99A5C88}"/>
    <cellStyle name="Normal 4 4 3 7 4" xfId="10645" xr:uid="{B8178BB3-5EE6-40A0-8A34-3BAE8695A4AD}"/>
    <cellStyle name="Normal 4 4 3 8" xfId="2543" xr:uid="{00000000-0005-0000-0000-0000B1150000}"/>
    <cellStyle name="Normal 4 4 3 8 2" xfId="6826" xr:uid="{00000000-0005-0000-0000-0000B2150000}"/>
    <cellStyle name="Normal 4 4 3 8 2 2" xfId="15276" xr:uid="{BD743F11-13F9-4793-AA3E-F5682805A76C}"/>
    <cellStyle name="Normal 4 4 3 8 3" xfId="11058" xr:uid="{40EF887F-7A50-4BF3-ADC0-EE9AED209D94}"/>
    <cellStyle name="Normal 4 4 3 9" xfId="4761" xr:uid="{00000000-0005-0000-0000-0000B3150000}"/>
    <cellStyle name="Normal 4 4 3 9 2" xfId="13211" xr:uid="{30121C25-FF33-495F-9357-63899E93F57B}"/>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C3CF835D-B559-47CB-98D4-FF97BB0FB899}"/>
    <cellStyle name="Normal 4 4 4 2 2 2 3" xfId="11556" xr:uid="{82BBD213-723E-43B4-9FB4-9E340CB9ED2C}"/>
    <cellStyle name="Normal 4 4 4 2 2 3" xfId="5179" xr:uid="{00000000-0005-0000-0000-0000B9150000}"/>
    <cellStyle name="Normal 4 4 4 2 2 3 2" xfId="13629" xr:uid="{87C95B99-F83F-49C5-B29E-506C115C6D34}"/>
    <cellStyle name="Normal 4 4 4 2 2 4" xfId="9411" xr:uid="{3D6929C4-FFAA-4932-9E9F-D6F93311EAF0}"/>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E7E739FD-D4F2-4349-B997-5B5A54C733E1}"/>
    <cellStyle name="Normal 4 4 4 2 3 2 3" xfId="11969" xr:uid="{1987AE6D-57BF-4D87-8EAC-06288482AEE8}"/>
    <cellStyle name="Normal 4 4 4 2 3 3" xfId="5592" xr:uid="{00000000-0005-0000-0000-0000BD150000}"/>
    <cellStyle name="Normal 4 4 4 2 3 3 2" xfId="14042" xr:uid="{C7237390-97E0-4C24-917F-4B604E4E1014}"/>
    <cellStyle name="Normal 4 4 4 2 3 4" xfId="9824" xr:uid="{CFC038A8-ECE1-4E06-8373-42D02AB5DBED}"/>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C150A28C-3EEC-49E9-8247-048488852F57}"/>
    <cellStyle name="Normal 4 4 4 2 4 2 3" xfId="12382" xr:uid="{8ECE306A-DD92-4719-86AF-1E4560C94AE3}"/>
    <cellStyle name="Normal 4 4 4 2 4 3" xfId="6005" xr:uid="{00000000-0005-0000-0000-0000C1150000}"/>
    <cellStyle name="Normal 4 4 4 2 4 3 2" xfId="14455" xr:uid="{5B979329-EDA1-457C-B490-F7DD0B70F230}"/>
    <cellStyle name="Normal 4 4 4 2 4 4" xfId="10237" xr:uid="{B0A02A7E-4E42-40EE-B215-A5ADF3124115}"/>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466486E7-43DA-422D-BFEC-1DF890E197F6}"/>
    <cellStyle name="Normal 4 4 4 2 5 2 3" xfId="12795" xr:uid="{366A2EDD-15A0-43E2-B13B-2ED89855B786}"/>
    <cellStyle name="Normal 4 4 4 2 5 3" xfId="6418" xr:uid="{00000000-0005-0000-0000-0000C5150000}"/>
    <cellStyle name="Normal 4 4 4 2 5 3 2" xfId="14868" xr:uid="{F2127000-5F66-4625-9121-83197F0E61C6}"/>
    <cellStyle name="Normal 4 4 4 2 5 4" xfId="10650" xr:uid="{0392E652-012B-4C5E-8B82-C9BAA9509E6A}"/>
    <cellStyle name="Normal 4 4 4 2 6" xfId="2548" xr:uid="{00000000-0005-0000-0000-0000C6150000}"/>
    <cellStyle name="Normal 4 4 4 2 6 2" xfId="6831" xr:uid="{00000000-0005-0000-0000-0000C7150000}"/>
    <cellStyle name="Normal 4 4 4 2 6 2 2" xfId="15281" xr:uid="{2BF6F7F9-26F3-4F86-82B8-2862CC5ABDCD}"/>
    <cellStyle name="Normal 4 4 4 2 6 3" xfId="11063" xr:uid="{9E788293-EB05-45C8-AC89-DFC8A1C21034}"/>
    <cellStyle name="Normal 4 4 4 2 7" xfId="4766" xr:uid="{00000000-0005-0000-0000-0000C8150000}"/>
    <cellStyle name="Normal 4 4 4 2 7 2" xfId="13216" xr:uid="{A89354F0-7192-4019-8F2C-AF88ABCB08AC}"/>
    <cellStyle name="Normal 4 4 4 2 8" xfId="8998" xr:uid="{84463081-E980-4536-BA24-19A0F0093F56}"/>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17462D2E-7029-445F-B3C9-2148500FEBCE}"/>
    <cellStyle name="Normal 4 4 4 3 2 3" xfId="11555" xr:uid="{C68B3408-6F14-4A3E-A864-A1616419D8B5}"/>
    <cellStyle name="Normal 4 4 4 3 3" xfId="5178" xr:uid="{00000000-0005-0000-0000-0000CC150000}"/>
    <cellStyle name="Normal 4 4 4 3 3 2" xfId="13628" xr:uid="{ADF1E204-239C-4ED2-AFCF-D3A26DD2ABB7}"/>
    <cellStyle name="Normal 4 4 4 3 4" xfId="9410" xr:uid="{CBE4CC23-6318-43AC-9494-A1A8E053F3C1}"/>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41E869AF-5D9A-4636-BA64-8ECF552A5C79}"/>
    <cellStyle name="Normal 4 4 4 4 2 3" xfId="11968" xr:uid="{17774EC6-7299-44CE-9A22-887F1ED73D1A}"/>
    <cellStyle name="Normal 4 4 4 4 3" xfId="5591" xr:uid="{00000000-0005-0000-0000-0000D0150000}"/>
    <cellStyle name="Normal 4 4 4 4 3 2" xfId="14041" xr:uid="{6CBF6EE9-E6FD-469D-B31F-D0FB7F1C5A24}"/>
    <cellStyle name="Normal 4 4 4 4 4" xfId="9823" xr:uid="{A41BAF7C-FDC1-4394-B3B6-BD36022A36B3}"/>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ACCE78E0-CBE4-490F-980F-5DE696C3D1C9}"/>
    <cellStyle name="Normal 4 4 4 5 2 3" xfId="12381" xr:uid="{2FD1C406-CECC-4AE6-96BE-08FF9311FFF7}"/>
    <cellStyle name="Normal 4 4 4 5 3" xfId="6004" xr:uid="{00000000-0005-0000-0000-0000D4150000}"/>
    <cellStyle name="Normal 4 4 4 5 3 2" xfId="14454" xr:uid="{A6614AB7-3173-445A-8812-987C6A806503}"/>
    <cellStyle name="Normal 4 4 4 5 4" xfId="10236" xr:uid="{464C3CD8-C985-4EEF-AC01-B3B9CF60C88C}"/>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15A42040-471D-4C2C-9CC8-EB247D327049}"/>
    <cellStyle name="Normal 4 4 4 6 2 3" xfId="12794" xr:uid="{E47BD75F-DC12-49D7-9C54-002005182D46}"/>
    <cellStyle name="Normal 4 4 4 6 3" xfId="6417" xr:uid="{00000000-0005-0000-0000-0000D8150000}"/>
    <cellStyle name="Normal 4 4 4 6 3 2" xfId="14867" xr:uid="{F75C3510-0C38-435D-9949-5D77090665BE}"/>
    <cellStyle name="Normal 4 4 4 6 4" xfId="10649" xr:uid="{986C3344-7B8E-4178-9009-F09C7441E5A1}"/>
    <cellStyle name="Normal 4 4 4 7" xfId="2547" xr:uid="{00000000-0005-0000-0000-0000D9150000}"/>
    <cellStyle name="Normal 4 4 4 7 2" xfId="6830" xr:uid="{00000000-0005-0000-0000-0000DA150000}"/>
    <cellStyle name="Normal 4 4 4 7 2 2" xfId="15280" xr:uid="{F4A2AEAD-B744-4360-B4BD-D4301173430B}"/>
    <cellStyle name="Normal 4 4 4 7 3" xfId="11062" xr:uid="{36EF67E0-5AFC-4F65-82C1-C2CFB940B346}"/>
    <cellStyle name="Normal 4 4 4 8" xfId="4765" xr:uid="{00000000-0005-0000-0000-0000DB150000}"/>
    <cellStyle name="Normal 4 4 4 8 2" xfId="13215" xr:uid="{735BBC9A-81A7-45A4-A7B6-76F78AE5F333}"/>
    <cellStyle name="Normal 4 4 4 9" xfId="8997" xr:uid="{AE70E08E-6F6F-40AF-949D-56805D26BE1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C6DF537B-5082-4578-830F-F80E179ECEB1}"/>
    <cellStyle name="Normal 4 4 5 2 2 3" xfId="11557" xr:uid="{0C361AA4-E21D-456D-BFA8-C1954684C1CC}"/>
    <cellStyle name="Normal 4 4 5 2 3" xfId="5180" xr:uid="{00000000-0005-0000-0000-0000E0150000}"/>
    <cellStyle name="Normal 4 4 5 2 3 2" xfId="13630" xr:uid="{66BEC1CA-9853-40C2-8CF0-0EA85FE87B96}"/>
    <cellStyle name="Normal 4 4 5 2 4" xfId="9412" xr:uid="{50EFF0E0-631C-4054-8F90-2A040E819E38}"/>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4BF763C7-56F2-4DCA-88BE-1BAC38B8596F}"/>
    <cellStyle name="Normal 4 4 5 3 2 3" xfId="11970" xr:uid="{B43252B3-6F7C-4768-9494-293408722B0B}"/>
    <cellStyle name="Normal 4 4 5 3 3" xfId="5593" xr:uid="{00000000-0005-0000-0000-0000E4150000}"/>
    <cellStyle name="Normal 4 4 5 3 3 2" xfId="14043" xr:uid="{6CC75713-95B2-4CE5-8B78-6A9A45D4C94D}"/>
    <cellStyle name="Normal 4 4 5 3 4" xfId="9825" xr:uid="{2083B131-0A83-454D-BF52-F47D9D2AA7D4}"/>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9C677F3B-EC47-45AC-BB55-CB8A5A23258B}"/>
    <cellStyle name="Normal 4 4 5 4 2 3" xfId="12383" xr:uid="{931C237C-272B-4686-985E-DC594B13600C}"/>
    <cellStyle name="Normal 4 4 5 4 3" xfId="6006" xr:uid="{00000000-0005-0000-0000-0000E8150000}"/>
    <cellStyle name="Normal 4 4 5 4 3 2" xfId="14456" xr:uid="{A5E8CF51-C46D-48F5-ABB0-EEB636154340}"/>
    <cellStyle name="Normal 4 4 5 4 4" xfId="10238" xr:uid="{85E6A4E1-92E7-4404-B77F-C23CA996F3F0}"/>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DD21C266-AF71-492F-B4C5-6FE1C968C4FE}"/>
    <cellStyle name="Normal 4 4 5 5 2 3" xfId="12796" xr:uid="{A4BE3053-51F9-4A58-ABC5-5C74F2D7FE1E}"/>
    <cellStyle name="Normal 4 4 5 5 3" xfId="6419" xr:uid="{00000000-0005-0000-0000-0000EC150000}"/>
    <cellStyle name="Normal 4 4 5 5 3 2" xfId="14869" xr:uid="{ED0E2E6B-D750-4C00-BDF3-0F78787F4292}"/>
    <cellStyle name="Normal 4 4 5 5 4" xfId="10651" xr:uid="{565CFC96-C7F0-4F2C-A77B-85E2B50F7397}"/>
    <cellStyle name="Normal 4 4 5 6" xfId="2549" xr:uid="{00000000-0005-0000-0000-0000ED150000}"/>
    <cellStyle name="Normal 4 4 5 6 2" xfId="6832" xr:uid="{00000000-0005-0000-0000-0000EE150000}"/>
    <cellStyle name="Normal 4 4 5 6 2 2" xfId="15282" xr:uid="{597A5CBE-FDC7-462D-B8CF-CFE735279D3A}"/>
    <cellStyle name="Normal 4 4 5 6 3" xfId="11064" xr:uid="{2A1A5D9C-34A7-45C5-BCD3-77F05C2DE29E}"/>
    <cellStyle name="Normal 4 4 5 7" xfId="4767" xr:uid="{00000000-0005-0000-0000-0000EF150000}"/>
    <cellStyle name="Normal 4 4 5 7 2" xfId="13217" xr:uid="{ECB5470C-3204-4F57-A89F-197503E89D44}"/>
    <cellStyle name="Normal 4 4 5 8" xfId="8999" xr:uid="{E286296F-DB97-4A43-AF88-5C3DE8E25758}"/>
    <cellStyle name="Normal 4 4 6" xfId="853" xr:uid="{00000000-0005-0000-0000-0000F0150000}"/>
    <cellStyle name="Normal 4 4 6 2" xfId="3088" xr:uid="{00000000-0005-0000-0000-0000F1150000}"/>
    <cellStyle name="Normal 4 4 6 2 2" xfId="7310" xr:uid="{00000000-0005-0000-0000-0000F2150000}"/>
    <cellStyle name="Normal 4 4 6 2 2 2" xfId="15760" xr:uid="{868A2A66-2F7D-45F0-9D13-F8D8AC591162}"/>
    <cellStyle name="Normal 4 4 6 2 3" xfId="11542" xr:uid="{5F48ACE4-4DF3-43D4-B530-2105D4CA5AE6}"/>
    <cellStyle name="Normal 4 4 6 3" xfId="5165" xr:uid="{00000000-0005-0000-0000-0000F3150000}"/>
    <cellStyle name="Normal 4 4 6 3 2" xfId="13615" xr:uid="{3518F52C-BFAA-4A65-8754-E10B69054E08}"/>
    <cellStyle name="Normal 4 4 6 4" xfId="9397" xr:uid="{CA66D778-3C95-4F20-9466-98540E775A32}"/>
    <cellStyle name="Normal 4 4 7" xfId="1271" xr:uid="{00000000-0005-0000-0000-0000F4150000}"/>
    <cellStyle name="Normal 4 4 7 2" xfId="3501" xr:uid="{00000000-0005-0000-0000-0000F5150000}"/>
    <cellStyle name="Normal 4 4 7 2 2" xfId="7723" xr:uid="{00000000-0005-0000-0000-0000F6150000}"/>
    <cellStyle name="Normal 4 4 7 2 2 2" xfId="16173" xr:uid="{D4CDC09D-2BA3-4FE8-A61C-F58A94E6A190}"/>
    <cellStyle name="Normal 4 4 7 2 3" xfId="11955" xr:uid="{614CAF95-6EBF-46BF-B5D0-3954F5307A6F}"/>
    <cellStyle name="Normal 4 4 7 3" xfId="5578" xr:uid="{00000000-0005-0000-0000-0000F7150000}"/>
    <cellStyle name="Normal 4 4 7 3 2" xfId="14028" xr:uid="{DC3AEFB2-0D14-482A-A3D7-D321BD8AB541}"/>
    <cellStyle name="Normal 4 4 7 4" xfId="9810" xr:uid="{F91B0680-1DEB-4E36-855B-B2CB6BA05DD7}"/>
    <cellStyle name="Normal 4 4 8" xfId="1684" xr:uid="{00000000-0005-0000-0000-0000F8150000}"/>
    <cellStyle name="Normal 4 4 8 2" xfId="3914" xr:uid="{00000000-0005-0000-0000-0000F9150000}"/>
    <cellStyle name="Normal 4 4 8 2 2" xfId="8136" xr:uid="{00000000-0005-0000-0000-0000FA150000}"/>
    <cellStyle name="Normal 4 4 8 2 2 2" xfId="16586" xr:uid="{178CC041-2018-4E27-8226-62A596B0576A}"/>
    <cellStyle name="Normal 4 4 8 2 3" xfId="12368" xr:uid="{B4DE197F-8955-4E5E-BC69-EE485E64E54B}"/>
    <cellStyle name="Normal 4 4 8 3" xfId="5991" xr:uid="{00000000-0005-0000-0000-0000FB150000}"/>
    <cellStyle name="Normal 4 4 8 3 2" xfId="14441" xr:uid="{37705E70-F959-4E32-B69A-527BDD7DA4E9}"/>
    <cellStyle name="Normal 4 4 8 4" xfId="10223" xr:uid="{ED6644B2-9517-4773-9A79-57065F298A83}"/>
    <cellStyle name="Normal 4 4 9" xfId="2098" xr:uid="{00000000-0005-0000-0000-0000FC150000}"/>
    <cellStyle name="Normal 4 4 9 2" xfId="4327" xr:uid="{00000000-0005-0000-0000-0000FD150000}"/>
    <cellStyle name="Normal 4 4 9 2 2" xfId="8549" xr:uid="{00000000-0005-0000-0000-0000FE150000}"/>
    <cellStyle name="Normal 4 4 9 2 2 2" xfId="16999" xr:uid="{2E405177-355A-4CAE-8902-9F23162A9782}"/>
    <cellStyle name="Normal 4 4 9 2 3" xfId="12781" xr:uid="{31D6C4BC-2007-4760-8F88-1A046C447699}"/>
    <cellStyle name="Normal 4 4 9 3" xfId="6404" xr:uid="{00000000-0005-0000-0000-0000FF150000}"/>
    <cellStyle name="Normal 4 4 9 3 2" xfId="14854" xr:uid="{F41F7A67-87DA-428F-BD13-47F55B2731B5}"/>
    <cellStyle name="Normal 4 4 9 4" xfId="10636" xr:uid="{2A0737EE-B0AD-4558-A400-C95D40A4741B}"/>
    <cellStyle name="Normal 4 5" xfId="394" xr:uid="{00000000-0005-0000-0000-000000160000}"/>
    <cellStyle name="Normal 4 6" xfId="395" xr:uid="{00000000-0005-0000-0000-000001160000}"/>
    <cellStyle name="Normal 4 6 10" xfId="4768" xr:uid="{00000000-0005-0000-0000-000002160000}"/>
    <cellStyle name="Normal 4 6 10 2" xfId="13218" xr:uid="{93050118-376C-4E7A-80D6-81F00B9B7C3E}"/>
    <cellStyle name="Normal 4 6 11" xfId="9000" xr:uid="{792C7DF3-9638-4377-96EB-50E9B61BEC91}"/>
    <cellStyle name="Normal 4 6 2" xfId="396" xr:uid="{00000000-0005-0000-0000-000003160000}"/>
    <cellStyle name="Normal 4 6 2 10" xfId="9001" xr:uid="{60C43AA6-7FCD-4861-9A44-2EB474CBD751}"/>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30C89B49-AE5F-4FDA-9BD7-D9C8C27C7560}"/>
    <cellStyle name="Normal 4 6 2 2 2 2 2 3" xfId="11561" xr:uid="{7A5F68D7-260E-4253-A50E-11D38C3330D7}"/>
    <cellStyle name="Normal 4 6 2 2 2 2 3" xfId="5184" xr:uid="{00000000-0005-0000-0000-000009160000}"/>
    <cellStyle name="Normal 4 6 2 2 2 2 3 2" xfId="13634" xr:uid="{91D3FAE4-A4C6-420F-8CBD-65BB305943C9}"/>
    <cellStyle name="Normal 4 6 2 2 2 2 4" xfId="9416" xr:uid="{1353CA36-FF54-4CD2-B2CD-58244F627BB6}"/>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3D63EDB6-FFC7-47C3-AB65-FFE0CEBADD0C}"/>
    <cellStyle name="Normal 4 6 2 2 2 3 2 3" xfId="11974" xr:uid="{3137298F-C048-4914-BB9D-F98C11B20D35}"/>
    <cellStyle name="Normal 4 6 2 2 2 3 3" xfId="5597" xr:uid="{00000000-0005-0000-0000-00000D160000}"/>
    <cellStyle name="Normal 4 6 2 2 2 3 3 2" xfId="14047" xr:uid="{6B544BDD-2C68-41DA-8D35-B2E30AF63B63}"/>
    <cellStyle name="Normal 4 6 2 2 2 3 4" xfId="9829" xr:uid="{565A2095-B77D-4327-8D29-1BDE7895FF44}"/>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C6AF4054-5EA9-4189-8EA1-00C5BCC5DB9F}"/>
    <cellStyle name="Normal 4 6 2 2 2 4 2 3" xfId="12387" xr:uid="{560A1D92-2160-4A85-887F-A87AF65CF0BA}"/>
    <cellStyle name="Normal 4 6 2 2 2 4 3" xfId="6010" xr:uid="{00000000-0005-0000-0000-000011160000}"/>
    <cellStyle name="Normal 4 6 2 2 2 4 3 2" xfId="14460" xr:uid="{C5EEE8D6-9B81-4F81-8063-49A84B964FA8}"/>
    <cellStyle name="Normal 4 6 2 2 2 4 4" xfId="10242" xr:uid="{1DB1E34C-AE6E-4A94-8453-DB701F2CCF11}"/>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BB353807-C34E-4CD2-8712-8D41C0207B6A}"/>
    <cellStyle name="Normal 4 6 2 2 2 5 2 3" xfId="12800" xr:uid="{BDD7D613-9936-40B0-A776-E517CC320D39}"/>
    <cellStyle name="Normal 4 6 2 2 2 5 3" xfId="6423" xr:uid="{00000000-0005-0000-0000-000015160000}"/>
    <cellStyle name="Normal 4 6 2 2 2 5 3 2" xfId="14873" xr:uid="{EA13D7B6-52A5-4D1B-9270-5A4FEBEF142C}"/>
    <cellStyle name="Normal 4 6 2 2 2 5 4" xfId="10655" xr:uid="{B9E738F6-EAA5-4EF2-A975-3449237F7739}"/>
    <cellStyle name="Normal 4 6 2 2 2 6" xfId="2553" xr:uid="{00000000-0005-0000-0000-000016160000}"/>
    <cellStyle name="Normal 4 6 2 2 2 6 2" xfId="6836" xr:uid="{00000000-0005-0000-0000-000017160000}"/>
    <cellStyle name="Normal 4 6 2 2 2 6 2 2" xfId="15286" xr:uid="{3DB5709C-078E-4151-9A65-EDE8D93E4C2C}"/>
    <cellStyle name="Normal 4 6 2 2 2 6 3" xfId="11068" xr:uid="{A0E57ECD-7939-42AA-8079-7EC9E03E0A92}"/>
    <cellStyle name="Normal 4 6 2 2 2 7" xfId="4771" xr:uid="{00000000-0005-0000-0000-000018160000}"/>
    <cellStyle name="Normal 4 6 2 2 2 7 2" xfId="13221" xr:uid="{3A93A092-64D1-4D33-8151-1521F4FEC865}"/>
    <cellStyle name="Normal 4 6 2 2 2 8" xfId="9003" xr:uid="{2ABB0D9E-17DF-4A7E-B963-70663C38E7FA}"/>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0DE9C8A9-3EFC-44C5-BCFE-123CDA250404}"/>
    <cellStyle name="Normal 4 6 2 2 3 2 3" xfId="11560" xr:uid="{6C11908B-7DA4-4927-80D5-F0828891CDEE}"/>
    <cellStyle name="Normal 4 6 2 2 3 3" xfId="5183" xr:uid="{00000000-0005-0000-0000-00001C160000}"/>
    <cellStyle name="Normal 4 6 2 2 3 3 2" xfId="13633" xr:uid="{B8796E54-B74F-423D-B1BC-D96A0BEB23C2}"/>
    <cellStyle name="Normal 4 6 2 2 3 4" xfId="9415" xr:uid="{61507287-259F-4C3B-BB9E-A0BF5CA35CF5}"/>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D39284BD-8772-4F28-ADE7-7D0CB1FA53AA}"/>
    <cellStyle name="Normal 4 6 2 2 4 2 3" xfId="11973" xr:uid="{797640DF-8B50-4E92-89F2-74AD4639AE18}"/>
    <cellStyle name="Normal 4 6 2 2 4 3" xfId="5596" xr:uid="{00000000-0005-0000-0000-000020160000}"/>
    <cellStyle name="Normal 4 6 2 2 4 3 2" xfId="14046" xr:uid="{EC74811E-F602-4EFE-8913-B0DBCA2B67F5}"/>
    <cellStyle name="Normal 4 6 2 2 4 4" xfId="9828" xr:uid="{3309EEF3-4B62-4A2C-BEC8-C76B8EF9DE95}"/>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9E781F82-C229-416D-8696-674F0E632687}"/>
    <cellStyle name="Normal 4 6 2 2 5 2 3" xfId="12386" xr:uid="{A169A2A2-65F0-441F-AF51-9ED0EF416775}"/>
    <cellStyle name="Normal 4 6 2 2 5 3" xfId="6009" xr:uid="{00000000-0005-0000-0000-000024160000}"/>
    <cellStyle name="Normal 4 6 2 2 5 3 2" xfId="14459" xr:uid="{C436055F-8690-4754-9304-AB66F6D4DD82}"/>
    <cellStyle name="Normal 4 6 2 2 5 4" xfId="10241" xr:uid="{822482A7-5159-4D63-AACA-844B2D47DCAA}"/>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28A7A379-027B-476D-8680-4B3B49AA8955}"/>
    <cellStyle name="Normal 4 6 2 2 6 2 3" xfId="12799" xr:uid="{8D7D3B49-D07C-4303-9FF2-B5D5370CE198}"/>
    <cellStyle name="Normal 4 6 2 2 6 3" xfId="6422" xr:uid="{00000000-0005-0000-0000-000028160000}"/>
    <cellStyle name="Normal 4 6 2 2 6 3 2" xfId="14872" xr:uid="{E1ACEB50-EC2B-4F3F-AA59-3DD3BE687B8F}"/>
    <cellStyle name="Normal 4 6 2 2 6 4" xfId="10654" xr:uid="{A8CAE57F-EEC0-4853-9B24-4520E259511B}"/>
    <cellStyle name="Normal 4 6 2 2 7" xfId="2552" xr:uid="{00000000-0005-0000-0000-000029160000}"/>
    <cellStyle name="Normal 4 6 2 2 7 2" xfId="6835" xr:uid="{00000000-0005-0000-0000-00002A160000}"/>
    <cellStyle name="Normal 4 6 2 2 7 2 2" xfId="15285" xr:uid="{3E2DDEC1-AA9E-47D1-B9BD-11AD5B97F706}"/>
    <cellStyle name="Normal 4 6 2 2 7 3" xfId="11067" xr:uid="{B794376F-B98F-443E-9F2E-2E7A44C25D4E}"/>
    <cellStyle name="Normal 4 6 2 2 8" xfId="4770" xr:uid="{00000000-0005-0000-0000-00002B160000}"/>
    <cellStyle name="Normal 4 6 2 2 8 2" xfId="13220" xr:uid="{18BFE170-344B-47FA-B781-2AF58220D6B6}"/>
    <cellStyle name="Normal 4 6 2 2 9" xfId="9002" xr:uid="{1B5EE420-BE1E-447E-B75E-992151C7DA48}"/>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76396D17-2239-439A-883A-53F8D78CFC94}"/>
    <cellStyle name="Normal 4 6 2 3 2 2 3" xfId="11562" xr:uid="{82BD5087-69BB-4E4A-B5DB-1E343FA8DE72}"/>
    <cellStyle name="Normal 4 6 2 3 2 3" xfId="5185" xr:uid="{00000000-0005-0000-0000-000030160000}"/>
    <cellStyle name="Normal 4 6 2 3 2 3 2" xfId="13635" xr:uid="{225C21E5-DF50-4F7D-AE52-5313154833F2}"/>
    <cellStyle name="Normal 4 6 2 3 2 4" xfId="9417" xr:uid="{FE8C640F-47F7-4FBC-8791-91C88E213432}"/>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985B8907-BF84-4D1A-82DC-A13E9EEEDDCD}"/>
    <cellStyle name="Normal 4 6 2 3 3 2 3" xfId="11975" xr:uid="{9C1CD39C-E343-4104-8588-5EDD16C37DB8}"/>
    <cellStyle name="Normal 4 6 2 3 3 3" xfId="5598" xr:uid="{00000000-0005-0000-0000-000034160000}"/>
    <cellStyle name="Normal 4 6 2 3 3 3 2" xfId="14048" xr:uid="{5AB5D95E-A143-4F41-B269-A55C5365175C}"/>
    <cellStyle name="Normal 4 6 2 3 3 4" xfId="9830" xr:uid="{5239E746-336E-4A2E-B8B4-C9B91009EEF8}"/>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BEBDCC9F-0082-45D5-871A-EE30754C3AFB}"/>
    <cellStyle name="Normal 4 6 2 3 4 2 3" xfId="12388" xr:uid="{1BA98111-FBE2-4885-991C-54F8E650B90C}"/>
    <cellStyle name="Normal 4 6 2 3 4 3" xfId="6011" xr:uid="{00000000-0005-0000-0000-000038160000}"/>
    <cellStyle name="Normal 4 6 2 3 4 3 2" xfId="14461" xr:uid="{A60C1B2D-3ECA-40F4-B7B2-02B2C3E7DB57}"/>
    <cellStyle name="Normal 4 6 2 3 4 4" xfId="10243" xr:uid="{B4576F2D-02BE-4ED1-BB80-9D8D1F7D2427}"/>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E4B7D116-1DFC-4FE6-B915-B77CDAEDAE8E}"/>
    <cellStyle name="Normal 4 6 2 3 5 2 3" xfId="12801" xr:uid="{95A71B5B-7C04-414C-9982-2D91A166E7B2}"/>
    <cellStyle name="Normal 4 6 2 3 5 3" xfId="6424" xr:uid="{00000000-0005-0000-0000-00003C160000}"/>
    <cellStyle name="Normal 4 6 2 3 5 3 2" xfId="14874" xr:uid="{17820A4D-0E77-46DD-B2A3-56F75EFE5C3D}"/>
    <cellStyle name="Normal 4 6 2 3 5 4" xfId="10656" xr:uid="{535B01F4-6E7B-42CA-8D9E-50709EEC23F3}"/>
    <cellStyle name="Normal 4 6 2 3 6" xfId="2554" xr:uid="{00000000-0005-0000-0000-00003D160000}"/>
    <cellStyle name="Normal 4 6 2 3 6 2" xfId="6837" xr:uid="{00000000-0005-0000-0000-00003E160000}"/>
    <cellStyle name="Normal 4 6 2 3 6 2 2" xfId="15287" xr:uid="{7D63EC9A-901D-4CF7-A298-C853DBF12696}"/>
    <cellStyle name="Normal 4 6 2 3 6 3" xfId="11069" xr:uid="{E17A733F-72EA-4ED0-9631-C30ABEDBC8AE}"/>
    <cellStyle name="Normal 4 6 2 3 7" xfId="4772" xr:uid="{00000000-0005-0000-0000-00003F160000}"/>
    <cellStyle name="Normal 4 6 2 3 7 2" xfId="13222" xr:uid="{F609AFDB-F775-46BC-90A5-2BDA56BDB1D4}"/>
    <cellStyle name="Normal 4 6 2 3 8" xfId="9004" xr:uid="{6DE37B88-7F9A-42A3-BCD8-14775A591D63}"/>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B48D421C-ECC4-458C-99D2-17E5F10C9E3F}"/>
    <cellStyle name="Normal 4 6 2 4 2 3" xfId="11559" xr:uid="{87DDE92F-2AE1-4868-867D-DE7E4E880E11}"/>
    <cellStyle name="Normal 4 6 2 4 3" xfId="5182" xr:uid="{00000000-0005-0000-0000-000043160000}"/>
    <cellStyle name="Normal 4 6 2 4 3 2" xfId="13632" xr:uid="{52BAC97A-C1E5-4F34-8126-CC7F0A4B0BF2}"/>
    <cellStyle name="Normal 4 6 2 4 4" xfId="9414" xr:uid="{E334FC9F-1DE7-4137-91D6-72C624E218D4}"/>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5CBA51F0-6A94-4B20-A9EB-DD2F242185E7}"/>
    <cellStyle name="Normal 4 6 2 5 2 3" xfId="11972" xr:uid="{B4E41771-4375-4F60-A7D0-DF1F896A0E81}"/>
    <cellStyle name="Normal 4 6 2 5 3" xfId="5595" xr:uid="{00000000-0005-0000-0000-000047160000}"/>
    <cellStyle name="Normal 4 6 2 5 3 2" xfId="14045" xr:uid="{AC77EFEC-5935-44EA-82E3-AF80B5FD3F4F}"/>
    <cellStyle name="Normal 4 6 2 5 4" xfId="9827" xr:uid="{E86F92C2-10B9-4AF1-A1B1-801D9BC9BDEC}"/>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0DB45A08-AE2F-4AE9-8F1F-8EB0F05F3135}"/>
    <cellStyle name="Normal 4 6 2 6 2 3" xfId="12385" xr:uid="{129BA966-ECC5-41FB-B3A3-89EF5626DF1B}"/>
    <cellStyle name="Normal 4 6 2 6 3" xfId="6008" xr:uid="{00000000-0005-0000-0000-00004B160000}"/>
    <cellStyle name="Normal 4 6 2 6 3 2" xfId="14458" xr:uid="{4D0F0E6A-BB99-43C5-85FD-2C25B52A4D6F}"/>
    <cellStyle name="Normal 4 6 2 6 4" xfId="10240" xr:uid="{71E5CAB2-AA56-408D-925D-AF6647FAAB02}"/>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6892F705-9B58-4F0E-9AE8-BD18E694C2FD}"/>
    <cellStyle name="Normal 4 6 2 7 2 3" xfId="12798" xr:uid="{E0E71C56-ACF9-411B-960D-17C69D599140}"/>
    <cellStyle name="Normal 4 6 2 7 3" xfId="6421" xr:uid="{00000000-0005-0000-0000-00004F160000}"/>
    <cellStyle name="Normal 4 6 2 7 3 2" xfId="14871" xr:uid="{9A2930D9-4539-43EE-ADD2-40EEEEE1865D}"/>
    <cellStyle name="Normal 4 6 2 7 4" xfId="10653" xr:uid="{27EB4D66-84DB-4B74-B571-945AA8C6690C}"/>
    <cellStyle name="Normal 4 6 2 8" xfId="2551" xr:uid="{00000000-0005-0000-0000-000050160000}"/>
    <cellStyle name="Normal 4 6 2 8 2" xfId="6834" xr:uid="{00000000-0005-0000-0000-000051160000}"/>
    <cellStyle name="Normal 4 6 2 8 2 2" xfId="15284" xr:uid="{8E9AEC68-5648-460F-AFDD-761EC2B1CF03}"/>
    <cellStyle name="Normal 4 6 2 8 3" xfId="11066" xr:uid="{EECD67C3-7C07-4082-B1B0-B0A9EC6A39B3}"/>
    <cellStyle name="Normal 4 6 2 9" xfId="4769" xr:uid="{00000000-0005-0000-0000-000052160000}"/>
    <cellStyle name="Normal 4 6 2 9 2" xfId="13219" xr:uid="{D8B84FA4-E155-4AAA-818A-50525E9231BA}"/>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22D1254D-CEEF-473B-BC3B-C9FB00F20D98}"/>
    <cellStyle name="Normal 4 6 3 2 2 2 3" xfId="11564" xr:uid="{6069A42C-1C96-43A4-9C3D-3FD5DC4DFAA5}"/>
    <cellStyle name="Normal 4 6 3 2 2 3" xfId="5187" xr:uid="{00000000-0005-0000-0000-000058160000}"/>
    <cellStyle name="Normal 4 6 3 2 2 3 2" xfId="13637" xr:uid="{A768B8C2-92FA-49AA-8D96-3B47643B9FC9}"/>
    <cellStyle name="Normal 4 6 3 2 2 4" xfId="9419" xr:uid="{30F17574-F603-4655-90B3-06F3898B2E23}"/>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35B1E160-6489-4EAD-A454-5CC3EEA58E54}"/>
    <cellStyle name="Normal 4 6 3 2 3 2 3" xfId="11977" xr:uid="{D1D88998-3816-407E-9476-7DE2B9B1C31E}"/>
    <cellStyle name="Normal 4 6 3 2 3 3" xfId="5600" xr:uid="{00000000-0005-0000-0000-00005C160000}"/>
    <cellStyle name="Normal 4 6 3 2 3 3 2" xfId="14050" xr:uid="{FB9FC5A2-6D84-4A20-9CB1-9D2DBEEBC53A}"/>
    <cellStyle name="Normal 4 6 3 2 3 4" xfId="9832" xr:uid="{ADD8F482-04B8-44B0-8DC7-0242BCFBD77C}"/>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C605059A-2D3C-4D52-A479-AA60630440AF}"/>
    <cellStyle name="Normal 4 6 3 2 4 2 3" xfId="12390" xr:uid="{FADC3367-F83B-4696-AE4D-ED78C83BE24A}"/>
    <cellStyle name="Normal 4 6 3 2 4 3" xfId="6013" xr:uid="{00000000-0005-0000-0000-000060160000}"/>
    <cellStyle name="Normal 4 6 3 2 4 3 2" xfId="14463" xr:uid="{5EE859EB-31D8-4704-8256-7631C8B5ADED}"/>
    <cellStyle name="Normal 4 6 3 2 4 4" xfId="10245" xr:uid="{16F03CEC-9CDD-490F-8E15-EBC0DDE1B067}"/>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55F6E890-C84F-4EAB-A37B-EBAB50776D2E}"/>
    <cellStyle name="Normal 4 6 3 2 5 2 3" xfId="12803" xr:uid="{FB290233-09E6-4D7E-9001-33751D2C2571}"/>
    <cellStyle name="Normal 4 6 3 2 5 3" xfId="6426" xr:uid="{00000000-0005-0000-0000-000064160000}"/>
    <cellStyle name="Normal 4 6 3 2 5 3 2" xfId="14876" xr:uid="{E2247D31-7B60-4D2C-A77B-16D0BA5D04D2}"/>
    <cellStyle name="Normal 4 6 3 2 5 4" xfId="10658" xr:uid="{BCF76566-ED3C-4CAD-82C9-EBBC0515EE1D}"/>
    <cellStyle name="Normal 4 6 3 2 6" xfId="2556" xr:uid="{00000000-0005-0000-0000-000065160000}"/>
    <cellStyle name="Normal 4 6 3 2 6 2" xfId="6839" xr:uid="{00000000-0005-0000-0000-000066160000}"/>
    <cellStyle name="Normal 4 6 3 2 6 2 2" xfId="15289" xr:uid="{4C3C847E-3CFE-4463-AEF6-FB35F0A1E872}"/>
    <cellStyle name="Normal 4 6 3 2 6 3" xfId="11071" xr:uid="{B0F32016-DE3D-4027-A79A-DF0EBBD3F7F2}"/>
    <cellStyle name="Normal 4 6 3 2 7" xfId="4774" xr:uid="{00000000-0005-0000-0000-000067160000}"/>
    <cellStyle name="Normal 4 6 3 2 7 2" xfId="13224" xr:uid="{C3DF485E-980C-47F1-B81E-451FBF0B4A37}"/>
    <cellStyle name="Normal 4 6 3 2 8" xfId="9006" xr:uid="{6881D4CE-8C0C-4C04-A11A-307ED16E7F9E}"/>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3DFF040F-98BC-4C40-A822-4A5CA94D6F59}"/>
    <cellStyle name="Normal 4 6 3 3 2 3" xfId="11563" xr:uid="{31B517BE-5780-4B57-BC1F-B2733370633E}"/>
    <cellStyle name="Normal 4 6 3 3 3" xfId="5186" xr:uid="{00000000-0005-0000-0000-00006B160000}"/>
    <cellStyle name="Normal 4 6 3 3 3 2" xfId="13636" xr:uid="{35BDD405-46F2-4373-905D-FA669162C785}"/>
    <cellStyle name="Normal 4 6 3 3 4" xfId="9418" xr:uid="{1A19E448-4177-4BE6-99BA-2CD2D6A6C6F0}"/>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F02FFF92-F599-438C-B75D-DE384304CF57}"/>
    <cellStyle name="Normal 4 6 3 4 2 3" xfId="11976" xr:uid="{5FC7D82F-793C-4FAE-B434-E675832ABC07}"/>
    <cellStyle name="Normal 4 6 3 4 3" xfId="5599" xr:uid="{00000000-0005-0000-0000-00006F160000}"/>
    <cellStyle name="Normal 4 6 3 4 3 2" xfId="14049" xr:uid="{67EF114C-F19C-441E-A10C-353587615813}"/>
    <cellStyle name="Normal 4 6 3 4 4" xfId="9831" xr:uid="{0221ABE0-B292-48E8-8A14-B1CFD7C3C1E3}"/>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D73696AF-1036-46CD-856F-F3DD87251AA4}"/>
    <cellStyle name="Normal 4 6 3 5 2 3" xfId="12389" xr:uid="{59F86CDE-7DA6-4B63-9F2C-A0336F5FEAC8}"/>
    <cellStyle name="Normal 4 6 3 5 3" xfId="6012" xr:uid="{00000000-0005-0000-0000-000073160000}"/>
    <cellStyle name="Normal 4 6 3 5 3 2" xfId="14462" xr:uid="{78210CAB-A0CC-4DCA-9FB9-E8C33E97E068}"/>
    <cellStyle name="Normal 4 6 3 5 4" xfId="10244" xr:uid="{196D2690-6AC8-412B-AC7E-0FCEA96E4D60}"/>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5F293D2C-4B78-4696-9E6D-4A483572BF20}"/>
    <cellStyle name="Normal 4 6 3 6 2 3" xfId="12802" xr:uid="{8591112E-012D-4809-A38E-21D1B310DCDF}"/>
    <cellStyle name="Normal 4 6 3 6 3" xfId="6425" xr:uid="{00000000-0005-0000-0000-000077160000}"/>
    <cellStyle name="Normal 4 6 3 6 3 2" xfId="14875" xr:uid="{D3170613-87AD-42E3-8D63-4CFACDE0F471}"/>
    <cellStyle name="Normal 4 6 3 6 4" xfId="10657" xr:uid="{D7E53B83-89BA-43E7-8D77-CDBF57E05AC3}"/>
    <cellStyle name="Normal 4 6 3 7" xfId="2555" xr:uid="{00000000-0005-0000-0000-000078160000}"/>
    <cellStyle name="Normal 4 6 3 7 2" xfId="6838" xr:uid="{00000000-0005-0000-0000-000079160000}"/>
    <cellStyle name="Normal 4 6 3 7 2 2" xfId="15288" xr:uid="{BF29C117-2498-4190-A6DD-0EDADD672F96}"/>
    <cellStyle name="Normal 4 6 3 7 3" xfId="11070" xr:uid="{D19D653E-B5D2-472D-93DB-7033040C37C4}"/>
    <cellStyle name="Normal 4 6 3 8" xfId="4773" xr:uid="{00000000-0005-0000-0000-00007A160000}"/>
    <cellStyle name="Normal 4 6 3 8 2" xfId="13223" xr:uid="{30FB531C-219A-4FB0-8542-FF3F764CBF5B}"/>
    <cellStyle name="Normal 4 6 3 9" xfId="9005" xr:uid="{9DD437C7-4BC3-4CD3-B256-0B204F5D4F52}"/>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10AC50CD-C3DB-410B-BBF9-7DC4082B8D4F}"/>
    <cellStyle name="Normal 4 6 4 2 2 3" xfId="11565" xr:uid="{EE017AD3-A84D-41B7-8E9D-1E9E9C48188F}"/>
    <cellStyle name="Normal 4 6 4 2 3" xfId="5188" xr:uid="{00000000-0005-0000-0000-00007F160000}"/>
    <cellStyle name="Normal 4 6 4 2 3 2" xfId="13638" xr:uid="{5472123D-A1F5-47D1-B4D2-15636C05C32A}"/>
    <cellStyle name="Normal 4 6 4 2 4" xfId="9420" xr:uid="{ADF33DDC-053E-4495-BB75-82E0B09B58FD}"/>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5DEEFC0F-FEDE-46DE-9AF3-55C4E803F086}"/>
    <cellStyle name="Normal 4 6 4 3 2 3" xfId="11978" xr:uid="{DDCA802A-FAD2-482F-AC2F-AD34DB6FF922}"/>
    <cellStyle name="Normal 4 6 4 3 3" xfId="5601" xr:uid="{00000000-0005-0000-0000-000083160000}"/>
    <cellStyle name="Normal 4 6 4 3 3 2" xfId="14051" xr:uid="{9CF8C4AE-1728-4671-B2AF-563FE0D92050}"/>
    <cellStyle name="Normal 4 6 4 3 4" xfId="9833" xr:uid="{A9674856-D4FC-4B0A-A0E6-0B5B3CD2F36E}"/>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B7BF6C1C-CD15-4210-AA29-13DCEDDB687C}"/>
    <cellStyle name="Normal 4 6 4 4 2 3" xfId="12391" xr:uid="{B05068D4-DA10-4BFA-9309-77D84465B5E4}"/>
    <cellStyle name="Normal 4 6 4 4 3" xfId="6014" xr:uid="{00000000-0005-0000-0000-000087160000}"/>
    <cellStyle name="Normal 4 6 4 4 3 2" xfId="14464" xr:uid="{29CD55F5-34FC-47DD-885B-85E7E8C12A88}"/>
    <cellStyle name="Normal 4 6 4 4 4" xfId="10246" xr:uid="{C4806373-979C-4403-83D9-58E96D378F4B}"/>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ED61DC17-6B2E-45F1-9425-2E63F822715C}"/>
    <cellStyle name="Normal 4 6 4 5 2 3" xfId="12804" xr:uid="{4C8D0F13-E6E6-4880-9F0E-33518496C93A}"/>
    <cellStyle name="Normal 4 6 4 5 3" xfId="6427" xr:uid="{00000000-0005-0000-0000-00008B160000}"/>
    <cellStyle name="Normal 4 6 4 5 3 2" xfId="14877" xr:uid="{76685EA6-1C19-4B57-81A6-7EB7F1A2C8EE}"/>
    <cellStyle name="Normal 4 6 4 5 4" xfId="10659" xr:uid="{379BA953-383D-4C9F-90D0-E173B2C2D2BF}"/>
    <cellStyle name="Normal 4 6 4 6" xfId="2557" xr:uid="{00000000-0005-0000-0000-00008C160000}"/>
    <cellStyle name="Normal 4 6 4 6 2" xfId="6840" xr:uid="{00000000-0005-0000-0000-00008D160000}"/>
    <cellStyle name="Normal 4 6 4 6 2 2" xfId="15290" xr:uid="{61693223-D6C9-452C-909C-D90A4D58A738}"/>
    <cellStyle name="Normal 4 6 4 6 3" xfId="11072" xr:uid="{F1F86B57-7B23-4296-B543-53E7AE98FE87}"/>
    <cellStyle name="Normal 4 6 4 7" xfId="4775" xr:uid="{00000000-0005-0000-0000-00008E160000}"/>
    <cellStyle name="Normal 4 6 4 7 2" xfId="13225" xr:uid="{92C9D33F-0FE6-44E7-8BA4-CF7823C951B4}"/>
    <cellStyle name="Normal 4 6 4 8" xfId="9007" xr:uid="{E580D670-14F9-486F-92DB-BB8F9A266CDB}"/>
    <cellStyle name="Normal 4 6 5" xfId="869" xr:uid="{00000000-0005-0000-0000-00008F160000}"/>
    <cellStyle name="Normal 4 6 5 2" xfId="3104" xr:uid="{00000000-0005-0000-0000-000090160000}"/>
    <cellStyle name="Normal 4 6 5 2 2" xfId="7326" xr:uid="{00000000-0005-0000-0000-000091160000}"/>
    <cellStyle name="Normal 4 6 5 2 2 2" xfId="15776" xr:uid="{7D9482EC-E9A0-4ADE-B1FA-B098F7889B48}"/>
    <cellStyle name="Normal 4 6 5 2 3" xfId="11558" xr:uid="{9EDCBF58-3789-4622-9F45-6CC6A55DCDE1}"/>
    <cellStyle name="Normal 4 6 5 3" xfId="5181" xr:uid="{00000000-0005-0000-0000-000092160000}"/>
    <cellStyle name="Normal 4 6 5 3 2" xfId="13631" xr:uid="{CE2A8041-F514-44D6-8C01-E632E667CE3E}"/>
    <cellStyle name="Normal 4 6 5 4" xfId="9413" xr:uid="{91B03244-7138-43F5-B8B5-6DCBCB8257AB}"/>
    <cellStyle name="Normal 4 6 6" xfId="1287" xr:uid="{00000000-0005-0000-0000-000093160000}"/>
    <cellStyle name="Normal 4 6 6 2" xfId="3517" xr:uid="{00000000-0005-0000-0000-000094160000}"/>
    <cellStyle name="Normal 4 6 6 2 2" xfId="7739" xr:uid="{00000000-0005-0000-0000-000095160000}"/>
    <cellStyle name="Normal 4 6 6 2 2 2" xfId="16189" xr:uid="{83844328-744C-4D24-B36B-2572285277FD}"/>
    <cellStyle name="Normal 4 6 6 2 3" xfId="11971" xr:uid="{5051AB20-4A17-4E85-9B98-4C95EC3E2667}"/>
    <cellStyle name="Normal 4 6 6 3" xfId="5594" xr:uid="{00000000-0005-0000-0000-000096160000}"/>
    <cellStyle name="Normal 4 6 6 3 2" xfId="14044" xr:uid="{DF3EC2E7-9146-4052-B10D-FB0AE0EAE424}"/>
    <cellStyle name="Normal 4 6 6 4" xfId="9826" xr:uid="{5DE300A8-248D-4660-A913-2CEEBF605917}"/>
    <cellStyle name="Normal 4 6 7" xfId="1700" xr:uid="{00000000-0005-0000-0000-000097160000}"/>
    <cellStyle name="Normal 4 6 7 2" xfId="3930" xr:uid="{00000000-0005-0000-0000-000098160000}"/>
    <cellStyle name="Normal 4 6 7 2 2" xfId="8152" xr:uid="{00000000-0005-0000-0000-000099160000}"/>
    <cellStyle name="Normal 4 6 7 2 2 2" xfId="16602" xr:uid="{B3992DC2-BABB-4A09-AB65-047E6C73E4C7}"/>
    <cellStyle name="Normal 4 6 7 2 3" xfId="12384" xr:uid="{8A281687-1730-4805-A112-B9103FBC3F05}"/>
    <cellStyle name="Normal 4 6 7 3" xfId="6007" xr:uid="{00000000-0005-0000-0000-00009A160000}"/>
    <cellStyle name="Normal 4 6 7 3 2" xfId="14457" xr:uid="{B101B7CE-604B-462F-B79B-2107DD0AE996}"/>
    <cellStyle name="Normal 4 6 7 4" xfId="10239" xr:uid="{3D5D5429-A31D-4E6C-94F9-07BCDD1CA911}"/>
    <cellStyle name="Normal 4 6 8" xfId="2114" xr:uid="{00000000-0005-0000-0000-00009B160000}"/>
    <cellStyle name="Normal 4 6 8 2" xfId="4343" xr:uid="{00000000-0005-0000-0000-00009C160000}"/>
    <cellStyle name="Normal 4 6 8 2 2" xfId="8565" xr:uid="{00000000-0005-0000-0000-00009D160000}"/>
    <cellStyle name="Normal 4 6 8 2 2 2" xfId="17015" xr:uid="{573669B7-017C-42F7-8FA9-81BBCF0068BB}"/>
    <cellStyle name="Normal 4 6 8 2 3" xfId="12797" xr:uid="{575E90D6-EC71-4374-864E-F85A4B4FA7AA}"/>
    <cellStyle name="Normal 4 6 8 3" xfId="6420" xr:uid="{00000000-0005-0000-0000-00009E160000}"/>
    <cellStyle name="Normal 4 6 8 3 2" xfId="14870" xr:uid="{65F643CC-34A8-480B-ADAF-B6C55B4BBE3B}"/>
    <cellStyle name="Normal 4 6 8 4" xfId="10652" xr:uid="{9E4CAE30-0CF0-4982-AEE0-F0F15B65A3F2}"/>
    <cellStyle name="Normal 4 6 9" xfId="2550" xr:uid="{00000000-0005-0000-0000-00009F160000}"/>
    <cellStyle name="Normal 4 6 9 2" xfId="6833" xr:uid="{00000000-0005-0000-0000-0000A0160000}"/>
    <cellStyle name="Normal 4 6 9 2 2" xfId="15283" xr:uid="{9B00B893-063E-45C2-A240-68C266FA5A26}"/>
    <cellStyle name="Normal 4 6 9 3" xfId="11065" xr:uid="{CE0475B7-831B-4A04-A3CB-98B83AFD2958}"/>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104A3F5F-DB9C-4183-854C-F13CC9880167}"/>
    <cellStyle name="Normal 4 7 2 2 2 3" xfId="11567" xr:uid="{5FC0DD51-C0FA-4943-8971-F74BFFDE712C}"/>
    <cellStyle name="Normal 4 7 2 2 3" xfId="5190" xr:uid="{00000000-0005-0000-0000-0000A6160000}"/>
    <cellStyle name="Normal 4 7 2 2 3 2" xfId="13640" xr:uid="{82E45A5F-0EE0-4A6C-83C4-666A8F81F417}"/>
    <cellStyle name="Normal 4 7 2 2 4" xfId="9422" xr:uid="{79193D84-2F01-42CB-98DF-E796B5B765A2}"/>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65588AF2-A93A-4ABE-86D1-047435C46042}"/>
    <cellStyle name="Normal 4 7 2 3 2 3" xfId="11980" xr:uid="{7A26C48E-8D08-4906-B59A-93D0B0D1FE00}"/>
    <cellStyle name="Normal 4 7 2 3 3" xfId="5603" xr:uid="{00000000-0005-0000-0000-0000AA160000}"/>
    <cellStyle name="Normal 4 7 2 3 3 2" xfId="14053" xr:uid="{4E98BDF3-8826-47F7-BE20-090051E46481}"/>
    <cellStyle name="Normal 4 7 2 3 4" xfId="9835" xr:uid="{EE9AD658-8AD2-47D5-B841-4107C79E0829}"/>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BF603127-2299-4EF2-9811-075D05100A96}"/>
    <cellStyle name="Normal 4 7 2 4 2 3" xfId="12393" xr:uid="{4099DC7F-9FA7-44BD-94CA-7007C27C7C3A}"/>
    <cellStyle name="Normal 4 7 2 4 3" xfId="6016" xr:uid="{00000000-0005-0000-0000-0000AE160000}"/>
    <cellStyle name="Normal 4 7 2 4 3 2" xfId="14466" xr:uid="{B5A02424-682C-4033-A5C1-3172AE826866}"/>
    <cellStyle name="Normal 4 7 2 4 4" xfId="10248" xr:uid="{07C0720F-0B6C-4126-97FF-A04CCFB98239}"/>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FBAD23F5-304B-49F4-9460-E3457D587BA9}"/>
    <cellStyle name="Normal 4 7 2 5 2 3" xfId="12806" xr:uid="{11A86273-DC14-4109-AABD-5AAF1AAA60D7}"/>
    <cellStyle name="Normal 4 7 2 5 3" xfId="6429" xr:uid="{00000000-0005-0000-0000-0000B2160000}"/>
    <cellStyle name="Normal 4 7 2 5 3 2" xfId="14879" xr:uid="{8ACAB4D1-8D7B-4D15-AC1F-A33138817DA8}"/>
    <cellStyle name="Normal 4 7 2 5 4" xfId="10661" xr:uid="{9A1F9624-4438-41B3-BEB8-F56784CA8F1C}"/>
    <cellStyle name="Normal 4 7 2 6" xfId="2559" xr:uid="{00000000-0005-0000-0000-0000B3160000}"/>
    <cellStyle name="Normal 4 7 2 6 2" xfId="6842" xr:uid="{00000000-0005-0000-0000-0000B4160000}"/>
    <cellStyle name="Normal 4 7 2 6 2 2" xfId="15292" xr:uid="{5C1E13F3-F604-4C18-B72E-DDFFB89EDA1B}"/>
    <cellStyle name="Normal 4 7 2 6 3" xfId="11074" xr:uid="{667FB87A-08F2-4683-B23D-6F07D9D2527A}"/>
    <cellStyle name="Normal 4 7 2 7" xfId="4777" xr:uid="{00000000-0005-0000-0000-0000B5160000}"/>
    <cellStyle name="Normal 4 7 2 7 2" xfId="13227" xr:uid="{EDC0F229-3A46-4760-9907-5113CB684DBE}"/>
    <cellStyle name="Normal 4 7 2 8" xfId="9009" xr:uid="{7440733F-485D-4541-8542-F0A706328EAC}"/>
    <cellStyle name="Normal 4 7 3" xfId="877" xr:uid="{00000000-0005-0000-0000-0000B6160000}"/>
    <cellStyle name="Normal 4 7 3 2" xfId="3112" xr:uid="{00000000-0005-0000-0000-0000B7160000}"/>
    <cellStyle name="Normal 4 7 3 2 2" xfId="7334" xr:uid="{00000000-0005-0000-0000-0000B8160000}"/>
    <cellStyle name="Normal 4 7 3 2 2 2" xfId="15784" xr:uid="{336BED6C-99EF-4FF3-9E58-77D71EDBDA24}"/>
    <cellStyle name="Normal 4 7 3 2 3" xfId="11566" xr:uid="{B83E2AA6-AC01-48E5-8519-BA9121D13330}"/>
    <cellStyle name="Normal 4 7 3 3" xfId="5189" xr:uid="{00000000-0005-0000-0000-0000B9160000}"/>
    <cellStyle name="Normal 4 7 3 3 2" xfId="13639" xr:uid="{698E5C9E-29C5-4166-A649-99742A9E695E}"/>
    <cellStyle name="Normal 4 7 3 4" xfId="9421" xr:uid="{F7E75E27-39D1-45A6-8203-61B075F57174}"/>
    <cellStyle name="Normal 4 7 4" xfId="1295" xr:uid="{00000000-0005-0000-0000-0000BA160000}"/>
    <cellStyle name="Normal 4 7 4 2" xfId="3525" xr:uid="{00000000-0005-0000-0000-0000BB160000}"/>
    <cellStyle name="Normal 4 7 4 2 2" xfId="7747" xr:uid="{00000000-0005-0000-0000-0000BC160000}"/>
    <cellStyle name="Normal 4 7 4 2 2 2" xfId="16197" xr:uid="{B14C9D3B-5B65-4ECB-829E-8DCB3DD0A5D6}"/>
    <cellStyle name="Normal 4 7 4 2 3" xfId="11979" xr:uid="{CD500725-A694-4085-98E5-31F3B698D0E3}"/>
    <cellStyle name="Normal 4 7 4 3" xfId="5602" xr:uid="{00000000-0005-0000-0000-0000BD160000}"/>
    <cellStyle name="Normal 4 7 4 3 2" xfId="14052" xr:uid="{2325A162-5064-492D-8131-EEDB8A209758}"/>
    <cellStyle name="Normal 4 7 4 4" xfId="9834" xr:uid="{2F3C07D5-2CBC-4E56-ABF5-E20338E13264}"/>
    <cellStyle name="Normal 4 7 5" xfId="1708" xr:uid="{00000000-0005-0000-0000-0000BE160000}"/>
    <cellStyle name="Normal 4 7 5 2" xfId="3938" xr:uid="{00000000-0005-0000-0000-0000BF160000}"/>
    <cellStyle name="Normal 4 7 5 2 2" xfId="8160" xr:uid="{00000000-0005-0000-0000-0000C0160000}"/>
    <cellStyle name="Normal 4 7 5 2 2 2" xfId="16610" xr:uid="{3817433C-ECC1-4F44-BDCB-A14C84F04A3E}"/>
    <cellStyle name="Normal 4 7 5 2 3" xfId="12392" xr:uid="{C11C0300-E47C-4757-8E39-30841CDE83BA}"/>
    <cellStyle name="Normal 4 7 5 3" xfId="6015" xr:uid="{00000000-0005-0000-0000-0000C1160000}"/>
    <cellStyle name="Normal 4 7 5 3 2" xfId="14465" xr:uid="{11CA39E6-EB24-4C7D-AE71-F0F18EFB208A}"/>
    <cellStyle name="Normal 4 7 5 4" xfId="10247" xr:uid="{651013D8-CC9D-46E9-9A0F-9BACAECEFB64}"/>
    <cellStyle name="Normal 4 7 6" xfId="2122" xr:uid="{00000000-0005-0000-0000-0000C2160000}"/>
    <cellStyle name="Normal 4 7 6 2" xfId="4351" xr:uid="{00000000-0005-0000-0000-0000C3160000}"/>
    <cellStyle name="Normal 4 7 6 2 2" xfId="8573" xr:uid="{00000000-0005-0000-0000-0000C4160000}"/>
    <cellStyle name="Normal 4 7 6 2 2 2" xfId="17023" xr:uid="{5EA81A51-3CCC-4D9A-8BDF-698D7E01C381}"/>
    <cellStyle name="Normal 4 7 6 2 3" xfId="12805" xr:uid="{AF1E3FE2-1E4B-4538-8226-6039723AD917}"/>
    <cellStyle name="Normal 4 7 6 3" xfId="6428" xr:uid="{00000000-0005-0000-0000-0000C5160000}"/>
    <cellStyle name="Normal 4 7 6 3 2" xfId="14878" xr:uid="{050572CD-E049-4788-8E85-C062F5920236}"/>
    <cellStyle name="Normal 4 7 6 4" xfId="10660" xr:uid="{26270F21-9511-46EA-B5CD-52ADA92616BC}"/>
    <cellStyle name="Normal 4 7 7" xfId="2558" xr:uid="{00000000-0005-0000-0000-0000C6160000}"/>
    <cellStyle name="Normal 4 7 7 2" xfId="6841" xr:uid="{00000000-0005-0000-0000-0000C7160000}"/>
    <cellStyle name="Normal 4 7 7 2 2" xfId="15291" xr:uid="{D4F83636-0BA9-44B5-B33F-90741CFC6708}"/>
    <cellStyle name="Normal 4 7 7 3" xfId="11073" xr:uid="{1DA6A77B-08FB-44A2-9FE4-75ACD1A107A7}"/>
    <cellStyle name="Normal 4 7 8" xfId="4776" xr:uid="{00000000-0005-0000-0000-0000C8160000}"/>
    <cellStyle name="Normal 4 7 8 2" xfId="13226" xr:uid="{B3DFF3D5-AD74-4F80-B464-312A1B1F3B34}"/>
    <cellStyle name="Normal 4 7 9" xfId="9008" xr:uid="{8F9B8BBE-4A05-433E-B071-FE6E45E2A895}"/>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B4E6601A-3652-45B7-AA19-303E8B482128}"/>
    <cellStyle name="Normal 4 8 2 2 3" xfId="11568" xr:uid="{9B744091-BFF3-4B53-A7C1-EB74A85B9168}"/>
    <cellStyle name="Normal 4 8 2 3" xfId="5191" xr:uid="{00000000-0005-0000-0000-0000CD160000}"/>
    <cellStyle name="Normal 4 8 2 3 2" xfId="13641" xr:uid="{121A2926-9FDB-444C-B625-B39A125BFF1E}"/>
    <cellStyle name="Normal 4 8 2 4" xfId="9423" xr:uid="{52F93E9D-491D-4D00-90B1-5B3758D1A227}"/>
    <cellStyle name="Normal 4 8 3" xfId="1297" xr:uid="{00000000-0005-0000-0000-0000CE160000}"/>
    <cellStyle name="Normal 4 8 3 2" xfId="3527" xr:uid="{00000000-0005-0000-0000-0000CF160000}"/>
    <cellStyle name="Normal 4 8 3 2 2" xfId="7749" xr:uid="{00000000-0005-0000-0000-0000D0160000}"/>
    <cellStyle name="Normal 4 8 3 2 2 2" xfId="16199" xr:uid="{EB3A0D0A-7B35-4DE4-91BF-A35FF2DF3226}"/>
    <cellStyle name="Normal 4 8 3 2 3" xfId="11981" xr:uid="{10497ED5-EFB8-4D3B-BFA6-64F8BA5D6CFC}"/>
    <cellStyle name="Normal 4 8 3 3" xfId="5604" xr:uid="{00000000-0005-0000-0000-0000D1160000}"/>
    <cellStyle name="Normal 4 8 3 3 2" xfId="14054" xr:uid="{C0AA7160-3D67-4EC3-BFB1-4F6FF9F1EC0B}"/>
    <cellStyle name="Normal 4 8 3 4" xfId="9836" xr:uid="{4D5A7E48-09FE-4423-A0F7-2FCBE754B5A1}"/>
    <cellStyle name="Normal 4 8 4" xfId="1710" xr:uid="{00000000-0005-0000-0000-0000D2160000}"/>
    <cellStyle name="Normal 4 8 4 2" xfId="3940" xr:uid="{00000000-0005-0000-0000-0000D3160000}"/>
    <cellStyle name="Normal 4 8 4 2 2" xfId="8162" xr:uid="{00000000-0005-0000-0000-0000D4160000}"/>
    <cellStyle name="Normal 4 8 4 2 2 2" xfId="16612" xr:uid="{C63CD370-9A97-4C61-8537-23A2914E76E4}"/>
    <cellStyle name="Normal 4 8 4 2 3" xfId="12394" xr:uid="{F8438A17-D6CD-46AE-83BE-2DF7D9105226}"/>
    <cellStyle name="Normal 4 8 4 3" xfId="6017" xr:uid="{00000000-0005-0000-0000-0000D5160000}"/>
    <cellStyle name="Normal 4 8 4 3 2" xfId="14467" xr:uid="{B5FBCA55-30E4-4B97-9E04-E29CE78510E7}"/>
    <cellStyle name="Normal 4 8 4 4" xfId="10249" xr:uid="{6A46B54C-75C7-4018-AA6B-CE9D6C5A306C}"/>
    <cellStyle name="Normal 4 8 5" xfId="2124" xr:uid="{00000000-0005-0000-0000-0000D6160000}"/>
    <cellStyle name="Normal 4 8 5 2" xfId="4353" xr:uid="{00000000-0005-0000-0000-0000D7160000}"/>
    <cellStyle name="Normal 4 8 5 2 2" xfId="8575" xr:uid="{00000000-0005-0000-0000-0000D8160000}"/>
    <cellStyle name="Normal 4 8 5 2 2 2" xfId="17025" xr:uid="{16AE5F8A-9932-4036-A7AE-A667B827DBBE}"/>
    <cellStyle name="Normal 4 8 5 2 3" xfId="12807" xr:uid="{85E60A4F-19FA-4C8B-AC6D-07E030D32CDA}"/>
    <cellStyle name="Normal 4 8 5 3" xfId="6430" xr:uid="{00000000-0005-0000-0000-0000D9160000}"/>
    <cellStyle name="Normal 4 8 5 3 2" xfId="14880" xr:uid="{019C6501-5451-4697-BF3D-6588AE002BBE}"/>
    <cellStyle name="Normal 4 8 5 4" xfId="10662" xr:uid="{7B72CC64-3AAD-477A-9650-15C623F21038}"/>
    <cellStyle name="Normal 4 8 6" xfId="2560" xr:uid="{00000000-0005-0000-0000-0000DA160000}"/>
    <cellStyle name="Normal 4 8 6 2" xfId="6843" xr:uid="{00000000-0005-0000-0000-0000DB160000}"/>
    <cellStyle name="Normal 4 8 6 2 2" xfId="15293" xr:uid="{7ABCB4D4-4180-448D-9225-82A625013888}"/>
    <cellStyle name="Normal 4 8 6 3" xfId="11075" xr:uid="{047ECC25-3879-47D4-AC97-36205C32C4B7}"/>
    <cellStyle name="Normal 4 8 7" xfId="4778" xr:uid="{00000000-0005-0000-0000-0000DC160000}"/>
    <cellStyle name="Normal 4 8 7 2" xfId="13228" xr:uid="{020E7510-5294-436C-A3AB-4E9E19434F87}"/>
    <cellStyle name="Normal 4 8 8" xfId="9010" xr:uid="{6419D9F0-C1CE-492B-9722-EE228829D21A}"/>
    <cellStyle name="Normal 4 9" xfId="4715" xr:uid="{00000000-0005-0000-0000-0000DD160000}"/>
    <cellStyle name="Normal 4 9 2" xfId="13165" xr:uid="{D78D19D2-94CF-4441-B4E0-B0A81617858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7AB7F96F-DAB5-4EED-B6F9-6B197112B6F1}"/>
    <cellStyle name="Normal 5 10 2 3" xfId="12395" xr:uid="{F48C090E-CC33-4AC1-871C-2C17563AD4A8}"/>
    <cellStyle name="Normal 5 10 3" xfId="6018" xr:uid="{00000000-0005-0000-0000-0000E2160000}"/>
    <cellStyle name="Normal 5 10 3 2" xfId="14468" xr:uid="{43069CC5-2891-4CA0-AB5C-CF4536E68045}"/>
    <cellStyle name="Normal 5 10 4" xfId="10250" xr:uid="{DA9AAAC0-9F78-445A-911F-DA3CD826C4B7}"/>
    <cellStyle name="Normal 5 11" xfId="2125" xr:uid="{00000000-0005-0000-0000-0000E3160000}"/>
    <cellStyle name="Normal 5 11 2" xfId="4354" xr:uid="{00000000-0005-0000-0000-0000E4160000}"/>
    <cellStyle name="Normal 5 11 2 2" xfId="8576" xr:uid="{00000000-0005-0000-0000-0000E5160000}"/>
    <cellStyle name="Normal 5 11 2 2 2" xfId="17026" xr:uid="{30D8332C-F3D0-4CF3-811D-923D1738CFD0}"/>
    <cellStyle name="Normal 5 11 2 3" xfId="12808" xr:uid="{AEC43185-26BD-4E48-83AA-4E8FDE71E923}"/>
    <cellStyle name="Normal 5 11 3" xfId="6431" xr:uid="{00000000-0005-0000-0000-0000E6160000}"/>
    <cellStyle name="Normal 5 11 3 2" xfId="14881" xr:uid="{D6BA647C-CB78-4527-A239-F8446EA002CA}"/>
    <cellStyle name="Normal 5 11 4" xfId="10663" xr:uid="{00CA8B60-5498-4546-BC1B-F2E761BB8F66}"/>
    <cellStyle name="Normal 5 12" xfId="2561" xr:uid="{00000000-0005-0000-0000-0000E7160000}"/>
    <cellStyle name="Normal 5 12 2" xfId="6844" xr:uid="{00000000-0005-0000-0000-0000E8160000}"/>
    <cellStyle name="Normal 5 12 2 2" xfId="15294" xr:uid="{3052088E-AD4A-4064-A09A-D44507CDFE14}"/>
    <cellStyle name="Normal 5 12 3" xfId="11076" xr:uid="{4C60B484-2BFD-4F2A-A49B-D4C4F0980991}"/>
    <cellStyle name="Normal 5 13" xfId="4779" xr:uid="{00000000-0005-0000-0000-0000E9160000}"/>
    <cellStyle name="Normal 5 13 2" xfId="13229" xr:uid="{99DB4463-34FC-44FF-89F4-9334763B0253}"/>
    <cellStyle name="Normal 5 14" xfId="9011" xr:uid="{F224188D-5730-4172-9056-A27D38885FB3}"/>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91259F82-3DC9-48E0-9BF2-F70F083D4A9A}"/>
    <cellStyle name="Normal 5 2 10 2 3" xfId="12809" xr:uid="{2E3579C6-C948-448C-81C3-BA2D7D7F6076}"/>
    <cellStyle name="Normal 5 2 10 3" xfId="6432" xr:uid="{00000000-0005-0000-0000-0000EE160000}"/>
    <cellStyle name="Normal 5 2 10 3 2" xfId="14882" xr:uid="{91DCBC07-035A-4DEE-B4A1-3AD4407B31B2}"/>
    <cellStyle name="Normal 5 2 10 4" xfId="10664" xr:uid="{EBB3A15B-8016-4D0A-A0DB-9D33E8E912F1}"/>
    <cellStyle name="Normal 5 2 11" xfId="2562" xr:uid="{00000000-0005-0000-0000-0000EF160000}"/>
    <cellStyle name="Normal 5 2 11 2" xfId="6845" xr:uid="{00000000-0005-0000-0000-0000F0160000}"/>
    <cellStyle name="Normal 5 2 11 2 2" xfId="15295" xr:uid="{EAC4CF8F-6C05-4283-A8B0-48953A717223}"/>
    <cellStyle name="Normal 5 2 11 3" xfId="11077" xr:uid="{06BE47B5-1A61-4D4D-8DEB-A8D8ACA7F302}"/>
    <cellStyle name="Normal 5 2 12" xfId="4780" xr:uid="{00000000-0005-0000-0000-0000F1160000}"/>
    <cellStyle name="Normal 5 2 12 2" xfId="13230" xr:uid="{387981A7-7AE0-49CE-BDB9-1CE6FFB848E3}"/>
    <cellStyle name="Normal 5 2 13" xfId="9012" xr:uid="{98F81BC5-13EC-4604-86BE-D53CC3DD1486}"/>
    <cellStyle name="Normal 5 2 2" xfId="408" xr:uid="{00000000-0005-0000-0000-0000F2160000}"/>
    <cellStyle name="Normal 5 2 2 10" xfId="2563" xr:uid="{00000000-0005-0000-0000-0000F3160000}"/>
    <cellStyle name="Normal 5 2 2 10 2" xfId="6846" xr:uid="{00000000-0005-0000-0000-0000F4160000}"/>
    <cellStyle name="Normal 5 2 2 10 2 2" xfId="15296" xr:uid="{01BF9257-0576-484A-AEE4-B888550AAC94}"/>
    <cellStyle name="Normal 5 2 2 10 3" xfId="11078" xr:uid="{ECC3ACCF-EA5E-4E19-97F6-19A334773461}"/>
    <cellStyle name="Normal 5 2 2 11" xfId="4781" xr:uid="{00000000-0005-0000-0000-0000F5160000}"/>
    <cellStyle name="Normal 5 2 2 11 2" xfId="13231" xr:uid="{9843FD5E-4801-44DF-BA66-57D5CF9E7905}"/>
    <cellStyle name="Normal 5 2 2 12" xfId="9013" xr:uid="{92D708C3-9085-40D1-A0D3-91A93BB32F59}"/>
    <cellStyle name="Normal 5 2 2 2" xfId="409" xr:uid="{00000000-0005-0000-0000-0000F6160000}"/>
    <cellStyle name="Normal 5 2 2 2 10" xfId="4782" xr:uid="{00000000-0005-0000-0000-0000F7160000}"/>
    <cellStyle name="Normal 5 2 2 2 10 2" xfId="13232" xr:uid="{3A300D16-30F1-4B35-A8FD-82ADB811FA85}"/>
    <cellStyle name="Normal 5 2 2 2 11" xfId="9014" xr:uid="{314F1715-00C4-4844-BD71-BCAA628F8AAE}"/>
    <cellStyle name="Normal 5 2 2 2 2" xfId="410" xr:uid="{00000000-0005-0000-0000-0000F8160000}"/>
    <cellStyle name="Normal 5 2 2 2 2 10" xfId="9015" xr:uid="{D80F7BAD-DD7B-4C54-8F31-2FE8A314ECF9}"/>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6B6158CD-E1BE-447A-93F5-AE162C2E2E56}"/>
    <cellStyle name="Normal 5 2 2 2 2 2 2 2 2 3" xfId="11575" xr:uid="{9321BAD1-AFC3-41FB-9A98-68FFB02093E6}"/>
    <cellStyle name="Normal 5 2 2 2 2 2 2 2 3" xfId="5198" xr:uid="{00000000-0005-0000-0000-0000FE160000}"/>
    <cellStyle name="Normal 5 2 2 2 2 2 2 2 3 2" xfId="13648" xr:uid="{AF6A16BB-E2BB-4EA5-AD3C-DFFD3834AA78}"/>
    <cellStyle name="Normal 5 2 2 2 2 2 2 2 4" xfId="9430" xr:uid="{0636361C-CE11-415C-9FA0-7E130421E10B}"/>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9841B43C-5876-4EB2-A1FF-F63604FD2F9D}"/>
    <cellStyle name="Normal 5 2 2 2 2 2 2 3 2 3" xfId="11988" xr:uid="{83D905CB-DCBA-4C9B-ABE6-71887A23D12C}"/>
    <cellStyle name="Normal 5 2 2 2 2 2 2 3 3" xfId="5611" xr:uid="{00000000-0005-0000-0000-000002170000}"/>
    <cellStyle name="Normal 5 2 2 2 2 2 2 3 3 2" xfId="14061" xr:uid="{B0FFDF78-0371-4E20-9DC7-EE0107ED9545}"/>
    <cellStyle name="Normal 5 2 2 2 2 2 2 3 4" xfId="9843" xr:uid="{6A77487E-9811-4F64-97DE-E299CA5D8275}"/>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5C4C163C-4CFF-4501-90BD-9E1880EF8444}"/>
    <cellStyle name="Normal 5 2 2 2 2 2 2 4 2 3" xfId="12401" xr:uid="{A1B82C02-A04C-4EB1-B486-76EAF859D2CF}"/>
    <cellStyle name="Normal 5 2 2 2 2 2 2 4 3" xfId="6024" xr:uid="{00000000-0005-0000-0000-000006170000}"/>
    <cellStyle name="Normal 5 2 2 2 2 2 2 4 3 2" xfId="14474" xr:uid="{6E7BEAE3-4A42-434C-949A-EE17AF04BDC4}"/>
    <cellStyle name="Normal 5 2 2 2 2 2 2 4 4" xfId="10256" xr:uid="{3C2EF95F-FC80-409B-B542-60DBE7DC802A}"/>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AA5831F7-F820-4233-9A70-FE300B99A791}"/>
    <cellStyle name="Normal 5 2 2 2 2 2 2 5 2 3" xfId="12814" xr:uid="{FDA22BBC-6E75-4461-91DA-D735289937E0}"/>
    <cellStyle name="Normal 5 2 2 2 2 2 2 5 3" xfId="6437" xr:uid="{00000000-0005-0000-0000-00000A170000}"/>
    <cellStyle name="Normal 5 2 2 2 2 2 2 5 3 2" xfId="14887" xr:uid="{92975B62-E5BB-46AB-9543-B8DC40C938CA}"/>
    <cellStyle name="Normal 5 2 2 2 2 2 2 5 4" xfId="10669" xr:uid="{3CBFED14-7789-42EE-A721-205A29B62AD3}"/>
    <cellStyle name="Normal 5 2 2 2 2 2 2 6" xfId="2567" xr:uid="{00000000-0005-0000-0000-00000B170000}"/>
    <cellStyle name="Normal 5 2 2 2 2 2 2 6 2" xfId="6850" xr:uid="{00000000-0005-0000-0000-00000C170000}"/>
    <cellStyle name="Normal 5 2 2 2 2 2 2 6 2 2" xfId="15300" xr:uid="{80140ADF-6DE2-44FA-AB31-291911603A57}"/>
    <cellStyle name="Normal 5 2 2 2 2 2 2 6 3" xfId="11082" xr:uid="{561ACC7C-9EF5-4CEC-ABB3-A5E009FF546D}"/>
    <cellStyle name="Normal 5 2 2 2 2 2 2 7" xfId="4785" xr:uid="{00000000-0005-0000-0000-00000D170000}"/>
    <cellStyle name="Normal 5 2 2 2 2 2 2 7 2" xfId="13235" xr:uid="{5E4A3D62-09EE-4D62-96B3-6D07F0C049EA}"/>
    <cellStyle name="Normal 5 2 2 2 2 2 2 8" xfId="9017" xr:uid="{9887CBBB-AD2A-426B-92D7-E319F2754802}"/>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87DA755B-AFA2-4FAF-A6FC-750DF150175A}"/>
    <cellStyle name="Normal 5 2 2 2 2 2 3 2 3" xfId="11574" xr:uid="{9DD243C0-E6FD-4699-8869-1EF3211C52FA}"/>
    <cellStyle name="Normal 5 2 2 2 2 2 3 3" xfId="5197" xr:uid="{00000000-0005-0000-0000-000011170000}"/>
    <cellStyle name="Normal 5 2 2 2 2 2 3 3 2" xfId="13647" xr:uid="{3E1009A8-03E1-43C7-BF26-DCC3AF5623F6}"/>
    <cellStyle name="Normal 5 2 2 2 2 2 3 4" xfId="9429" xr:uid="{CCBD924C-8BFE-49F1-8C28-C9BB4760945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51BE0D82-9E94-473F-86C5-61B2805CBD53}"/>
    <cellStyle name="Normal 5 2 2 2 2 2 4 2 3" xfId="11987" xr:uid="{844EF193-0332-422F-8223-9CB806BE55E5}"/>
    <cellStyle name="Normal 5 2 2 2 2 2 4 3" xfId="5610" xr:uid="{00000000-0005-0000-0000-000015170000}"/>
    <cellStyle name="Normal 5 2 2 2 2 2 4 3 2" xfId="14060" xr:uid="{119930D9-2CFC-4E1F-A3BF-3EF8B52E6A53}"/>
    <cellStyle name="Normal 5 2 2 2 2 2 4 4" xfId="9842" xr:uid="{12F8E1F9-5064-421E-AC73-A14D211754D8}"/>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1F687A00-F6B0-45B4-AE79-76D6068D36AF}"/>
    <cellStyle name="Normal 5 2 2 2 2 2 5 2 3" xfId="12400" xr:uid="{904271C8-064D-4A10-8749-78EFA67AEA83}"/>
    <cellStyle name="Normal 5 2 2 2 2 2 5 3" xfId="6023" xr:uid="{00000000-0005-0000-0000-000019170000}"/>
    <cellStyle name="Normal 5 2 2 2 2 2 5 3 2" xfId="14473" xr:uid="{C8AD0DB1-CD13-4372-A56C-2CCD7CCA125C}"/>
    <cellStyle name="Normal 5 2 2 2 2 2 5 4" xfId="10255" xr:uid="{BB2D37C8-0B0B-4AF6-AA77-2C54CA22ED07}"/>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3C599FA8-61ED-4AFF-9339-3F9716CF7951}"/>
    <cellStyle name="Normal 5 2 2 2 2 2 6 2 3" xfId="12813" xr:uid="{BB3F5C18-FD37-4DB0-8D08-B12E8B65C038}"/>
    <cellStyle name="Normal 5 2 2 2 2 2 6 3" xfId="6436" xr:uid="{00000000-0005-0000-0000-00001D170000}"/>
    <cellStyle name="Normal 5 2 2 2 2 2 6 3 2" xfId="14886" xr:uid="{65B3D23E-0A0F-452D-858C-FAF62C35F780}"/>
    <cellStyle name="Normal 5 2 2 2 2 2 6 4" xfId="10668" xr:uid="{0E6806E1-6569-471D-B576-F329D9CC53EE}"/>
    <cellStyle name="Normal 5 2 2 2 2 2 7" xfId="2566" xr:uid="{00000000-0005-0000-0000-00001E170000}"/>
    <cellStyle name="Normal 5 2 2 2 2 2 7 2" xfId="6849" xr:uid="{00000000-0005-0000-0000-00001F170000}"/>
    <cellStyle name="Normal 5 2 2 2 2 2 7 2 2" xfId="15299" xr:uid="{E2458F2E-C0A3-4A7D-9C6D-5462A52C244C}"/>
    <cellStyle name="Normal 5 2 2 2 2 2 7 3" xfId="11081" xr:uid="{273264F7-DBC6-4A0F-8BAB-BCB637D89095}"/>
    <cellStyle name="Normal 5 2 2 2 2 2 8" xfId="4784" xr:uid="{00000000-0005-0000-0000-000020170000}"/>
    <cellStyle name="Normal 5 2 2 2 2 2 8 2" xfId="13234" xr:uid="{5550CF54-01FC-43E8-8BA8-DB7B558B0423}"/>
    <cellStyle name="Normal 5 2 2 2 2 2 9" xfId="9016" xr:uid="{FF1DDE0D-72EF-4529-B677-4EE9845D1859}"/>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5FEFD31C-7541-44B1-A9CB-3FC02D2E11EF}"/>
    <cellStyle name="Normal 5 2 2 2 2 3 2 2 3" xfId="11576" xr:uid="{41396AE2-E3DD-417F-8623-024079A61BD8}"/>
    <cellStyle name="Normal 5 2 2 2 2 3 2 3" xfId="5199" xr:uid="{00000000-0005-0000-0000-000025170000}"/>
    <cellStyle name="Normal 5 2 2 2 2 3 2 3 2" xfId="13649" xr:uid="{92F85906-B0CB-4E89-80B6-C34D176B36F8}"/>
    <cellStyle name="Normal 5 2 2 2 2 3 2 4" xfId="9431" xr:uid="{DD5F6AFA-D519-4B47-84B8-99D98F1EE0B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C1298064-5F24-4D3F-8284-9CE99BF464CF}"/>
    <cellStyle name="Normal 5 2 2 2 2 3 3 2 3" xfId="11989" xr:uid="{4C3D94A9-6B86-4FFA-8888-B8B9924DCAC8}"/>
    <cellStyle name="Normal 5 2 2 2 2 3 3 3" xfId="5612" xr:uid="{00000000-0005-0000-0000-000029170000}"/>
    <cellStyle name="Normal 5 2 2 2 2 3 3 3 2" xfId="14062" xr:uid="{E11E4A1C-3747-4823-B1F6-06903259DEB9}"/>
    <cellStyle name="Normal 5 2 2 2 2 3 3 4" xfId="9844" xr:uid="{991407E8-F139-4DEF-A170-335773F3B177}"/>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EAF8698E-3663-4E7E-A76B-FD86875698E4}"/>
    <cellStyle name="Normal 5 2 2 2 2 3 4 2 3" xfId="12402" xr:uid="{F25E2BA1-0950-45F0-8A17-9ED912E7677C}"/>
    <cellStyle name="Normal 5 2 2 2 2 3 4 3" xfId="6025" xr:uid="{00000000-0005-0000-0000-00002D170000}"/>
    <cellStyle name="Normal 5 2 2 2 2 3 4 3 2" xfId="14475" xr:uid="{6FCA2718-AD6C-4C6E-9DC9-CEDCFC3DE2DE}"/>
    <cellStyle name="Normal 5 2 2 2 2 3 4 4" xfId="10257" xr:uid="{C36CD75B-6C1D-40E8-9328-E835D9585572}"/>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2D9B66F0-32EB-4DAD-955F-1367B26CA51D}"/>
    <cellStyle name="Normal 5 2 2 2 2 3 5 2 3" xfId="12815" xr:uid="{21058D2D-24F4-4821-9627-7921EDEA20C4}"/>
    <cellStyle name="Normal 5 2 2 2 2 3 5 3" xfId="6438" xr:uid="{00000000-0005-0000-0000-000031170000}"/>
    <cellStyle name="Normal 5 2 2 2 2 3 5 3 2" xfId="14888" xr:uid="{2AFD0B55-FE24-4F3B-9B80-EC4150DCC860}"/>
    <cellStyle name="Normal 5 2 2 2 2 3 5 4" xfId="10670" xr:uid="{7B51C554-E71F-4DDD-AAA8-08FCBCF6836E}"/>
    <cellStyle name="Normal 5 2 2 2 2 3 6" xfId="2568" xr:uid="{00000000-0005-0000-0000-000032170000}"/>
    <cellStyle name="Normal 5 2 2 2 2 3 6 2" xfId="6851" xr:uid="{00000000-0005-0000-0000-000033170000}"/>
    <cellStyle name="Normal 5 2 2 2 2 3 6 2 2" xfId="15301" xr:uid="{4E3CAB15-8D65-4900-A6F3-6B72DB6D9918}"/>
    <cellStyle name="Normal 5 2 2 2 2 3 6 3" xfId="11083" xr:uid="{5F533F3F-BA43-44B5-9754-7772CD074211}"/>
    <cellStyle name="Normal 5 2 2 2 2 3 7" xfId="4786" xr:uid="{00000000-0005-0000-0000-000034170000}"/>
    <cellStyle name="Normal 5 2 2 2 2 3 7 2" xfId="13236" xr:uid="{B3150827-2729-477B-81E2-75E13952ABD4}"/>
    <cellStyle name="Normal 5 2 2 2 2 3 8" xfId="9018" xr:uid="{4BC95CD3-CA6E-44F9-A1D8-205C891BD654}"/>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28902178-1A5A-46FA-9076-607EACD35500}"/>
    <cellStyle name="Normal 5 2 2 2 2 4 2 3" xfId="11573" xr:uid="{1961CCBC-BABA-43B4-8557-4B2C6CC90102}"/>
    <cellStyle name="Normal 5 2 2 2 2 4 3" xfId="5196" xr:uid="{00000000-0005-0000-0000-000038170000}"/>
    <cellStyle name="Normal 5 2 2 2 2 4 3 2" xfId="13646" xr:uid="{9DB375C8-67A1-4D3C-8F43-F580E3FE2C34}"/>
    <cellStyle name="Normal 5 2 2 2 2 4 4" xfId="9428" xr:uid="{E8F95723-B7A5-46A6-926D-84932867CE64}"/>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778A515D-BDEB-49C5-B449-7D7700C59519}"/>
    <cellStyle name="Normal 5 2 2 2 2 5 2 3" xfId="11986" xr:uid="{316490DA-9404-43B9-8A85-6FFF61A8ADF9}"/>
    <cellStyle name="Normal 5 2 2 2 2 5 3" xfId="5609" xr:uid="{00000000-0005-0000-0000-00003C170000}"/>
    <cellStyle name="Normal 5 2 2 2 2 5 3 2" xfId="14059" xr:uid="{63C6E72C-C442-4609-9252-181445B1F3D9}"/>
    <cellStyle name="Normal 5 2 2 2 2 5 4" xfId="9841" xr:uid="{4D2511FF-6D97-4E0A-9B2E-C4C1A92B5373}"/>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81C431D1-65B2-41C6-81D2-04A90A1734B8}"/>
    <cellStyle name="Normal 5 2 2 2 2 6 2 3" xfId="12399" xr:uid="{AEE2C07E-3599-42D2-AEE1-8FD853A76285}"/>
    <cellStyle name="Normal 5 2 2 2 2 6 3" xfId="6022" xr:uid="{00000000-0005-0000-0000-000040170000}"/>
    <cellStyle name="Normal 5 2 2 2 2 6 3 2" xfId="14472" xr:uid="{0A8E616C-D636-4F6F-A72D-F28923E1AB38}"/>
    <cellStyle name="Normal 5 2 2 2 2 6 4" xfId="10254" xr:uid="{45D72119-AA62-4236-B7B5-F693A0543086}"/>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136A40DB-B751-4A77-B8FD-B64A93CC425D}"/>
    <cellStyle name="Normal 5 2 2 2 2 7 2 3" xfId="12812" xr:uid="{4DF8A5E2-3C3B-4EA7-9172-EBD30DD44DEC}"/>
    <cellStyle name="Normal 5 2 2 2 2 7 3" xfId="6435" xr:uid="{00000000-0005-0000-0000-000044170000}"/>
    <cellStyle name="Normal 5 2 2 2 2 7 3 2" xfId="14885" xr:uid="{8618F5C7-28A6-42E0-9B63-C31A8B6961E7}"/>
    <cellStyle name="Normal 5 2 2 2 2 7 4" xfId="10667" xr:uid="{50244F57-DE14-4B43-8A14-0AEB7B3C3BD1}"/>
    <cellStyle name="Normal 5 2 2 2 2 8" xfId="2565" xr:uid="{00000000-0005-0000-0000-000045170000}"/>
    <cellStyle name="Normal 5 2 2 2 2 8 2" xfId="6848" xr:uid="{00000000-0005-0000-0000-000046170000}"/>
    <cellStyle name="Normal 5 2 2 2 2 8 2 2" xfId="15298" xr:uid="{5E879B57-6100-4950-8FB3-127217AB67C6}"/>
    <cellStyle name="Normal 5 2 2 2 2 8 3" xfId="11080" xr:uid="{B421453B-7F01-4211-B29A-B8F50C5AA1B8}"/>
    <cellStyle name="Normal 5 2 2 2 2 9" xfId="4783" xr:uid="{00000000-0005-0000-0000-000047170000}"/>
    <cellStyle name="Normal 5 2 2 2 2 9 2" xfId="13233" xr:uid="{27D92AA6-7E0D-4BFF-A590-415A372B9AF4}"/>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9ABC984A-718E-4206-A4E6-2555A2356983}"/>
    <cellStyle name="Normal 5 2 2 2 3 2 2 2 3" xfId="11578" xr:uid="{B63CCB2B-0D9D-4CCC-B2A3-AC846D444559}"/>
    <cellStyle name="Normal 5 2 2 2 3 2 2 3" xfId="5201" xr:uid="{00000000-0005-0000-0000-00004D170000}"/>
    <cellStyle name="Normal 5 2 2 2 3 2 2 3 2" xfId="13651" xr:uid="{545D99B5-ADA1-46B8-A465-96CE4B464AB4}"/>
    <cellStyle name="Normal 5 2 2 2 3 2 2 4" xfId="9433" xr:uid="{0A6E98DB-1429-4FFA-9C55-261EF6F25C12}"/>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AA20231A-E9EE-4E33-90ED-944F580CCE25}"/>
    <cellStyle name="Normal 5 2 2 2 3 2 3 2 3" xfId="11991" xr:uid="{C6FF2031-CF0A-43B0-9E90-F16134C90CB3}"/>
    <cellStyle name="Normal 5 2 2 2 3 2 3 3" xfId="5614" xr:uid="{00000000-0005-0000-0000-000051170000}"/>
    <cellStyle name="Normal 5 2 2 2 3 2 3 3 2" xfId="14064" xr:uid="{3C75A2FE-7E16-4B76-AD85-3761ACDCED36}"/>
    <cellStyle name="Normal 5 2 2 2 3 2 3 4" xfId="9846" xr:uid="{C7E690E0-63B9-46C6-8058-7ACDFEA40C4B}"/>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7AAF156B-5B6D-4DA1-9205-EFC8CDC1C222}"/>
    <cellStyle name="Normal 5 2 2 2 3 2 4 2 3" xfId="12404" xr:uid="{B72853AC-DE74-49D7-A7DD-894D0A63E648}"/>
    <cellStyle name="Normal 5 2 2 2 3 2 4 3" xfId="6027" xr:uid="{00000000-0005-0000-0000-000055170000}"/>
    <cellStyle name="Normal 5 2 2 2 3 2 4 3 2" xfId="14477" xr:uid="{333B5862-F1EB-44E2-B01C-811CDEDA5128}"/>
    <cellStyle name="Normal 5 2 2 2 3 2 4 4" xfId="10259" xr:uid="{EDE5C9E3-0FE9-48A7-BF35-B3C05998AB6A}"/>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85D4F2C3-E31E-490B-8830-F9864FE2F41D}"/>
    <cellStyle name="Normal 5 2 2 2 3 2 5 2 3" xfId="12817" xr:uid="{FC49C725-7EAE-49F6-AF08-3C709E1EF2F9}"/>
    <cellStyle name="Normal 5 2 2 2 3 2 5 3" xfId="6440" xr:uid="{00000000-0005-0000-0000-000059170000}"/>
    <cellStyle name="Normal 5 2 2 2 3 2 5 3 2" xfId="14890" xr:uid="{EF220C07-52DC-4F92-B4E9-4E5987B46D75}"/>
    <cellStyle name="Normal 5 2 2 2 3 2 5 4" xfId="10672" xr:uid="{CEACA3FF-8096-4CBF-ABF9-E306B8804DAC}"/>
    <cellStyle name="Normal 5 2 2 2 3 2 6" xfId="2570" xr:uid="{00000000-0005-0000-0000-00005A170000}"/>
    <cellStyle name="Normal 5 2 2 2 3 2 6 2" xfId="6853" xr:uid="{00000000-0005-0000-0000-00005B170000}"/>
    <cellStyle name="Normal 5 2 2 2 3 2 6 2 2" xfId="15303" xr:uid="{D3C0078B-3934-4CE7-8E00-4F50BD745FB4}"/>
    <cellStyle name="Normal 5 2 2 2 3 2 6 3" xfId="11085" xr:uid="{35E5F744-52F7-4EC2-858B-FD20D8ECDD06}"/>
    <cellStyle name="Normal 5 2 2 2 3 2 7" xfId="4788" xr:uid="{00000000-0005-0000-0000-00005C170000}"/>
    <cellStyle name="Normal 5 2 2 2 3 2 7 2" xfId="13238" xr:uid="{7C9EA799-381E-4231-BCDC-5BC8D924F85C}"/>
    <cellStyle name="Normal 5 2 2 2 3 2 8" xfId="9020" xr:uid="{1B07BF32-8C9E-4062-9F9B-98DCF5A0B3B3}"/>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C6D24A45-0C80-4B27-9F04-21CA7CDAC451}"/>
    <cellStyle name="Normal 5 2 2 2 3 3 2 3" xfId="11577" xr:uid="{A89AC64A-8057-4E51-888C-08DA3E34E4CB}"/>
    <cellStyle name="Normal 5 2 2 2 3 3 3" xfId="5200" xr:uid="{00000000-0005-0000-0000-000060170000}"/>
    <cellStyle name="Normal 5 2 2 2 3 3 3 2" xfId="13650" xr:uid="{BA41DF4D-A39F-4831-BE7E-E048F271380C}"/>
    <cellStyle name="Normal 5 2 2 2 3 3 4" xfId="9432" xr:uid="{D77BDC11-BC7C-4D58-9889-3C01AF8B003E}"/>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D720E696-270E-41CA-93D4-F53ADCAA43AE}"/>
    <cellStyle name="Normal 5 2 2 2 3 4 2 3" xfId="11990" xr:uid="{3930A1C4-EB40-46C5-97E2-9F8063853981}"/>
    <cellStyle name="Normal 5 2 2 2 3 4 3" xfId="5613" xr:uid="{00000000-0005-0000-0000-000064170000}"/>
    <cellStyle name="Normal 5 2 2 2 3 4 3 2" xfId="14063" xr:uid="{4D677B17-6BAB-41FB-A035-AC0A38CD0E3E}"/>
    <cellStyle name="Normal 5 2 2 2 3 4 4" xfId="9845" xr:uid="{8AF84BE6-5D53-4283-913D-0B11DF74850E}"/>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C7780F59-870E-48ED-8380-E6EA2DB02963}"/>
    <cellStyle name="Normal 5 2 2 2 3 5 2 3" xfId="12403" xr:uid="{50C04E46-1FCC-45B8-B593-6E5EA949B67C}"/>
    <cellStyle name="Normal 5 2 2 2 3 5 3" xfId="6026" xr:uid="{00000000-0005-0000-0000-000068170000}"/>
    <cellStyle name="Normal 5 2 2 2 3 5 3 2" xfId="14476" xr:uid="{FFA3D9AB-AD30-48F5-BC03-89B0C07CD9AD}"/>
    <cellStyle name="Normal 5 2 2 2 3 5 4" xfId="10258" xr:uid="{6FBD1062-216A-40E7-AB5B-779AFBBDAA39}"/>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DCFCFE3F-40BC-427A-811C-306C3D9AA19C}"/>
    <cellStyle name="Normal 5 2 2 2 3 6 2 3" xfId="12816" xr:uid="{CB07EC27-9674-42A6-A662-412B08A8E161}"/>
    <cellStyle name="Normal 5 2 2 2 3 6 3" xfId="6439" xr:uid="{00000000-0005-0000-0000-00006C170000}"/>
    <cellStyle name="Normal 5 2 2 2 3 6 3 2" xfId="14889" xr:uid="{F58D831A-68A5-4292-8A5B-7BC423AF2C94}"/>
    <cellStyle name="Normal 5 2 2 2 3 6 4" xfId="10671" xr:uid="{F689F73D-2A13-4507-873F-47836DD990C0}"/>
    <cellStyle name="Normal 5 2 2 2 3 7" xfId="2569" xr:uid="{00000000-0005-0000-0000-00006D170000}"/>
    <cellStyle name="Normal 5 2 2 2 3 7 2" xfId="6852" xr:uid="{00000000-0005-0000-0000-00006E170000}"/>
    <cellStyle name="Normal 5 2 2 2 3 7 2 2" xfId="15302" xr:uid="{06078B20-8549-4F74-A039-87EB63D49765}"/>
    <cellStyle name="Normal 5 2 2 2 3 7 3" xfId="11084" xr:uid="{8BE61CB9-F62E-409D-A7E0-50B3DB5CD500}"/>
    <cellStyle name="Normal 5 2 2 2 3 8" xfId="4787" xr:uid="{00000000-0005-0000-0000-00006F170000}"/>
    <cellStyle name="Normal 5 2 2 2 3 8 2" xfId="13237" xr:uid="{72853A46-2083-4E59-9B23-9DAB69F0ED37}"/>
    <cellStyle name="Normal 5 2 2 2 3 9" xfId="9019" xr:uid="{C0E2F5A2-9554-4EB3-96DD-A2650143151A}"/>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7BAFE34D-B45E-4EA1-A3C0-0E885A6DE68A}"/>
    <cellStyle name="Normal 5 2 2 2 4 2 2 3" xfId="11579" xr:uid="{EB50878D-E0BE-49C0-B4B6-752228EE6D58}"/>
    <cellStyle name="Normal 5 2 2 2 4 2 3" xfId="5202" xr:uid="{00000000-0005-0000-0000-000074170000}"/>
    <cellStyle name="Normal 5 2 2 2 4 2 3 2" xfId="13652" xr:uid="{19758BF2-FC8C-4ACF-8175-AD6E81E3D6C2}"/>
    <cellStyle name="Normal 5 2 2 2 4 2 4" xfId="9434" xr:uid="{1B6CCC47-7B36-4D9B-9C18-AF98A475D8B6}"/>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D9B11479-7F54-41A7-B87A-26F2CE59D50C}"/>
    <cellStyle name="Normal 5 2 2 2 4 3 2 3" xfId="11992" xr:uid="{442AD125-9B9A-4AAD-BE6D-3EC387D81AC0}"/>
    <cellStyle name="Normal 5 2 2 2 4 3 3" xfId="5615" xr:uid="{00000000-0005-0000-0000-000078170000}"/>
    <cellStyle name="Normal 5 2 2 2 4 3 3 2" xfId="14065" xr:uid="{FB3B7D10-27ED-4F6A-BB36-6500536ABD2E}"/>
    <cellStyle name="Normal 5 2 2 2 4 3 4" xfId="9847" xr:uid="{AA0FFAA5-8727-42B1-BFD0-617504909181}"/>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D2E37501-8CE9-4EBE-922C-13031EBDA51A}"/>
    <cellStyle name="Normal 5 2 2 2 4 4 2 3" xfId="12405" xr:uid="{9ACC2131-65B8-409D-B308-6879DCCA4A24}"/>
    <cellStyle name="Normal 5 2 2 2 4 4 3" xfId="6028" xr:uid="{00000000-0005-0000-0000-00007C170000}"/>
    <cellStyle name="Normal 5 2 2 2 4 4 3 2" xfId="14478" xr:uid="{1C68BDBA-63E8-47C7-A24C-6365E33874CF}"/>
    <cellStyle name="Normal 5 2 2 2 4 4 4" xfId="10260" xr:uid="{75BC9D90-4351-483D-A94D-FED908B1948E}"/>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02A30178-4A74-4AB7-BE89-33C362BC7AE0}"/>
    <cellStyle name="Normal 5 2 2 2 4 5 2 3" xfId="12818" xr:uid="{B1632F6D-CE44-4141-8592-56648D1466B4}"/>
    <cellStyle name="Normal 5 2 2 2 4 5 3" xfId="6441" xr:uid="{00000000-0005-0000-0000-000080170000}"/>
    <cellStyle name="Normal 5 2 2 2 4 5 3 2" xfId="14891" xr:uid="{00C18456-B2C4-4EAF-B0B8-7B0BA760A67F}"/>
    <cellStyle name="Normal 5 2 2 2 4 5 4" xfId="10673" xr:uid="{B5FB6CD5-D1B0-4D67-A2CB-9E4B77440EF0}"/>
    <cellStyle name="Normal 5 2 2 2 4 6" xfId="2571" xr:uid="{00000000-0005-0000-0000-000081170000}"/>
    <cellStyle name="Normal 5 2 2 2 4 6 2" xfId="6854" xr:uid="{00000000-0005-0000-0000-000082170000}"/>
    <cellStyle name="Normal 5 2 2 2 4 6 2 2" xfId="15304" xr:uid="{7067F13B-9D93-4CC2-B8DC-46989F47569E}"/>
    <cellStyle name="Normal 5 2 2 2 4 6 3" xfId="11086" xr:uid="{D2597CDA-B0C4-47B8-9128-D2875DC386A5}"/>
    <cellStyle name="Normal 5 2 2 2 4 7" xfId="4789" xr:uid="{00000000-0005-0000-0000-000083170000}"/>
    <cellStyle name="Normal 5 2 2 2 4 7 2" xfId="13239" xr:uid="{52D26F70-9395-49CE-A8CB-90C506838BB6}"/>
    <cellStyle name="Normal 5 2 2 2 4 8" xfId="9021" xr:uid="{1A570FAF-C75F-4F82-ACC2-ECC5D6CCD341}"/>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39DD7282-B0B9-498B-A65F-272963EA2C5B}"/>
    <cellStyle name="Normal 5 2 2 2 5 2 3" xfId="11572" xr:uid="{1012A484-290F-41AF-83A4-28EA8C577AF6}"/>
    <cellStyle name="Normal 5 2 2 2 5 3" xfId="5195" xr:uid="{00000000-0005-0000-0000-000087170000}"/>
    <cellStyle name="Normal 5 2 2 2 5 3 2" xfId="13645" xr:uid="{30EEDF62-A2AA-448E-971F-8F54FA4BD77B}"/>
    <cellStyle name="Normal 5 2 2 2 5 4" xfId="9427" xr:uid="{89A912E3-8E25-4DBD-BEAD-58FD3635D023}"/>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082A336B-9ECA-438C-8628-AE9F9164DBE2}"/>
    <cellStyle name="Normal 5 2 2 2 6 2 3" xfId="11985" xr:uid="{4A460844-04FE-4AF0-99C8-44660B5BBB31}"/>
    <cellStyle name="Normal 5 2 2 2 6 3" xfId="5608" xr:uid="{00000000-0005-0000-0000-00008B170000}"/>
    <cellStyle name="Normal 5 2 2 2 6 3 2" xfId="14058" xr:uid="{C4F87BFD-7912-432E-861D-57EEC5BE034B}"/>
    <cellStyle name="Normal 5 2 2 2 6 4" xfId="9840" xr:uid="{0F4A6E19-1424-4425-9EE0-04366853BF39}"/>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2A62F04F-D947-4E47-86FA-81C4C2E357B8}"/>
    <cellStyle name="Normal 5 2 2 2 7 2 3" xfId="12398" xr:uid="{AD985E95-82A5-4772-AA23-88C865EE96CC}"/>
    <cellStyle name="Normal 5 2 2 2 7 3" xfId="6021" xr:uid="{00000000-0005-0000-0000-00008F170000}"/>
    <cellStyle name="Normal 5 2 2 2 7 3 2" xfId="14471" xr:uid="{01F70849-93FF-4E70-8385-540181B88D1A}"/>
    <cellStyle name="Normal 5 2 2 2 7 4" xfId="10253" xr:uid="{A502700C-118B-46F5-906A-91F615347C99}"/>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A9A771AD-1F76-4A0B-8145-F03E90121325}"/>
    <cellStyle name="Normal 5 2 2 2 8 2 3" xfId="12811" xr:uid="{3C8786C3-3E00-4464-B5FF-7CC2E04C9460}"/>
    <cellStyle name="Normal 5 2 2 2 8 3" xfId="6434" xr:uid="{00000000-0005-0000-0000-000093170000}"/>
    <cellStyle name="Normal 5 2 2 2 8 3 2" xfId="14884" xr:uid="{91294A31-31E0-40E9-A619-97ED4B0EBACA}"/>
    <cellStyle name="Normal 5 2 2 2 8 4" xfId="10666" xr:uid="{7CFC164E-D619-45F3-BCF3-309A0A904B85}"/>
    <cellStyle name="Normal 5 2 2 2 9" xfId="2564" xr:uid="{00000000-0005-0000-0000-000094170000}"/>
    <cellStyle name="Normal 5 2 2 2 9 2" xfId="6847" xr:uid="{00000000-0005-0000-0000-000095170000}"/>
    <cellStyle name="Normal 5 2 2 2 9 2 2" xfId="15297" xr:uid="{2EB451A7-A834-46EF-B963-8C51366CA99C}"/>
    <cellStyle name="Normal 5 2 2 2 9 3" xfId="11079" xr:uid="{9C2C6907-B893-426C-AF1B-8C6BCE3901E5}"/>
    <cellStyle name="Normal 5 2 2 3" xfId="417" xr:uid="{00000000-0005-0000-0000-000096170000}"/>
    <cellStyle name="Normal 5 2 2 3 10" xfId="9022" xr:uid="{330C57ED-79CD-47EF-B13C-2CA08AAB5034}"/>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9558ABD6-D9EF-4A72-B445-23EA755BB8D7}"/>
    <cellStyle name="Normal 5 2 2 3 2 2 2 2 3" xfId="11582" xr:uid="{D671D725-795C-40E2-B09C-353E4DF44716}"/>
    <cellStyle name="Normal 5 2 2 3 2 2 2 3" xfId="5205" xr:uid="{00000000-0005-0000-0000-00009C170000}"/>
    <cellStyle name="Normal 5 2 2 3 2 2 2 3 2" xfId="13655" xr:uid="{1784006B-F5F7-4983-A3D8-D88AC246B69B}"/>
    <cellStyle name="Normal 5 2 2 3 2 2 2 4" xfId="9437" xr:uid="{2BDEF2C2-0857-4BE3-AC14-2733F9D6C24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97120942-8442-487F-A22F-32ECF7CF6B91}"/>
    <cellStyle name="Normal 5 2 2 3 2 2 3 2 3" xfId="11995" xr:uid="{1C48DBB8-CF86-4951-B600-890A6E633FF9}"/>
    <cellStyle name="Normal 5 2 2 3 2 2 3 3" xfId="5618" xr:uid="{00000000-0005-0000-0000-0000A0170000}"/>
    <cellStyle name="Normal 5 2 2 3 2 2 3 3 2" xfId="14068" xr:uid="{B23860A3-3EBD-4D4B-845A-B1741530490C}"/>
    <cellStyle name="Normal 5 2 2 3 2 2 3 4" xfId="9850" xr:uid="{F68CE716-26E3-49B1-AE4D-01196083898A}"/>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0EC4E8FC-462A-4A35-9739-5F99BB4D15F4}"/>
    <cellStyle name="Normal 5 2 2 3 2 2 4 2 3" xfId="12408" xr:uid="{05A36C28-682C-47AA-8D32-EFB54C23B2FB}"/>
    <cellStyle name="Normal 5 2 2 3 2 2 4 3" xfId="6031" xr:uid="{00000000-0005-0000-0000-0000A4170000}"/>
    <cellStyle name="Normal 5 2 2 3 2 2 4 3 2" xfId="14481" xr:uid="{ABB26BC4-FCE9-4084-9E35-250836C49D7E}"/>
    <cellStyle name="Normal 5 2 2 3 2 2 4 4" xfId="10263" xr:uid="{8196F62F-32B7-4999-B551-2DF85A564F7B}"/>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69037BF9-9A2B-4B57-8B29-D842672D6469}"/>
    <cellStyle name="Normal 5 2 2 3 2 2 5 2 3" xfId="12821" xr:uid="{D01CAB88-B3F6-4C0E-90F8-7815BDBBDCD2}"/>
    <cellStyle name="Normal 5 2 2 3 2 2 5 3" xfId="6444" xr:uid="{00000000-0005-0000-0000-0000A8170000}"/>
    <cellStyle name="Normal 5 2 2 3 2 2 5 3 2" xfId="14894" xr:uid="{7965D78D-57BE-4BB6-B16B-DC59869AF244}"/>
    <cellStyle name="Normal 5 2 2 3 2 2 5 4" xfId="10676" xr:uid="{89170B6B-FF49-4AA2-A187-7B58DF003B7E}"/>
    <cellStyle name="Normal 5 2 2 3 2 2 6" xfId="2574" xr:uid="{00000000-0005-0000-0000-0000A9170000}"/>
    <cellStyle name="Normal 5 2 2 3 2 2 6 2" xfId="6857" xr:uid="{00000000-0005-0000-0000-0000AA170000}"/>
    <cellStyle name="Normal 5 2 2 3 2 2 6 2 2" xfId="15307" xr:uid="{73CF1B11-1F18-4D45-A5C7-12D6E3CA75E7}"/>
    <cellStyle name="Normal 5 2 2 3 2 2 6 3" xfId="11089" xr:uid="{C0B143B0-DDCB-449E-8CBB-0FBB28F06B50}"/>
    <cellStyle name="Normal 5 2 2 3 2 2 7" xfId="4792" xr:uid="{00000000-0005-0000-0000-0000AB170000}"/>
    <cellStyle name="Normal 5 2 2 3 2 2 7 2" xfId="13242" xr:uid="{858D22B9-0DAF-4874-8CF0-5E4326DF1EB3}"/>
    <cellStyle name="Normal 5 2 2 3 2 2 8" xfId="9024" xr:uid="{8482F19C-6320-43AE-B69D-4F7896560D3E}"/>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8D9A29E9-A349-48E6-8724-9EB308FB3C42}"/>
    <cellStyle name="Normal 5 2 2 3 2 3 2 3" xfId="11581" xr:uid="{F3347907-8EAF-4A33-89F1-B4E897ADA488}"/>
    <cellStyle name="Normal 5 2 2 3 2 3 3" xfId="5204" xr:uid="{00000000-0005-0000-0000-0000AF170000}"/>
    <cellStyle name="Normal 5 2 2 3 2 3 3 2" xfId="13654" xr:uid="{DD2B921E-CA70-42B9-BA51-D6AD9874F374}"/>
    <cellStyle name="Normal 5 2 2 3 2 3 4" xfId="9436" xr:uid="{640D85A7-3C72-4DAE-BC9B-255FF2250564}"/>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113F6E11-121B-4230-9E30-AC4889F38564}"/>
    <cellStyle name="Normal 5 2 2 3 2 4 2 3" xfId="11994" xr:uid="{2EC9ACAB-2A85-484C-ADB4-F374D244F797}"/>
    <cellStyle name="Normal 5 2 2 3 2 4 3" xfId="5617" xr:uid="{00000000-0005-0000-0000-0000B3170000}"/>
    <cellStyle name="Normal 5 2 2 3 2 4 3 2" xfId="14067" xr:uid="{7DFC8FFE-263D-4977-9E75-CD6401BB5455}"/>
    <cellStyle name="Normal 5 2 2 3 2 4 4" xfId="9849" xr:uid="{2BB246C8-937E-458B-BE8A-F9D7C2D1AE58}"/>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66F21D3C-E69E-4D95-807F-B56B288ADBFE}"/>
    <cellStyle name="Normal 5 2 2 3 2 5 2 3" xfId="12407" xr:uid="{0C310B30-8C4C-48D6-A913-F5E0D3115694}"/>
    <cellStyle name="Normal 5 2 2 3 2 5 3" xfId="6030" xr:uid="{00000000-0005-0000-0000-0000B7170000}"/>
    <cellStyle name="Normal 5 2 2 3 2 5 3 2" xfId="14480" xr:uid="{6160BBFB-2014-4CEB-AEE5-F80758183774}"/>
    <cellStyle name="Normal 5 2 2 3 2 5 4" xfId="10262" xr:uid="{5ACF5573-4352-46C9-8C25-2BA4422EF3DF}"/>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9901A958-DD06-478F-AB3A-5D28AFE75DB8}"/>
    <cellStyle name="Normal 5 2 2 3 2 6 2 3" xfId="12820" xr:uid="{6D3CCDCB-1F05-4F59-9B5F-B602E6F32E35}"/>
    <cellStyle name="Normal 5 2 2 3 2 6 3" xfId="6443" xr:uid="{00000000-0005-0000-0000-0000BB170000}"/>
    <cellStyle name="Normal 5 2 2 3 2 6 3 2" xfId="14893" xr:uid="{D66DC512-F6A1-43C9-9316-DFECA038121F}"/>
    <cellStyle name="Normal 5 2 2 3 2 6 4" xfId="10675" xr:uid="{6C74D958-0181-426A-AC83-1C7C5505531F}"/>
    <cellStyle name="Normal 5 2 2 3 2 7" xfId="2573" xr:uid="{00000000-0005-0000-0000-0000BC170000}"/>
    <cellStyle name="Normal 5 2 2 3 2 7 2" xfId="6856" xr:uid="{00000000-0005-0000-0000-0000BD170000}"/>
    <cellStyle name="Normal 5 2 2 3 2 7 2 2" xfId="15306" xr:uid="{AD7A563F-EA4B-462A-983D-571C886E708B}"/>
    <cellStyle name="Normal 5 2 2 3 2 7 3" xfId="11088" xr:uid="{1D035AF4-7C56-4B5D-9AC1-6F1D8BBA60D9}"/>
    <cellStyle name="Normal 5 2 2 3 2 8" xfId="4791" xr:uid="{00000000-0005-0000-0000-0000BE170000}"/>
    <cellStyle name="Normal 5 2 2 3 2 8 2" xfId="13241" xr:uid="{05F3A7F6-077F-4B1C-8C10-616A1EFD6666}"/>
    <cellStyle name="Normal 5 2 2 3 2 9" xfId="9023" xr:uid="{FCC9C3B3-06D7-49BC-8434-3B8D2DD4DEE2}"/>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1020EE5B-750D-4BA5-9F23-E8E935459C58}"/>
    <cellStyle name="Normal 5 2 2 3 3 2 2 3" xfId="11583" xr:uid="{320D502A-E049-426F-8CCA-636B79B05DA9}"/>
    <cellStyle name="Normal 5 2 2 3 3 2 3" xfId="5206" xr:uid="{00000000-0005-0000-0000-0000C3170000}"/>
    <cellStyle name="Normal 5 2 2 3 3 2 3 2" xfId="13656" xr:uid="{133A9237-06BB-4664-A08F-AAD43C290362}"/>
    <cellStyle name="Normal 5 2 2 3 3 2 4" xfId="9438" xr:uid="{7EB59F0C-3AE0-4F7F-94FE-65B45E621195}"/>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060BBEC5-AF04-436F-B938-4CAFF6338766}"/>
    <cellStyle name="Normal 5 2 2 3 3 3 2 3" xfId="11996" xr:uid="{D95D21B8-FFA9-4EA4-A2E6-BBB507627969}"/>
    <cellStyle name="Normal 5 2 2 3 3 3 3" xfId="5619" xr:uid="{00000000-0005-0000-0000-0000C7170000}"/>
    <cellStyle name="Normal 5 2 2 3 3 3 3 2" xfId="14069" xr:uid="{5F92A94E-8031-44F0-AE5E-58D9CFA13C3C}"/>
    <cellStyle name="Normal 5 2 2 3 3 3 4" xfId="9851" xr:uid="{E429E640-0779-4A66-B204-8BA20CD1ED23}"/>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968A76AC-82B5-463E-B4E5-096460F78533}"/>
    <cellStyle name="Normal 5 2 2 3 3 4 2 3" xfId="12409" xr:uid="{419E401A-B67A-434F-814D-573BC82C2230}"/>
    <cellStyle name="Normal 5 2 2 3 3 4 3" xfId="6032" xr:uid="{00000000-0005-0000-0000-0000CB170000}"/>
    <cellStyle name="Normal 5 2 2 3 3 4 3 2" xfId="14482" xr:uid="{0827555A-81EA-448A-BDEC-F83E4DFD7D45}"/>
    <cellStyle name="Normal 5 2 2 3 3 4 4" xfId="10264" xr:uid="{2A647079-6069-4CDB-BAB0-918080AEC8B6}"/>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1C2F74D5-73F0-4F52-976E-3146F9038C1A}"/>
    <cellStyle name="Normal 5 2 2 3 3 5 2 3" xfId="12822" xr:uid="{F3AC4C19-DD5B-4883-9F5D-6664C0EF555D}"/>
    <cellStyle name="Normal 5 2 2 3 3 5 3" xfId="6445" xr:uid="{00000000-0005-0000-0000-0000CF170000}"/>
    <cellStyle name="Normal 5 2 2 3 3 5 3 2" xfId="14895" xr:uid="{004F9E0D-5760-47B0-8F5F-C7C04979A2F4}"/>
    <cellStyle name="Normal 5 2 2 3 3 5 4" xfId="10677" xr:uid="{41DF7491-E82C-4AA3-9015-45AFA93D096B}"/>
    <cellStyle name="Normal 5 2 2 3 3 6" xfId="2575" xr:uid="{00000000-0005-0000-0000-0000D0170000}"/>
    <cellStyle name="Normal 5 2 2 3 3 6 2" xfId="6858" xr:uid="{00000000-0005-0000-0000-0000D1170000}"/>
    <cellStyle name="Normal 5 2 2 3 3 6 2 2" xfId="15308" xr:uid="{E0F669B7-DEE5-4B60-9BC3-29FCE1052080}"/>
    <cellStyle name="Normal 5 2 2 3 3 6 3" xfId="11090" xr:uid="{446609A0-D285-4712-841E-0788232B87E4}"/>
    <cellStyle name="Normal 5 2 2 3 3 7" xfId="4793" xr:uid="{00000000-0005-0000-0000-0000D2170000}"/>
    <cellStyle name="Normal 5 2 2 3 3 7 2" xfId="13243" xr:uid="{0FEF80C9-D5E9-4740-8AD3-595E1A202C55}"/>
    <cellStyle name="Normal 5 2 2 3 3 8" xfId="9025" xr:uid="{37C0C505-C94A-4D36-AFAB-57453EF66E09}"/>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C112B9E7-4795-4CA7-8D58-77E99545F3AE}"/>
    <cellStyle name="Normal 5 2 2 3 4 2 3" xfId="11580" xr:uid="{80D3ED52-0D12-4CB5-BF3B-50CD40C99750}"/>
    <cellStyle name="Normal 5 2 2 3 4 3" xfId="5203" xr:uid="{00000000-0005-0000-0000-0000D6170000}"/>
    <cellStyle name="Normal 5 2 2 3 4 3 2" xfId="13653" xr:uid="{452D6B66-B3B4-4CD8-BEBD-DFF3E1995639}"/>
    <cellStyle name="Normal 5 2 2 3 4 4" xfId="9435" xr:uid="{443C1028-E169-4778-ABBC-6101715D3137}"/>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C93F89CE-7F26-4606-B9ED-8300A98C2277}"/>
    <cellStyle name="Normal 5 2 2 3 5 2 3" xfId="11993" xr:uid="{CEB4EE80-2234-464F-BE48-1790DBA24F59}"/>
    <cellStyle name="Normal 5 2 2 3 5 3" xfId="5616" xr:uid="{00000000-0005-0000-0000-0000DA170000}"/>
    <cellStyle name="Normal 5 2 2 3 5 3 2" xfId="14066" xr:uid="{4478E215-BC62-4D0A-8D7D-FAAF94781C34}"/>
    <cellStyle name="Normal 5 2 2 3 5 4" xfId="9848" xr:uid="{91B5F327-F830-40B0-88F9-9A7EE3B32F59}"/>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C81A432B-9A9E-4FCB-8BE5-904A5FBFE159}"/>
    <cellStyle name="Normal 5 2 2 3 6 2 3" xfId="12406" xr:uid="{1CBFCBCA-602C-4523-983F-742040085403}"/>
    <cellStyle name="Normal 5 2 2 3 6 3" xfId="6029" xr:uid="{00000000-0005-0000-0000-0000DE170000}"/>
    <cellStyle name="Normal 5 2 2 3 6 3 2" xfId="14479" xr:uid="{49E44EEF-31FF-48BE-BE59-EE8C8E43E0D5}"/>
    <cellStyle name="Normal 5 2 2 3 6 4" xfId="10261" xr:uid="{46FABB9C-6400-4B0A-B40F-659BE9106317}"/>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B44B708D-9512-4C37-A578-38F5F277F076}"/>
    <cellStyle name="Normal 5 2 2 3 7 2 3" xfId="12819" xr:uid="{D73CDD12-14ED-4D79-910A-965E9A3D5270}"/>
    <cellStyle name="Normal 5 2 2 3 7 3" xfId="6442" xr:uid="{00000000-0005-0000-0000-0000E2170000}"/>
    <cellStyle name="Normal 5 2 2 3 7 3 2" xfId="14892" xr:uid="{9F2B601D-44B9-42E4-92FF-F71CF62798F1}"/>
    <cellStyle name="Normal 5 2 2 3 7 4" xfId="10674" xr:uid="{55AE7ADB-4FFD-4860-A638-C12330AFCD1A}"/>
    <cellStyle name="Normal 5 2 2 3 8" xfId="2572" xr:uid="{00000000-0005-0000-0000-0000E3170000}"/>
    <cellStyle name="Normal 5 2 2 3 8 2" xfId="6855" xr:uid="{00000000-0005-0000-0000-0000E4170000}"/>
    <cellStyle name="Normal 5 2 2 3 8 2 2" xfId="15305" xr:uid="{8BB0A14D-4385-4813-AACA-0947007CC0BB}"/>
    <cellStyle name="Normal 5 2 2 3 8 3" xfId="11087" xr:uid="{DD2EC03A-7F00-41BA-9E11-643FAF9D66B0}"/>
    <cellStyle name="Normal 5 2 2 3 9" xfId="4790" xr:uid="{00000000-0005-0000-0000-0000E5170000}"/>
    <cellStyle name="Normal 5 2 2 3 9 2" xfId="13240" xr:uid="{EE85097C-3330-4E10-8A16-0B31E06EB001}"/>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B28404AB-E38F-4176-8C98-5535C0CF88E1}"/>
    <cellStyle name="Normal 5 2 2 4 2 2 2 3" xfId="11585" xr:uid="{B4E1A954-2172-4693-8A42-6A01E4D7CB2B}"/>
    <cellStyle name="Normal 5 2 2 4 2 2 3" xfId="5208" xr:uid="{00000000-0005-0000-0000-0000EB170000}"/>
    <cellStyle name="Normal 5 2 2 4 2 2 3 2" xfId="13658" xr:uid="{5B117368-3B99-447D-89DA-EF779FCCD55B}"/>
    <cellStyle name="Normal 5 2 2 4 2 2 4" xfId="9440" xr:uid="{B8079AC1-6870-496F-92BD-F3DBBB210B17}"/>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CEEAFDD9-8F2C-40F9-99E5-40F3B20067DE}"/>
    <cellStyle name="Normal 5 2 2 4 2 3 2 3" xfId="11998" xr:uid="{ACCC5FBA-1E84-4985-ABFF-E10DBEE6FA6D}"/>
    <cellStyle name="Normal 5 2 2 4 2 3 3" xfId="5621" xr:uid="{00000000-0005-0000-0000-0000EF170000}"/>
    <cellStyle name="Normal 5 2 2 4 2 3 3 2" xfId="14071" xr:uid="{3FBEA27B-D0F9-4E81-9FE4-741C566403AB}"/>
    <cellStyle name="Normal 5 2 2 4 2 3 4" xfId="9853" xr:uid="{A584C1E2-B921-4877-9B50-0E79A58B95CE}"/>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22E94DD3-B583-43B5-8A0C-3AB269984354}"/>
    <cellStyle name="Normal 5 2 2 4 2 4 2 3" xfId="12411" xr:uid="{B57745E5-A306-47BC-B74E-794D59A33517}"/>
    <cellStyle name="Normal 5 2 2 4 2 4 3" xfId="6034" xr:uid="{00000000-0005-0000-0000-0000F3170000}"/>
    <cellStyle name="Normal 5 2 2 4 2 4 3 2" xfId="14484" xr:uid="{07741E12-EE2E-43A6-A40A-408BF6BACDC5}"/>
    <cellStyle name="Normal 5 2 2 4 2 4 4" xfId="10266" xr:uid="{334B2BA4-B224-42B4-B960-16C7BC6531E9}"/>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04469C73-6630-4D91-B8F7-4636D3A7C40D}"/>
    <cellStyle name="Normal 5 2 2 4 2 5 2 3" xfId="12824" xr:uid="{035F140F-A580-4225-843B-219AE600E4BB}"/>
    <cellStyle name="Normal 5 2 2 4 2 5 3" xfId="6447" xr:uid="{00000000-0005-0000-0000-0000F7170000}"/>
    <cellStyle name="Normal 5 2 2 4 2 5 3 2" xfId="14897" xr:uid="{733553C5-335E-49E4-8F20-33453D05B748}"/>
    <cellStyle name="Normal 5 2 2 4 2 5 4" xfId="10679" xr:uid="{F55A2E9F-EB9F-47F8-A4D2-7A064067E418}"/>
    <cellStyle name="Normal 5 2 2 4 2 6" xfId="2577" xr:uid="{00000000-0005-0000-0000-0000F8170000}"/>
    <cellStyle name="Normal 5 2 2 4 2 6 2" xfId="6860" xr:uid="{00000000-0005-0000-0000-0000F9170000}"/>
    <cellStyle name="Normal 5 2 2 4 2 6 2 2" xfId="15310" xr:uid="{286F0F6B-388F-486C-8DD2-7B08D3E0AE55}"/>
    <cellStyle name="Normal 5 2 2 4 2 6 3" xfId="11092" xr:uid="{5F7AF6AC-2F14-425A-8EDC-1FB9F034D200}"/>
    <cellStyle name="Normal 5 2 2 4 2 7" xfId="4795" xr:uid="{00000000-0005-0000-0000-0000FA170000}"/>
    <cellStyle name="Normal 5 2 2 4 2 7 2" xfId="13245" xr:uid="{6B502919-4C2C-4E3F-B3C7-EB40E3F5D63B}"/>
    <cellStyle name="Normal 5 2 2 4 2 8" xfId="9027" xr:uid="{FE6B4EC1-2B26-4426-ACCB-50F9BA665C3D}"/>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CB74C6BD-9BAF-4C14-A49E-47DC8B733810}"/>
    <cellStyle name="Normal 5 2 2 4 3 2 3" xfId="11584" xr:uid="{1A138A01-573B-40CC-AA05-63A558A636BF}"/>
    <cellStyle name="Normal 5 2 2 4 3 3" xfId="5207" xr:uid="{00000000-0005-0000-0000-0000FE170000}"/>
    <cellStyle name="Normal 5 2 2 4 3 3 2" xfId="13657" xr:uid="{ECE4461A-8E4D-4512-9FB9-677298F74FB1}"/>
    <cellStyle name="Normal 5 2 2 4 3 4" xfId="9439" xr:uid="{987AE255-2315-4228-A2BF-57E1744DFF5A}"/>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B6457F11-89CA-4032-A3AF-371845436A3B}"/>
    <cellStyle name="Normal 5 2 2 4 4 2 3" xfId="11997" xr:uid="{F11C5D9F-ED3F-463A-91A5-20E490D74952}"/>
    <cellStyle name="Normal 5 2 2 4 4 3" xfId="5620" xr:uid="{00000000-0005-0000-0000-000002180000}"/>
    <cellStyle name="Normal 5 2 2 4 4 3 2" xfId="14070" xr:uid="{C84F0C08-D242-4758-9B53-1E8E7EFBC0F5}"/>
    <cellStyle name="Normal 5 2 2 4 4 4" xfId="9852" xr:uid="{3E9E06D6-14F2-4C81-9DD9-148616FA1BEE}"/>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14AF5665-F6C7-4D25-AAB5-6FBFC0B4C586}"/>
    <cellStyle name="Normal 5 2 2 4 5 2 3" xfId="12410" xr:uid="{4F05CC4D-31A9-4087-8D39-5E894B5044F4}"/>
    <cellStyle name="Normal 5 2 2 4 5 3" xfId="6033" xr:uid="{00000000-0005-0000-0000-000006180000}"/>
    <cellStyle name="Normal 5 2 2 4 5 3 2" xfId="14483" xr:uid="{215321BE-EDDC-479E-BB6E-306F7D04E820}"/>
    <cellStyle name="Normal 5 2 2 4 5 4" xfId="10265" xr:uid="{63A1D064-8D4B-47E7-8984-0014A8959283}"/>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A8576171-23E2-4BC9-9805-2B737E15ADAB}"/>
    <cellStyle name="Normal 5 2 2 4 6 2 3" xfId="12823" xr:uid="{27DD2873-2C82-4ED7-8355-F11E53B6487C}"/>
    <cellStyle name="Normal 5 2 2 4 6 3" xfId="6446" xr:uid="{00000000-0005-0000-0000-00000A180000}"/>
    <cellStyle name="Normal 5 2 2 4 6 3 2" xfId="14896" xr:uid="{8C7E5916-0F84-48E3-8D36-9A2FC6070A1A}"/>
    <cellStyle name="Normal 5 2 2 4 6 4" xfId="10678" xr:uid="{99A0DF2B-CD5C-41AC-BE67-DC2FEAB05C2B}"/>
    <cellStyle name="Normal 5 2 2 4 7" xfId="2576" xr:uid="{00000000-0005-0000-0000-00000B180000}"/>
    <cellStyle name="Normal 5 2 2 4 7 2" xfId="6859" xr:uid="{00000000-0005-0000-0000-00000C180000}"/>
    <cellStyle name="Normal 5 2 2 4 7 2 2" xfId="15309" xr:uid="{3EAE60B0-42B9-4EF8-A217-C3636EB78DE1}"/>
    <cellStyle name="Normal 5 2 2 4 7 3" xfId="11091" xr:uid="{23B89F49-336A-41C0-BA90-809D58BFE14A}"/>
    <cellStyle name="Normal 5 2 2 4 8" xfId="4794" xr:uid="{00000000-0005-0000-0000-00000D180000}"/>
    <cellStyle name="Normal 5 2 2 4 8 2" xfId="13244" xr:uid="{1820A206-D761-484F-8EB9-4CE385390794}"/>
    <cellStyle name="Normal 5 2 2 4 9" xfId="9026" xr:uid="{3787BEE5-FE6B-48A5-8E85-912194E361B3}"/>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909727CF-7786-4237-A751-13FCCD13C548}"/>
    <cellStyle name="Normal 5 2 2 5 2 2 3" xfId="11586" xr:uid="{9F1D1E20-E5E5-43EF-9AD9-2276315DC1F3}"/>
    <cellStyle name="Normal 5 2 2 5 2 3" xfId="5209" xr:uid="{00000000-0005-0000-0000-000012180000}"/>
    <cellStyle name="Normal 5 2 2 5 2 3 2" xfId="13659" xr:uid="{1F50FE25-C0FD-410D-97C5-2E6063C0AC15}"/>
    <cellStyle name="Normal 5 2 2 5 2 4" xfId="9441" xr:uid="{3BF76E88-7E89-40B6-BDEB-5A2CECBBBEC0}"/>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265868B6-1985-4FE8-915B-7CBBE136EB79}"/>
    <cellStyle name="Normal 5 2 2 5 3 2 3" xfId="11999" xr:uid="{EE1D0CC5-E7E0-4474-B11D-9C5AE0CB1838}"/>
    <cellStyle name="Normal 5 2 2 5 3 3" xfId="5622" xr:uid="{00000000-0005-0000-0000-000016180000}"/>
    <cellStyle name="Normal 5 2 2 5 3 3 2" xfId="14072" xr:uid="{50E01C34-295A-4B1D-AC78-1C13BD2752AE}"/>
    <cellStyle name="Normal 5 2 2 5 3 4" xfId="9854" xr:uid="{34E77E71-BFB5-4518-9A73-2CEFB39BE64C}"/>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6474865E-F3AC-4430-8E86-E953041C1C03}"/>
    <cellStyle name="Normal 5 2 2 5 4 2 3" xfId="12412" xr:uid="{4E55A8D6-4512-488A-A6C5-34C700822C9E}"/>
    <cellStyle name="Normal 5 2 2 5 4 3" xfId="6035" xr:uid="{00000000-0005-0000-0000-00001A180000}"/>
    <cellStyle name="Normal 5 2 2 5 4 3 2" xfId="14485" xr:uid="{BBF8CBCE-D460-4C93-A14A-EE6DDD474E5E}"/>
    <cellStyle name="Normal 5 2 2 5 4 4" xfId="10267" xr:uid="{9D561CDA-1453-43B5-B71A-5952AE8EDC86}"/>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8F96F3B3-4B86-4C62-9B19-51874AD65197}"/>
    <cellStyle name="Normal 5 2 2 5 5 2 3" xfId="12825" xr:uid="{287A327B-52E9-488A-8799-1FC5EE1A5119}"/>
    <cellStyle name="Normal 5 2 2 5 5 3" xfId="6448" xr:uid="{00000000-0005-0000-0000-00001E180000}"/>
    <cellStyle name="Normal 5 2 2 5 5 3 2" xfId="14898" xr:uid="{79EA257A-5C38-440A-8EDC-828108FF675A}"/>
    <cellStyle name="Normal 5 2 2 5 5 4" xfId="10680" xr:uid="{922D85D9-9CE0-4804-AF9E-15BBB724C04A}"/>
    <cellStyle name="Normal 5 2 2 5 6" xfId="2578" xr:uid="{00000000-0005-0000-0000-00001F180000}"/>
    <cellStyle name="Normal 5 2 2 5 6 2" xfId="6861" xr:uid="{00000000-0005-0000-0000-000020180000}"/>
    <cellStyle name="Normal 5 2 2 5 6 2 2" xfId="15311" xr:uid="{80D6C9B2-A429-4C4C-A41A-DD890A920997}"/>
    <cellStyle name="Normal 5 2 2 5 6 3" xfId="11093" xr:uid="{DC6009D2-E43D-4B18-949E-2BA8ABBA8309}"/>
    <cellStyle name="Normal 5 2 2 5 7" xfId="4796" xr:uid="{00000000-0005-0000-0000-000021180000}"/>
    <cellStyle name="Normal 5 2 2 5 7 2" xfId="13246" xr:uid="{1C4BDCB7-8BE2-4A3C-8769-13FA5B5896D7}"/>
    <cellStyle name="Normal 5 2 2 5 8" xfId="9028" xr:uid="{7AB5D983-9586-497D-8DD7-FFCA445E3474}"/>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9DC3F89E-F87D-4426-8604-0D7941971B90}"/>
    <cellStyle name="Normal 5 2 2 6 2 3" xfId="11571" xr:uid="{77D3293B-EBA3-4319-8B61-B6B423318068}"/>
    <cellStyle name="Normal 5 2 2 6 3" xfId="5194" xr:uid="{00000000-0005-0000-0000-000025180000}"/>
    <cellStyle name="Normal 5 2 2 6 3 2" xfId="13644" xr:uid="{AFF4684D-FEAA-4894-9F65-91BAA0AE49F3}"/>
    <cellStyle name="Normal 5 2 2 6 4" xfId="9426" xr:uid="{219DB794-2276-403E-B79E-5AB8EA7D594B}"/>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9E270137-7C8B-4AEC-A1B6-800C9AF3A4A4}"/>
    <cellStyle name="Normal 5 2 2 7 2 3" xfId="11984" xr:uid="{3BD547B1-EF59-4C5A-A7E5-E94D34CB7C1A}"/>
    <cellStyle name="Normal 5 2 2 7 3" xfId="5607" xr:uid="{00000000-0005-0000-0000-000029180000}"/>
    <cellStyle name="Normal 5 2 2 7 3 2" xfId="14057" xr:uid="{7DB12F69-5296-452F-BEAC-B3FD9A8CB80F}"/>
    <cellStyle name="Normal 5 2 2 7 4" xfId="9839" xr:uid="{C6FD53C7-DF94-46D0-B9E2-A7A20293DD11}"/>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DBF0ECD7-B9D2-423B-9413-6E5174B695C6}"/>
    <cellStyle name="Normal 5 2 2 8 2 3" xfId="12397" xr:uid="{D3228472-3289-457E-B99C-53DAF87952A4}"/>
    <cellStyle name="Normal 5 2 2 8 3" xfId="6020" xr:uid="{00000000-0005-0000-0000-00002D180000}"/>
    <cellStyle name="Normal 5 2 2 8 3 2" xfId="14470" xr:uid="{1F8D9A6B-DC4D-4559-A684-6C88221121D8}"/>
    <cellStyle name="Normal 5 2 2 8 4" xfId="10252" xr:uid="{30ADABFE-7497-4BBF-A9D7-F05868185F3E}"/>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1926162D-F517-42B7-9FAE-3B16AE84DA9B}"/>
    <cellStyle name="Normal 5 2 2 9 2 3" xfId="12810" xr:uid="{5D0F9598-4B54-46A0-8536-D67AF15485CE}"/>
    <cellStyle name="Normal 5 2 2 9 3" xfId="6433" xr:uid="{00000000-0005-0000-0000-000031180000}"/>
    <cellStyle name="Normal 5 2 2 9 3 2" xfId="14883" xr:uid="{D42CA7E3-6A69-41B0-98CD-A83CB614FC4E}"/>
    <cellStyle name="Normal 5 2 2 9 4" xfId="10665" xr:uid="{4C834834-25B3-4324-8212-091EE25B5DEA}"/>
    <cellStyle name="Normal 5 2 3" xfId="424" xr:uid="{00000000-0005-0000-0000-000032180000}"/>
    <cellStyle name="Normal 5 2 3 10" xfId="4797" xr:uid="{00000000-0005-0000-0000-000033180000}"/>
    <cellStyle name="Normal 5 2 3 10 2" xfId="13247" xr:uid="{6B3DD16C-F046-4E74-A792-6B27D5AD8348}"/>
    <cellStyle name="Normal 5 2 3 11" xfId="9029" xr:uid="{5028EF66-62C8-4078-B9C0-75E88DE337EA}"/>
    <cellStyle name="Normal 5 2 3 2" xfId="425" xr:uid="{00000000-0005-0000-0000-000034180000}"/>
    <cellStyle name="Normal 5 2 3 2 10" xfId="9030" xr:uid="{1747B10F-E5CE-4B2A-872A-4C1E1A036CF6}"/>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0A8E1362-35B7-4FC7-924D-3D7BE2AA160F}"/>
    <cellStyle name="Normal 5 2 3 2 2 2 2 2 3" xfId="11590" xr:uid="{8D83A94E-758C-4778-B149-755E1E58980A}"/>
    <cellStyle name="Normal 5 2 3 2 2 2 2 3" xfId="5213" xr:uid="{00000000-0005-0000-0000-00003A180000}"/>
    <cellStyle name="Normal 5 2 3 2 2 2 2 3 2" xfId="13663" xr:uid="{131A250B-9185-45FA-AC24-6DDAE8AC3FAC}"/>
    <cellStyle name="Normal 5 2 3 2 2 2 2 4" xfId="9445" xr:uid="{40DB4E1A-DCAB-42CB-A709-810347F62ED7}"/>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B270449D-42ED-4742-8505-20F1B693EE4B}"/>
    <cellStyle name="Normal 5 2 3 2 2 2 3 2 3" xfId="12003" xr:uid="{1DEF456F-60AA-45D2-AC2F-E026251ECCFC}"/>
    <cellStyle name="Normal 5 2 3 2 2 2 3 3" xfId="5626" xr:uid="{00000000-0005-0000-0000-00003E180000}"/>
    <cellStyle name="Normal 5 2 3 2 2 2 3 3 2" xfId="14076" xr:uid="{9F585D95-68C9-4D36-8416-1FD0327867D1}"/>
    <cellStyle name="Normal 5 2 3 2 2 2 3 4" xfId="9858" xr:uid="{2A0E164D-507A-41AF-A7EC-DD3AF104678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58755677-F72A-494A-92A5-29790D9A46EA}"/>
    <cellStyle name="Normal 5 2 3 2 2 2 4 2 3" xfId="12416" xr:uid="{B3B08A95-9043-40AB-8D0B-9D8B55091F90}"/>
    <cellStyle name="Normal 5 2 3 2 2 2 4 3" xfId="6039" xr:uid="{00000000-0005-0000-0000-000042180000}"/>
    <cellStyle name="Normal 5 2 3 2 2 2 4 3 2" xfId="14489" xr:uid="{DA6A27C3-DD29-4440-93C2-4C15BF9C5B81}"/>
    <cellStyle name="Normal 5 2 3 2 2 2 4 4" xfId="10271" xr:uid="{EAD47603-3078-496E-8722-23A02C319C08}"/>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F298F74F-8190-4984-93AF-404258DBA4D0}"/>
    <cellStyle name="Normal 5 2 3 2 2 2 5 2 3" xfId="12829" xr:uid="{2D19A6BB-D87A-4ED8-8FF9-9E4E0CED0200}"/>
    <cellStyle name="Normal 5 2 3 2 2 2 5 3" xfId="6452" xr:uid="{00000000-0005-0000-0000-000046180000}"/>
    <cellStyle name="Normal 5 2 3 2 2 2 5 3 2" xfId="14902" xr:uid="{F95ED1EC-FF32-43E3-8FDC-CEBA9F160823}"/>
    <cellStyle name="Normal 5 2 3 2 2 2 5 4" xfId="10684" xr:uid="{E12F330F-1F22-48DD-88F4-5CCA99322BEC}"/>
    <cellStyle name="Normal 5 2 3 2 2 2 6" xfId="2582" xr:uid="{00000000-0005-0000-0000-000047180000}"/>
    <cellStyle name="Normal 5 2 3 2 2 2 6 2" xfId="6865" xr:uid="{00000000-0005-0000-0000-000048180000}"/>
    <cellStyle name="Normal 5 2 3 2 2 2 6 2 2" xfId="15315" xr:uid="{08665A6A-9F03-465E-9EB7-934A5E259E68}"/>
    <cellStyle name="Normal 5 2 3 2 2 2 6 3" xfId="11097" xr:uid="{72FC7013-0AE5-4CCE-A469-F5E98015A46A}"/>
    <cellStyle name="Normal 5 2 3 2 2 2 7" xfId="4800" xr:uid="{00000000-0005-0000-0000-000049180000}"/>
    <cellStyle name="Normal 5 2 3 2 2 2 7 2" xfId="13250" xr:uid="{D04DD504-1007-4E2C-82A4-9DB31CAB6DDF}"/>
    <cellStyle name="Normal 5 2 3 2 2 2 8" xfId="9032" xr:uid="{C1031906-A719-4C9D-BD3D-62C56CC66C51}"/>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BC6A5D03-DEF6-4151-B2B2-F75446E9B87E}"/>
    <cellStyle name="Normal 5 2 3 2 2 3 2 3" xfId="11589" xr:uid="{5D0BD4C7-1767-423C-B470-08E491D9A795}"/>
    <cellStyle name="Normal 5 2 3 2 2 3 3" xfId="5212" xr:uid="{00000000-0005-0000-0000-00004D180000}"/>
    <cellStyle name="Normal 5 2 3 2 2 3 3 2" xfId="13662" xr:uid="{E6A507E4-5496-4664-AF78-7E62B35A6965}"/>
    <cellStyle name="Normal 5 2 3 2 2 3 4" xfId="9444" xr:uid="{792C840A-59EB-4E86-BB70-797D59B1A26A}"/>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A9485C6C-1769-4D6E-ABB8-E2EC64E96FA6}"/>
    <cellStyle name="Normal 5 2 3 2 2 4 2 3" xfId="12002" xr:uid="{62ED47CC-D660-4960-AB1B-1FE68A1A737E}"/>
    <cellStyle name="Normal 5 2 3 2 2 4 3" xfId="5625" xr:uid="{00000000-0005-0000-0000-000051180000}"/>
    <cellStyle name="Normal 5 2 3 2 2 4 3 2" xfId="14075" xr:uid="{EA55AB55-374E-4DB2-9012-A325F3B64090}"/>
    <cellStyle name="Normal 5 2 3 2 2 4 4" xfId="9857" xr:uid="{B5D22150-2C92-49E9-97B4-2BD5F504BCB1}"/>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5C23BD34-37DB-4EBA-B2FE-0FBA5C37B3F6}"/>
    <cellStyle name="Normal 5 2 3 2 2 5 2 3" xfId="12415" xr:uid="{A51861A7-9723-4815-B0CF-4331F1639932}"/>
    <cellStyle name="Normal 5 2 3 2 2 5 3" xfId="6038" xr:uid="{00000000-0005-0000-0000-000055180000}"/>
    <cellStyle name="Normal 5 2 3 2 2 5 3 2" xfId="14488" xr:uid="{BD943BDD-2FF3-4941-B746-C5324DB88C7B}"/>
    <cellStyle name="Normal 5 2 3 2 2 5 4" xfId="10270" xr:uid="{05288D57-8CDC-4B19-9F1C-2D5BC048F468}"/>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244B9D63-DE38-4E3C-B682-07C8613CF4A7}"/>
    <cellStyle name="Normal 5 2 3 2 2 6 2 3" xfId="12828" xr:uid="{4EEAAEE4-07B3-4E26-A450-B89D1C2194F5}"/>
    <cellStyle name="Normal 5 2 3 2 2 6 3" xfId="6451" xr:uid="{00000000-0005-0000-0000-000059180000}"/>
    <cellStyle name="Normal 5 2 3 2 2 6 3 2" xfId="14901" xr:uid="{6CA8ADE1-08D3-47CC-9B0F-EE2141C5EF4A}"/>
    <cellStyle name="Normal 5 2 3 2 2 6 4" xfId="10683" xr:uid="{FCD2761F-06A5-433C-B941-4C9961B1804D}"/>
    <cellStyle name="Normal 5 2 3 2 2 7" xfId="2581" xr:uid="{00000000-0005-0000-0000-00005A180000}"/>
    <cellStyle name="Normal 5 2 3 2 2 7 2" xfId="6864" xr:uid="{00000000-0005-0000-0000-00005B180000}"/>
    <cellStyle name="Normal 5 2 3 2 2 7 2 2" xfId="15314" xr:uid="{C2DA095C-87D5-4D62-8D97-6F7460059423}"/>
    <cellStyle name="Normal 5 2 3 2 2 7 3" xfId="11096" xr:uid="{202AA93E-1FF2-4444-A2EA-B10C5ABB3DCE}"/>
    <cellStyle name="Normal 5 2 3 2 2 8" xfId="4799" xr:uid="{00000000-0005-0000-0000-00005C180000}"/>
    <cellStyle name="Normal 5 2 3 2 2 8 2" xfId="13249" xr:uid="{DCCFC3F6-A237-4A19-9170-CA3DADD89296}"/>
    <cellStyle name="Normal 5 2 3 2 2 9" xfId="9031" xr:uid="{B2C3DF3B-A17A-4CE2-8CFB-7450ABA7FB6A}"/>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69FB3D1A-E010-44CD-9DB4-4DD122C7A84F}"/>
    <cellStyle name="Normal 5 2 3 2 3 2 2 3" xfId="11591" xr:uid="{1F41F6AF-D5AB-4B8D-A204-E2D59A8E8635}"/>
    <cellStyle name="Normal 5 2 3 2 3 2 3" xfId="5214" xr:uid="{00000000-0005-0000-0000-000061180000}"/>
    <cellStyle name="Normal 5 2 3 2 3 2 3 2" xfId="13664" xr:uid="{A1C023C9-E9F4-4447-AFDD-6B5A10D7B8FE}"/>
    <cellStyle name="Normal 5 2 3 2 3 2 4" xfId="9446" xr:uid="{AB85B4C2-945C-4D0F-9D24-880B97B597EE}"/>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78009939-DD5E-4A33-AFDD-892218501DB2}"/>
    <cellStyle name="Normal 5 2 3 2 3 3 2 3" xfId="12004" xr:uid="{C8CCCA13-60DF-409F-8B38-CE90C37471B8}"/>
    <cellStyle name="Normal 5 2 3 2 3 3 3" xfId="5627" xr:uid="{00000000-0005-0000-0000-000065180000}"/>
    <cellStyle name="Normal 5 2 3 2 3 3 3 2" xfId="14077" xr:uid="{B213D99E-A570-4861-BCAA-5749AFFADBEB}"/>
    <cellStyle name="Normal 5 2 3 2 3 3 4" xfId="9859" xr:uid="{897DFE0B-2ABD-4401-854D-C951F9C29A39}"/>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F79A6BDD-DFA2-49B8-833D-FBA335BC8476}"/>
    <cellStyle name="Normal 5 2 3 2 3 4 2 3" xfId="12417" xr:uid="{2BDFBC24-0546-477A-B7D0-121B8D619837}"/>
    <cellStyle name="Normal 5 2 3 2 3 4 3" xfId="6040" xr:uid="{00000000-0005-0000-0000-000069180000}"/>
    <cellStyle name="Normal 5 2 3 2 3 4 3 2" xfId="14490" xr:uid="{DA9B74B9-BB42-4DB4-A99B-859FFBB5626A}"/>
    <cellStyle name="Normal 5 2 3 2 3 4 4" xfId="10272" xr:uid="{CF42DAEB-7477-4192-82A4-6436F6A66C65}"/>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1A86BA1F-1422-4A9C-AFF2-4CBC5F93E308}"/>
    <cellStyle name="Normal 5 2 3 2 3 5 2 3" xfId="12830" xr:uid="{77DB2675-48DE-47CE-B0EC-F9BD96C417A0}"/>
    <cellStyle name="Normal 5 2 3 2 3 5 3" xfId="6453" xr:uid="{00000000-0005-0000-0000-00006D180000}"/>
    <cellStyle name="Normal 5 2 3 2 3 5 3 2" xfId="14903" xr:uid="{8BB78763-7BF9-4767-95CD-6C65FD210AE7}"/>
    <cellStyle name="Normal 5 2 3 2 3 5 4" xfId="10685" xr:uid="{90922901-1237-44D2-8E9A-C0018F4D61A9}"/>
    <cellStyle name="Normal 5 2 3 2 3 6" xfId="2583" xr:uid="{00000000-0005-0000-0000-00006E180000}"/>
    <cellStyle name="Normal 5 2 3 2 3 6 2" xfId="6866" xr:uid="{00000000-0005-0000-0000-00006F180000}"/>
    <cellStyle name="Normal 5 2 3 2 3 6 2 2" xfId="15316" xr:uid="{F5ECB907-8CCE-45FC-A1FC-63632E58A22F}"/>
    <cellStyle name="Normal 5 2 3 2 3 6 3" xfId="11098" xr:uid="{586B2E9B-B8D4-4BA1-8E93-AED9F22BB9E5}"/>
    <cellStyle name="Normal 5 2 3 2 3 7" xfId="4801" xr:uid="{00000000-0005-0000-0000-000070180000}"/>
    <cellStyle name="Normal 5 2 3 2 3 7 2" xfId="13251" xr:uid="{2A44A33B-E71D-41D3-96C9-A014EDC79A91}"/>
    <cellStyle name="Normal 5 2 3 2 3 8" xfId="9033" xr:uid="{D8BB3F23-38B8-4081-A9FB-C998D95E3FFA}"/>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D79A4000-0F5C-4040-9D9F-7BB72C847942}"/>
    <cellStyle name="Normal 5 2 3 2 4 2 3" xfId="11588" xr:uid="{1408DFB3-C127-4D6A-A7FB-E958E68C83E0}"/>
    <cellStyle name="Normal 5 2 3 2 4 3" xfId="5211" xr:uid="{00000000-0005-0000-0000-000074180000}"/>
    <cellStyle name="Normal 5 2 3 2 4 3 2" xfId="13661" xr:uid="{B87DD2E6-31B4-46D0-8B39-CEA9EBE43F40}"/>
    <cellStyle name="Normal 5 2 3 2 4 4" xfId="9443" xr:uid="{A4C13EF9-ED04-44FE-99F3-5CF297DF0CC1}"/>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AB5C3F42-658E-4847-AA4F-3D5563380966}"/>
    <cellStyle name="Normal 5 2 3 2 5 2 3" xfId="12001" xr:uid="{6A7DE496-4E30-406F-85B2-5035F573E99D}"/>
    <cellStyle name="Normal 5 2 3 2 5 3" xfId="5624" xr:uid="{00000000-0005-0000-0000-000078180000}"/>
    <cellStyle name="Normal 5 2 3 2 5 3 2" xfId="14074" xr:uid="{832FE030-EB05-4716-B23D-AFC15D9B1A2B}"/>
    <cellStyle name="Normal 5 2 3 2 5 4" xfId="9856" xr:uid="{DED09E57-2FFC-4757-A8B2-D434529A184E}"/>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34F7119C-A38B-4A29-9462-2165F709BEEC}"/>
    <cellStyle name="Normal 5 2 3 2 6 2 3" xfId="12414" xr:uid="{4CB468E3-7E30-4DE7-9057-5D943F225B31}"/>
    <cellStyle name="Normal 5 2 3 2 6 3" xfId="6037" xr:uid="{00000000-0005-0000-0000-00007C180000}"/>
    <cellStyle name="Normal 5 2 3 2 6 3 2" xfId="14487" xr:uid="{46F045F9-95D0-4218-B9A3-3A44D304795E}"/>
    <cellStyle name="Normal 5 2 3 2 6 4" xfId="10269" xr:uid="{1E3C9DC1-F80D-49B2-94BB-970243EA164A}"/>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A07E536D-D75D-4768-AE0C-1F5E133E1DF2}"/>
    <cellStyle name="Normal 5 2 3 2 7 2 3" xfId="12827" xr:uid="{088A4FE1-5528-4663-9DCE-172F333EF1BC}"/>
    <cellStyle name="Normal 5 2 3 2 7 3" xfId="6450" xr:uid="{00000000-0005-0000-0000-000080180000}"/>
    <cellStyle name="Normal 5 2 3 2 7 3 2" xfId="14900" xr:uid="{3BC98788-65A1-47C1-900C-589B8D29ABA7}"/>
    <cellStyle name="Normal 5 2 3 2 7 4" xfId="10682" xr:uid="{0DD7C877-ADC0-4C7E-8C44-F898B9D976A9}"/>
    <cellStyle name="Normal 5 2 3 2 8" xfId="2580" xr:uid="{00000000-0005-0000-0000-000081180000}"/>
    <cellStyle name="Normal 5 2 3 2 8 2" xfId="6863" xr:uid="{00000000-0005-0000-0000-000082180000}"/>
    <cellStyle name="Normal 5 2 3 2 8 2 2" xfId="15313" xr:uid="{686946B6-0538-4274-80FA-D1E1A180708B}"/>
    <cellStyle name="Normal 5 2 3 2 8 3" xfId="11095" xr:uid="{DF19D181-E594-422A-A400-FEAE7F307B12}"/>
    <cellStyle name="Normal 5 2 3 2 9" xfId="4798" xr:uid="{00000000-0005-0000-0000-000083180000}"/>
    <cellStyle name="Normal 5 2 3 2 9 2" xfId="13248" xr:uid="{B2DD79B5-5ED6-4B1C-99A1-62F109F2FF58}"/>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FA4A168D-1531-43BD-92E8-7E1310251A33}"/>
    <cellStyle name="Normal 5 2 3 3 2 2 2 3" xfId="11593" xr:uid="{DBA79F11-56FD-4B21-8A89-3C09968718E8}"/>
    <cellStyle name="Normal 5 2 3 3 2 2 3" xfId="5216" xr:uid="{00000000-0005-0000-0000-000089180000}"/>
    <cellStyle name="Normal 5 2 3 3 2 2 3 2" xfId="13666" xr:uid="{6D39D945-F55F-4EA4-A856-4CB7C8E2033A}"/>
    <cellStyle name="Normal 5 2 3 3 2 2 4" xfId="9448" xr:uid="{F76EEA33-6E60-4AF2-B769-32F31E52E3EE}"/>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FDDE4AC0-67CD-47F9-AF1A-37360830CB27}"/>
    <cellStyle name="Normal 5 2 3 3 2 3 2 3" xfId="12006" xr:uid="{8363EB07-31FF-48AD-989D-7902F491B5AA}"/>
    <cellStyle name="Normal 5 2 3 3 2 3 3" xfId="5629" xr:uid="{00000000-0005-0000-0000-00008D180000}"/>
    <cellStyle name="Normal 5 2 3 3 2 3 3 2" xfId="14079" xr:uid="{0010D66D-507D-4322-A4E9-07EF1BFE64E1}"/>
    <cellStyle name="Normal 5 2 3 3 2 3 4" xfId="9861" xr:uid="{A694417A-789D-4D67-A6DA-7E40B9F367A4}"/>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9B5A889D-8E20-4002-80EB-B6F365244760}"/>
    <cellStyle name="Normal 5 2 3 3 2 4 2 3" xfId="12419" xr:uid="{9D1DA8A5-378B-4723-A1A4-95A2600B7316}"/>
    <cellStyle name="Normal 5 2 3 3 2 4 3" xfId="6042" xr:uid="{00000000-0005-0000-0000-000091180000}"/>
    <cellStyle name="Normal 5 2 3 3 2 4 3 2" xfId="14492" xr:uid="{AB9101E5-A960-49DD-8FA7-AD2BA95EF2EF}"/>
    <cellStyle name="Normal 5 2 3 3 2 4 4" xfId="10274" xr:uid="{8B0DAEF9-7525-4412-8F5A-2F68308AB01A}"/>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F6ACA4B7-2F62-4AF1-A470-E8912049C59A}"/>
    <cellStyle name="Normal 5 2 3 3 2 5 2 3" xfId="12832" xr:uid="{E12A4821-6234-4C4E-9414-647744FBDEFF}"/>
    <cellStyle name="Normal 5 2 3 3 2 5 3" xfId="6455" xr:uid="{00000000-0005-0000-0000-000095180000}"/>
    <cellStyle name="Normal 5 2 3 3 2 5 3 2" xfId="14905" xr:uid="{4448A987-F07A-43B4-8DDE-C9845F01F9BE}"/>
    <cellStyle name="Normal 5 2 3 3 2 5 4" xfId="10687" xr:uid="{FD25C909-439F-4E14-B978-D9BBD65458A3}"/>
    <cellStyle name="Normal 5 2 3 3 2 6" xfId="2585" xr:uid="{00000000-0005-0000-0000-000096180000}"/>
    <cellStyle name="Normal 5 2 3 3 2 6 2" xfId="6868" xr:uid="{00000000-0005-0000-0000-000097180000}"/>
    <cellStyle name="Normal 5 2 3 3 2 6 2 2" xfId="15318" xr:uid="{ABA9AA8B-2C08-4F6C-B53B-2000A21B21F0}"/>
    <cellStyle name="Normal 5 2 3 3 2 6 3" xfId="11100" xr:uid="{F0BB3CBD-4F15-49D6-B8DF-35C1235627DE}"/>
    <cellStyle name="Normal 5 2 3 3 2 7" xfId="4803" xr:uid="{00000000-0005-0000-0000-000098180000}"/>
    <cellStyle name="Normal 5 2 3 3 2 7 2" xfId="13253" xr:uid="{CB66C6ED-295D-44CD-8490-F112F35B8AB1}"/>
    <cellStyle name="Normal 5 2 3 3 2 8" xfId="9035" xr:uid="{0171CC54-C0AA-489A-846F-9977FD1201E4}"/>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3A1E59F6-0BBC-4E5F-872B-66D1EDA6A391}"/>
    <cellStyle name="Normal 5 2 3 3 3 2 3" xfId="11592" xr:uid="{1C0FE2A2-A3A1-420D-B91A-F681BFFAA67D}"/>
    <cellStyle name="Normal 5 2 3 3 3 3" xfId="5215" xr:uid="{00000000-0005-0000-0000-00009C180000}"/>
    <cellStyle name="Normal 5 2 3 3 3 3 2" xfId="13665" xr:uid="{CA443D2A-DF42-4074-80B7-C2B40FBE9D41}"/>
    <cellStyle name="Normal 5 2 3 3 3 4" xfId="9447" xr:uid="{12EE6BF1-3DCC-4034-84A4-23A1798AC1FA}"/>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ADB89F2E-7497-4A88-A4F4-BDAD84330508}"/>
    <cellStyle name="Normal 5 2 3 3 4 2 3" xfId="12005" xr:uid="{39204176-FA78-4586-B472-A17443AB9A0A}"/>
    <cellStyle name="Normal 5 2 3 3 4 3" xfId="5628" xr:uid="{00000000-0005-0000-0000-0000A0180000}"/>
    <cellStyle name="Normal 5 2 3 3 4 3 2" xfId="14078" xr:uid="{FA7C78CF-A622-4138-8708-6A07813AE9F1}"/>
    <cellStyle name="Normal 5 2 3 3 4 4" xfId="9860" xr:uid="{B6016432-7676-4700-9C94-970BD9198C87}"/>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90CBD8E7-0B9F-4605-B733-5764974881A1}"/>
    <cellStyle name="Normal 5 2 3 3 5 2 3" xfId="12418" xr:uid="{B7BC9987-5231-4B51-9918-32A040B8525B}"/>
    <cellStyle name="Normal 5 2 3 3 5 3" xfId="6041" xr:uid="{00000000-0005-0000-0000-0000A4180000}"/>
    <cellStyle name="Normal 5 2 3 3 5 3 2" xfId="14491" xr:uid="{3DE27F5D-8501-4821-B9D4-6E4354D34BB9}"/>
    <cellStyle name="Normal 5 2 3 3 5 4" xfId="10273" xr:uid="{5923D043-183A-44C8-B646-93A43847AB8C}"/>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FCB10F12-B272-4826-A77E-A86FB817D1AC}"/>
    <cellStyle name="Normal 5 2 3 3 6 2 3" xfId="12831" xr:uid="{41220D26-5662-4BAA-BFE2-33C434C116F7}"/>
    <cellStyle name="Normal 5 2 3 3 6 3" xfId="6454" xr:uid="{00000000-0005-0000-0000-0000A8180000}"/>
    <cellStyle name="Normal 5 2 3 3 6 3 2" xfId="14904" xr:uid="{C4B2F68B-6D7A-4196-98ED-7209B51E71DB}"/>
    <cellStyle name="Normal 5 2 3 3 6 4" xfId="10686" xr:uid="{0914D9AF-199C-4547-BA04-120138224A2D}"/>
    <cellStyle name="Normal 5 2 3 3 7" xfId="2584" xr:uid="{00000000-0005-0000-0000-0000A9180000}"/>
    <cellStyle name="Normal 5 2 3 3 7 2" xfId="6867" xr:uid="{00000000-0005-0000-0000-0000AA180000}"/>
    <cellStyle name="Normal 5 2 3 3 7 2 2" xfId="15317" xr:uid="{D557D6EB-5FB8-4789-B689-ED73FB64CC6B}"/>
    <cellStyle name="Normal 5 2 3 3 7 3" xfId="11099" xr:uid="{D9CF88B2-8B13-4F47-81F7-5C6C5AD81C5A}"/>
    <cellStyle name="Normal 5 2 3 3 8" xfId="4802" xr:uid="{00000000-0005-0000-0000-0000AB180000}"/>
    <cellStyle name="Normal 5 2 3 3 8 2" xfId="13252" xr:uid="{1EF8789C-CC46-48C3-9841-DD23F7F9DBF1}"/>
    <cellStyle name="Normal 5 2 3 3 9" xfId="9034" xr:uid="{332AD7F5-A22C-4801-A416-76FF5A966DDA}"/>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58E4297C-A933-4509-84AB-76837B011C80}"/>
    <cellStyle name="Normal 5 2 3 4 2 2 3" xfId="11594" xr:uid="{4C38F398-A9CB-4F9D-B58A-61879054C3FC}"/>
    <cellStyle name="Normal 5 2 3 4 2 3" xfId="5217" xr:uid="{00000000-0005-0000-0000-0000B0180000}"/>
    <cellStyle name="Normal 5 2 3 4 2 3 2" xfId="13667" xr:uid="{55E216E3-CFF9-4AAF-BAD7-DEAE496F1D7A}"/>
    <cellStyle name="Normal 5 2 3 4 2 4" xfId="9449" xr:uid="{F5BE20CC-CA10-455C-8098-11C112A7B365}"/>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749A77CF-718F-4B07-BE4D-2912E39C1556}"/>
    <cellStyle name="Normal 5 2 3 4 3 2 3" xfId="12007" xr:uid="{BA016109-BD05-4CE1-8403-D70B1C7741B4}"/>
    <cellStyle name="Normal 5 2 3 4 3 3" xfId="5630" xr:uid="{00000000-0005-0000-0000-0000B4180000}"/>
    <cellStyle name="Normal 5 2 3 4 3 3 2" xfId="14080" xr:uid="{CD8B9D2C-93A3-4D86-8CAB-6A2DEEA88EAB}"/>
    <cellStyle name="Normal 5 2 3 4 3 4" xfId="9862" xr:uid="{70402968-9501-40B7-BCEA-279F59199580}"/>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EA0C0583-13E5-4C07-B2ED-4125C5B496D3}"/>
    <cellStyle name="Normal 5 2 3 4 4 2 3" xfId="12420" xr:uid="{2E1B1D26-BEED-4533-A67F-550F56E7126D}"/>
    <cellStyle name="Normal 5 2 3 4 4 3" xfId="6043" xr:uid="{00000000-0005-0000-0000-0000B8180000}"/>
    <cellStyle name="Normal 5 2 3 4 4 3 2" xfId="14493" xr:uid="{9201F72E-662F-4E2D-9D37-5EE79A8D3875}"/>
    <cellStyle name="Normal 5 2 3 4 4 4" xfId="10275" xr:uid="{4ADBC527-4CD6-48A9-BDC9-A8976C0AEB5F}"/>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ADEEB562-D257-4A4F-AF71-9EFAB22CBD77}"/>
    <cellStyle name="Normal 5 2 3 4 5 2 3" xfId="12833" xr:uid="{C2BE1258-A378-46CF-8C6F-5CCD80FD42D9}"/>
    <cellStyle name="Normal 5 2 3 4 5 3" xfId="6456" xr:uid="{00000000-0005-0000-0000-0000BC180000}"/>
    <cellStyle name="Normal 5 2 3 4 5 3 2" xfId="14906" xr:uid="{5D2C27D6-3F49-4529-BEC3-1A1C167101A3}"/>
    <cellStyle name="Normal 5 2 3 4 5 4" xfId="10688" xr:uid="{961C9BA4-1E40-42A3-80B7-DCEF67007564}"/>
    <cellStyle name="Normal 5 2 3 4 6" xfId="2586" xr:uid="{00000000-0005-0000-0000-0000BD180000}"/>
    <cellStyle name="Normal 5 2 3 4 6 2" xfId="6869" xr:uid="{00000000-0005-0000-0000-0000BE180000}"/>
    <cellStyle name="Normal 5 2 3 4 6 2 2" xfId="15319" xr:uid="{D6D4D004-FA76-424E-A358-D100C539E61A}"/>
    <cellStyle name="Normal 5 2 3 4 6 3" xfId="11101" xr:uid="{EF0FE42A-BEFB-4EFA-9871-E2DC7E85CB83}"/>
    <cellStyle name="Normal 5 2 3 4 7" xfId="4804" xr:uid="{00000000-0005-0000-0000-0000BF180000}"/>
    <cellStyle name="Normal 5 2 3 4 7 2" xfId="13254" xr:uid="{C83B6571-D09C-4852-B3DA-63DC56F60753}"/>
    <cellStyle name="Normal 5 2 3 4 8" xfId="9036" xr:uid="{BCB51064-1008-4CF0-AA1E-AE6A1702DC13}"/>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5DDDF65B-067A-4DF2-856C-D746EE98E632}"/>
    <cellStyle name="Normal 5 2 3 5 2 3" xfId="11587" xr:uid="{7F92AD84-6969-44B6-BA82-F8120DEF587C}"/>
    <cellStyle name="Normal 5 2 3 5 3" xfId="5210" xr:uid="{00000000-0005-0000-0000-0000C3180000}"/>
    <cellStyle name="Normal 5 2 3 5 3 2" xfId="13660" xr:uid="{8622C79B-47B5-4287-889F-599441835117}"/>
    <cellStyle name="Normal 5 2 3 5 4" xfId="9442" xr:uid="{0F8223C0-C331-42B1-9037-1DD2F9B137F2}"/>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A2D22B7C-742D-4FC3-A35F-F2E2622028C9}"/>
    <cellStyle name="Normal 5 2 3 6 2 3" xfId="12000" xr:uid="{2B100BD7-21F4-46CC-86AA-06D471564801}"/>
    <cellStyle name="Normal 5 2 3 6 3" xfId="5623" xr:uid="{00000000-0005-0000-0000-0000C7180000}"/>
    <cellStyle name="Normal 5 2 3 6 3 2" xfId="14073" xr:uid="{9135A8F9-3DF9-4422-A2B2-3E5954B8C9E0}"/>
    <cellStyle name="Normal 5 2 3 6 4" xfId="9855" xr:uid="{2BCC5594-2EE5-478D-8239-D4E66F51878E}"/>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80A13500-C1FA-4E56-A1EE-D816D1D5362C}"/>
    <cellStyle name="Normal 5 2 3 7 2 3" xfId="12413" xr:uid="{D99CCFF2-A491-481D-84EF-19185F8E981F}"/>
    <cellStyle name="Normal 5 2 3 7 3" xfId="6036" xr:uid="{00000000-0005-0000-0000-0000CB180000}"/>
    <cellStyle name="Normal 5 2 3 7 3 2" xfId="14486" xr:uid="{5AA7A381-EB46-4E48-9727-1DDA3D9FAD19}"/>
    <cellStyle name="Normal 5 2 3 7 4" xfId="10268" xr:uid="{68065796-52EE-45AB-8C78-BD2FAE4F7B59}"/>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FC486537-34C5-4161-B453-9FA6DA4889FC}"/>
    <cellStyle name="Normal 5 2 3 8 2 3" xfId="12826" xr:uid="{AAA8D9A3-A285-477B-8A40-8126AED355E8}"/>
    <cellStyle name="Normal 5 2 3 8 3" xfId="6449" xr:uid="{00000000-0005-0000-0000-0000CF180000}"/>
    <cellStyle name="Normal 5 2 3 8 3 2" xfId="14899" xr:uid="{D6E2ECDD-7A22-4231-B62F-CC08FF22970F}"/>
    <cellStyle name="Normal 5 2 3 8 4" xfId="10681" xr:uid="{6C791B3C-7291-4E98-A497-633B1CCF9BA1}"/>
    <cellStyle name="Normal 5 2 3 9" xfId="2579" xr:uid="{00000000-0005-0000-0000-0000D0180000}"/>
    <cellStyle name="Normal 5 2 3 9 2" xfId="6862" xr:uid="{00000000-0005-0000-0000-0000D1180000}"/>
    <cellStyle name="Normal 5 2 3 9 2 2" xfId="15312" xr:uid="{3EB3B789-670D-4101-8774-959AF0923A16}"/>
    <cellStyle name="Normal 5 2 3 9 3" xfId="11094" xr:uid="{2577E945-86EF-428F-BBB0-8230599AAEF4}"/>
    <cellStyle name="Normal 5 2 4" xfId="432" xr:uid="{00000000-0005-0000-0000-0000D2180000}"/>
    <cellStyle name="Normal 5 2 4 10" xfId="9037" xr:uid="{0A82FAAA-8FD9-4E43-9815-F20D2B8A2EB2}"/>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4506E5D9-F7D6-4243-A72C-B21900FE46D5}"/>
    <cellStyle name="Normal 5 2 4 2 2 2 2 3" xfId="11597" xr:uid="{64BF4418-7827-4672-BD30-D2873B21717E}"/>
    <cellStyle name="Normal 5 2 4 2 2 2 3" xfId="5220" xr:uid="{00000000-0005-0000-0000-0000D8180000}"/>
    <cellStyle name="Normal 5 2 4 2 2 2 3 2" xfId="13670" xr:uid="{544DDE2A-4FBF-4787-B3AA-D36C49B55EFB}"/>
    <cellStyle name="Normal 5 2 4 2 2 2 4" xfId="9452" xr:uid="{0632EEFA-4ED6-4805-BAF5-2F4B6A724EB1}"/>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F2CA2EED-D1B3-48A5-B1E7-1C1394918F88}"/>
    <cellStyle name="Normal 5 2 4 2 2 3 2 3" xfId="12010" xr:uid="{76A9D107-3ECE-4A29-8BC2-6A8B8CC7F26C}"/>
    <cellStyle name="Normal 5 2 4 2 2 3 3" xfId="5633" xr:uid="{00000000-0005-0000-0000-0000DC180000}"/>
    <cellStyle name="Normal 5 2 4 2 2 3 3 2" xfId="14083" xr:uid="{8F473029-1460-43C0-923A-FAB6E50A91E6}"/>
    <cellStyle name="Normal 5 2 4 2 2 3 4" xfId="9865" xr:uid="{49D0F7B0-F620-4FA7-B931-DF78BE017291}"/>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ECD0B304-F201-47AD-A135-956A3DD03067}"/>
    <cellStyle name="Normal 5 2 4 2 2 4 2 3" xfId="12423" xr:uid="{5B34359D-26C4-4B3C-8973-33EF4F536DA6}"/>
    <cellStyle name="Normal 5 2 4 2 2 4 3" xfId="6046" xr:uid="{00000000-0005-0000-0000-0000E0180000}"/>
    <cellStyle name="Normal 5 2 4 2 2 4 3 2" xfId="14496" xr:uid="{7691682C-216D-45C6-BDC1-7E8C217B6B7A}"/>
    <cellStyle name="Normal 5 2 4 2 2 4 4" xfId="10278" xr:uid="{0E3197BF-B77A-4F85-89CB-EBA2923300BC}"/>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D27E3107-CBE3-4D34-994A-C710D46606B6}"/>
    <cellStyle name="Normal 5 2 4 2 2 5 2 3" xfId="12836" xr:uid="{AE8F276A-8764-4A46-B9A1-D16A3C6DFECF}"/>
    <cellStyle name="Normal 5 2 4 2 2 5 3" xfId="6459" xr:uid="{00000000-0005-0000-0000-0000E4180000}"/>
    <cellStyle name="Normal 5 2 4 2 2 5 3 2" xfId="14909" xr:uid="{D1E4FEF8-B854-4878-A380-667D217A2B89}"/>
    <cellStyle name="Normal 5 2 4 2 2 5 4" xfId="10691" xr:uid="{EF606FB9-322E-43B0-B169-EDE3159CEEF0}"/>
    <cellStyle name="Normal 5 2 4 2 2 6" xfId="2589" xr:uid="{00000000-0005-0000-0000-0000E5180000}"/>
    <cellStyle name="Normal 5 2 4 2 2 6 2" xfId="6872" xr:uid="{00000000-0005-0000-0000-0000E6180000}"/>
    <cellStyle name="Normal 5 2 4 2 2 6 2 2" xfId="15322" xr:uid="{500A8CA0-82AD-4192-8FC9-4496A857073F}"/>
    <cellStyle name="Normal 5 2 4 2 2 6 3" xfId="11104" xr:uid="{586E5BD1-1933-4ED3-A6C3-C6519FB6C720}"/>
    <cellStyle name="Normal 5 2 4 2 2 7" xfId="4807" xr:uid="{00000000-0005-0000-0000-0000E7180000}"/>
    <cellStyle name="Normal 5 2 4 2 2 7 2" xfId="13257" xr:uid="{9BE78720-6BB5-4611-B03A-1EA51B2F6A97}"/>
    <cellStyle name="Normal 5 2 4 2 2 8" xfId="9039" xr:uid="{679B8269-00AC-42DA-AC0C-DD9FE29597E7}"/>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4508C68A-0962-42F5-8BAD-188A18CC2C9E}"/>
    <cellStyle name="Normal 5 2 4 2 3 2 3" xfId="11596" xr:uid="{4FE0527B-6CF8-4448-B470-68948A842125}"/>
    <cellStyle name="Normal 5 2 4 2 3 3" xfId="5219" xr:uid="{00000000-0005-0000-0000-0000EB180000}"/>
    <cellStyle name="Normal 5 2 4 2 3 3 2" xfId="13669" xr:uid="{2E0757A7-95ED-4D24-8988-0A73816CA3C8}"/>
    <cellStyle name="Normal 5 2 4 2 3 4" xfId="9451" xr:uid="{FA2F6BA9-9C89-4F79-90E6-7FACF961A0CD}"/>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2659D4FC-E81B-4215-B5A9-6E8D0248531D}"/>
    <cellStyle name="Normal 5 2 4 2 4 2 3" xfId="12009" xr:uid="{A95AAD44-99AC-44CC-AAFE-D2790D4485A2}"/>
    <cellStyle name="Normal 5 2 4 2 4 3" xfId="5632" xr:uid="{00000000-0005-0000-0000-0000EF180000}"/>
    <cellStyle name="Normal 5 2 4 2 4 3 2" xfId="14082" xr:uid="{2F521C62-E65B-4B85-BB50-FBBDDBFB3023}"/>
    <cellStyle name="Normal 5 2 4 2 4 4" xfId="9864" xr:uid="{A58F7423-F708-4C52-8243-5BADD2D684CF}"/>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3FCB697D-D692-43AC-8579-5AD4E35BC3B3}"/>
    <cellStyle name="Normal 5 2 4 2 5 2 3" xfId="12422" xr:uid="{990E9779-882B-4916-B61C-1FAA5921E43E}"/>
    <cellStyle name="Normal 5 2 4 2 5 3" xfId="6045" xr:uid="{00000000-0005-0000-0000-0000F3180000}"/>
    <cellStyle name="Normal 5 2 4 2 5 3 2" xfId="14495" xr:uid="{9C39BB1E-978B-428C-991B-B26BF5960815}"/>
    <cellStyle name="Normal 5 2 4 2 5 4" xfId="10277" xr:uid="{E9EF7C3A-166D-4244-A635-4EF8A86FAE1F}"/>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297BCA68-D3FB-4D6D-A680-A03C4D9EBB34}"/>
    <cellStyle name="Normal 5 2 4 2 6 2 3" xfId="12835" xr:uid="{42A84472-1B45-4E77-BB7E-56DC69E5BBB4}"/>
    <cellStyle name="Normal 5 2 4 2 6 3" xfId="6458" xr:uid="{00000000-0005-0000-0000-0000F7180000}"/>
    <cellStyle name="Normal 5 2 4 2 6 3 2" xfId="14908" xr:uid="{363865C4-928B-4D27-AFD4-E91336970E96}"/>
    <cellStyle name="Normal 5 2 4 2 6 4" xfId="10690" xr:uid="{3E4D44A5-EB3A-4078-A69D-D065DA8D2994}"/>
    <cellStyle name="Normal 5 2 4 2 7" xfId="2588" xr:uid="{00000000-0005-0000-0000-0000F8180000}"/>
    <cellStyle name="Normal 5 2 4 2 7 2" xfId="6871" xr:uid="{00000000-0005-0000-0000-0000F9180000}"/>
    <cellStyle name="Normal 5 2 4 2 7 2 2" xfId="15321" xr:uid="{A7422058-0D5D-4DFA-A874-CF8C6FF43BAE}"/>
    <cellStyle name="Normal 5 2 4 2 7 3" xfId="11103" xr:uid="{F480E549-D7CD-4335-BDC7-0479920E6A32}"/>
    <cellStyle name="Normal 5 2 4 2 8" xfId="4806" xr:uid="{00000000-0005-0000-0000-0000FA180000}"/>
    <cellStyle name="Normal 5 2 4 2 8 2" xfId="13256" xr:uid="{B05DDE6D-D9C9-4976-A28D-48DA3561C696}"/>
    <cellStyle name="Normal 5 2 4 2 9" xfId="9038" xr:uid="{8249416B-4765-45EB-8CED-633233864992}"/>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C979BD8C-5EAA-4113-8C9D-E340BE5A7D81}"/>
    <cellStyle name="Normal 5 2 4 3 2 2 3" xfId="11598" xr:uid="{735D49BB-2B7C-4378-9CA8-32A9729D1F0A}"/>
    <cellStyle name="Normal 5 2 4 3 2 3" xfId="5221" xr:uid="{00000000-0005-0000-0000-0000FF180000}"/>
    <cellStyle name="Normal 5 2 4 3 2 3 2" xfId="13671" xr:uid="{87B0987A-F781-4C11-B0BE-D8014C8F0F38}"/>
    <cellStyle name="Normal 5 2 4 3 2 4" xfId="9453" xr:uid="{08CF2346-2BB0-474D-A991-5294BE3A3BA9}"/>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D52E51E7-D743-4F69-9401-2B609E484C76}"/>
    <cellStyle name="Normal 5 2 4 3 3 2 3" xfId="12011" xr:uid="{ED61B667-9A44-4306-9D2A-DCD453472915}"/>
    <cellStyle name="Normal 5 2 4 3 3 3" xfId="5634" xr:uid="{00000000-0005-0000-0000-000003190000}"/>
    <cellStyle name="Normal 5 2 4 3 3 3 2" xfId="14084" xr:uid="{79451C06-981C-4760-BAB0-B9D2F270FB6E}"/>
    <cellStyle name="Normal 5 2 4 3 3 4" xfId="9866" xr:uid="{97E5F09B-1FC8-4CA2-B8E0-DEB7D05C7DF4}"/>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B6CDFB70-9A8E-4FAD-BCF1-C5023F4CAF1E}"/>
    <cellStyle name="Normal 5 2 4 3 4 2 3" xfId="12424" xr:uid="{89874628-D2D9-49D4-B22B-A26CED0B9578}"/>
    <cellStyle name="Normal 5 2 4 3 4 3" xfId="6047" xr:uid="{00000000-0005-0000-0000-000007190000}"/>
    <cellStyle name="Normal 5 2 4 3 4 3 2" xfId="14497" xr:uid="{A1A4DA93-CFCB-4760-B28C-9B7286189DD1}"/>
    <cellStyle name="Normal 5 2 4 3 4 4" xfId="10279" xr:uid="{B13DD79A-8076-4BBE-BAB7-9B2C7E30FB8C}"/>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3F29C957-B56D-4A8D-9882-BD38776E84DA}"/>
    <cellStyle name="Normal 5 2 4 3 5 2 3" xfId="12837" xr:uid="{01530248-0AD1-43DE-A363-90531AC09ADF}"/>
    <cellStyle name="Normal 5 2 4 3 5 3" xfId="6460" xr:uid="{00000000-0005-0000-0000-00000B190000}"/>
    <cellStyle name="Normal 5 2 4 3 5 3 2" xfId="14910" xr:uid="{9E14DF99-BD7E-4F71-8815-AF884DF82A40}"/>
    <cellStyle name="Normal 5 2 4 3 5 4" xfId="10692" xr:uid="{2FBDDEB1-37E5-43D1-AE87-7E787F105E82}"/>
    <cellStyle name="Normal 5 2 4 3 6" xfId="2590" xr:uid="{00000000-0005-0000-0000-00000C190000}"/>
    <cellStyle name="Normal 5 2 4 3 6 2" xfId="6873" xr:uid="{00000000-0005-0000-0000-00000D190000}"/>
    <cellStyle name="Normal 5 2 4 3 6 2 2" xfId="15323" xr:uid="{3336303F-0222-4CA4-97D8-5E9D7F2C56CF}"/>
    <cellStyle name="Normal 5 2 4 3 6 3" xfId="11105" xr:uid="{F9535E0F-DE4B-4A19-89F9-5BC450F87BB1}"/>
    <cellStyle name="Normal 5 2 4 3 7" xfId="4808" xr:uid="{00000000-0005-0000-0000-00000E190000}"/>
    <cellStyle name="Normal 5 2 4 3 7 2" xfId="13258" xr:uid="{AED2B0EA-1BAA-4A98-9A00-D96694DAD904}"/>
    <cellStyle name="Normal 5 2 4 3 8" xfId="9040" xr:uid="{CA2717BE-91DB-4EFF-9AC6-B0D650BB419E}"/>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542FC3DC-8FCD-4405-9A5D-C291EC8670E8}"/>
    <cellStyle name="Normal 5 2 4 4 2 3" xfId="11595" xr:uid="{CABBD2BF-A98B-4800-85B4-C1C3D80FDD28}"/>
    <cellStyle name="Normal 5 2 4 4 3" xfId="5218" xr:uid="{00000000-0005-0000-0000-000012190000}"/>
    <cellStyle name="Normal 5 2 4 4 3 2" xfId="13668" xr:uid="{38775B3D-1B7E-46CE-B52A-731030424F27}"/>
    <cellStyle name="Normal 5 2 4 4 4" xfId="9450" xr:uid="{EB8B709D-F3E9-4788-9401-818AFEF97AD8}"/>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4E1E5A8A-7B3A-4743-B3E8-E7996E9C977A}"/>
    <cellStyle name="Normal 5 2 4 5 2 3" xfId="12008" xr:uid="{6E14A6F3-F53F-4A4D-BB9A-86690E38BE79}"/>
    <cellStyle name="Normal 5 2 4 5 3" xfId="5631" xr:uid="{00000000-0005-0000-0000-000016190000}"/>
    <cellStyle name="Normal 5 2 4 5 3 2" xfId="14081" xr:uid="{E8A374F4-FF0C-414E-959C-E21CBE6484D5}"/>
    <cellStyle name="Normal 5 2 4 5 4" xfId="9863" xr:uid="{355B2898-F0B4-43D8-92A4-87B92DB96259}"/>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156ECAB3-BB88-4EF2-A4CE-DEB679802832}"/>
    <cellStyle name="Normal 5 2 4 6 2 3" xfId="12421" xr:uid="{876860B8-4007-4509-B696-B1C13B530B48}"/>
    <cellStyle name="Normal 5 2 4 6 3" xfId="6044" xr:uid="{00000000-0005-0000-0000-00001A190000}"/>
    <cellStyle name="Normal 5 2 4 6 3 2" xfId="14494" xr:uid="{7DE56F37-AC18-4052-A921-DEF7975FEEC3}"/>
    <cellStyle name="Normal 5 2 4 6 4" xfId="10276" xr:uid="{094F609A-DB6A-4FAA-87A3-3F1278535705}"/>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F30F289E-3D34-464B-89F1-A8C6B1BD7FAD}"/>
    <cellStyle name="Normal 5 2 4 7 2 3" xfId="12834" xr:uid="{1EEA9B1D-2192-4CAF-BF7C-5CB7E8C8F923}"/>
    <cellStyle name="Normal 5 2 4 7 3" xfId="6457" xr:uid="{00000000-0005-0000-0000-00001E190000}"/>
    <cellStyle name="Normal 5 2 4 7 3 2" xfId="14907" xr:uid="{23E12D1E-CDFC-4AAC-824D-F7F2BD002B54}"/>
    <cellStyle name="Normal 5 2 4 7 4" xfId="10689" xr:uid="{67756762-4371-45CF-9116-1961869BB9DC}"/>
    <cellStyle name="Normal 5 2 4 8" xfId="2587" xr:uid="{00000000-0005-0000-0000-00001F190000}"/>
    <cellStyle name="Normal 5 2 4 8 2" xfId="6870" xr:uid="{00000000-0005-0000-0000-000020190000}"/>
    <cellStyle name="Normal 5 2 4 8 2 2" xfId="15320" xr:uid="{68689ABC-2A70-45BE-A379-9A909630CAD4}"/>
    <cellStyle name="Normal 5 2 4 8 3" xfId="11102" xr:uid="{C3831778-4EB5-4F80-827C-E3C103AB2927}"/>
    <cellStyle name="Normal 5 2 4 9" xfId="4805" xr:uid="{00000000-0005-0000-0000-000021190000}"/>
    <cellStyle name="Normal 5 2 4 9 2" xfId="13255" xr:uid="{818A857A-C848-4748-8A20-A179C2DB5327}"/>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BE5AF5A6-BF45-4C33-A9FF-3157EACD3C12}"/>
    <cellStyle name="Normal 5 2 5 2 2 2 3" xfId="11600" xr:uid="{10DDC396-8615-4CE0-A20B-7F37F0D75BA5}"/>
    <cellStyle name="Normal 5 2 5 2 2 3" xfId="5223" xr:uid="{00000000-0005-0000-0000-000027190000}"/>
    <cellStyle name="Normal 5 2 5 2 2 3 2" xfId="13673" xr:uid="{94CE60F2-274E-4D64-8233-E6FA383B319D}"/>
    <cellStyle name="Normal 5 2 5 2 2 4" xfId="9455" xr:uid="{7EAC3FE3-7285-4DA7-888A-1BEF15DA3329}"/>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98019977-7547-466E-B911-958A297D1FF8}"/>
    <cellStyle name="Normal 5 2 5 2 3 2 3" xfId="12013" xr:uid="{6A35C125-3033-4556-99A8-6893F834B36E}"/>
    <cellStyle name="Normal 5 2 5 2 3 3" xfId="5636" xr:uid="{00000000-0005-0000-0000-00002B190000}"/>
    <cellStyle name="Normal 5 2 5 2 3 3 2" xfId="14086" xr:uid="{F49E3F70-1B3C-42CC-B871-317F299CAD80}"/>
    <cellStyle name="Normal 5 2 5 2 3 4" xfId="9868" xr:uid="{96373A41-2AC9-4095-8F86-B0BCE630B83E}"/>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AF3C4E8F-E566-468B-913A-41AE99CEA6CB}"/>
    <cellStyle name="Normal 5 2 5 2 4 2 3" xfId="12426" xr:uid="{4C643FCF-8CCD-4237-80E1-6AAB4299E0C9}"/>
    <cellStyle name="Normal 5 2 5 2 4 3" xfId="6049" xr:uid="{00000000-0005-0000-0000-00002F190000}"/>
    <cellStyle name="Normal 5 2 5 2 4 3 2" xfId="14499" xr:uid="{1E9BAE60-81FB-470C-AAA1-D16F75FAD45B}"/>
    <cellStyle name="Normal 5 2 5 2 4 4" xfId="10281" xr:uid="{F8CE4A01-A224-4077-A6D0-EE5B17D27DD3}"/>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C6F64D0A-027E-4746-B00D-B2E9D5A7E28E}"/>
    <cellStyle name="Normal 5 2 5 2 5 2 3" xfId="12839" xr:uid="{70EAC7AC-4928-4ABF-8F25-118545CBE327}"/>
    <cellStyle name="Normal 5 2 5 2 5 3" xfId="6462" xr:uid="{00000000-0005-0000-0000-000033190000}"/>
    <cellStyle name="Normal 5 2 5 2 5 3 2" xfId="14912" xr:uid="{62A3839B-90FF-44A0-B5E3-826E535EE29A}"/>
    <cellStyle name="Normal 5 2 5 2 5 4" xfId="10694" xr:uid="{F441E0CD-F861-48A8-A9B0-BB872F785703}"/>
    <cellStyle name="Normal 5 2 5 2 6" xfId="2592" xr:uid="{00000000-0005-0000-0000-000034190000}"/>
    <cellStyle name="Normal 5 2 5 2 6 2" xfId="6875" xr:uid="{00000000-0005-0000-0000-000035190000}"/>
    <cellStyle name="Normal 5 2 5 2 6 2 2" xfId="15325" xr:uid="{8DB4B976-48FA-4434-9A7A-9D93E99D33F8}"/>
    <cellStyle name="Normal 5 2 5 2 6 3" xfId="11107" xr:uid="{6F0EAE91-FCB2-44C4-8290-2A081EA0E756}"/>
    <cellStyle name="Normal 5 2 5 2 7" xfId="4810" xr:uid="{00000000-0005-0000-0000-000036190000}"/>
    <cellStyle name="Normal 5 2 5 2 7 2" xfId="13260" xr:uid="{767D918F-BAC5-4D7D-87D0-5815A12698CE}"/>
    <cellStyle name="Normal 5 2 5 2 8" xfId="9042" xr:uid="{F2DF7FA3-C744-418D-9730-3B1EE360AAE1}"/>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C5FB06BC-CE01-473E-84CB-6D371A16E7DC}"/>
    <cellStyle name="Normal 5 2 5 3 2 3" xfId="11599" xr:uid="{BD98755D-CB7C-4837-AE22-AA2FC6F7C7A6}"/>
    <cellStyle name="Normal 5 2 5 3 3" xfId="5222" xr:uid="{00000000-0005-0000-0000-00003A190000}"/>
    <cellStyle name="Normal 5 2 5 3 3 2" xfId="13672" xr:uid="{942E00BD-4C39-4A69-AB2A-A6E4E8EDBA7F}"/>
    <cellStyle name="Normal 5 2 5 3 4" xfId="9454" xr:uid="{D9071837-58E1-4644-9763-CF32BE97A65F}"/>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85FA284C-9CF4-46A9-A7C3-096EAC9E0219}"/>
    <cellStyle name="Normal 5 2 5 4 2 3" xfId="12012" xr:uid="{C321F5B4-1AC4-44A6-8417-0A3D9493D187}"/>
    <cellStyle name="Normal 5 2 5 4 3" xfId="5635" xr:uid="{00000000-0005-0000-0000-00003E190000}"/>
    <cellStyle name="Normal 5 2 5 4 3 2" xfId="14085" xr:uid="{36FC2191-7877-4F88-B859-8492E3C84082}"/>
    <cellStyle name="Normal 5 2 5 4 4" xfId="9867" xr:uid="{6B43ED15-6EDB-4926-BE6D-65087BFED3D5}"/>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830BAD1F-7366-45D2-9B21-20B7A11E1304}"/>
    <cellStyle name="Normal 5 2 5 5 2 3" xfId="12425" xr:uid="{62AACC34-E2EE-4387-B2B2-98DF643BEF74}"/>
    <cellStyle name="Normal 5 2 5 5 3" xfId="6048" xr:uid="{00000000-0005-0000-0000-000042190000}"/>
    <cellStyle name="Normal 5 2 5 5 3 2" xfId="14498" xr:uid="{A5C92CC3-CD9F-488D-BB9D-32DAB3E984C7}"/>
    <cellStyle name="Normal 5 2 5 5 4" xfId="10280" xr:uid="{5322F6F8-6B48-423B-91E3-B814B03FE26E}"/>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71BAAE64-158C-4DBF-91A9-801BE10D3BDF}"/>
    <cellStyle name="Normal 5 2 5 6 2 3" xfId="12838" xr:uid="{32A22729-0CFF-4509-8890-69D95B50E92E}"/>
    <cellStyle name="Normal 5 2 5 6 3" xfId="6461" xr:uid="{00000000-0005-0000-0000-000046190000}"/>
    <cellStyle name="Normal 5 2 5 6 3 2" xfId="14911" xr:uid="{2C4B0CDF-F78A-4131-9784-87FEC8377FFD}"/>
    <cellStyle name="Normal 5 2 5 6 4" xfId="10693" xr:uid="{30AAB6F8-2C02-47A7-A288-68C6CE000D11}"/>
    <cellStyle name="Normal 5 2 5 7" xfId="2591" xr:uid="{00000000-0005-0000-0000-000047190000}"/>
    <cellStyle name="Normal 5 2 5 7 2" xfId="6874" xr:uid="{00000000-0005-0000-0000-000048190000}"/>
    <cellStyle name="Normal 5 2 5 7 2 2" xfId="15324" xr:uid="{3A57C0A0-F66C-47DF-B8E5-F87529854036}"/>
    <cellStyle name="Normal 5 2 5 7 3" xfId="11106" xr:uid="{8B2EFE86-ED95-463E-B2CE-5FA9F1399D97}"/>
    <cellStyle name="Normal 5 2 5 8" xfId="4809" xr:uid="{00000000-0005-0000-0000-000049190000}"/>
    <cellStyle name="Normal 5 2 5 8 2" xfId="13259" xr:uid="{4382AAA7-1A16-4ACA-BE7C-45E2A81D3214}"/>
    <cellStyle name="Normal 5 2 5 9" xfId="9041" xr:uid="{795A25C6-E666-4A56-B670-E87F6A5AF145}"/>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6829B4F7-6631-422B-893E-D5F9388FD9F7}"/>
    <cellStyle name="Normal 5 2 6 2 2 3" xfId="11601" xr:uid="{4475A3AA-41F9-4843-BEFE-8342C9902B8E}"/>
    <cellStyle name="Normal 5 2 6 2 3" xfId="5224" xr:uid="{00000000-0005-0000-0000-00004E190000}"/>
    <cellStyle name="Normal 5 2 6 2 3 2" xfId="13674" xr:uid="{3D3BF635-73CE-4A1E-8051-3C2BEA481639}"/>
    <cellStyle name="Normal 5 2 6 2 4" xfId="9456" xr:uid="{FF8199F8-A3E4-4ADF-A054-9456BED2C044}"/>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533D166F-CF01-45B0-A46C-B55B8471E870}"/>
    <cellStyle name="Normal 5 2 6 3 2 3" xfId="12014" xr:uid="{B06FA54E-549D-48E5-B7E6-8AFE69FFF166}"/>
    <cellStyle name="Normal 5 2 6 3 3" xfId="5637" xr:uid="{00000000-0005-0000-0000-000052190000}"/>
    <cellStyle name="Normal 5 2 6 3 3 2" xfId="14087" xr:uid="{956BDD11-8317-4D42-BDB8-AACCE373BA37}"/>
    <cellStyle name="Normal 5 2 6 3 4" xfId="9869" xr:uid="{9517BCD6-B038-46EA-92FB-F9EB90920DDF}"/>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44055ABE-9E4E-471B-8523-9E87694A703E}"/>
    <cellStyle name="Normal 5 2 6 4 2 3" xfId="12427" xr:uid="{78B55B07-7A53-4B57-BA21-9F2FEBED568F}"/>
    <cellStyle name="Normal 5 2 6 4 3" xfId="6050" xr:uid="{00000000-0005-0000-0000-000056190000}"/>
    <cellStyle name="Normal 5 2 6 4 3 2" xfId="14500" xr:uid="{EAD1A293-E17A-462F-94EA-281BB8527789}"/>
    <cellStyle name="Normal 5 2 6 4 4" xfId="10282" xr:uid="{13980827-9C47-416C-BB93-92B5797AE45E}"/>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A27550FF-6259-4248-A587-D219D4C5DE89}"/>
    <cellStyle name="Normal 5 2 6 5 2 3" xfId="12840" xr:uid="{B5BC0974-41A7-44D2-9B5E-D7BC7E8B373D}"/>
    <cellStyle name="Normal 5 2 6 5 3" xfId="6463" xr:uid="{00000000-0005-0000-0000-00005A190000}"/>
    <cellStyle name="Normal 5 2 6 5 3 2" xfId="14913" xr:uid="{0FE3FC63-6BC9-45F4-A7E5-EC5FC442A693}"/>
    <cellStyle name="Normal 5 2 6 5 4" xfId="10695" xr:uid="{CA3176A1-313D-4903-8E5C-D5D895D48099}"/>
    <cellStyle name="Normal 5 2 6 6" xfId="2593" xr:uid="{00000000-0005-0000-0000-00005B190000}"/>
    <cellStyle name="Normal 5 2 6 6 2" xfId="6876" xr:uid="{00000000-0005-0000-0000-00005C190000}"/>
    <cellStyle name="Normal 5 2 6 6 2 2" xfId="15326" xr:uid="{49611A60-F63C-41F0-AC1E-AC403AAF7024}"/>
    <cellStyle name="Normal 5 2 6 6 3" xfId="11108" xr:uid="{A9D312D7-5871-4FE8-BAF7-FBCAE1F7FFA7}"/>
    <cellStyle name="Normal 5 2 6 7" xfId="4811" xr:uid="{00000000-0005-0000-0000-00005D190000}"/>
    <cellStyle name="Normal 5 2 6 7 2" xfId="13261" xr:uid="{52BE4255-C46E-4DBC-842F-BACB4C53D03C}"/>
    <cellStyle name="Normal 5 2 6 8" xfId="9043" xr:uid="{06FC585E-44F4-406E-B77F-68BF424B6053}"/>
    <cellStyle name="Normal 5 2 7" xfId="881" xr:uid="{00000000-0005-0000-0000-00005E190000}"/>
    <cellStyle name="Normal 5 2 7 2" xfId="3116" xr:uid="{00000000-0005-0000-0000-00005F190000}"/>
    <cellStyle name="Normal 5 2 7 2 2" xfId="7338" xr:uid="{00000000-0005-0000-0000-000060190000}"/>
    <cellStyle name="Normal 5 2 7 2 2 2" xfId="15788" xr:uid="{4C58F468-8D57-4DF3-B68D-BB0778303170}"/>
    <cellStyle name="Normal 5 2 7 2 3" xfId="11570" xr:uid="{FF158144-938E-4486-989A-F1A267755C19}"/>
    <cellStyle name="Normal 5 2 7 3" xfId="5193" xr:uid="{00000000-0005-0000-0000-000061190000}"/>
    <cellStyle name="Normal 5 2 7 3 2" xfId="13643" xr:uid="{0E1B2B9E-533E-4A55-AA9F-6ECB73B9D4D6}"/>
    <cellStyle name="Normal 5 2 7 4" xfId="9425" xr:uid="{8091C16B-AEC4-45A7-8CE5-0FB62D3C654A}"/>
    <cellStyle name="Normal 5 2 8" xfId="1299" xr:uid="{00000000-0005-0000-0000-000062190000}"/>
    <cellStyle name="Normal 5 2 8 2" xfId="3529" xr:uid="{00000000-0005-0000-0000-000063190000}"/>
    <cellStyle name="Normal 5 2 8 2 2" xfId="7751" xr:uid="{00000000-0005-0000-0000-000064190000}"/>
    <cellStyle name="Normal 5 2 8 2 2 2" xfId="16201" xr:uid="{AF164618-C15C-400B-B81E-71A221474396}"/>
    <cellStyle name="Normal 5 2 8 2 3" xfId="11983" xr:uid="{BD2FF856-5B29-45AB-86F1-72CD4BF4173A}"/>
    <cellStyle name="Normal 5 2 8 3" xfId="5606" xr:uid="{00000000-0005-0000-0000-000065190000}"/>
    <cellStyle name="Normal 5 2 8 3 2" xfId="14056" xr:uid="{10156232-AECA-4358-9D73-08A07C223AA0}"/>
    <cellStyle name="Normal 5 2 8 4" xfId="9838" xr:uid="{BD4940D7-9791-4D07-BB83-233362046C3F}"/>
    <cellStyle name="Normal 5 2 9" xfId="1712" xr:uid="{00000000-0005-0000-0000-000066190000}"/>
    <cellStyle name="Normal 5 2 9 2" xfId="3942" xr:uid="{00000000-0005-0000-0000-000067190000}"/>
    <cellStyle name="Normal 5 2 9 2 2" xfId="8164" xr:uid="{00000000-0005-0000-0000-000068190000}"/>
    <cellStyle name="Normal 5 2 9 2 2 2" xfId="16614" xr:uid="{02C22D39-CE1A-4BE7-AA8E-33F05A22C905}"/>
    <cellStyle name="Normal 5 2 9 2 3" xfId="12396" xr:uid="{F37874A7-17BC-4606-B71B-EEE259D07417}"/>
    <cellStyle name="Normal 5 2 9 3" xfId="6019" xr:uid="{00000000-0005-0000-0000-000069190000}"/>
    <cellStyle name="Normal 5 2 9 3 2" xfId="14469" xr:uid="{519AA3A6-64C0-42A8-B7AB-2642FC177413}"/>
    <cellStyle name="Normal 5 2 9 4" xfId="10251" xr:uid="{1F1AB042-2923-424B-99D8-4F20E2CA90BE}"/>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D55D0A4B-78AF-4BCD-A624-D7CC363714ED}"/>
    <cellStyle name="Normal 5 3 10 2 3" xfId="12841" xr:uid="{9B60CB91-36A2-442A-9D5A-4B28E81117D4}"/>
    <cellStyle name="Normal 5 3 10 3" xfId="6464" xr:uid="{00000000-0005-0000-0000-00006E190000}"/>
    <cellStyle name="Normal 5 3 10 3 2" xfId="14914" xr:uid="{72BCD5D3-00A4-4CBE-AB58-50EDED8DA72A}"/>
    <cellStyle name="Normal 5 3 10 4" xfId="10696" xr:uid="{3F502D12-AC8F-436A-ADBE-C2F41DF99196}"/>
    <cellStyle name="Normal 5 3 11" xfId="2594" xr:uid="{00000000-0005-0000-0000-00006F190000}"/>
    <cellStyle name="Normal 5 3 11 2" xfId="6877" xr:uid="{00000000-0005-0000-0000-000070190000}"/>
    <cellStyle name="Normal 5 3 11 2 2" xfId="15327" xr:uid="{3EC8FA0F-EEB9-4D2F-8975-BE84C3C166D7}"/>
    <cellStyle name="Normal 5 3 11 3" xfId="11109" xr:uid="{C78D82A8-9E73-4C14-B194-4B29FC406EC2}"/>
    <cellStyle name="Normal 5 3 12" xfId="4812" xr:uid="{00000000-0005-0000-0000-000071190000}"/>
    <cellStyle name="Normal 5 3 12 2" xfId="13262" xr:uid="{71882DBF-A8A5-4A15-956E-8C148ED1E4CA}"/>
    <cellStyle name="Normal 5 3 13" xfId="9044" xr:uid="{DC54A2D6-D7D5-454F-8B3C-E5E802149363}"/>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3CC59446-77FE-44ED-8BD3-31B07DD94B21}"/>
    <cellStyle name="Normal 5 3 3 11" xfId="9045" xr:uid="{3E78F16F-3D73-4163-8B9C-D25FC467ECEB}"/>
    <cellStyle name="Normal 5 3 3 2" xfId="442" xr:uid="{00000000-0005-0000-0000-000076190000}"/>
    <cellStyle name="Normal 5 3 3 2 10" xfId="9046" xr:uid="{2D5A6976-DE2F-40ED-B042-8DEA88737201}"/>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4B86EEEC-CC35-4F38-B1BA-9E319FA911B2}"/>
    <cellStyle name="Normal 5 3 3 2 2 2 2 2 3" xfId="11606" xr:uid="{4A75B050-7643-43E5-9D79-3A8AB33D39E9}"/>
    <cellStyle name="Normal 5 3 3 2 2 2 2 3" xfId="5229" xr:uid="{00000000-0005-0000-0000-00007C190000}"/>
    <cellStyle name="Normal 5 3 3 2 2 2 2 3 2" xfId="13679" xr:uid="{1C07A8D7-023A-49A9-8ED1-9FE3F7CAAB81}"/>
    <cellStyle name="Normal 5 3 3 2 2 2 2 4" xfId="9461" xr:uid="{2C3D99C5-0861-4CD7-AB69-0181DF23917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AF0853C3-CB38-4255-B484-EF4815BAC8A9}"/>
    <cellStyle name="Normal 5 3 3 2 2 2 3 2 3" xfId="12019" xr:uid="{0630BCA6-50BB-48FA-84B5-F5BD94240460}"/>
    <cellStyle name="Normal 5 3 3 2 2 2 3 3" xfId="5642" xr:uid="{00000000-0005-0000-0000-000080190000}"/>
    <cellStyle name="Normal 5 3 3 2 2 2 3 3 2" xfId="14092" xr:uid="{9AF2A1CA-0252-4F9F-A1B0-712126658832}"/>
    <cellStyle name="Normal 5 3 3 2 2 2 3 4" xfId="9874" xr:uid="{CB278482-5629-45D7-9C58-521B3331285F}"/>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D0720E67-0ABB-4083-A77A-B2E3721ADD1D}"/>
    <cellStyle name="Normal 5 3 3 2 2 2 4 2 3" xfId="12432" xr:uid="{7AEEC3FA-FEEB-4F85-9B1D-59E0465E610F}"/>
    <cellStyle name="Normal 5 3 3 2 2 2 4 3" xfId="6055" xr:uid="{00000000-0005-0000-0000-000084190000}"/>
    <cellStyle name="Normal 5 3 3 2 2 2 4 3 2" xfId="14505" xr:uid="{469C9E0B-EA33-48D2-AA5C-9D20C5919BC7}"/>
    <cellStyle name="Normal 5 3 3 2 2 2 4 4" xfId="10287" xr:uid="{09EBF21F-7A8B-4B9A-9FD1-39910BE032E7}"/>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40B2DC13-BFDA-49AC-B65B-135922023AA6}"/>
    <cellStyle name="Normal 5 3 3 2 2 2 5 2 3" xfId="12845" xr:uid="{67278AEE-DD46-47B7-AA66-F8FEF95DD907}"/>
    <cellStyle name="Normal 5 3 3 2 2 2 5 3" xfId="6468" xr:uid="{00000000-0005-0000-0000-000088190000}"/>
    <cellStyle name="Normal 5 3 3 2 2 2 5 3 2" xfId="14918" xr:uid="{38FD5F7C-A7F0-49F0-B2B7-1AD810E40467}"/>
    <cellStyle name="Normal 5 3 3 2 2 2 5 4" xfId="10700" xr:uid="{2D63A9F0-EBE7-462C-B85D-AFF7930C3BB0}"/>
    <cellStyle name="Normal 5 3 3 2 2 2 6" xfId="2598" xr:uid="{00000000-0005-0000-0000-000089190000}"/>
    <cellStyle name="Normal 5 3 3 2 2 2 6 2" xfId="6881" xr:uid="{00000000-0005-0000-0000-00008A190000}"/>
    <cellStyle name="Normal 5 3 3 2 2 2 6 2 2" xfId="15331" xr:uid="{357C2344-6C84-4657-89B9-92D20D2864DD}"/>
    <cellStyle name="Normal 5 3 3 2 2 2 6 3" xfId="11113" xr:uid="{334E79C4-6CC4-496E-B05E-3C3C90ED6822}"/>
    <cellStyle name="Normal 5 3 3 2 2 2 7" xfId="4816" xr:uid="{00000000-0005-0000-0000-00008B190000}"/>
    <cellStyle name="Normal 5 3 3 2 2 2 7 2" xfId="13266" xr:uid="{09AAD5F6-9C6B-4254-B008-EF65CD34000C}"/>
    <cellStyle name="Normal 5 3 3 2 2 2 8" xfId="9048" xr:uid="{369CC27B-C381-469F-8999-E633C12DEBE4}"/>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85FF9CC9-4A6E-48E7-A158-8453DCD60E38}"/>
    <cellStyle name="Normal 5 3 3 2 2 3 2 3" xfId="11605" xr:uid="{591ABDF3-6643-4413-AA4B-F68AB843C028}"/>
    <cellStyle name="Normal 5 3 3 2 2 3 3" xfId="5228" xr:uid="{00000000-0005-0000-0000-00008F190000}"/>
    <cellStyle name="Normal 5 3 3 2 2 3 3 2" xfId="13678" xr:uid="{3A6CC866-9B74-4F5B-BB77-16415C4F690B}"/>
    <cellStyle name="Normal 5 3 3 2 2 3 4" xfId="9460" xr:uid="{054135B2-4C25-4A04-8192-6439F9FF5A9E}"/>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38E725C1-4800-497E-B456-22DEE2F33420}"/>
    <cellStyle name="Normal 5 3 3 2 2 4 2 3" xfId="12018" xr:uid="{BEA83587-C17D-4620-9D74-5A9CA84DE45F}"/>
    <cellStyle name="Normal 5 3 3 2 2 4 3" xfId="5641" xr:uid="{00000000-0005-0000-0000-000093190000}"/>
    <cellStyle name="Normal 5 3 3 2 2 4 3 2" xfId="14091" xr:uid="{6531EE41-24FB-42B2-8884-CCB37F9EB999}"/>
    <cellStyle name="Normal 5 3 3 2 2 4 4" xfId="9873" xr:uid="{491516C7-027E-4669-ADD9-26463E3621B9}"/>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138C0CA8-F277-4FDF-8332-EADD7C92050D}"/>
    <cellStyle name="Normal 5 3 3 2 2 5 2 3" xfId="12431" xr:uid="{5B41DF0B-AAF0-4BCF-9A3A-A8D880B5E70B}"/>
    <cellStyle name="Normal 5 3 3 2 2 5 3" xfId="6054" xr:uid="{00000000-0005-0000-0000-000097190000}"/>
    <cellStyle name="Normal 5 3 3 2 2 5 3 2" xfId="14504" xr:uid="{EC2CDAF4-CE53-4FE4-A99D-AFF6FC8A7F63}"/>
    <cellStyle name="Normal 5 3 3 2 2 5 4" xfId="10286" xr:uid="{EC71FA9E-D6AF-4298-BABA-FC2E10E037E6}"/>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867E24C3-9B63-437D-A3B5-88A347633243}"/>
    <cellStyle name="Normal 5 3 3 2 2 6 2 3" xfId="12844" xr:uid="{45A7C12C-CDF8-445C-BAD0-0E99ABC733DE}"/>
    <cellStyle name="Normal 5 3 3 2 2 6 3" xfId="6467" xr:uid="{00000000-0005-0000-0000-00009B190000}"/>
    <cellStyle name="Normal 5 3 3 2 2 6 3 2" xfId="14917" xr:uid="{825761BD-E156-4467-A5EB-BE979ECCBE2E}"/>
    <cellStyle name="Normal 5 3 3 2 2 6 4" xfId="10699" xr:uid="{32C59E9C-3097-4F4A-854A-26B2DCF8FB86}"/>
    <cellStyle name="Normal 5 3 3 2 2 7" xfId="2597" xr:uid="{00000000-0005-0000-0000-00009C190000}"/>
    <cellStyle name="Normal 5 3 3 2 2 7 2" xfId="6880" xr:uid="{00000000-0005-0000-0000-00009D190000}"/>
    <cellStyle name="Normal 5 3 3 2 2 7 2 2" xfId="15330" xr:uid="{4EFCEA66-746A-4801-AC9A-A4488800AE08}"/>
    <cellStyle name="Normal 5 3 3 2 2 7 3" xfId="11112" xr:uid="{EE799168-17F5-4205-92E6-38277F28C26A}"/>
    <cellStyle name="Normal 5 3 3 2 2 8" xfId="4815" xr:uid="{00000000-0005-0000-0000-00009E190000}"/>
    <cellStyle name="Normal 5 3 3 2 2 8 2" xfId="13265" xr:uid="{9A642AE7-EFF6-40FA-BD62-1A58D0700853}"/>
    <cellStyle name="Normal 5 3 3 2 2 9" xfId="9047" xr:uid="{DCA1109E-2EF8-486D-9BCB-A87352498C06}"/>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7DE28F73-9717-4596-AE52-7A14186D3E49}"/>
    <cellStyle name="Normal 5 3 3 2 3 2 2 3" xfId="11607" xr:uid="{0F396DE6-57F2-4DD9-83D9-015D6F8BCC9E}"/>
    <cellStyle name="Normal 5 3 3 2 3 2 3" xfId="5230" xr:uid="{00000000-0005-0000-0000-0000A3190000}"/>
    <cellStyle name="Normal 5 3 3 2 3 2 3 2" xfId="13680" xr:uid="{2BF0A3A2-FFE8-4C11-A1FE-55F997F2C062}"/>
    <cellStyle name="Normal 5 3 3 2 3 2 4" xfId="9462" xr:uid="{62CE7C5F-2A94-4838-8D95-6B4B611C5479}"/>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2934D670-39BF-4980-A057-C67D21D50E96}"/>
    <cellStyle name="Normal 5 3 3 2 3 3 2 3" xfId="12020" xr:uid="{D2BF9213-84BE-45AA-8163-B660D9446FBB}"/>
    <cellStyle name="Normal 5 3 3 2 3 3 3" xfId="5643" xr:uid="{00000000-0005-0000-0000-0000A7190000}"/>
    <cellStyle name="Normal 5 3 3 2 3 3 3 2" xfId="14093" xr:uid="{23947D1B-948F-4A37-925A-BC70F54FA899}"/>
    <cellStyle name="Normal 5 3 3 2 3 3 4" xfId="9875" xr:uid="{6838C334-CD90-4CB7-BC63-FF2DBDD96222}"/>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6D15D9E1-DDD1-41EF-8AA0-9F03AD9DE56F}"/>
    <cellStyle name="Normal 5 3 3 2 3 4 2 3" xfId="12433" xr:uid="{1917C343-86DC-4769-85F7-5B5D197E27C7}"/>
    <cellStyle name="Normal 5 3 3 2 3 4 3" xfId="6056" xr:uid="{00000000-0005-0000-0000-0000AB190000}"/>
    <cellStyle name="Normal 5 3 3 2 3 4 3 2" xfId="14506" xr:uid="{6188933B-7D30-446B-ACD0-473CD9A4B493}"/>
    <cellStyle name="Normal 5 3 3 2 3 4 4" xfId="10288" xr:uid="{30ADD7D9-9217-4857-83B2-ACBB9DCFE161}"/>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DB0AD8DF-B8F5-4338-BEA7-2FDEF9FB6018}"/>
    <cellStyle name="Normal 5 3 3 2 3 5 2 3" xfId="12846" xr:uid="{1A81AA96-1089-498D-8993-FD6CCCAEA10C}"/>
    <cellStyle name="Normal 5 3 3 2 3 5 3" xfId="6469" xr:uid="{00000000-0005-0000-0000-0000AF190000}"/>
    <cellStyle name="Normal 5 3 3 2 3 5 3 2" xfId="14919" xr:uid="{6132C812-0C5B-4440-B66B-9B6EE0B3CBD2}"/>
    <cellStyle name="Normal 5 3 3 2 3 5 4" xfId="10701" xr:uid="{DF9A7A1B-BE5B-43A4-B844-7523276FD869}"/>
    <cellStyle name="Normal 5 3 3 2 3 6" xfId="2599" xr:uid="{00000000-0005-0000-0000-0000B0190000}"/>
    <cellStyle name="Normal 5 3 3 2 3 6 2" xfId="6882" xr:uid="{00000000-0005-0000-0000-0000B1190000}"/>
    <cellStyle name="Normal 5 3 3 2 3 6 2 2" xfId="15332" xr:uid="{0E813083-849C-4398-9AEF-12E20FCDC69E}"/>
    <cellStyle name="Normal 5 3 3 2 3 6 3" xfId="11114" xr:uid="{DE8785CD-CF9A-47F7-B80D-8CE0F5211254}"/>
    <cellStyle name="Normal 5 3 3 2 3 7" xfId="4817" xr:uid="{00000000-0005-0000-0000-0000B2190000}"/>
    <cellStyle name="Normal 5 3 3 2 3 7 2" xfId="13267" xr:uid="{41EA1C24-807A-4806-9A93-E5633F63DC30}"/>
    <cellStyle name="Normal 5 3 3 2 3 8" xfId="9049" xr:uid="{EB318BB3-FFEE-4612-A960-2CBEF9AEB384}"/>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565E5185-DF19-4776-B1D2-0E9CE66A3672}"/>
    <cellStyle name="Normal 5 3 3 2 4 2 3" xfId="11604" xr:uid="{8233FDA0-932F-4763-A56B-C6871EAE63FD}"/>
    <cellStyle name="Normal 5 3 3 2 4 3" xfId="5227" xr:uid="{00000000-0005-0000-0000-0000B6190000}"/>
    <cellStyle name="Normal 5 3 3 2 4 3 2" xfId="13677" xr:uid="{44C388DC-27C1-4CC6-ACFB-EDC5A0A2AE29}"/>
    <cellStyle name="Normal 5 3 3 2 4 4" xfId="9459" xr:uid="{8FE58F81-883E-4E9A-BDEC-DF03B57B3DFB}"/>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0FE4972F-F13B-4961-A4F3-18CCF5F62770}"/>
    <cellStyle name="Normal 5 3 3 2 5 2 3" xfId="12017" xr:uid="{F8B10E0F-4D25-4F45-BE1A-8C813482B947}"/>
    <cellStyle name="Normal 5 3 3 2 5 3" xfId="5640" xr:uid="{00000000-0005-0000-0000-0000BA190000}"/>
    <cellStyle name="Normal 5 3 3 2 5 3 2" xfId="14090" xr:uid="{C979A195-2B07-4998-85C9-C772F079E463}"/>
    <cellStyle name="Normal 5 3 3 2 5 4" xfId="9872" xr:uid="{E518CACE-DA2A-4F12-AEC3-CE6357EE3A95}"/>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E12D41B3-5B37-4FC8-ABFE-C256476C21EB}"/>
    <cellStyle name="Normal 5 3 3 2 6 2 3" xfId="12430" xr:uid="{75D0B86A-0225-4F7F-A5AD-449296CA39F6}"/>
    <cellStyle name="Normal 5 3 3 2 6 3" xfId="6053" xr:uid="{00000000-0005-0000-0000-0000BE190000}"/>
    <cellStyle name="Normal 5 3 3 2 6 3 2" xfId="14503" xr:uid="{B94BEEE7-38B8-47CB-8548-4D20EA138D5B}"/>
    <cellStyle name="Normal 5 3 3 2 6 4" xfId="10285" xr:uid="{9B733F90-FE08-4228-AD91-6FDD6DB3514E}"/>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2C10BA75-0498-4B15-AE8A-01463D603F23}"/>
    <cellStyle name="Normal 5 3 3 2 7 2 3" xfId="12843" xr:uid="{01C09BDE-8D2E-4A1F-9BD1-7228A789E86F}"/>
    <cellStyle name="Normal 5 3 3 2 7 3" xfId="6466" xr:uid="{00000000-0005-0000-0000-0000C2190000}"/>
    <cellStyle name="Normal 5 3 3 2 7 3 2" xfId="14916" xr:uid="{94F3CD8F-E814-4D64-B55E-8C7DC7439ABA}"/>
    <cellStyle name="Normal 5 3 3 2 7 4" xfId="10698" xr:uid="{58C301F7-4592-421C-A77C-60B8601B2D68}"/>
    <cellStyle name="Normal 5 3 3 2 8" xfId="2596" xr:uid="{00000000-0005-0000-0000-0000C3190000}"/>
    <cellStyle name="Normal 5 3 3 2 8 2" xfId="6879" xr:uid="{00000000-0005-0000-0000-0000C4190000}"/>
    <cellStyle name="Normal 5 3 3 2 8 2 2" xfId="15329" xr:uid="{DD8F4130-90DB-4F70-8FB4-F27D69D01613}"/>
    <cellStyle name="Normal 5 3 3 2 8 3" xfId="11111" xr:uid="{174B5F39-D4FC-4142-AF3A-EF6B3B06ADE2}"/>
    <cellStyle name="Normal 5 3 3 2 9" xfId="4814" xr:uid="{00000000-0005-0000-0000-0000C5190000}"/>
    <cellStyle name="Normal 5 3 3 2 9 2" xfId="13264" xr:uid="{310176EF-5DFC-4C38-AF1D-A7608AABB778}"/>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E66440D3-DD37-41E7-92A9-C27CEBB9F132}"/>
    <cellStyle name="Normal 5 3 3 3 2 2 2 3" xfId="11609" xr:uid="{42EC4430-3FDA-4CCB-AC31-5AE47880B54F}"/>
    <cellStyle name="Normal 5 3 3 3 2 2 3" xfId="5232" xr:uid="{00000000-0005-0000-0000-0000CB190000}"/>
    <cellStyle name="Normal 5 3 3 3 2 2 3 2" xfId="13682" xr:uid="{1BDA4F3D-885A-40E9-8CCF-1B4816B0108B}"/>
    <cellStyle name="Normal 5 3 3 3 2 2 4" xfId="9464" xr:uid="{72E0A019-5F84-46F3-8A79-241C024F9339}"/>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973F2B1B-46BC-4612-B350-0714982B7909}"/>
    <cellStyle name="Normal 5 3 3 3 2 3 2 3" xfId="12022" xr:uid="{94F806AA-4084-4AE7-BAF2-5C9BBCA3C187}"/>
    <cellStyle name="Normal 5 3 3 3 2 3 3" xfId="5645" xr:uid="{00000000-0005-0000-0000-0000CF190000}"/>
    <cellStyle name="Normal 5 3 3 3 2 3 3 2" xfId="14095" xr:uid="{39D71BB0-8314-4AD4-A524-3FC1FE3E3760}"/>
    <cellStyle name="Normal 5 3 3 3 2 3 4" xfId="9877" xr:uid="{1DA9EBB3-B038-4B12-8F43-81453837505C}"/>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CE0141AF-F32C-4718-AEC1-24DD299E37F8}"/>
    <cellStyle name="Normal 5 3 3 3 2 4 2 3" xfId="12435" xr:uid="{67C4C972-7442-4CFF-98C4-FA2A18EF511D}"/>
    <cellStyle name="Normal 5 3 3 3 2 4 3" xfId="6058" xr:uid="{00000000-0005-0000-0000-0000D3190000}"/>
    <cellStyle name="Normal 5 3 3 3 2 4 3 2" xfId="14508" xr:uid="{A301754A-B3BE-47F4-A8F5-DE1369EF0456}"/>
    <cellStyle name="Normal 5 3 3 3 2 4 4" xfId="10290" xr:uid="{3298098D-C8B7-4CEB-9173-C95032F3A32C}"/>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F92E9DF0-68AF-427A-A52A-DA2BE0F5F7AC}"/>
    <cellStyle name="Normal 5 3 3 3 2 5 2 3" xfId="12848" xr:uid="{5741EB78-058F-4C04-845B-0838A32B3D49}"/>
    <cellStyle name="Normal 5 3 3 3 2 5 3" xfId="6471" xr:uid="{00000000-0005-0000-0000-0000D7190000}"/>
    <cellStyle name="Normal 5 3 3 3 2 5 3 2" xfId="14921" xr:uid="{4B09DBA5-64C2-422B-85FB-A31FBE5A8BA7}"/>
    <cellStyle name="Normal 5 3 3 3 2 5 4" xfId="10703" xr:uid="{33CD67A1-58C1-4AA4-8225-B4C28EFBAD81}"/>
    <cellStyle name="Normal 5 3 3 3 2 6" xfId="2601" xr:uid="{00000000-0005-0000-0000-0000D8190000}"/>
    <cellStyle name="Normal 5 3 3 3 2 6 2" xfId="6884" xr:uid="{00000000-0005-0000-0000-0000D9190000}"/>
    <cellStyle name="Normal 5 3 3 3 2 6 2 2" xfId="15334" xr:uid="{EA11DA78-3804-4463-95DD-4632F36CAB3E}"/>
    <cellStyle name="Normal 5 3 3 3 2 6 3" xfId="11116" xr:uid="{B4DBF9A0-52C6-4ACD-B89F-68FD454D8D14}"/>
    <cellStyle name="Normal 5 3 3 3 2 7" xfId="4819" xr:uid="{00000000-0005-0000-0000-0000DA190000}"/>
    <cellStyle name="Normal 5 3 3 3 2 7 2" xfId="13269" xr:uid="{300204EC-FC0E-40BE-9FD4-874DE77AA8BC}"/>
    <cellStyle name="Normal 5 3 3 3 2 8" xfId="9051" xr:uid="{3EF7F15E-47D6-4CC1-888E-F211C9BAB397}"/>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14C7108B-F8B5-47E9-944A-B98BAFF995D4}"/>
    <cellStyle name="Normal 5 3 3 3 3 2 3" xfId="11608" xr:uid="{9C83A78B-EF44-42C1-9CB9-10D6511327B7}"/>
    <cellStyle name="Normal 5 3 3 3 3 3" xfId="5231" xr:uid="{00000000-0005-0000-0000-0000DE190000}"/>
    <cellStyle name="Normal 5 3 3 3 3 3 2" xfId="13681" xr:uid="{EF957BD7-9DD5-4E80-91B1-260D4B34FEC1}"/>
    <cellStyle name="Normal 5 3 3 3 3 4" xfId="9463" xr:uid="{87F79C3A-018C-4D85-BD15-F83B2CDFBA4B}"/>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C113346B-AA8E-49D7-B641-FA18AA3CB5B5}"/>
    <cellStyle name="Normal 5 3 3 3 4 2 3" xfId="12021" xr:uid="{2A9653F0-7606-4043-B182-9FAEA927C900}"/>
    <cellStyle name="Normal 5 3 3 3 4 3" xfId="5644" xr:uid="{00000000-0005-0000-0000-0000E2190000}"/>
    <cellStyle name="Normal 5 3 3 3 4 3 2" xfId="14094" xr:uid="{86A0E3C6-0975-4917-989E-3B11921E70EE}"/>
    <cellStyle name="Normal 5 3 3 3 4 4" xfId="9876" xr:uid="{D09FB4B4-7844-4848-8E49-E90D062D8A71}"/>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5F4045AD-72D4-4225-8019-494D3998D53A}"/>
    <cellStyle name="Normal 5 3 3 3 5 2 3" xfId="12434" xr:uid="{95DFA623-6EFA-4079-89CC-A238880DEBF7}"/>
    <cellStyle name="Normal 5 3 3 3 5 3" xfId="6057" xr:uid="{00000000-0005-0000-0000-0000E6190000}"/>
    <cellStyle name="Normal 5 3 3 3 5 3 2" xfId="14507" xr:uid="{1E88E388-12F4-4639-AA30-5ABAAF7D3C92}"/>
    <cellStyle name="Normal 5 3 3 3 5 4" xfId="10289" xr:uid="{D09749CA-E729-444A-9093-06502E2F1E1B}"/>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0B81D9F6-44AF-4478-9D3A-2E6A3A9A41BA}"/>
    <cellStyle name="Normal 5 3 3 3 6 2 3" xfId="12847" xr:uid="{9587964C-8A34-4C75-84F2-19EEF97AAB62}"/>
    <cellStyle name="Normal 5 3 3 3 6 3" xfId="6470" xr:uid="{00000000-0005-0000-0000-0000EA190000}"/>
    <cellStyle name="Normal 5 3 3 3 6 3 2" xfId="14920" xr:uid="{F70ED728-4560-4A54-87A3-D87EC5E660AD}"/>
    <cellStyle name="Normal 5 3 3 3 6 4" xfId="10702" xr:uid="{447E769D-6139-4F77-AE4F-C334E6CB6B56}"/>
    <cellStyle name="Normal 5 3 3 3 7" xfId="2600" xr:uid="{00000000-0005-0000-0000-0000EB190000}"/>
    <cellStyle name="Normal 5 3 3 3 7 2" xfId="6883" xr:uid="{00000000-0005-0000-0000-0000EC190000}"/>
    <cellStyle name="Normal 5 3 3 3 7 2 2" xfId="15333" xr:uid="{C9B32FB2-EE8F-436B-9A86-7ECA5B5864FE}"/>
    <cellStyle name="Normal 5 3 3 3 7 3" xfId="11115" xr:uid="{2B53A295-ED25-4522-AAF5-F1174567A091}"/>
    <cellStyle name="Normal 5 3 3 3 8" xfId="4818" xr:uid="{00000000-0005-0000-0000-0000ED190000}"/>
    <cellStyle name="Normal 5 3 3 3 8 2" xfId="13268" xr:uid="{8264FAA6-472F-495B-B80F-F29180D8E035}"/>
    <cellStyle name="Normal 5 3 3 3 9" xfId="9050" xr:uid="{16454C5C-CF61-4DD2-9969-D63173A4969C}"/>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0EC32566-FFF5-463E-9F8A-317257BDE15C}"/>
    <cellStyle name="Normal 5 3 3 4 2 2 3" xfId="11610" xr:uid="{6C742F01-C543-49AE-8BF3-952FAC50C16B}"/>
    <cellStyle name="Normal 5 3 3 4 2 3" xfId="5233" xr:uid="{00000000-0005-0000-0000-0000F2190000}"/>
    <cellStyle name="Normal 5 3 3 4 2 3 2" xfId="13683" xr:uid="{CCA14BA2-9624-42E0-A614-8B4F5952FA8C}"/>
    <cellStyle name="Normal 5 3 3 4 2 4" xfId="9465" xr:uid="{14AEB21B-EF31-4F6D-8637-30D3E5B02D89}"/>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FC3B6BD9-F090-4609-8963-967A38F7E65B}"/>
    <cellStyle name="Normal 5 3 3 4 3 2 3" xfId="12023" xr:uid="{09610F3B-8218-44A8-8266-32B08FC99987}"/>
    <cellStyle name="Normal 5 3 3 4 3 3" xfId="5646" xr:uid="{00000000-0005-0000-0000-0000F6190000}"/>
    <cellStyle name="Normal 5 3 3 4 3 3 2" xfId="14096" xr:uid="{F4D14254-0043-44E9-9170-86EF147117CA}"/>
    <cellStyle name="Normal 5 3 3 4 3 4" xfId="9878" xr:uid="{1BADE4A3-8414-4558-8250-73978A1B0832}"/>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E2615270-2531-4C79-A0A0-656543E8DA01}"/>
    <cellStyle name="Normal 5 3 3 4 4 2 3" xfId="12436" xr:uid="{4BA9EC49-12D4-4D1B-B03D-5A04E22CB1DA}"/>
    <cellStyle name="Normal 5 3 3 4 4 3" xfId="6059" xr:uid="{00000000-0005-0000-0000-0000FA190000}"/>
    <cellStyle name="Normal 5 3 3 4 4 3 2" xfId="14509" xr:uid="{2149F993-534C-48F3-8C3B-73ECA38E67D7}"/>
    <cellStyle name="Normal 5 3 3 4 4 4" xfId="10291" xr:uid="{BA1677C4-163E-48F3-A72D-F67150D43431}"/>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9A06E17C-5DB5-4D0E-9285-98F01329EC1B}"/>
    <cellStyle name="Normal 5 3 3 4 5 2 3" xfId="12849" xr:uid="{69253816-EAA1-4959-9469-2F6170D04762}"/>
    <cellStyle name="Normal 5 3 3 4 5 3" xfId="6472" xr:uid="{00000000-0005-0000-0000-0000FE190000}"/>
    <cellStyle name="Normal 5 3 3 4 5 3 2" xfId="14922" xr:uid="{007CB2C0-3B7E-4941-BF20-D0A5343789C8}"/>
    <cellStyle name="Normal 5 3 3 4 5 4" xfId="10704" xr:uid="{2F6F10AF-8077-43B6-B582-0786791601A7}"/>
    <cellStyle name="Normal 5 3 3 4 6" xfId="2602" xr:uid="{00000000-0005-0000-0000-0000FF190000}"/>
    <cellStyle name="Normal 5 3 3 4 6 2" xfId="6885" xr:uid="{00000000-0005-0000-0000-0000001A0000}"/>
    <cellStyle name="Normal 5 3 3 4 6 2 2" xfId="15335" xr:uid="{132FEA7A-8564-4E27-B155-6EE03226871C}"/>
    <cellStyle name="Normal 5 3 3 4 6 3" xfId="11117" xr:uid="{92D42C97-DC7B-4125-8DBA-96FB419EE485}"/>
    <cellStyle name="Normal 5 3 3 4 7" xfId="4820" xr:uid="{00000000-0005-0000-0000-0000011A0000}"/>
    <cellStyle name="Normal 5 3 3 4 7 2" xfId="13270" xr:uid="{940C2AC4-ABE3-44C8-8751-E3EEE85E2E3F}"/>
    <cellStyle name="Normal 5 3 3 4 8" xfId="9052" xr:uid="{1EA89682-6342-4E71-B84D-D19C84690E4A}"/>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D3CC8BDF-54CD-45AC-A4A6-1E4665F24560}"/>
    <cellStyle name="Normal 5 3 3 5 2 3" xfId="11603" xr:uid="{F78C9BBE-614C-4FB3-887F-7FEC2F01A5C5}"/>
    <cellStyle name="Normal 5 3 3 5 3" xfId="5226" xr:uid="{00000000-0005-0000-0000-0000051A0000}"/>
    <cellStyle name="Normal 5 3 3 5 3 2" xfId="13676" xr:uid="{ACE579C1-53B6-46A1-9FFD-D035FF520E1B}"/>
    <cellStyle name="Normal 5 3 3 5 4" xfId="9458" xr:uid="{03F875E6-BE5F-4481-90FF-2D82FBE5FB35}"/>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5052C757-E2BE-4E91-93DE-ECBBBC3C26FC}"/>
    <cellStyle name="Normal 5 3 3 6 2 3" xfId="12016" xr:uid="{34BD9483-D113-48C4-89C7-1C0BF1D5426A}"/>
    <cellStyle name="Normal 5 3 3 6 3" xfId="5639" xr:uid="{00000000-0005-0000-0000-0000091A0000}"/>
    <cellStyle name="Normal 5 3 3 6 3 2" xfId="14089" xr:uid="{65CE6383-DA51-4532-B20D-5599FBAF4D90}"/>
    <cellStyle name="Normal 5 3 3 6 4" xfId="9871" xr:uid="{3807267A-5820-4B96-BC03-4E3F47146456}"/>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3955C13A-A124-45BD-9AE5-28237BEF0864}"/>
    <cellStyle name="Normal 5 3 3 7 2 3" xfId="12429" xr:uid="{8678F4E4-4E59-427A-9D50-659CBBF77319}"/>
    <cellStyle name="Normal 5 3 3 7 3" xfId="6052" xr:uid="{00000000-0005-0000-0000-00000D1A0000}"/>
    <cellStyle name="Normal 5 3 3 7 3 2" xfId="14502" xr:uid="{4BD47367-D3EF-46D2-BD39-BDF65FAC5A93}"/>
    <cellStyle name="Normal 5 3 3 7 4" xfId="10284" xr:uid="{62B5BD77-152C-4AC2-942B-F41B51D50254}"/>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24818C40-39F6-4D80-A3F4-9B4BED31C704}"/>
    <cellStyle name="Normal 5 3 3 8 2 3" xfId="12842" xr:uid="{51365C81-3E69-4C53-8E87-7FDF6870F489}"/>
    <cellStyle name="Normal 5 3 3 8 3" xfId="6465" xr:uid="{00000000-0005-0000-0000-0000111A0000}"/>
    <cellStyle name="Normal 5 3 3 8 3 2" xfId="14915" xr:uid="{07AA289E-12C1-4224-AE3A-1DD98F910173}"/>
    <cellStyle name="Normal 5 3 3 8 4" xfId="10697" xr:uid="{3252A2F7-2749-43A3-9162-6452BF908B95}"/>
    <cellStyle name="Normal 5 3 3 9" xfId="2595" xr:uid="{00000000-0005-0000-0000-0000121A0000}"/>
    <cellStyle name="Normal 5 3 3 9 2" xfId="6878" xr:uid="{00000000-0005-0000-0000-0000131A0000}"/>
    <cellStyle name="Normal 5 3 3 9 2 2" xfId="15328" xr:uid="{F44C241B-F49B-43AA-8F0A-734A0940BE03}"/>
    <cellStyle name="Normal 5 3 3 9 3" xfId="11110" xr:uid="{9A26F947-0DE1-47A2-A667-564C67A19F4B}"/>
    <cellStyle name="Normal 5 3 4" xfId="449" xr:uid="{00000000-0005-0000-0000-0000141A0000}"/>
    <cellStyle name="Normal 5 3 4 10" xfId="9053" xr:uid="{AE446DE0-33DD-4532-B036-F8DB5CBB6005}"/>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C387761A-37FD-4AD8-BCB0-9CF9C4587D6C}"/>
    <cellStyle name="Normal 5 3 4 2 2 2 2 3" xfId="11613" xr:uid="{B02BDCB8-8D83-4A4A-A961-6725B5E8D377}"/>
    <cellStyle name="Normal 5 3 4 2 2 2 3" xfId="5236" xr:uid="{00000000-0005-0000-0000-00001A1A0000}"/>
    <cellStyle name="Normal 5 3 4 2 2 2 3 2" xfId="13686" xr:uid="{476D7DE6-B434-4496-B7DB-E14A6EE9AC4B}"/>
    <cellStyle name="Normal 5 3 4 2 2 2 4" xfId="9468" xr:uid="{94991C9B-969D-46AD-BBA0-4B90B55A9B2A}"/>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BF5F0588-09D0-4A70-AC73-45DC31F2D47C}"/>
    <cellStyle name="Normal 5 3 4 2 2 3 2 3" xfId="12026" xr:uid="{C2EC2206-20A5-49D6-9281-4DE6992D500B}"/>
    <cellStyle name="Normal 5 3 4 2 2 3 3" xfId="5649" xr:uid="{00000000-0005-0000-0000-00001E1A0000}"/>
    <cellStyle name="Normal 5 3 4 2 2 3 3 2" xfId="14099" xr:uid="{8048A1C9-6E86-441F-B777-5338182CED96}"/>
    <cellStyle name="Normal 5 3 4 2 2 3 4" xfId="9881" xr:uid="{40578541-2C72-4F34-B851-703D8A982BE5}"/>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3A6EA4C4-9069-40E1-936F-6337017E6D25}"/>
    <cellStyle name="Normal 5 3 4 2 2 4 2 3" xfId="12439" xr:uid="{29B221EC-9992-439E-80F9-DEB68FD29530}"/>
    <cellStyle name="Normal 5 3 4 2 2 4 3" xfId="6062" xr:uid="{00000000-0005-0000-0000-0000221A0000}"/>
    <cellStyle name="Normal 5 3 4 2 2 4 3 2" xfId="14512" xr:uid="{C07C8CC2-1328-4950-B415-3CD8E925EDE2}"/>
    <cellStyle name="Normal 5 3 4 2 2 4 4" xfId="10294" xr:uid="{A1E2A2D0-E388-4E46-BA01-418B69F1732D}"/>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228074C5-9938-4FE4-8AC6-C4E62B0B9795}"/>
    <cellStyle name="Normal 5 3 4 2 2 5 2 3" xfId="12852" xr:uid="{F0A1E3E4-0857-407D-A885-8B024A553D75}"/>
    <cellStyle name="Normal 5 3 4 2 2 5 3" xfId="6475" xr:uid="{00000000-0005-0000-0000-0000261A0000}"/>
    <cellStyle name="Normal 5 3 4 2 2 5 3 2" xfId="14925" xr:uid="{7C909E5A-0BC5-4F9B-A485-530ADA06BD58}"/>
    <cellStyle name="Normal 5 3 4 2 2 5 4" xfId="10707" xr:uid="{9C8E415D-16E2-452E-B021-4ACBBC60CC2E}"/>
    <cellStyle name="Normal 5 3 4 2 2 6" xfId="2605" xr:uid="{00000000-0005-0000-0000-0000271A0000}"/>
    <cellStyle name="Normal 5 3 4 2 2 6 2" xfId="6888" xr:uid="{00000000-0005-0000-0000-0000281A0000}"/>
    <cellStyle name="Normal 5 3 4 2 2 6 2 2" xfId="15338" xr:uid="{32D13F9A-9DC1-484F-9502-AABA70AB2F31}"/>
    <cellStyle name="Normal 5 3 4 2 2 6 3" xfId="11120" xr:uid="{0779DE3E-1B24-4D09-A5FE-AB8975C061DB}"/>
    <cellStyle name="Normal 5 3 4 2 2 7" xfId="4823" xr:uid="{00000000-0005-0000-0000-0000291A0000}"/>
    <cellStyle name="Normal 5 3 4 2 2 7 2" xfId="13273" xr:uid="{52A5802C-E3A8-4FA4-8ED9-BD061E5F35DD}"/>
    <cellStyle name="Normal 5 3 4 2 2 8" xfId="9055" xr:uid="{290FC582-5921-4A98-830B-01B29CD943BE}"/>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46B74FAF-2E83-48EE-BFF4-FEFBC3A4777C}"/>
    <cellStyle name="Normal 5 3 4 2 3 2 3" xfId="11612" xr:uid="{7E22CB22-4DE4-4D22-BA4E-26B589F53046}"/>
    <cellStyle name="Normal 5 3 4 2 3 3" xfId="5235" xr:uid="{00000000-0005-0000-0000-00002D1A0000}"/>
    <cellStyle name="Normal 5 3 4 2 3 3 2" xfId="13685" xr:uid="{21B57E27-B44F-43DE-9B1A-F94996582991}"/>
    <cellStyle name="Normal 5 3 4 2 3 4" xfId="9467" xr:uid="{CB7FB585-7EE4-4EBD-9845-9E2EBAD65EE3}"/>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BA3D3E1B-659E-4A5B-B987-B84712A32E6C}"/>
    <cellStyle name="Normal 5 3 4 2 4 2 3" xfId="12025" xr:uid="{24156AE2-9E25-43D1-A092-BB3E7A38BE14}"/>
    <cellStyle name="Normal 5 3 4 2 4 3" xfId="5648" xr:uid="{00000000-0005-0000-0000-0000311A0000}"/>
    <cellStyle name="Normal 5 3 4 2 4 3 2" xfId="14098" xr:uid="{EE9A8718-5DDA-4DF0-B59D-C7854BC729C0}"/>
    <cellStyle name="Normal 5 3 4 2 4 4" xfId="9880" xr:uid="{FEF8EE9E-0F1C-4000-AF61-2FEAFDFD2D06}"/>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76F3EA82-B1E7-49FA-BD6C-1B5067C5403C}"/>
    <cellStyle name="Normal 5 3 4 2 5 2 3" xfId="12438" xr:uid="{BAD8A6D7-B3F8-4DA7-BDA3-BE1C48E1CADB}"/>
    <cellStyle name="Normal 5 3 4 2 5 3" xfId="6061" xr:uid="{00000000-0005-0000-0000-0000351A0000}"/>
    <cellStyle name="Normal 5 3 4 2 5 3 2" xfId="14511" xr:uid="{75A1CFC2-C0E7-4872-9C56-59DDA4FC1F1A}"/>
    <cellStyle name="Normal 5 3 4 2 5 4" xfId="10293" xr:uid="{667B31D8-652B-48FF-B824-46AD2CF42B78}"/>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D2FC01BE-B9AD-452E-B7A7-497D893B6C4A}"/>
    <cellStyle name="Normal 5 3 4 2 6 2 3" xfId="12851" xr:uid="{5B97B7B3-71B9-41CF-87D8-08AE795FE08C}"/>
    <cellStyle name="Normal 5 3 4 2 6 3" xfId="6474" xr:uid="{00000000-0005-0000-0000-0000391A0000}"/>
    <cellStyle name="Normal 5 3 4 2 6 3 2" xfId="14924" xr:uid="{BD1760C1-FA82-44BA-99A1-8F312C5F02F2}"/>
    <cellStyle name="Normal 5 3 4 2 6 4" xfId="10706" xr:uid="{E9C7C3E4-C5CA-4EBA-87FF-59AA155662D0}"/>
    <cellStyle name="Normal 5 3 4 2 7" xfId="2604" xr:uid="{00000000-0005-0000-0000-00003A1A0000}"/>
    <cellStyle name="Normal 5 3 4 2 7 2" xfId="6887" xr:uid="{00000000-0005-0000-0000-00003B1A0000}"/>
    <cellStyle name="Normal 5 3 4 2 7 2 2" xfId="15337" xr:uid="{EE2F0943-564C-4163-8C20-639B2B9EFCC7}"/>
    <cellStyle name="Normal 5 3 4 2 7 3" xfId="11119" xr:uid="{7E502670-3C86-4411-B088-37D1427B4441}"/>
    <cellStyle name="Normal 5 3 4 2 8" xfId="4822" xr:uid="{00000000-0005-0000-0000-00003C1A0000}"/>
    <cellStyle name="Normal 5 3 4 2 8 2" xfId="13272" xr:uid="{410D52FA-9012-4274-930E-2819E2383453}"/>
    <cellStyle name="Normal 5 3 4 2 9" xfId="9054" xr:uid="{454D12C4-9114-4577-BA05-65E86763B4E9}"/>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D6AD0529-FD87-412D-9370-CCF52AC8317F}"/>
    <cellStyle name="Normal 5 3 4 3 2 2 3" xfId="11614" xr:uid="{E9690B78-CB39-495A-85DB-D7684ED5C49C}"/>
    <cellStyle name="Normal 5 3 4 3 2 3" xfId="5237" xr:uid="{00000000-0005-0000-0000-0000411A0000}"/>
    <cellStyle name="Normal 5 3 4 3 2 3 2" xfId="13687" xr:uid="{FCDB291D-F69E-488F-A88F-294EACCCCEC1}"/>
    <cellStyle name="Normal 5 3 4 3 2 4" xfId="9469" xr:uid="{AEECC47A-3214-4F65-8A8D-CD8620B7F4A7}"/>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0E0C4CE1-DBE9-416C-93A8-962D2E3C3E83}"/>
    <cellStyle name="Normal 5 3 4 3 3 2 3" xfId="12027" xr:uid="{EACF8363-3DAA-41FD-8EBF-00463087DD3C}"/>
    <cellStyle name="Normal 5 3 4 3 3 3" xfId="5650" xr:uid="{00000000-0005-0000-0000-0000451A0000}"/>
    <cellStyle name="Normal 5 3 4 3 3 3 2" xfId="14100" xr:uid="{A108882F-2BF2-442D-9B92-57B642A3879D}"/>
    <cellStyle name="Normal 5 3 4 3 3 4" xfId="9882" xr:uid="{3D7391E4-EC6A-4DE5-80B2-C8D83B6908F8}"/>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58113FFD-814A-4930-AEFD-E4B1FE8BA2DA}"/>
    <cellStyle name="Normal 5 3 4 3 4 2 3" xfId="12440" xr:uid="{1397BDBB-D344-4920-BD1B-B67DEFEFA36F}"/>
    <cellStyle name="Normal 5 3 4 3 4 3" xfId="6063" xr:uid="{00000000-0005-0000-0000-0000491A0000}"/>
    <cellStyle name="Normal 5 3 4 3 4 3 2" xfId="14513" xr:uid="{86F61152-2274-49B2-ABCD-B132072973C4}"/>
    <cellStyle name="Normal 5 3 4 3 4 4" xfId="10295" xr:uid="{51072AE2-9A43-49AD-88AE-2A57E05325E4}"/>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E948A8A0-5D30-4295-8C06-EDD2C5A43286}"/>
    <cellStyle name="Normal 5 3 4 3 5 2 3" xfId="12853" xr:uid="{D1FD4368-020E-4C10-8F03-48518C0E72A2}"/>
    <cellStyle name="Normal 5 3 4 3 5 3" xfId="6476" xr:uid="{00000000-0005-0000-0000-00004D1A0000}"/>
    <cellStyle name="Normal 5 3 4 3 5 3 2" xfId="14926" xr:uid="{071140C1-E22C-4FD7-8FDD-166BD44059A9}"/>
    <cellStyle name="Normal 5 3 4 3 5 4" xfId="10708" xr:uid="{2786BF9E-8769-49EA-A791-5735C0F9D183}"/>
    <cellStyle name="Normal 5 3 4 3 6" xfId="2606" xr:uid="{00000000-0005-0000-0000-00004E1A0000}"/>
    <cellStyle name="Normal 5 3 4 3 6 2" xfId="6889" xr:uid="{00000000-0005-0000-0000-00004F1A0000}"/>
    <cellStyle name="Normal 5 3 4 3 6 2 2" xfId="15339" xr:uid="{0703C3F3-FCB3-4070-8D4E-698B8FEECF7C}"/>
    <cellStyle name="Normal 5 3 4 3 6 3" xfId="11121" xr:uid="{A023B69B-1F6F-4280-B7C5-84C650C0D340}"/>
    <cellStyle name="Normal 5 3 4 3 7" xfId="4824" xr:uid="{00000000-0005-0000-0000-0000501A0000}"/>
    <cellStyle name="Normal 5 3 4 3 7 2" xfId="13274" xr:uid="{B3048E7A-26D2-4B68-A7D3-EFDA54D4712C}"/>
    <cellStyle name="Normal 5 3 4 3 8" xfId="9056" xr:uid="{347DFB79-C1CB-4DE1-87D9-18D248140AF9}"/>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2BE53FD0-CD60-406C-A7D3-FB6C234C6027}"/>
    <cellStyle name="Normal 5 3 4 4 2 3" xfId="11611" xr:uid="{849A9909-9145-4592-8D94-E360F531B4D7}"/>
    <cellStyle name="Normal 5 3 4 4 3" xfId="5234" xr:uid="{00000000-0005-0000-0000-0000541A0000}"/>
    <cellStyle name="Normal 5 3 4 4 3 2" xfId="13684" xr:uid="{A6ACB69C-F356-4CD6-92A6-4683131F6B19}"/>
    <cellStyle name="Normal 5 3 4 4 4" xfId="9466" xr:uid="{0AD816BA-65C9-46FE-8E6C-63416BB07E0B}"/>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9E61A15E-FF35-42EE-B233-89EF1137FC0B}"/>
    <cellStyle name="Normal 5 3 4 5 2 3" xfId="12024" xr:uid="{09E33EB8-37B9-412E-8F9C-BBACBC880383}"/>
    <cellStyle name="Normal 5 3 4 5 3" xfId="5647" xr:uid="{00000000-0005-0000-0000-0000581A0000}"/>
    <cellStyle name="Normal 5 3 4 5 3 2" xfId="14097" xr:uid="{46BA4066-928D-4E02-A585-485D942ED278}"/>
    <cellStyle name="Normal 5 3 4 5 4" xfId="9879" xr:uid="{BAB0D3E7-C44B-42E4-A462-FABDADE5AA17}"/>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80E76E07-ED35-461A-8EFC-36DC39045410}"/>
    <cellStyle name="Normal 5 3 4 6 2 3" xfId="12437" xr:uid="{6E0A45C4-A510-4611-B8BA-E0D1AD779906}"/>
    <cellStyle name="Normal 5 3 4 6 3" xfId="6060" xr:uid="{00000000-0005-0000-0000-00005C1A0000}"/>
    <cellStyle name="Normal 5 3 4 6 3 2" xfId="14510" xr:uid="{DDF02E1F-54E7-4F57-9935-364081425C12}"/>
    <cellStyle name="Normal 5 3 4 6 4" xfId="10292" xr:uid="{B2F44F25-26FE-43E4-A4D9-7CD62239BB37}"/>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4D663C92-6167-465E-AE3D-C36CC8F6DA69}"/>
    <cellStyle name="Normal 5 3 4 7 2 3" xfId="12850" xr:uid="{7A562C79-D297-4A6B-B2D3-92709486D3DA}"/>
    <cellStyle name="Normal 5 3 4 7 3" xfId="6473" xr:uid="{00000000-0005-0000-0000-0000601A0000}"/>
    <cellStyle name="Normal 5 3 4 7 3 2" xfId="14923" xr:uid="{88AB5688-BC6A-43D4-A7FB-80067E4ACBE4}"/>
    <cellStyle name="Normal 5 3 4 7 4" xfId="10705" xr:uid="{7B797681-3794-4DE0-8D9D-CF4364230CD6}"/>
    <cellStyle name="Normal 5 3 4 8" xfId="2603" xr:uid="{00000000-0005-0000-0000-0000611A0000}"/>
    <cellStyle name="Normal 5 3 4 8 2" xfId="6886" xr:uid="{00000000-0005-0000-0000-0000621A0000}"/>
    <cellStyle name="Normal 5 3 4 8 2 2" xfId="15336" xr:uid="{19B594E7-9632-4BED-9F51-79BF5B2FA76B}"/>
    <cellStyle name="Normal 5 3 4 8 3" xfId="11118" xr:uid="{CA136A80-4976-4397-8AF5-834D8C886E26}"/>
    <cellStyle name="Normal 5 3 4 9" xfId="4821" xr:uid="{00000000-0005-0000-0000-0000631A0000}"/>
    <cellStyle name="Normal 5 3 4 9 2" xfId="13271" xr:uid="{1F13395A-95A0-489F-B891-7A0376ADC8D6}"/>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682E4DE7-1310-444A-A2AA-D6FBE3BACEE4}"/>
    <cellStyle name="Normal 5 3 5 2 2 2 3" xfId="11616" xr:uid="{59BB73EC-7F4E-4E80-98E7-826613054697}"/>
    <cellStyle name="Normal 5 3 5 2 2 3" xfId="5239" xr:uid="{00000000-0005-0000-0000-0000691A0000}"/>
    <cellStyle name="Normal 5 3 5 2 2 3 2" xfId="13689" xr:uid="{2C96119B-60ED-43BB-B905-F9030F517DDD}"/>
    <cellStyle name="Normal 5 3 5 2 2 4" xfId="9471" xr:uid="{E671F5EE-740D-4EBA-863F-FB10F3F411A3}"/>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9C0175D3-E6DF-4652-B13A-32D21C46111E}"/>
    <cellStyle name="Normal 5 3 5 2 3 2 3" xfId="12029" xr:uid="{EA697B8D-0D5B-4622-B4DF-1D29B021F6CC}"/>
    <cellStyle name="Normal 5 3 5 2 3 3" xfId="5652" xr:uid="{00000000-0005-0000-0000-00006D1A0000}"/>
    <cellStyle name="Normal 5 3 5 2 3 3 2" xfId="14102" xr:uid="{BB57A433-0E8E-40C3-9854-33BE3C2E8B84}"/>
    <cellStyle name="Normal 5 3 5 2 3 4" xfId="9884" xr:uid="{E4A8220C-9AE0-489E-9ABE-F04E935AB2C8}"/>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239EA326-43EF-4879-8877-378B8EDD29DF}"/>
    <cellStyle name="Normal 5 3 5 2 4 2 3" xfId="12442" xr:uid="{E763CA6C-ABF8-47BB-A160-7F63E8240063}"/>
    <cellStyle name="Normal 5 3 5 2 4 3" xfId="6065" xr:uid="{00000000-0005-0000-0000-0000711A0000}"/>
    <cellStyle name="Normal 5 3 5 2 4 3 2" xfId="14515" xr:uid="{A2CD225B-852D-4237-8EB9-F486CA24E1DC}"/>
    <cellStyle name="Normal 5 3 5 2 4 4" xfId="10297" xr:uid="{A65F0ADA-BA42-41F5-BEA3-816B93ACD475}"/>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413FD790-3B15-4D7C-AD43-B4551A1D97D2}"/>
    <cellStyle name="Normal 5 3 5 2 5 2 3" xfId="12855" xr:uid="{D8B0F439-C674-456F-9E82-A40B37B68FF8}"/>
    <cellStyle name="Normal 5 3 5 2 5 3" xfId="6478" xr:uid="{00000000-0005-0000-0000-0000751A0000}"/>
    <cellStyle name="Normal 5 3 5 2 5 3 2" xfId="14928" xr:uid="{C2F42407-F894-43DD-94C5-A248E8D8B16E}"/>
    <cellStyle name="Normal 5 3 5 2 5 4" xfId="10710" xr:uid="{2EE6363D-AB77-4CE9-ACF3-3F0BF78C6930}"/>
    <cellStyle name="Normal 5 3 5 2 6" xfId="2608" xr:uid="{00000000-0005-0000-0000-0000761A0000}"/>
    <cellStyle name="Normal 5 3 5 2 6 2" xfId="6891" xr:uid="{00000000-0005-0000-0000-0000771A0000}"/>
    <cellStyle name="Normal 5 3 5 2 6 2 2" xfId="15341" xr:uid="{81475396-FFBC-4AAE-AE08-D3CAE0CCA2DC}"/>
    <cellStyle name="Normal 5 3 5 2 6 3" xfId="11123" xr:uid="{CF8EB3C6-34FB-4551-81DF-21B7CB750D4A}"/>
    <cellStyle name="Normal 5 3 5 2 7" xfId="4826" xr:uid="{00000000-0005-0000-0000-0000781A0000}"/>
    <cellStyle name="Normal 5 3 5 2 7 2" xfId="13276" xr:uid="{E5CC97C7-AB4A-4430-AAFD-FB3A28C90C05}"/>
    <cellStyle name="Normal 5 3 5 2 8" xfId="9058" xr:uid="{95A12CB6-EAFD-4A1B-BE8F-33BC19F13ECD}"/>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36A8157D-6E97-4151-8CB2-9C3D2622C756}"/>
    <cellStyle name="Normal 5 3 5 3 2 3" xfId="11615" xr:uid="{88AD87B1-1503-4129-821A-AF35B9CF3AD1}"/>
    <cellStyle name="Normal 5 3 5 3 3" xfId="5238" xr:uid="{00000000-0005-0000-0000-00007C1A0000}"/>
    <cellStyle name="Normal 5 3 5 3 3 2" xfId="13688" xr:uid="{6308F099-FD52-4C83-8ACD-F2875390FCC8}"/>
    <cellStyle name="Normal 5 3 5 3 4" xfId="9470" xr:uid="{DC08A7C0-0676-407C-AD71-1C9BAEE630C4}"/>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0E339DE5-E4D4-4B0A-9E28-E0B34CC5CCC8}"/>
    <cellStyle name="Normal 5 3 5 4 2 3" xfId="12028" xr:uid="{E642D338-0876-49C4-9AFF-44E31F981280}"/>
    <cellStyle name="Normal 5 3 5 4 3" xfId="5651" xr:uid="{00000000-0005-0000-0000-0000801A0000}"/>
    <cellStyle name="Normal 5 3 5 4 3 2" xfId="14101" xr:uid="{2B0A2287-19A0-4B26-A7A9-1C4E342975A7}"/>
    <cellStyle name="Normal 5 3 5 4 4" xfId="9883" xr:uid="{29A3B738-6FC2-4750-9600-A55BCD76D6DD}"/>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530E823F-4579-44A4-8D06-E2A909D357A1}"/>
    <cellStyle name="Normal 5 3 5 5 2 3" xfId="12441" xr:uid="{8F48CFA6-A8DA-459E-A53A-3D72EB2A5622}"/>
    <cellStyle name="Normal 5 3 5 5 3" xfId="6064" xr:uid="{00000000-0005-0000-0000-0000841A0000}"/>
    <cellStyle name="Normal 5 3 5 5 3 2" xfId="14514" xr:uid="{42B7AF64-29A5-4741-9E9F-B9797DD3042C}"/>
    <cellStyle name="Normal 5 3 5 5 4" xfId="10296" xr:uid="{73F773A8-6BB9-4ECE-86B5-75D6A7B47664}"/>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0673148B-A6C2-4CD3-942E-D9CED58CAC7D}"/>
    <cellStyle name="Normal 5 3 5 6 2 3" xfId="12854" xr:uid="{1C96F2C2-200C-4A00-9FA3-4F7FA7ADCB8C}"/>
    <cellStyle name="Normal 5 3 5 6 3" xfId="6477" xr:uid="{00000000-0005-0000-0000-0000881A0000}"/>
    <cellStyle name="Normal 5 3 5 6 3 2" xfId="14927" xr:uid="{21E34EF2-06A9-4C02-A10C-99837F7E8DD5}"/>
    <cellStyle name="Normal 5 3 5 6 4" xfId="10709" xr:uid="{C909203E-BEF4-48C1-A031-D6D7D011EDFD}"/>
    <cellStyle name="Normal 5 3 5 7" xfId="2607" xr:uid="{00000000-0005-0000-0000-0000891A0000}"/>
    <cellStyle name="Normal 5 3 5 7 2" xfId="6890" xr:uid="{00000000-0005-0000-0000-00008A1A0000}"/>
    <cellStyle name="Normal 5 3 5 7 2 2" xfId="15340" xr:uid="{802AF0D6-F203-49FF-8A0E-FCDB89E04090}"/>
    <cellStyle name="Normal 5 3 5 7 3" xfId="11122" xr:uid="{7F4EB9A3-CA64-49F9-B20E-0849F7837ABA}"/>
    <cellStyle name="Normal 5 3 5 8" xfId="4825" xr:uid="{00000000-0005-0000-0000-00008B1A0000}"/>
    <cellStyle name="Normal 5 3 5 8 2" xfId="13275" xr:uid="{8AA5FB63-04C5-4EB8-AE12-01C5C191F4A4}"/>
    <cellStyle name="Normal 5 3 5 9" xfId="9057" xr:uid="{3210107C-E72C-498F-A6EA-73751FE4B55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49E07174-B9E4-48DA-AF74-F7C0D5D2819C}"/>
    <cellStyle name="Normal 5 3 6 2 2 3" xfId="11617" xr:uid="{28476881-3A82-4E30-B382-E5C2D38C0F70}"/>
    <cellStyle name="Normal 5 3 6 2 3" xfId="5240" xr:uid="{00000000-0005-0000-0000-0000901A0000}"/>
    <cellStyle name="Normal 5 3 6 2 3 2" xfId="13690" xr:uid="{7C2E4B10-F098-4F06-84E5-DC74C539D5D0}"/>
    <cellStyle name="Normal 5 3 6 2 4" xfId="9472" xr:uid="{B4E3B790-215A-4C63-9DAF-7EBD9702C5DD}"/>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6F7A9BAE-0BF2-4B94-BEAF-CF608345E05C}"/>
    <cellStyle name="Normal 5 3 6 3 2 3" xfId="12030" xr:uid="{E9189A56-0AD9-4F73-9CBC-C2498E660718}"/>
    <cellStyle name="Normal 5 3 6 3 3" xfId="5653" xr:uid="{00000000-0005-0000-0000-0000941A0000}"/>
    <cellStyle name="Normal 5 3 6 3 3 2" xfId="14103" xr:uid="{228932AE-229A-4420-80F9-7A0DFA7A1E44}"/>
    <cellStyle name="Normal 5 3 6 3 4" xfId="9885" xr:uid="{0F21C619-C43B-435E-A492-735C949D21A5}"/>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97FB539B-CF44-498D-A357-B4B74B0BD921}"/>
    <cellStyle name="Normal 5 3 6 4 2 3" xfId="12443" xr:uid="{E300F283-E47A-439C-AB09-3AF868C3C0EF}"/>
    <cellStyle name="Normal 5 3 6 4 3" xfId="6066" xr:uid="{00000000-0005-0000-0000-0000981A0000}"/>
    <cellStyle name="Normal 5 3 6 4 3 2" xfId="14516" xr:uid="{19F4C04B-276C-48D5-B2B4-DC3A151724CA}"/>
    <cellStyle name="Normal 5 3 6 4 4" xfId="10298" xr:uid="{829CACE1-A346-4A43-A7FF-FEEE6B9CBCA0}"/>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9E025FB3-C864-4E2A-8841-74FC7F3060EA}"/>
    <cellStyle name="Normal 5 3 6 5 2 3" xfId="12856" xr:uid="{F4A2CD2F-D7D6-4962-9685-C6251EFFC445}"/>
    <cellStyle name="Normal 5 3 6 5 3" xfId="6479" xr:uid="{00000000-0005-0000-0000-00009C1A0000}"/>
    <cellStyle name="Normal 5 3 6 5 3 2" xfId="14929" xr:uid="{13AB385C-9A25-4C3C-8377-C7A1A6AC4BF5}"/>
    <cellStyle name="Normal 5 3 6 5 4" xfId="10711" xr:uid="{43CD1166-A389-4BE6-8E6A-42BDEAE1D6FB}"/>
    <cellStyle name="Normal 5 3 6 6" xfId="2609" xr:uid="{00000000-0005-0000-0000-00009D1A0000}"/>
    <cellStyle name="Normal 5 3 6 6 2" xfId="6892" xr:uid="{00000000-0005-0000-0000-00009E1A0000}"/>
    <cellStyle name="Normal 5 3 6 6 2 2" xfId="15342" xr:uid="{C66C55AA-5C48-47CF-8E6A-E7D860E0FD67}"/>
    <cellStyle name="Normal 5 3 6 6 3" xfId="11124" xr:uid="{DB359A79-0983-4D78-BF0D-CE3172BDC447}"/>
    <cellStyle name="Normal 5 3 6 7" xfId="4827" xr:uid="{00000000-0005-0000-0000-00009F1A0000}"/>
    <cellStyle name="Normal 5 3 6 7 2" xfId="13277" xr:uid="{54EA43CE-288A-4986-A01D-351E60999C3E}"/>
    <cellStyle name="Normal 5 3 6 8" xfId="9059" xr:uid="{70D3319F-465A-42FA-96A4-7E00BBCFCCC3}"/>
    <cellStyle name="Normal 5 3 7" xfId="913" xr:uid="{00000000-0005-0000-0000-0000A01A0000}"/>
    <cellStyle name="Normal 5 3 7 2" xfId="3148" xr:uid="{00000000-0005-0000-0000-0000A11A0000}"/>
    <cellStyle name="Normal 5 3 7 2 2" xfId="7370" xr:uid="{00000000-0005-0000-0000-0000A21A0000}"/>
    <cellStyle name="Normal 5 3 7 2 2 2" xfId="15820" xr:uid="{943B6BF1-AEAF-4B2A-9AE6-C20ADAA55ABF}"/>
    <cellStyle name="Normal 5 3 7 2 3" xfId="11602" xr:uid="{1BAD6F91-7976-4003-B317-4D457D8D98A8}"/>
    <cellStyle name="Normal 5 3 7 3" xfId="5225" xr:uid="{00000000-0005-0000-0000-0000A31A0000}"/>
    <cellStyle name="Normal 5 3 7 3 2" xfId="13675" xr:uid="{CCB4851E-C7A2-42B4-9334-7F48070E9C60}"/>
    <cellStyle name="Normal 5 3 7 4" xfId="9457" xr:uid="{9380D598-19E0-485C-8B1F-AD3D70475846}"/>
    <cellStyle name="Normal 5 3 8" xfId="1331" xr:uid="{00000000-0005-0000-0000-0000A41A0000}"/>
    <cellStyle name="Normal 5 3 8 2" xfId="3561" xr:uid="{00000000-0005-0000-0000-0000A51A0000}"/>
    <cellStyle name="Normal 5 3 8 2 2" xfId="7783" xr:uid="{00000000-0005-0000-0000-0000A61A0000}"/>
    <cellStyle name="Normal 5 3 8 2 2 2" xfId="16233" xr:uid="{E7E355DC-17BB-434C-8605-7F889BE2D35E}"/>
    <cellStyle name="Normal 5 3 8 2 3" xfId="12015" xr:uid="{21B985AF-167F-4725-8FAD-5F0D78D48DFA}"/>
    <cellStyle name="Normal 5 3 8 3" xfId="5638" xr:uid="{00000000-0005-0000-0000-0000A71A0000}"/>
    <cellStyle name="Normal 5 3 8 3 2" xfId="14088" xr:uid="{BC73DC47-B851-4FFE-9ABE-E18E01709CEC}"/>
    <cellStyle name="Normal 5 3 8 4" xfId="9870" xr:uid="{CBD91437-66E8-493E-9B78-726B674350AF}"/>
    <cellStyle name="Normal 5 3 9" xfId="1744" xr:uid="{00000000-0005-0000-0000-0000A81A0000}"/>
    <cellStyle name="Normal 5 3 9 2" xfId="3974" xr:uid="{00000000-0005-0000-0000-0000A91A0000}"/>
    <cellStyle name="Normal 5 3 9 2 2" xfId="8196" xr:uid="{00000000-0005-0000-0000-0000AA1A0000}"/>
    <cellStyle name="Normal 5 3 9 2 2 2" xfId="16646" xr:uid="{4F64653D-9778-4045-92F4-9EC7F8C707D0}"/>
    <cellStyle name="Normal 5 3 9 2 3" xfId="12428" xr:uid="{5423762E-FB8A-479D-921D-E4783AAC3018}"/>
    <cellStyle name="Normal 5 3 9 3" xfId="6051" xr:uid="{00000000-0005-0000-0000-0000AB1A0000}"/>
    <cellStyle name="Normal 5 3 9 3 2" xfId="14501" xr:uid="{0774B8C9-10DF-4D00-A7AE-ABF7EBE10AD9}"/>
    <cellStyle name="Normal 5 3 9 4" xfId="10283" xr:uid="{27D9EC45-0CF2-472C-9FFF-9A191FCAA442}"/>
    <cellStyle name="Normal 5 4" xfId="456" xr:uid="{00000000-0005-0000-0000-0000AC1A0000}"/>
    <cellStyle name="Normal 5 4 10" xfId="4828" xr:uid="{00000000-0005-0000-0000-0000AD1A0000}"/>
    <cellStyle name="Normal 5 4 10 2" xfId="13278" xr:uid="{33DE98F6-AF64-437B-930C-723C0578EB7A}"/>
    <cellStyle name="Normal 5 4 11" xfId="9060" xr:uid="{D79BB48A-3CD4-468E-832C-376E0E414DB9}"/>
    <cellStyle name="Normal 5 4 2" xfId="457" xr:uid="{00000000-0005-0000-0000-0000AE1A0000}"/>
    <cellStyle name="Normal 5 4 2 10" xfId="9061" xr:uid="{5B746144-FB7E-4894-80E9-ABD719986ED8}"/>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07A41FA7-0B5D-4F69-B31F-B6F8E57A8644}"/>
    <cellStyle name="Normal 5 4 2 2 2 2 2 3" xfId="11621" xr:uid="{EE5AA8D6-43FA-4FBB-8764-A7586FEA8EAB}"/>
    <cellStyle name="Normal 5 4 2 2 2 2 3" xfId="5244" xr:uid="{00000000-0005-0000-0000-0000B41A0000}"/>
    <cellStyle name="Normal 5 4 2 2 2 2 3 2" xfId="13694" xr:uid="{B2F7DB62-D8FB-4F8C-8DF1-891594DDBCD1}"/>
    <cellStyle name="Normal 5 4 2 2 2 2 4" xfId="9476" xr:uid="{4BDEE84C-B013-47F4-BF51-14C3831DC138}"/>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90ECFA7A-D1C0-46DF-9E34-3E21E8E28B4D}"/>
    <cellStyle name="Normal 5 4 2 2 2 3 2 3" xfId="12034" xr:uid="{B4DE4A47-532F-41CE-9109-EB153022023C}"/>
    <cellStyle name="Normal 5 4 2 2 2 3 3" xfId="5657" xr:uid="{00000000-0005-0000-0000-0000B81A0000}"/>
    <cellStyle name="Normal 5 4 2 2 2 3 3 2" xfId="14107" xr:uid="{5AE41C22-B6E4-48A0-8E37-43F2C949801D}"/>
    <cellStyle name="Normal 5 4 2 2 2 3 4" xfId="9889" xr:uid="{D2484CA8-0DFA-40CF-95C0-1049058EFAC3}"/>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884EB0A4-B850-4BA1-A395-9403E6DD578B}"/>
    <cellStyle name="Normal 5 4 2 2 2 4 2 3" xfId="12447" xr:uid="{DF8E89F2-C9B6-47A5-BBC9-E9C3FC9A2F9B}"/>
    <cellStyle name="Normal 5 4 2 2 2 4 3" xfId="6070" xr:uid="{00000000-0005-0000-0000-0000BC1A0000}"/>
    <cellStyle name="Normal 5 4 2 2 2 4 3 2" xfId="14520" xr:uid="{BAF34539-5023-438C-8D09-A59F0D133635}"/>
    <cellStyle name="Normal 5 4 2 2 2 4 4" xfId="10302" xr:uid="{1B2C6459-6E3F-42D0-AEE9-616B850B04F4}"/>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9A7CC3A5-F3BF-4B14-9458-18091E0CAB5F}"/>
    <cellStyle name="Normal 5 4 2 2 2 5 2 3" xfId="12860" xr:uid="{D72CB612-58D4-49A2-A058-E270EDA1DBEE}"/>
    <cellStyle name="Normal 5 4 2 2 2 5 3" xfId="6483" xr:uid="{00000000-0005-0000-0000-0000C01A0000}"/>
    <cellStyle name="Normal 5 4 2 2 2 5 3 2" xfId="14933" xr:uid="{052729D7-681A-4F1E-835C-131E052E2E50}"/>
    <cellStyle name="Normal 5 4 2 2 2 5 4" xfId="10715" xr:uid="{0A4FAA1F-E96F-4A6E-8523-7D27614086DE}"/>
    <cellStyle name="Normal 5 4 2 2 2 6" xfId="2613" xr:uid="{00000000-0005-0000-0000-0000C11A0000}"/>
    <cellStyle name="Normal 5 4 2 2 2 6 2" xfId="6896" xr:uid="{00000000-0005-0000-0000-0000C21A0000}"/>
    <cellStyle name="Normal 5 4 2 2 2 6 2 2" xfId="15346" xr:uid="{2FD1F687-A502-41D5-8802-452B6DFECF68}"/>
    <cellStyle name="Normal 5 4 2 2 2 6 3" xfId="11128" xr:uid="{C76E585D-56BD-4911-B771-48C86A96B470}"/>
    <cellStyle name="Normal 5 4 2 2 2 7" xfId="4831" xr:uid="{00000000-0005-0000-0000-0000C31A0000}"/>
    <cellStyle name="Normal 5 4 2 2 2 7 2" xfId="13281" xr:uid="{45554A60-2509-49C5-8474-E8DCA0FBB8A8}"/>
    <cellStyle name="Normal 5 4 2 2 2 8" xfId="9063" xr:uid="{11C36AE5-342A-499F-AC93-CB06F94E6FEA}"/>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79A5E1B4-52BF-416D-BAB8-0D4A85468A2C}"/>
    <cellStyle name="Normal 5 4 2 2 3 2 3" xfId="11620" xr:uid="{D6F3620C-4C01-44BE-92ED-6971D38E5CD8}"/>
    <cellStyle name="Normal 5 4 2 2 3 3" xfId="5243" xr:uid="{00000000-0005-0000-0000-0000C71A0000}"/>
    <cellStyle name="Normal 5 4 2 2 3 3 2" xfId="13693" xr:uid="{599CE1E6-C65A-477E-B589-55ABF2EB4E8E}"/>
    <cellStyle name="Normal 5 4 2 2 3 4" xfId="9475" xr:uid="{6B1AC0F7-CB5E-464B-9673-B2417EEA2F99}"/>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D91CF5F6-978B-4AA3-9F79-DD2C181B952E}"/>
    <cellStyle name="Normal 5 4 2 2 4 2 3" xfId="12033" xr:uid="{05BA8A2D-71FC-46F3-886D-CE07FD38DE08}"/>
    <cellStyle name="Normal 5 4 2 2 4 3" xfId="5656" xr:uid="{00000000-0005-0000-0000-0000CB1A0000}"/>
    <cellStyle name="Normal 5 4 2 2 4 3 2" xfId="14106" xr:uid="{B95D2753-4254-4CF9-B455-22671DF2F089}"/>
    <cellStyle name="Normal 5 4 2 2 4 4" xfId="9888" xr:uid="{CC1BB6D5-CCB3-4A30-9060-53E714256C79}"/>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7BFC4FFF-D0CE-4173-8DC1-4A1E458AC109}"/>
    <cellStyle name="Normal 5 4 2 2 5 2 3" xfId="12446" xr:uid="{135AE06C-0A7D-4788-92CF-043723BE91B0}"/>
    <cellStyle name="Normal 5 4 2 2 5 3" xfId="6069" xr:uid="{00000000-0005-0000-0000-0000CF1A0000}"/>
    <cellStyle name="Normal 5 4 2 2 5 3 2" xfId="14519" xr:uid="{05419369-3C0F-453B-844C-E54653C39EA4}"/>
    <cellStyle name="Normal 5 4 2 2 5 4" xfId="10301" xr:uid="{DB87AF24-A85F-4C4B-849B-F9046AD8D9E2}"/>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2AD222C5-5BCB-405E-B3FB-87F0F8C326EF}"/>
    <cellStyle name="Normal 5 4 2 2 6 2 3" xfId="12859" xr:uid="{F31BF380-B12A-42BE-9F28-17577B04420B}"/>
    <cellStyle name="Normal 5 4 2 2 6 3" xfId="6482" xr:uid="{00000000-0005-0000-0000-0000D31A0000}"/>
    <cellStyle name="Normal 5 4 2 2 6 3 2" xfId="14932" xr:uid="{F9D5331B-A423-4B19-996E-50758561123E}"/>
    <cellStyle name="Normal 5 4 2 2 6 4" xfId="10714" xr:uid="{49690085-09FF-41C5-95A0-CE8C74A6C59C}"/>
    <cellStyle name="Normal 5 4 2 2 7" xfId="2612" xr:uid="{00000000-0005-0000-0000-0000D41A0000}"/>
    <cellStyle name="Normal 5 4 2 2 7 2" xfId="6895" xr:uid="{00000000-0005-0000-0000-0000D51A0000}"/>
    <cellStyle name="Normal 5 4 2 2 7 2 2" xfId="15345" xr:uid="{BAA173F0-390B-4671-A9D0-5AEECAA78385}"/>
    <cellStyle name="Normal 5 4 2 2 7 3" xfId="11127" xr:uid="{3E188E03-B8B9-4F53-B86B-980695167D33}"/>
    <cellStyle name="Normal 5 4 2 2 8" xfId="4830" xr:uid="{00000000-0005-0000-0000-0000D61A0000}"/>
    <cellStyle name="Normal 5 4 2 2 8 2" xfId="13280" xr:uid="{26E6D95A-CD91-465E-A3BE-D0FCCF0F4A74}"/>
    <cellStyle name="Normal 5 4 2 2 9" xfId="9062" xr:uid="{DC631F85-2B47-4E5B-9972-190E2DF6E69F}"/>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4C22501A-0B5B-4D34-A091-6C5B1F6598BB}"/>
    <cellStyle name="Normal 5 4 2 3 2 2 3" xfId="11622" xr:uid="{D73DA630-F5C4-4A02-BAAE-53031ADBE79E}"/>
    <cellStyle name="Normal 5 4 2 3 2 3" xfId="5245" xr:uid="{00000000-0005-0000-0000-0000DB1A0000}"/>
    <cellStyle name="Normal 5 4 2 3 2 3 2" xfId="13695" xr:uid="{1E133639-33A8-4387-BDE7-7C6E6B309D1B}"/>
    <cellStyle name="Normal 5 4 2 3 2 4" xfId="9477" xr:uid="{D8C6776F-3270-461A-A773-F3033835D9A0}"/>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F85AEA89-63AA-4D19-9732-C8F00A00AE49}"/>
    <cellStyle name="Normal 5 4 2 3 3 2 3" xfId="12035" xr:uid="{158F8F60-205B-458A-94DE-5C7E70E30DE7}"/>
    <cellStyle name="Normal 5 4 2 3 3 3" xfId="5658" xr:uid="{00000000-0005-0000-0000-0000DF1A0000}"/>
    <cellStyle name="Normal 5 4 2 3 3 3 2" xfId="14108" xr:uid="{740FA9DF-744A-4244-8EB7-E5288098EAD6}"/>
    <cellStyle name="Normal 5 4 2 3 3 4" xfId="9890" xr:uid="{930B0F63-AC22-4042-B3D1-7F87483F9409}"/>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EDE44089-6A6A-4214-95FB-77C8F6CDC88C}"/>
    <cellStyle name="Normal 5 4 2 3 4 2 3" xfId="12448" xr:uid="{58E579D9-C54C-4B42-AE9B-C8495C555F4D}"/>
    <cellStyle name="Normal 5 4 2 3 4 3" xfId="6071" xr:uid="{00000000-0005-0000-0000-0000E31A0000}"/>
    <cellStyle name="Normal 5 4 2 3 4 3 2" xfId="14521" xr:uid="{4D83CC11-B4A4-47C4-8FB5-1ABA2EC67013}"/>
    <cellStyle name="Normal 5 4 2 3 4 4" xfId="10303" xr:uid="{AD7207A3-9224-49D6-8AA9-3D7B79074323}"/>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3089405A-7335-47C1-BA73-23452A43AD69}"/>
    <cellStyle name="Normal 5 4 2 3 5 2 3" xfId="12861" xr:uid="{216C9F1D-7E67-4F3D-B44B-BC929B1D8FCE}"/>
    <cellStyle name="Normal 5 4 2 3 5 3" xfId="6484" xr:uid="{00000000-0005-0000-0000-0000E71A0000}"/>
    <cellStyle name="Normal 5 4 2 3 5 3 2" xfId="14934" xr:uid="{0D950B6D-EF7C-4691-AEC8-64BA840C42E5}"/>
    <cellStyle name="Normal 5 4 2 3 5 4" xfId="10716" xr:uid="{ECB96ED6-FD6F-4C99-B3D7-DBEC3C11F57E}"/>
    <cellStyle name="Normal 5 4 2 3 6" xfId="2614" xr:uid="{00000000-0005-0000-0000-0000E81A0000}"/>
    <cellStyle name="Normal 5 4 2 3 6 2" xfId="6897" xr:uid="{00000000-0005-0000-0000-0000E91A0000}"/>
    <cellStyle name="Normal 5 4 2 3 6 2 2" xfId="15347" xr:uid="{A12CC928-BFAE-43F1-A3C2-0D8796CAACA9}"/>
    <cellStyle name="Normal 5 4 2 3 6 3" xfId="11129" xr:uid="{14ADBE8D-B455-4C98-951A-43D60627AAAE}"/>
    <cellStyle name="Normal 5 4 2 3 7" xfId="4832" xr:uid="{00000000-0005-0000-0000-0000EA1A0000}"/>
    <cellStyle name="Normal 5 4 2 3 7 2" xfId="13282" xr:uid="{B1D4E6E8-5ED1-4C85-B86F-0FB502BC36D6}"/>
    <cellStyle name="Normal 5 4 2 3 8" xfId="9064" xr:uid="{82F2F1D2-4766-4838-8B57-B2646D586419}"/>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44A39F9C-ECFE-46EE-8BCF-CEA9A6ADA453}"/>
    <cellStyle name="Normal 5 4 2 4 2 3" xfId="11619" xr:uid="{6887BDFE-6B33-4437-80B9-165ECF6773F1}"/>
    <cellStyle name="Normal 5 4 2 4 3" xfId="5242" xr:uid="{00000000-0005-0000-0000-0000EE1A0000}"/>
    <cellStyle name="Normal 5 4 2 4 3 2" xfId="13692" xr:uid="{BACB9FDF-C3EA-40DF-B85A-30B83DAF3B8C}"/>
    <cellStyle name="Normal 5 4 2 4 4" xfId="9474" xr:uid="{8BF3CB56-A195-40DF-A500-2D675434E71D}"/>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B2EA24C2-95DB-4C65-BDC0-EF1E9AF81D2B}"/>
    <cellStyle name="Normal 5 4 2 5 2 3" xfId="12032" xr:uid="{643382B1-BB1B-4B08-977A-5161D9C83299}"/>
    <cellStyle name="Normal 5 4 2 5 3" xfId="5655" xr:uid="{00000000-0005-0000-0000-0000F21A0000}"/>
    <cellStyle name="Normal 5 4 2 5 3 2" xfId="14105" xr:uid="{32C1582F-CC00-4750-9B68-DD8329B1D4E1}"/>
    <cellStyle name="Normal 5 4 2 5 4" xfId="9887" xr:uid="{7F8BD71E-9BF6-4F6B-A755-5203DF05B318}"/>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26EDCFE9-1097-4A73-8959-4F797B61A14E}"/>
    <cellStyle name="Normal 5 4 2 6 2 3" xfId="12445" xr:uid="{962991DC-37BD-478D-8959-A276530A0078}"/>
    <cellStyle name="Normal 5 4 2 6 3" xfId="6068" xr:uid="{00000000-0005-0000-0000-0000F61A0000}"/>
    <cellStyle name="Normal 5 4 2 6 3 2" xfId="14518" xr:uid="{3C9D9B09-407C-4EA0-ADA8-FE8DED2F7D87}"/>
    <cellStyle name="Normal 5 4 2 6 4" xfId="10300" xr:uid="{AFCD8DAB-4F72-475D-8C16-079EAFEE20E4}"/>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21186444-CE3C-4FB2-A4D8-385B3B45FB8D}"/>
    <cellStyle name="Normal 5 4 2 7 2 3" xfId="12858" xr:uid="{6286350B-8DD4-4C98-9268-5B5998C7A446}"/>
    <cellStyle name="Normal 5 4 2 7 3" xfId="6481" xr:uid="{00000000-0005-0000-0000-0000FA1A0000}"/>
    <cellStyle name="Normal 5 4 2 7 3 2" xfId="14931" xr:uid="{32E6D818-DCCF-4FF4-A093-5904668C08D4}"/>
    <cellStyle name="Normal 5 4 2 7 4" xfId="10713" xr:uid="{82628938-9B54-4EB7-8D52-C926CC16ECF1}"/>
    <cellStyle name="Normal 5 4 2 8" xfId="2611" xr:uid="{00000000-0005-0000-0000-0000FB1A0000}"/>
    <cellStyle name="Normal 5 4 2 8 2" xfId="6894" xr:uid="{00000000-0005-0000-0000-0000FC1A0000}"/>
    <cellStyle name="Normal 5 4 2 8 2 2" xfId="15344" xr:uid="{13096A1F-43F6-4920-BD26-78D1FFEFD585}"/>
    <cellStyle name="Normal 5 4 2 8 3" xfId="11126" xr:uid="{69B3E761-106E-4A50-BF7C-4CA31F8F437A}"/>
    <cellStyle name="Normal 5 4 2 9" xfId="4829" xr:uid="{00000000-0005-0000-0000-0000FD1A0000}"/>
    <cellStyle name="Normal 5 4 2 9 2" xfId="13279" xr:uid="{25C4BEEE-E64D-4A20-9153-8B73C54F520A}"/>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68B927F1-0180-45D2-B966-24B9532C462B}"/>
    <cellStyle name="Normal 5 4 3 2 2 2 3" xfId="11624" xr:uid="{C863C381-83E9-4776-AE22-D416DA8BCF16}"/>
    <cellStyle name="Normal 5 4 3 2 2 3" xfId="5247" xr:uid="{00000000-0005-0000-0000-0000031B0000}"/>
    <cellStyle name="Normal 5 4 3 2 2 3 2" xfId="13697" xr:uid="{E0674668-4C42-4993-B330-5192AE741629}"/>
    <cellStyle name="Normal 5 4 3 2 2 4" xfId="9479" xr:uid="{C2BB10B2-4643-44E4-A713-6BC724263322}"/>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4BBE8D21-0A36-49A1-AB5A-868D7DF6D983}"/>
    <cellStyle name="Normal 5 4 3 2 3 2 3" xfId="12037" xr:uid="{46730124-AE4D-420B-8DF4-B369DF554277}"/>
    <cellStyle name="Normal 5 4 3 2 3 3" xfId="5660" xr:uid="{00000000-0005-0000-0000-0000071B0000}"/>
    <cellStyle name="Normal 5 4 3 2 3 3 2" xfId="14110" xr:uid="{257D2F00-DD2E-4596-9478-92882979D5A2}"/>
    <cellStyle name="Normal 5 4 3 2 3 4" xfId="9892" xr:uid="{13732BD5-7EBC-4C17-82C7-7A7FE9AF1664}"/>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CC44D5B0-3763-4ADD-8B83-FFEDAB2B3190}"/>
    <cellStyle name="Normal 5 4 3 2 4 2 3" xfId="12450" xr:uid="{21D83AF5-3C33-4C3E-9A42-57F3D1DC8981}"/>
    <cellStyle name="Normal 5 4 3 2 4 3" xfId="6073" xr:uid="{00000000-0005-0000-0000-00000B1B0000}"/>
    <cellStyle name="Normal 5 4 3 2 4 3 2" xfId="14523" xr:uid="{64AEB07F-8B5B-415E-941F-E06AF0F8DB39}"/>
    <cellStyle name="Normal 5 4 3 2 4 4" xfId="10305" xr:uid="{776B810C-532F-4AD2-98F2-B8CE0CD42D9C}"/>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6D692487-03DA-49E0-BF97-6D3ED34AABAC}"/>
    <cellStyle name="Normal 5 4 3 2 5 2 3" xfId="12863" xr:uid="{C474D578-7778-412D-8A0C-2488731E9067}"/>
    <cellStyle name="Normal 5 4 3 2 5 3" xfId="6486" xr:uid="{00000000-0005-0000-0000-00000F1B0000}"/>
    <cellStyle name="Normal 5 4 3 2 5 3 2" xfId="14936" xr:uid="{ED8C4845-1E4A-4520-AAE9-9941D8726F86}"/>
    <cellStyle name="Normal 5 4 3 2 5 4" xfId="10718" xr:uid="{02140AD8-DA50-4548-8226-90DFF0D3A097}"/>
    <cellStyle name="Normal 5 4 3 2 6" xfId="2616" xr:uid="{00000000-0005-0000-0000-0000101B0000}"/>
    <cellStyle name="Normal 5 4 3 2 6 2" xfId="6899" xr:uid="{00000000-0005-0000-0000-0000111B0000}"/>
    <cellStyle name="Normal 5 4 3 2 6 2 2" xfId="15349" xr:uid="{96BD8288-5D30-4673-8AAA-DC93F7400A1F}"/>
    <cellStyle name="Normal 5 4 3 2 6 3" xfId="11131" xr:uid="{A27D3BE7-1950-4ABE-8E6F-E531FA0AF5DB}"/>
    <cellStyle name="Normal 5 4 3 2 7" xfId="4834" xr:uid="{00000000-0005-0000-0000-0000121B0000}"/>
    <cellStyle name="Normal 5 4 3 2 7 2" xfId="13284" xr:uid="{949210D4-7BB3-4BE8-AE93-D486F82E8465}"/>
    <cellStyle name="Normal 5 4 3 2 8" xfId="9066" xr:uid="{2279EDA9-49F7-4C4D-91C8-B490000CEF3D}"/>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CA972DF5-5845-4976-A18C-09F4BC75F4E3}"/>
    <cellStyle name="Normal 5 4 3 3 2 3" xfId="11623" xr:uid="{86170621-9EB0-4EE3-BA78-BA5191C60F14}"/>
    <cellStyle name="Normal 5 4 3 3 3" xfId="5246" xr:uid="{00000000-0005-0000-0000-0000161B0000}"/>
    <cellStyle name="Normal 5 4 3 3 3 2" xfId="13696" xr:uid="{3FCD8FA2-AE58-4638-BB6B-06B4B28BA82F}"/>
    <cellStyle name="Normal 5 4 3 3 4" xfId="9478" xr:uid="{5DE6B3DF-3EDC-4647-9BAA-CDA9F134CD96}"/>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56CBDF65-6CBB-4451-AA69-16FF79B1A76B}"/>
    <cellStyle name="Normal 5 4 3 4 2 3" xfId="12036" xr:uid="{E68DA203-860C-4BB8-B0D2-4A21C6D3440A}"/>
    <cellStyle name="Normal 5 4 3 4 3" xfId="5659" xr:uid="{00000000-0005-0000-0000-00001A1B0000}"/>
    <cellStyle name="Normal 5 4 3 4 3 2" xfId="14109" xr:uid="{4AA237CB-B897-4C0E-B19F-0F94F12960D0}"/>
    <cellStyle name="Normal 5 4 3 4 4" xfId="9891" xr:uid="{FD034B68-4820-4987-A9A5-D93AEECEBD7D}"/>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244D5EA1-CC21-4DE9-8250-05A1F4534A4F}"/>
    <cellStyle name="Normal 5 4 3 5 2 3" xfId="12449" xr:uid="{F454664F-CE1F-4359-8AC5-351DF17B1990}"/>
    <cellStyle name="Normal 5 4 3 5 3" xfId="6072" xr:uid="{00000000-0005-0000-0000-00001E1B0000}"/>
    <cellStyle name="Normal 5 4 3 5 3 2" xfId="14522" xr:uid="{8236BA35-95F2-4931-A6A4-1B699F983F4B}"/>
    <cellStyle name="Normal 5 4 3 5 4" xfId="10304" xr:uid="{5E63C9B9-CA15-4865-9561-FA3E0C1D9846}"/>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DF4C136D-5968-4D49-8A14-BD0668BDFD0E}"/>
    <cellStyle name="Normal 5 4 3 6 2 3" xfId="12862" xr:uid="{1405F7D6-55F0-4EE0-9927-4837E5C4D439}"/>
    <cellStyle name="Normal 5 4 3 6 3" xfId="6485" xr:uid="{00000000-0005-0000-0000-0000221B0000}"/>
    <cellStyle name="Normal 5 4 3 6 3 2" xfId="14935" xr:uid="{51EF904E-1117-4ACB-9F58-740E02E1B802}"/>
    <cellStyle name="Normal 5 4 3 6 4" xfId="10717" xr:uid="{C2E8FB95-A54B-4354-A930-D84DD4DE088D}"/>
    <cellStyle name="Normal 5 4 3 7" xfId="2615" xr:uid="{00000000-0005-0000-0000-0000231B0000}"/>
    <cellStyle name="Normal 5 4 3 7 2" xfId="6898" xr:uid="{00000000-0005-0000-0000-0000241B0000}"/>
    <cellStyle name="Normal 5 4 3 7 2 2" xfId="15348" xr:uid="{B6E254EA-F900-4E64-9161-2EA91E5C54C6}"/>
    <cellStyle name="Normal 5 4 3 7 3" xfId="11130" xr:uid="{67555FEC-AC51-43AC-B252-769CE580D995}"/>
    <cellStyle name="Normal 5 4 3 8" xfId="4833" xr:uid="{00000000-0005-0000-0000-0000251B0000}"/>
    <cellStyle name="Normal 5 4 3 8 2" xfId="13283" xr:uid="{F51E5B0C-A88D-4B9F-9E8C-0103BAFB9942}"/>
    <cellStyle name="Normal 5 4 3 9" xfId="9065" xr:uid="{EE144AE0-3140-48E1-9ED1-9F2BE42CDD61}"/>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E6FA58F1-A886-46BC-B84B-8C02F8D4949D}"/>
    <cellStyle name="Normal 5 4 4 2 2 3" xfId="11625" xr:uid="{AB549A15-8836-4643-847E-87C9AC1B4750}"/>
    <cellStyle name="Normal 5 4 4 2 3" xfId="5248" xr:uid="{00000000-0005-0000-0000-00002A1B0000}"/>
    <cellStyle name="Normal 5 4 4 2 3 2" xfId="13698" xr:uid="{8967E3D3-96EB-4F5A-B0BA-32E9F13FBA19}"/>
    <cellStyle name="Normal 5 4 4 2 4" xfId="9480" xr:uid="{A86B4B0F-7C79-4EA9-A77C-E9E94FCDB97C}"/>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846E845E-EA04-4865-B09A-0304C205698B}"/>
    <cellStyle name="Normal 5 4 4 3 2 3" xfId="12038" xr:uid="{DF40A677-71E7-45CD-9028-3A00115B14BB}"/>
    <cellStyle name="Normal 5 4 4 3 3" xfId="5661" xr:uid="{00000000-0005-0000-0000-00002E1B0000}"/>
    <cellStyle name="Normal 5 4 4 3 3 2" xfId="14111" xr:uid="{4F6AD0DB-8771-43EB-8EF8-4117AC45CC13}"/>
    <cellStyle name="Normal 5 4 4 3 4" xfId="9893" xr:uid="{06E005B5-5912-4C7F-9837-FC499B2A6F8E}"/>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AF23032C-36AF-4664-B017-4C4D4E351CE4}"/>
    <cellStyle name="Normal 5 4 4 4 2 3" xfId="12451" xr:uid="{0A231355-6369-4B54-A448-B916EEE50BE0}"/>
    <cellStyle name="Normal 5 4 4 4 3" xfId="6074" xr:uid="{00000000-0005-0000-0000-0000321B0000}"/>
    <cellStyle name="Normal 5 4 4 4 3 2" xfId="14524" xr:uid="{585188F1-16E5-4EBA-A824-02015F69A4C4}"/>
    <cellStyle name="Normal 5 4 4 4 4" xfId="10306" xr:uid="{0FD09D05-B2CA-4B68-AF54-A4824A386BA2}"/>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BAEF8AC2-B766-416F-84BE-51B35A78B519}"/>
    <cellStyle name="Normal 5 4 4 5 2 3" xfId="12864" xr:uid="{BA3C1CC6-44A7-4D32-B349-EE7876FA58D4}"/>
    <cellStyle name="Normal 5 4 4 5 3" xfId="6487" xr:uid="{00000000-0005-0000-0000-0000361B0000}"/>
    <cellStyle name="Normal 5 4 4 5 3 2" xfId="14937" xr:uid="{7E354396-1652-44AD-B32A-A1E18A1685C1}"/>
    <cellStyle name="Normal 5 4 4 5 4" xfId="10719" xr:uid="{DAB248EB-7F46-4FF5-B084-48CC2326D96E}"/>
    <cellStyle name="Normal 5 4 4 6" xfId="2617" xr:uid="{00000000-0005-0000-0000-0000371B0000}"/>
    <cellStyle name="Normal 5 4 4 6 2" xfId="6900" xr:uid="{00000000-0005-0000-0000-0000381B0000}"/>
    <cellStyle name="Normal 5 4 4 6 2 2" xfId="15350" xr:uid="{50A0B042-87A9-4595-9EB0-BE7632848ADC}"/>
    <cellStyle name="Normal 5 4 4 6 3" xfId="11132" xr:uid="{1DC64E87-AF3A-4D8B-AB94-989223E97DF5}"/>
    <cellStyle name="Normal 5 4 4 7" xfId="4835" xr:uid="{00000000-0005-0000-0000-0000391B0000}"/>
    <cellStyle name="Normal 5 4 4 7 2" xfId="13285" xr:uid="{67329C28-A5CE-48BB-8DAD-0C398132A2BE}"/>
    <cellStyle name="Normal 5 4 4 8" xfId="9067" xr:uid="{5D487388-45EF-43F3-9483-892E5027401D}"/>
    <cellStyle name="Normal 5 4 5" xfId="930" xr:uid="{00000000-0005-0000-0000-00003A1B0000}"/>
    <cellStyle name="Normal 5 4 5 2" xfId="3164" xr:uid="{00000000-0005-0000-0000-00003B1B0000}"/>
    <cellStyle name="Normal 5 4 5 2 2" xfId="7386" xr:uid="{00000000-0005-0000-0000-00003C1B0000}"/>
    <cellStyle name="Normal 5 4 5 2 2 2" xfId="15836" xr:uid="{033F7540-7500-40B0-97A5-6456DB069CBE}"/>
    <cellStyle name="Normal 5 4 5 2 3" xfId="11618" xr:uid="{ABE44766-527D-4E0F-85E4-7FFB3A57BF31}"/>
    <cellStyle name="Normal 5 4 5 3" xfId="5241" xr:uid="{00000000-0005-0000-0000-00003D1B0000}"/>
    <cellStyle name="Normal 5 4 5 3 2" xfId="13691" xr:uid="{CF4F8F70-33BD-4F49-A65C-8B77C6B3DA0F}"/>
    <cellStyle name="Normal 5 4 5 4" xfId="9473" xr:uid="{4C3E962B-F247-4E29-9D72-312793C9DCA3}"/>
    <cellStyle name="Normal 5 4 6" xfId="1347" xr:uid="{00000000-0005-0000-0000-00003E1B0000}"/>
    <cellStyle name="Normal 5 4 6 2" xfId="3577" xr:uid="{00000000-0005-0000-0000-00003F1B0000}"/>
    <cellStyle name="Normal 5 4 6 2 2" xfId="7799" xr:uid="{00000000-0005-0000-0000-0000401B0000}"/>
    <cellStyle name="Normal 5 4 6 2 2 2" xfId="16249" xr:uid="{A9B20675-B290-49AD-BDA1-98E50D4E38BB}"/>
    <cellStyle name="Normal 5 4 6 2 3" xfId="12031" xr:uid="{D2AC1716-DDBC-4D34-A4EA-4DEFBC825341}"/>
    <cellStyle name="Normal 5 4 6 3" xfId="5654" xr:uid="{00000000-0005-0000-0000-0000411B0000}"/>
    <cellStyle name="Normal 5 4 6 3 2" xfId="14104" xr:uid="{AB28CDE9-E410-4581-978B-94B9BDA1F926}"/>
    <cellStyle name="Normal 5 4 6 4" xfId="9886" xr:uid="{6B14805E-E108-4FC2-B3B4-91E7632AF42B}"/>
    <cellStyle name="Normal 5 4 7" xfId="1760" xr:uid="{00000000-0005-0000-0000-0000421B0000}"/>
    <cellStyle name="Normal 5 4 7 2" xfId="3990" xr:uid="{00000000-0005-0000-0000-0000431B0000}"/>
    <cellStyle name="Normal 5 4 7 2 2" xfId="8212" xr:uid="{00000000-0005-0000-0000-0000441B0000}"/>
    <cellStyle name="Normal 5 4 7 2 2 2" xfId="16662" xr:uid="{B2E1D15D-5A92-4ADA-BE20-7736E2716E17}"/>
    <cellStyle name="Normal 5 4 7 2 3" xfId="12444" xr:uid="{4EB83993-7CEC-424D-B13A-A83D7AC499C8}"/>
    <cellStyle name="Normal 5 4 7 3" xfId="6067" xr:uid="{00000000-0005-0000-0000-0000451B0000}"/>
    <cellStyle name="Normal 5 4 7 3 2" xfId="14517" xr:uid="{DC675FE6-AE15-4901-9F8D-126AA7C587AC}"/>
    <cellStyle name="Normal 5 4 7 4" xfId="10299" xr:uid="{87841441-C57F-4CC9-AF90-2DFF57A26C3A}"/>
    <cellStyle name="Normal 5 4 8" xfId="2174" xr:uid="{00000000-0005-0000-0000-0000461B0000}"/>
    <cellStyle name="Normal 5 4 8 2" xfId="4403" xr:uid="{00000000-0005-0000-0000-0000471B0000}"/>
    <cellStyle name="Normal 5 4 8 2 2" xfId="8625" xr:uid="{00000000-0005-0000-0000-0000481B0000}"/>
    <cellStyle name="Normal 5 4 8 2 2 2" xfId="17075" xr:uid="{03AFB68D-FEB0-4E15-ADEF-AAEF622CAD8C}"/>
    <cellStyle name="Normal 5 4 8 2 3" xfId="12857" xr:uid="{3FE25B41-5AD2-4BC2-8F0C-57DA9E204E4D}"/>
    <cellStyle name="Normal 5 4 8 3" xfId="6480" xr:uid="{00000000-0005-0000-0000-0000491B0000}"/>
    <cellStyle name="Normal 5 4 8 3 2" xfId="14930" xr:uid="{D199E8A7-EB45-4A71-930A-AB86D4AB440A}"/>
    <cellStyle name="Normal 5 4 8 4" xfId="10712" xr:uid="{B2686635-D598-45F5-80C8-03A140CFED1C}"/>
    <cellStyle name="Normal 5 4 9" xfId="2610" xr:uid="{00000000-0005-0000-0000-00004A1B0000}"/>
    <cellStyle name="Normal 5 4 9 2" xfId="6893" xr:uid="{00000000-0005-0000-0000-00004B1B0000}"/>
    <cellStyle name="Normal 5 4 9 2 2" xfId="15343" xr:uid="{635B23EB-A200-4316-9DAB-0CDCC77AD287}"/>
    <cellStyle name="Normal 5 4 9 3" xfId="11125" xr:uid="{57FC3363-ED4E-4519-A8EB-016C60A889CD}"/>
    <cellStyle name="Normal 5 5" xfId="464" xr:uid="{00000000-0005-0000-0000-00004C1B0000}"/>
    <cellStyle name="Normal 5 5 10" xfId="9068" xr:uid="{086D1C70-29B9-4111-B961-9428E6E0A7A2}"/>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DCECC18E-ECA7-479C-855F-3AACCB94BD17}"/>
    <cellStyle name="Normal 5 5 2 2 2 2 3" xfId="11628" xr:uid="{6CAFA31B-B86C-4DF9-9D1B-5151098FEA92}"/>
    <cellStyle name="Normal 5 5 2 2 2 3" xfId="5251" xr:uid="{00000000-0005-0000-0000-0000521B0000}"/>
    <cellStyle name="Normal 5 5 2 2 2 3 2" xfId="13701" xr:uid="{8EA8E960-335C-4413-8BDC-0F1A9351C298}"/>
    <cellStyle name="Normal 5 5 2 2 2 4" xfId="9483" xr:uid="{F9637DEA-FE90-450C-A737-A760B2A2D582}"/>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817D3FCD-0298-46F2-99D6-5B5BD824715F}"/>
    <cellStyle name="Normal 5 5 2 2 3 2 3" xfId="12041" xr:uid="{A336D4F1-D383-4DE4-A58B-BDB8D5E369D9}"/>
    <cellStyle name="Normal 5 5 2 2 3 3" xfId="5664" xr:uid="{00000000-0005-0000-0000-0000561B0000}"/>
    <cellStyle name="Normal 5 5 2 2 3 3 2" xfId="14114" xr:uid="{1880A47B-6719-40C1-A9D8-1CDFA5F1E6BF}"/>
    <cellStyle name="Normal 5 5 2 2 3 4" xfId="9896" xr:uid="{3BB3AA3A-668A-4431-9AF3-FA095B3E7A14}"/>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BD299788-07C0-403A-BA5B-7008F34D8CE9}"/>
    <cellStyle name="Normal 5 5 2 2 4 2 3" xfId="12454" xr:uid="{FA705451-F463-4365-AD77-78FEEDC31DE8}"/>
    <cellStyle name="Normal 5 5 2 2 4 3" xfId="6077" xr:uid="{00000000-0005-0000-0000-00005A1B0000}"/>
    <cellStyle name="Normal 5 5 2 2 4 3 2" xfId="14527" xr:uid="{0D55A3B7-E39A-4191-8CB4-7385E14B7713}"/>
    <cellStyle name="Normal 5 5 2 2 4 4" xfId="10309" xr:uid="{A5F766F3-A6EC-4EF1-9E77-DFA15462846B}"/>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43115DC7-09DD-4D79-85EB-4A32D98B2EC0}"/>
    <cellStyle name="Normal 5 5 2 2 5 2 3" xfId="12867" xr:uid="{54534E38-0B38-430F-95D6-B5E2BBBC11C7}"/>
    <cellStyle name="Normal 5 5 2 2 5 3" xfId="6490" xr:uid="{00000000-0005-0000-0000-00005E1B0000}"/>
    <cellStyle name="Normal 5 5 2 2 5 3 2" xfId="14940" xr:uid="{121DCAA8-5D0E-4C79-81BE-1C34CF4A7BE6}"/>
    <cellStyle name="Normal 5 5 2 2 5 4" xfId="10722" xr:uid="{07DA835F-2851-429F-80EF-5FECC3C8A46D}"/>
    <cellStyle name="Normal 5 5 2 2 6" xfId="2620" xr:uid="{00000000-0005-0000-0000-00005F1B0000}"/>
    <cellStyle name="Normal 5 5 2 2 6 2" xfId="6903" xr:uid="{00000000-0005-0000-0000-0000601B0000}"/>
    <cellStyle name="Normal 5 5 2 2 6 2 2" xfId="15353" xr:uid="{699BCE32-519A-4C35-81B0-A097B422C20F}"/>
    <cellStyle name="Normal 5 5 2 2 6 3" xfId="11135" xr:uid="{F02D5DD0-87BD-4D04-B54B-5AB8D36F455F}"/>
    <cellStyle name="Normal 5 5 2 2 7" xfId="4838" xr:uid="{00000000-0005-0000-0000-0000611B0000}"/>
    <cellStyle name="Normal 5 5 2 2 7 2" xfId="13288" xr:uid="{C077C0AD-DCFE-4B59-8FBA-CBA72E28C118}"/>
    <cellStyle name="Normal 5 5 2 2 8" xfId="9070" xr:uid="{B2F7D0FD-60C6-4D0B-8726-90BA12142BF9}"/>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BA319FE1-885A-45E7-B435-142A8EA882F0}"/>
    <cellStyle name="Normal 5 5 2 3 2 3" xfId="11627" xr:uid="{D90BD000-2804-4562-B236-25189B287CC1}"/>
    <cellStyle name="Normal 5 5 2 3 3" xfId="5250" xr:uid="{00000000-0005-0000-0000-0000651B0000}"/>
    <cellStyle name="Normal 5 5 2 3 3 2" xfId="13700" xr:uid="{BFD90DA8-71B9-4316-BE76-2FBDE66A7FFD}"/>
    <cellStyle name="Normal 5 5 2 3 4" xfId="9482" xr:uid="{4DDA243A-C89B-43CE-A3F6-C47B893A919C}"/>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7D4ED11E-1913-4537-95FE-FD3991F5125E}"/>
    <cellStyle name="Normal 5 5 2 4 2 3" xfId="12040" xr:uid="{3CB2A9AD-D927-47CF-9476-53D4F195BC36}"/>
    <cellStyle name="Normal 5 5 2 4 3" xfId="5663" xr:uid="{00000000-0005-0000-0000-0000691B0000}"/>
    <cellStyle name="Normal 5 5 2 4 3 2" xfId="14113" xr:uid="{EED85726-D0A8-44DB-9F45-BDD61F4F88BE}"/>
    <cellStyle name="Normal 5 5 2 4 4" xfId="9895" xr:uid="{BAAD0978-2B3D-4118-A98C-EF4A9E20AAF8}"/>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5B81E14B-20D9-4C6E-8CE4-D94C56C1BD72}"/>
    <cellStyle name="Normal 5 5 2 5 2 3" xfId="12453" xr:uid="{F8D14D5A-E377-424D-874D-FB6B17DBF267}"/>
    <cellStyle name="Normal 5 5 2 5 3" xfId="6076" xr:uid="{00000000-0005-0000-0000-00006D1B0000}"/>
    <cellStyle name="Normal 5 5 2 5 3 2" xfId="14526" xr:uid="{2B2A7831-5167-4D15-8D36-670B12493490}"/>
    <cellStyle name="Normal 5 5 2 5 4" xfId="10308" xr:uid="{98BCB193-A777-4A34-8B2F-89D3723A9EC8}"/>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93835A05-166F-4AF7-9E41-BAB1827E991F}"/>
    <cellStyle name="Normal 5 5 2 6 2 3" xfId="12866" xr:uid="{240006C2-84E9-4472-9557-F66CA074E337}"/>
    <cellStyle name="Normal 5 5 2 6 3" xfId="6489" xr:uid="{00000000-0005-0000-0000-0000711B0000}"/>
    <cellStyle name="Normal 5 5 2 6 3 2" xfId="14939" xr:uid="{244325F7-629F-4FF2-A8D6-A7C207A04945}"/>
    <cellStyle name="Normal 5 5 2 6 4" xfId="10721" xr:uid="{B8955C8E-671C-489C-B393-0CB46384AAC2}"/>
    <cellStyle name="Normal 5 5 2 7" xfId="2619" xr:uid="{00000000-0005-0000-0000-0000721B0000}"/>
    <cellStyle name="Normal 5 5 2 7 2" xfId="6902" xr:uid="{00000000-0005-0000-0000-0000731B0000}"/>
    <cellStyle name="Normal 5 5 2 7 2 2" xfId="15352" xr:uid="{89551085-39C0-40F0-A949-8EC07D73D2B8}"/>
    <cellStyle name="Normal 5 5 2 7 3" xfId="11134" xr:uid="{DFF33C49-0F56-4563-8180-E05044401DE8}"/>
    <cellStyle name="Normal 5 5 2 8" xfId="4837" xr:uid="{00000000-0005-0000-0000-0000741B0000}"/>
    <cellStyle name="Normal 5 5 2 8 2" xfId="13287" xr:uid="{86272F66-EC81-4F6E-BEF4-DE17682AF534}"/>
    <cellStyle name="Normal 5 5 2 9" xfId="9069" xr:uid="{EE86FC22-7301-41FD-ACDB-036035EA99FE}"/>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B12F6B43-7846-4A40-8E7E-900DF50E2D9B}"/>
    <cellStyle name="Normal 5 5 3 2 2 3" xfId="11629" xr:uid="{F9F9BE2A-A0D5-4DDB-8E97-B7E155773BA3}"/>
    <cellStyle name="Normal 5 5 3 2 3" xfId="5252" xr:uid="{00000000-0005-0000-0000-0000791B0000}"/>
    <cellStyle name="Normal 5 5 3 2 3 2" xfId="13702" xr:uid="{A082DAD6-3464-4AF9-9F78-96055E2AE9AE}"/>
    <cellStyle name="Normal 5 5 3 2 4" xfId="9484" xr:uid="{9ABA2E54-79E6-42F1-9D0F-F8B6D89E57EC}"/>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E421494F-E817-4F12-8CEC-54516ACE48DC}"/>
    <cellStyle name="Normal 5 5 3 3 2 3" xfId="12042" xr:uid="{A03DD5B3-BB8A-4110-BC7A-5F16DFC82C71}"/>
    <cellStyle name="Normal 5 5 3 3 3" xfId="5665" xr:uid="{00000000-0005-0000-0000-00007D1B0000}"/>
    <cellStyle name="Normal 5 5 3 3 3 2" xfId="14115" xr:uid="{FBDD461C-B9B1-400D-9D1A-E893583342EC}"/>
    <cellStyle name="Normal 5 5 3 3 4" xfId="9897" xr:uid="{4ACA6F6C-6504-48D1-A37A-3987FB9B52A3}"/>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088B6769-9E97-4126-BACA-6105881B948A}"/>
    <cellStyle name="Normal 5 5 3 4 2 3" xfId="12455" xr:uid="{745CEA47-CA02-4664-8429-F2DD3AA73D7B}"/>
    <cellStyle name="Normal 5 5 3 4 3" xfId="6078" xr:uid="{00000000-0005-0000-0000-0000811B0000}"/>
    <cellStyle name="Normal 5 5 3 4 3 2" xfId="14528" xr:uid="{6E4E07D2-D0C0-4937-BABE-9A7B91A816FB}"/>
    <cellStyle name="Normal 5 5 3 4 4" xfId="10310" xr:uid="{09A7FA58-A7B6-4166-8739-6B092A16E2B7}"/>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46FE48BC-FB33-4BEF-81B9-922B2DF5BAD1}"/>
    <cellStyle name="Normal 5 5 3 5 2 3" xfId="12868" xr:uid="{C831C6AD-F93C-4703-9D86-9603DC4DA51C}"/>
    <cellStyle name="Normal 5 5 3 5 3" xfId="6491" xr:uid="{00000000-0005-0000-0000-0000851B0000}"/>
    <cellStyle name="Normal 5 5 3 5 3 2" xfId="14941" xr:uid="{C36920BA-CF8F-40DC-B84B-5605F111EF29}"/>
    <cellStyle name="Normal 5 5 3 5 4" xfId="10723" xr:uid="{FF05D9C9-9F02-43A6-9850-C2C8912E45C1}"/>
    <cellStyle name="Normal 5 5 3 6" xfId="2621" xr:uid="{00000000-0005-0000-0000-0000861B0000}"/>
    <cellStyle name="Normal 5 5 3 6 2" xfId="6904" xr:uid="{00000000-0005-0000-0000-0000871B0000}"/>
    <cellStyle name="Normal 5 5 3 6 2 2" xfId="15354" xr:uid="{5EAC5E37-8927-48F3-96C8-CC8C438B2A86}"/>
    <cellStyle name="Normal 5 5 3 6 3" xfId="11136" xr:uid="{E29C96F0-4F49-43E6-9061-2A8B1D777352}"/>
    <cellStyle name="Normal 5 5 3 7" xfId="4839" xr:uid="{00000000-0005-0000-0000-0000881B0000}"/>
    <cellStyle name="Normal 5 5 3 7 2" xfId="13289" xr:uid="{37908986-38F4-4BED-9B3B-1EC8024CFC24}"/>
    <cellStyle name="Normal 5 5 3 8" xfId="9071" xr:uid="{12B81BD1-AB45-44E4-A296-6189C3604C51}"/>
    <cellStyle name="Normal 5 5 4" xfId="938" xr:uid="{00000000-0005-0000-0000-0000891B0000}"/>
    <cellStyle name="Normal 5 5 4 2" xfId="3172" xr:uid="{00000000-0005-0000-0000-00008A1B0000}"/>
    <cellStyle name="Normal 5 5 4 2 2" xfId="7394" xr:uid="{00000000-0005-0000-0000-00008B1B0000}"/>
    <cellStyle name="Normal 5 5 4 2 2 2" xfId="15844" xr:uid="{40E4D388-0416-4850-AB00-66BBC8C01D5B}"/>
    <cellStyle name="Normal 5 5 4 2 3" xfId="11626" xr:uid="{7D00CA9C-EDC0-483F-982C-930E9DB9F8EA}"/>
    <cellStyle name="Normal 5 5 4 3" xfId="5249" xr:uid="{00000000-0005-0000-0000-00008C1B0000}"/>
    <cellStyle name="Normal 5 5 4 3 2" xfId="13699" xr:uid="{B9D37D82-F615-44DD-8221-826F503C98BC}"/>
    <cellStyle name="Normal 5 5 4 4" xfId="9481" xr:uid="{B2A763EE-E29E-4463-BF9C-03E00ACA3FC5}"/>
    <cellStyle name="Normal 5 5 5" xfId="1355" xr:uid="{00000000-0005-0000-0000-00008D1B0000}"/>
    <cellStyle name="Normal 5 5 5 2" xfId="3585" xr:uid="{00000000-0005-0000-0000-00008E1B0000}"/>
    <cellStyle name="Normal 5 5 5 2 2" xfId="7807" xr:uid="{00000000-0005-0000-0000-00008F1B0000}"/>
    <cellStyle name="Normal 5 5 5 2 2 2" xfId="16257" xr:uid="{0D95749A-3049-46B3-8CD2-ECE0F8BBE216}"/>
    <cellStyle name="Normal 5 5 5 2 3" xfId="12039" xr:uid="{0F34A48D-EBC7-4849-8697-BD2E6CEA58CC}"/>
    <cellStyle name="Normal 5 5 5 3" xfId="5662" xr:uid="{00000000-0005-0000-0000-0000901B0000}"/>
    <cellStyle name="Normal 5 5 5 3 2" xfId="14112" xr:uid="{46E73DEA-4724-4C5B-830E-EC93763FC639}"/>
    <cellStyle name="Normal 5 5 5 4" xfId="9894" xr:uid="{A2387A03-E1AC-4A99-A6E7-97AB31CC1E4A}"/>
    <cellStyle name="Normal 5 5 6" xfId="1768" xr:uid="{00000000-0005-0000-0000-0000911B0000}"/>
    <cellStyle name="Normal 5 5 6 2" xfId="3998" xr:uid="{00000000-0005-0000-0000-0000921B0000}"/>
    <cellStyle name="Normal 5 5 6 2 2" xfId="8220" xr:uid="{00000000-0005-0000-0000-0000931B0000}"/>
    <cellStyle name="Normal 5 5 6 2 2 2" xfId="16670" xr:uid="{733A3732-7D8F-4469-8E8D-FB324FF6558E}"/>
    <cellStyle name="Normal 5 5 6 2 3" xfId="12452" xr:uid="{6B585A11-22ED-4D62-8AF0-ED71DE069A12}"/>
    <cellStyle name="Normal 5 5 6 3" xfId="6075" xr:uid="{00000000-0005-0000-0000-0000941B0000}"/>
    <cellStyle name="Normal 5 5 6 3 2" xfId="14525" xr:uid="{EEC64F30-E35C-4BE5-B36D-4F68A15EEA66}"/>
    <cellStyle name="Normal 5 5 6 4" xfId="10307" xr:uid="{5F4BAB52-261D-4205-8296-9293A77E734B}"/>
    <cellStyle name="Normal 5 5 7" xfId="2182" xr:uid="{00000000-0005-0000-0000-0000951B0000}"/>
    <cellStyle name="Normal 5 5 7 2" xfId="4411" xr:uid="{00000000-0005-0000-0000-0000961B0000}"/>
    <cellStyle name="Normal 5 5 7 2 2" xfId="8633" xr:uid="{00000000-0005-0000-0000-0000971B0000}"/>
    <cellStyle name="Normal 5 5 7 2 2 2" xfId="17083" xr:uid="{C28BC80D-9C98-47D9-A2D1-AA7430AF87E8}"/>
    <cellStyle name="Normal 5 5 7 2 3" xfId="12865" xr:uid="{51233854-2462-4CFF-A22D-6A5242B1BD20}"/>
    <cellStyle name="Normal 5 5 7 3" xfId="6488" xr:uid="{00000000-0005-0000-0000-0000981B0000}"/>
    <cellStyle name="Normal 5 5 7 3 2" xfId="14938" xr:uid="{500CA8B7-EC9C-469B-9465-0E19E2DE6C79}"/>
    <cellStyle name="Normal 5 5 7 4" xfId="10720" xr:uid="{BF553968-63D2-4BAF-9716-06C15ADFBF34}"/>
    <cellStyle name="Normal 5 5 8" xfId="2618" xr:uid="{00000000-0005-0000-0000-0000991B0000}"/>
    <cellStyle name="Normal 5 5 8 2" xfId="6901" xr:uid="{00000000-0005-0000-0000-00009A1B0000}"/>
    <cellStyle name="Normal 5 5 8 2 2" xfId="15351" xr:uid="{F6B769DD-7568-49B9-9C66-AAB835F8F2E7}"/>
    <cellStyle name="Normal 5 5 8 3" xfId="11133" xr:uid="{CED4EC4C-8E4A-419D-B6BC-9F625C922BE8}"/>
    <cellStyle name="Normal 5 5 9" xfId="4836" xr:uid="{00000000-0005-0000-0000-00009B1B0000}"/>
    <cellStyle name="Normal 5 5 9 2" xfId="13286" xr:uid="{919A780C-FB2E-4508-B610-B20241240A41}"/>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AAE91765-E771-4A10-BA34-BE3E8EBFF2B0}"/>
    <cellStyle name="Normal 5 6 2 2 2 3" xfId="11631" xr:uid="{E3B54919-CDB5-436F-8C4E-439289346757}"/>
    <cellStyle name="Normal 5 6 2 2 3" xfId="5254" xr:uid="{00000000-0005-0000-0000-0000A11B0000}"/>
    <cellStyle name="Normal 5 6 2 2 3 2" xfId="13704" xr:uid="{F66267B2-3612-486C-9349-7E490C8F5D71}"/>
    <cellStyle name="Normal 5 6 2 2 4" xfId="9486" xr:uid="{21D94046-9E1A-498A-B66F-B3978A257916}"/>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A92B4AAD-1511-4A3F-8EC7-DF0A419BED08}"/>
    <cellStyle name="Normal 5 6 2 3 2 3" xfId="12044" xr:uid="{F227781B-5DE0-435E-92A1-A7D5109341F7}"/>
    <cellStyle name="Normal 5 6 2 3 3" xfId="5667" xr:uid="{00000000-0005-0000-0000-0000A51B0000}"/>
    <cellStyle name="Normal 5 6 2 3 3 2" xfId="14117" xr:uid="{49A905C3-2565-48A9-B870-60588D0C86E0}"/>
    <cellStyle name="Normal 5 6 2 3 4" xfId="9899" xr:uid="{DBD04724-FB4A-4091-B4AA-2C73F572E11A}"/>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3CD1DD87-2155-42F8-8661-B2FD99120017}"/>
    <cellStyle name="Normal 5 6 2 4 2 3" xfId="12457" xr:uid="{4750188A-746B-4167-A047-4A27A08C5CF4}"/>
    <cellStyle name="Normal 5 6 2 4 3" xfId="6080" xr:uid="{00000000-0005-0000-0000-0000A91B0000}"/>
    <cellStyle name="Normal 5 6 2 4 3 2" xfId="14530" xr:uid="{D515AD2E-3DCE-43F5-8FA2-DE41CAFC799E}"/>
    <cellStyle name="Normal 5 6 2 4 4" xfId="10312" xr:uid="{F272E817-4361-4B87-AC5B-9D6B7297326F}"/>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73440B10-2AF5-44F6-808F-D1E7BC6432D5}"/>
    <cellStyle name="Normal 5 6 2 5 2 3" xfId="12870" xr:uid="{F2D82C26-1AA9-4D08-B402-2B708CA8DD03}"/>
    <cellStyle name="Normal 5 6 2 5 3" xfId="6493" xr:uid="{00000000-0005-0000-0000-0000AD1B0000}"/>
    <cellStyle name="Normal 5 6 2 5 3 2" xfId="14943" xr:uid="{D42A52A1-24C1-4A53-AFA9-878EE1A741C4}"/>
    <cellStyle name="Normal 5 6 2 5 4" xfId="10725" xr:uid="{BDF64638-4E50-4A8A-8349-A950F14BBE19}"/>
    <cellStyle name="Normal 5 6 2 6" xfId="2623" xr:uid="{00000000-0005-0000-0000-0000AE1B0000}"/>
    <cellStyle name="Normal 5 6 2 6 2" xfId="6906" xr:uid="{00000000-0005-0000-0000-0000AF1B0000}"/>
    <cellStyle name="Normal 5 6 2 6 2 2" xfId="15356" xr:uid="{F772DB5F-0FEE-4CB2-9AB4-45B6AE349773}"/>
    <cellStyle name="Normal 5 6 2 6 3" xfId="11138" xr:uid="{E6EBFE3D-DD99-44B6-8FD0-5BB9544E0F79}"/>
    <cellStyle name="Normal 5 6 2 7" xfId="4841" xr:uid="{00000000-0005-0000-0000-0000B01B0000}"/>
    <cellStyle name="Normal 5 6 2 7 2" xfId="13291" xr:uid="{6DC05DB3-C05E-4AE2-9497-3B18625CE662}"/>
    <cellStyle name="Normal 5 6 2 8" xfId="9073" xr:uid="{5A250805-7470-47E5-BEDF-1FFAE70997BD}"/>
    <cellStyle name="Normal 5 6 3" xfId="942" xr:uid="{00000000-0005-0000-0000-0000B11B0000}"/>
    <cellStyle name="Normal 5 6 3 2" xfId="3176" xr:uid="{00000000-0005-0000-0000-0000B21B0000}"/>
    <cellStyle name="Normal 5 6 3 2 2" xfId="7398" xr:uid="{00000000-0005-0000-0000-0000B31B0000}"/>
    <cellStyle name="Normal 5 6 3 2 2 2" xfId="15848" xr:uid="{1D074DCB-8548-4F8D-8CD6-439793A146B2}"/>
    <cellStyle name="Normal 5 6 3 2 3" xfId="11630" xr:uid="{377B51E1-B66F-47E4-B5F2-85018BCB01A4}"/>
    <cellStyle name="Normal 5 6 3 3" xfId="5253" xr:uid="{00000000-0005-0000-0000-0000B41B0000}"/>
    <cellStyle name="Normal 5 6 3 3 2" xfId="13703" xr:uid="{5AED9BC6-0710-481E-9F01-ACCF093B3B13}"/>
    <cellStyle name="Normal 5 6 3 4" xfId="9485" xr:uid="{FDFF448B-C28C-4B34-A921-C0CCF05F6921}"/>
    <cellStyle name="Normal 5 6 4" xfId="1359" xr:uid="{00000000-0005-0000-0000-0000B51B0000}"/>
    <cellStyle name="Normal 5 6 4 2" xfId="3589" xr:uid="{00000000-0005-0000-0000-0000B61B0000}"/>
    <cellStyle name="Normal 5 6 4 2 2" xfId="7811" xr:uid="{00000000-0005-0000-0000-0000B71B0000}"/>
    <cellStyle name="Normal 5 6 4 2 2 2" xfId="16261" xr:uid="{A01BED14-5268-4D60-B77D-850C236FF1FF}"/>
    <cellStyle name="Normal 5 6 4 2 3" xfId="12043" xr:uid="{F683C805-64FB-479A-8706-4D34F46D68A4}"/>
    <cellStyle name="Normal 5 6 4 3" xfId="5666" xr:uid="{00000000-0005-0000-0000-0000B81B0000}"/>
    <cellStyle name="Normal 5 6 4 3 2" xfId="14116" xr:uid="{7515FF8C-607F-4EA6-A095-94CA6EE2603C}"/>
    <cellStyle name="Normal 5 6 4 4" xfId="9898" xr:uid="{E9E1A346-F0DB-4902-AA9A-5BFD663B16EE}"/>
    <cellStyle name="Normal 5 6 5" xfId="1772" xr:uid="{00000000-0005-0000-0000-0000B91B0000}"/>
    <cellStyle name="Normal 5 6 5 2" xfId="4002" xr:uid="{00000000-0005-0000-0000-0000BA1B0000}"/>
    <cellStyle name="Normal 5 6 5 2 2" xfId="8224" xr:uid="{00000000-0005-0000-0000-0000BB1B0000}"/>
    <cellStyle name="Normal 5 6 5 2 2 2" xfId="16674" xr:uid="{C5C1EE0D-8AB4-4C92-B5CC-C428F464F33A}"/>
    <cellStyle name="Normal 5 6 5 2 3" xfId="12456" xr:uid="{F0936608-A51C-4631-983E-BBCE89540A12}"/>
    <cellStyle name="Normal 5 6 5 3" xfId="6079" xr:uid="{00000000-0005-0000-0000-0000BC1B0000}"/>
    <cellStyle name="Normal 5 6 5 3 2" xfId="14529" xr:uid="{58604FC6-9C55-4075-85AF-AA12239F7B97}"/>
    <cellStyle name="Normal 5 6 5 4" xfId="10311" xr:uid="{A499E6F5-E159-4147-8DFD-4DA4CA9AF303}"/>
    <cellStyle name="Normal 5 6 6" xfId="2186" xr:uid="{00000000-0005-0000-0000-0000BD1B0000}"/>
    <cellStyle name="Normal 5 6 6 2" xfId="4415" xr:uid="{00000000-0005-0000-0000-0000BE1B0000}"/>
    <cellStyle name="Normal 5 6 6 2 2" xfId="8637" xr:uid="{00000000-0005-0000-0000-0000BF1B0000}"/>
    <cellStyle name="Normal 5 6 6 2 2 2" xfId="17087" xr:uid="{677B6657-B57A-4BD9-896D-766E1855059B}"/>
    <cellStyle name="Normal 5 6 6 2 3" xfId="12869" xr:uid="{5F897407-1B8F-48E1-9A15-ECDDF87C8040}"/>
    <cellStyle name="Normal 5 6 6 3" xfId="6492" xr:uid="{00000000-0005-0000-0000-0000C01B0000}"/>
    <cellStyle name="Normal 5 6 6 3 2" xfId="14942" xr:uid="{DC6DEE59-9F21-4E30-B8F7-FA3B0F0D3B10}"/>
    <cellStyle name="Normal 5 6 6 4" xfId="10724" xr:uid="{77649D2E-8FF7-4B0B-AC95-52A2CECD6C97}"/>
    <cellStyle name="Normal 5 6 7" xfId="2622" xr:uid="{00000000-0005-0000-0000-0000C11B0000}"/>
    <cellStyle name="Normal 5 6 7 2" xfId="6905" xr:uid="{00000000-0005-0000-0000-0000C21B0000}"/>
    <cellStyle name="Normal 5 6 7 2 2" xfId="15355" xr:uid="{59017968-FD50-41FA-91A3-1616CE1A138C}"/>
    <cellStyle name="Normal 5 6 7 3" xfId="11137" xr:uid="{5A22EAB3-603D-4A02-8171-D9F08E510658}"/>
    <cellStyle name="Normal 5 6 8" xfId="4840" xr:uid="{00000000-0005-0000-0000-0000C31B0000}"/>
    <cellStyle name="Normal 5 6 8 2" xfId="13290" xr:uid="{458F9C43-1329-43C3-ADB7-DB40088B64CD}"/>
    <cellStyle name="Normal 5 6 9" xfId="9072" xr:uid="{EBC0764E-3CAB-4014-8E1F-09685B0341C3}"/>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0D34DE88-5843-492F-81D1-D43A701DB698}"/>
    <cellStyle name="Normal 5 7 2 2 3" xfId="11632" xr:uid="{D1E5B4DE-A41B-48D5-AFCD-E09303F932B5}"/>
    <cellStyle name="Normal 5 7 2 3" xfId="5255" xr:uid="{00000000-0005-0000-0000-0000C81B0000}"/>
    <cellStyle name="Normal 5 7 2 3 2" xfId="13705" xr:uid="{0B4FD75C-399C-4264-8BD3-F36E4B102E9A}"/>
    <cellStyle name="Normal 5 7 2 4" xfId="9487" xr:uid="{7B9EEB1A-EBD7-4FC5-9A59-2ED919760988}"/>
    <cellStyle name="Normal 5 7 3" xfId="1361" xr:uid="{00000000-0005-0000-0000-0000C91B0000}"/>
    <cellStyle name="Normal 5 7 3 2" xfId="3591" xr:uid="{00000000-0005-0000-0000-0000CA1B0000}"/>
    <cellStyle name="Normal 5 7 3 2 2" xfId="7813" xr:uid="{00000000-0005-0000-0000-0000CB1B0000}"/>
    <cellStyle name="Normal 5 7 3 2 2 2" xfId="16263" xr:uid="{C8B5A023-3C49-4C2C-9110-697F63856EBE}"/>
    <cellStyle name="Normal 5 7 3 2 3" xfId="12045" xr:uid="{36E0206D-9E9D-429C-A23F-5051B1476BC7}"/>
    <cellStyle name="Normal 5 7 3 3" xfId="5668" xr:uid="{00000000-0005-0000-0000-0000CC1B0000}"/>
    <cellStyle name="Normal 5 7 3 3 2" xfId="14118" xr:uid="{9AD7E98A-ED7E-419B-9D91-8B36ED19C0A7}"/>
    <cellStyle name="Normal 5 7 3 4" xfId="9900" xr:uid="{A710D88B-899D-4D53-A3E0-0C970ABF8392}"/>
    <cellStyle name="Normal 5 7 4" xfId="1774" xr:uid="{00000000-0005-0000-0000-0000CD1B0000}"/>
    <cellStyle name="Normal 5 7 4 2" xfId="4004" xr:uid="{00000000-0005-0000-0000-0000CE1B0000}"/>
    <cellStyle name="Normal 5 7 4 2 2" xfId="8226" xr:uid="{00000000-0005-0000-0000-0000CF1B0000}"/>
    <cellStyle name="Normal 5 7 4 2 2 2" xfId="16676" xr:uid="{1ED3711F-8577-47E9-ADF8-325A143FA0DB}"/>
    <cellStyle name="Normal 5 7 4 2 3" xfId="12458" xr:uid="{F6752A09-1222-4904-9731-D3236733B0D5}"/>
    <cellStyle name="Normal 5 7 4 3" xfId="6081" xr:uid="{00000000-0005-0000-0000-0000D01B0000}"/>
    <cellStyle name="Normal 5 7 4 3 2" xfId="14531" xr:uid="{2D6B37B6-25AC-4CB7-833A-DDD9DEB23372}"/>
    <cellStyle name="Normal 5 7 4 4" xfId="10313" xr:uid="{97D8DF6E-8BE8-4E14-8F8D-8274A8A633D2}"/>
    <cellStyle name="Normal 5 7 5" xfId="2188" xr:uid="{00000000-0005-0000-0000-0000D11B0000}"/>
    <cellStyle name="Normal 5 7 5 2" xfId="4417" xr:uid="{00000000-0005-0000-0000-0000D21B0000}"/>
    <cellStyle name="Normal 5 7 5 2 2" xfId="8639" xr:uid="{00000000-0005-0000-0000-0000D31B0000}"/>
    <cellStyle name="Normal 5 7 5 2 2 2" xfId="17089" xr:uid="{CA56AD6A-5299-456E-823D-8130BB878C54}"/>
    <cellStyle name="Normal 5 7 5 2 3" xfId="12871" xr:uid="{31BC9D22-5645-417B-AECE-4AB50BEB54BC}"/>
    <cellStyle name="Normal 5 7 5 3" xfId="6494" xr:uid="{00000000-0005-0000-0000-0000D41B0000}"/>
    <cellStyle name="Normal 5 7 5 3 2" xfId="14944" xr:uid="{23E29E50-CDE9-427A-B4B8-B60B9FD06590}"/>
    <cellStyle name="Normal 5 7 5 4" xfId="10726" xr:uid="{0558E245-71D3-428D-BB92-DDDC0EBF7735}"/>
    <cellStyle name="Normal 5 7 6" xfId="2624" xr:uid="{00000000-0005-0000-0000-0000D51B0000}"/>
    <cellStyle name="Normal 5 7 6 2" xfId="6907" xr:uid="{00000000-0005-0000-0000-0000D61B0000}"/>
    <cellStyle name="Normal 5 7 6 2 2" xfId="15357" xr:uid="{637B8E0F-CBA5-44DA-BCF2-828BEC90B897}"/>
    <cellStyle name="Normal 5 7 6 3" xfId="11139" xr:uid="{A44285C8-1312-44C6-BC5A-9AF65E296A3B}"/>
    <cellStyle name="Normal 5 7 7" xfId="4842" xr:uid="{00000000-0005-0000-0000-0000D71B0000}"/>
    <cellStyle name="Normal 5 7 7 2" xfId="13292" xr:uid="{89E0C037-D388-482E-A939-59A831DF84D6}"/>
    <cellStyle name="Normal 5 7 8" xfId="9074" xr:uid="{00555F7A-50D0-4770-A29A-EDA1EDBA719F}"/>
    <cellStyle name="Normal 5 8" xfId="880" xr:uid="{00000000-0005-0000-0000-0000D81B0000}"/>
    <cellStyle name="Normal 5 8 2" xfId="3115" xr:uid="{00000000-0005-0000-0000-0000D91B0000}"/>
    <cellStyle name="Normal 5 8 2 2" xfId="7337" xr:uid="{00000000-0005-0000-0000-0000DA1B0000}"/>
    <cellStyle name="Normal 5 8 2 2 2" xfId="15787" xr:uid="{6402A91B-9725-46E7-A0E8-D779CA363B6B}"/>
    <cellStyle name="Normal 5 8 2 3" xfId="11569" xr:uid="{C9D166B2-8EB6-496F-BB63-47274EEA9478}"/>
    <cellStyle name="Normal 5 8 3" xfId="5192" xr:uid="{00000000-0005-0000-0000-0000DB1B0000}"/>
    <cellStyle name="Normal 5 8 3 2" xfId="13642" xr:uid="{84CC015B-C31B-4209-9B9F-1851854C6940}"/>
    <cellStyle name="Normal 5 8 4" xfId="9424" xr:uid="{8655555E-D059-4133-A078-E8FC768E0BF4}"/>
    <cellStyle name="Normal 5 9" xfId="1298" xr:uid="{00000000-0005-0000-0000-0000DC1B0000}"/>
    <cellStyle name="Normal 5 9 2" xfId="3528" xr:uid="{00000000-0005-0000-0000-0000DD1B0000}"/>
    <cellStyle name="Normal 5 9 2 2" xfId="7750" xr:uid="{00000000-0005-0000-0000-0000DE1B0000}"/>
    <cellStyle name="Normal 5 9 2 2 2" xfId="16200" xr:uid="{B3557EC3-83EC-4FD7-BECE-C1A2FC5B9635}"/>
    <cellStyle name="Normal 5 9 2 3" xfId="11982" xr:uid="{0AFB484B-2B2C-4335-9867-596ADFC1EF32}"/>
    <cellStyle name="Normal 5 9 3" xfId="5605" xr:uid="{00000000-0005-0000-0000-0000DF1B0000}"/>
    <cellStyle name="Normal 5 9 3 2" xfId="14055" xr:uid="{9DFDB354-117C-46DD-A217-68BF5B9508B1}"/>
    <cellStyle name="Normal 5 9 4" xfId="9837" xr:uid="{DF0290C3-806D-4312-B672-7AAEB2562593}"/>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969E82EC-A8F1-40BE-BABD-FC95F63642AE}"/>
    <cellStyle name="Normal 8 10 2 3" xfId="12872" xr:uid="{F0CF9621-B8BE-43BE-8BF0-EB74F4FD7F8F}"/>
    <cellStyle name="Normal 8 10 3" xfId="6495" xr:uid="{00000000-0005-0000-0000-0000EB1B0000}"/>
    <cellStyle name="Normal 8 10 3 2" xfId="14945" xr:uid="{FF5D55C8-B426-47C8-AFA3-FB4AD8D4F054}"/>
    <cellStyle name="Normal 8 10 4" xfId="10727" xr:uid="{A4136431-DEFA-4644-8E67-5709AD5D7A5B}"/>
    <cellStyle name="Normal 8 11" xfId="2625" xr:uid="{00000000-0005-0000-0000-0000EC1B0000}"/>
    <cellStyle name="Normal 8 11 2" xfId="6908" xr:uid="{00000000-0005-0000-0000-0000ED1B0000}"/>
    <cellStyle name="Normal 8 11 2 2" xfId="15358" xr:uid="{40731EF0-3E48-47A2-AA96-225915545013}"/>
    <cellStyle name="Normal 8 11 3" xfId="11140" xr:uid="{74AB47A5-C322-45F9-8798-377EA438DBBF}"/>
    <cellStyle name="Normal 8 12" xfId="4843" xr:uid="{00000000-0005-0000-0000-0000EE1B0000}"/>
    <cellStyle name="Normal 8 12 2" xfId="13293" xr:uid="{ACAAB2AD-70EB-42C4-B1EC-892BDBFBA391}"/>
    <cellStyle name="Normal 8 13" xfId="9075" xr:uid="{C1AF4E9C-05A2-4981-98FF-01C232325C7A}"/>
    <cellStyle name="Normal 8 2" xfId="479" xr:uid="{00000000-0005-0000-0000-0000EF1B0000}"/>
    <cellStyle name="Normal 8 2 10" xfId="2626" xr:uid="{00000000-0005-0000-0000-0000F01B0000}"/>
    <cellStyle name="Normal 8 2 10 2" xfId="6909" xr:uid="{00000000-0005-0000-0000-0000F11B0000}"/>
    <cellStyle name="Normal 8 2 10 2 2" xfId="15359" xr:uid="{2A16C846-3A7C-4F14-B815-CAF561549A4E}"/>
    <cellStyle name="Normal 8 2 10 3" xfId="11141" xr:uid="{7A23F67F-D1EC-48A1-9787-701D38039B89}"/>
    <cellStyle name="Normal 8 2 11" xfId="4844" xr:uid="{00000000-0005-0000-0000-0000F21B0000}"/>
    <cellStyle name="Normal 8 2 11 2" xfId="13294" xr:uid="{C8539613-6C93-4079-B6C9-2A937E7AA709}"/>
    <cellStyle name="Normal 8 2 12" xfId="9076" xr:uid="{DF16CA40-04FA-4716-A90C-40759624CB03}"/>
    <cellStyle name="Normal 8 2 2" xfId="480" xr:uid="{00000000-0005-0000-0000-0000F31B0000}"/>
    <cellStyle name="Normal 8 2 2 10" xfId="4845" xr:uid="{00000000-0005-0000-0000-0000F41B0000}"/>
    <cellStyle name="Normal 8 2 2 10 2" xfId="13295" xr:uid="{FE2ED65A-5C4D-4A38-942E-4C868EA3CE76}"/>
    <cellStyle name="Normal 8 2 2 11" xfId="9077" xr:uid="{EB0D887E-CBF5-422E-8755-66FAF8BF0FFA}"/>
    <cellStyle name="Normal 8 2 2 2" xfId="481" xr:uid="{00000000-0005-0000-0000-0000F51B0000}"/>
    <cellStyle name="Normal 8 2 2 2 10" xfId="9078" xr:uid="{AF12909A-4AE5-40AF-ABFA-91E70CC4A409}"/>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671C3DEB-8EC2-4E15-8C89-14F699186D46}"/>
    <cellStyle name="Normal 8 2 2 2 2 2 2 2 3" xfId="11638" xr:uid="{9FA3BAB7-F377-4A77-940D-8A9DA3BC8983}"/>
    <cellStyle name="Normal 8 2 2 2 2 2 2 3" xfId="5261" xr:uid="{00000000-0005-0000-0000-0000FB1B0000}"/>
    <cellStyle name="Normal 8 2 2 2 2 2 2 3 2" xfId="13711" xr:uid="{9E0BBF53-959E-4885-9FC5-8072D7D15793}"/>
    <cellStyle name="Normal 8 2 2 2 2 2 2 4" xfId="9493" xr:uid="{53921EFD-4BCD-41CF-AA1D-940B3D1DF4CE}"/>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63F60928-AE97-4C13-AD14-61043B9B707C}"/>
    <cellStyle name="Normal 8 2 2 2 2 2 3 2 3" xfId="12051" xr:uid="{99E51A9C-D9A6-43BA-B63D-55D4E8E5D00C}"/>
    <cellStyle name="Normal 8 2 2 2 2 2 3 3" xfId="5674" xr:uid="{00000000-0005-0000-0000-0000FF1B0000}"/>
    <cellStyle name="Normal 8 2 2 2 2 2 3 3 2" xfId="14124" xr:uid="{FF2A14BB-8695-4E90-805B-3CAF7206B718}"/>
    <cellStyle name="Normal 8 2 2 2 2 2 3 4" xfId="9906" xr:uid="{CE587DEE-326B-4C58-8E1E-D34F304F33E7}"/>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D196F746-D8E2-4005-A810-599E21435294}"/>
    <cellStyle name="Normal 8 2 2 2 2 2 4 2 3" xfId="12464" xr:uid="{056B297C-D251-4F38-A8C1-B44253416282}"/>
    <cellStyle name="Normal 8 2 2 2 2 2 4 3" xfId="6087" xr:uid="{00000000-0005-0000-0000-0000031C0000}"/>
    <cellStyle name="Normal 8 2 2 2 2 2 4 3 2" xfId="14537" xr:uid="{5F06EBC8-7122-4A25-9912-88B4AB7A5A33}"/>
    <cellStyle name="Normal 8 2 2 2 2 2 4 4" xfId="10319" xr:uid="{86EB5B30-A0EF-4D20-BBCA-0610638F1C0F}"/>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9CDBCAF9-6241-4FC0-9022-8816E1D61032}"/>
    <cellStyle name="Normal 8 2 2 2 2 2 5 2 3" xfId="12877" xr:uid="{B5935DC7-6BC7-4722-ABF5-C6A0A0852176}"/>
    <cellStyle name="Normal 8 2 2 2 2 2 5 3" xfId="6500" xr:uid="{00000000-0005-0000-0000-0000071C0000}"/>
    <cellStyle name="Normal 8 2 2 2 2 2 5 3 2" xfId="14950" xr:uid="{8BB6BFF1-785B-4CD3-A81B-94863F6D2638}"/>
    <cellStyle name="Normal 8 2 2 2 2 2 5 4" xfId="10732" xr:uid="{D9B2C4B6-FA8C-46A6-B217-4C65F51B3ECC}"/>
    <cellStyle name="Normal 8 2 2 2 2 2 6" xfId="2630" xr:uid="{00000000-0005-0000-0000-0000081C0000}"/>
    <cellStyle name="Normal 8 2 2 2 2 2 6 2" xfId="6913" xr:uid="{00000000-0005-0000-0000-0000091C0000}"/>
    <cellStyle name="Normal 8 2 2 2 2 2 6 2 2" xfId="15363" xr:uid="{DBE68F3B-7559-43D6-8554-92855664C7AC}"/>
    <cellStyle name="Normal 8 2 2 2 2 2 6 3" xfId="11145" xr:uid="{7C8A5549-B8F8-40FA-80BC-61C3D37E0B6C}"/>
    <cellStyle name="Normal 8 2 2 2 2 2 7" xfId="4848" xr:uid="{00000000-0005-0000-0000-00000A1C0000}"/>
    <cellStyle name="Normal 8 2 2 2 2 2 7 2" xfId="13298" xr:uid="{3E69CDA3-D068-42D0-ADAC-B35F73793AC7}"/>
    <cellStyle name="Normal 8 2 2 2 2 2 8" xfId="9080" xr:uid="{5DCE849D-9750-4939-8B22-B015798BA76C}"/>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AAC0199D-0CDD-46B7-A96F-22098C210469}"/>
    <cellStyle name="Normal 8 2 2 2 2 3 2 3" xfId="11637" xr:uid="{B713B562-2E6D-4B47-A6C8-2B76D05360D2}"/>
    <cellStyle name="Normal 8 2 2 2 2 3 3" xfId="5260" xr:uid="{00000000-0005-0000-0000-00000E1C0000}"/>
    <cellStyle name="Normal 8 2 2 2 2 3 3 2" xfId="13710" xr:uid="{05065C41-7C4D-471B-97EF-B0A78F6E57E0}"/>
    <cellStyle name="Normal 8 2 2 2 2 3 4" xfId="9492" xr:uid="{DB09B144-A782-4CD8-B3BD-E619646F1AC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EB4F10A8-E91F-4916-B659-2304A9C2D119}"/>
    <cellStyle name="Normal 8 2 2 2 2 4 2 3" xfId="12050" xr:uid="{CDA254FE-C639-4921-BF54-323B9BD6754C}"/>
    <cellStyle name="Normal 8 2 2 2 2 4 3" xfId="5673" xr:uid="{00000000-0005-0000-0000-0000121C0000}"/>
    <cellStyle name="Normal 8 2 2 2 2 4 3 2" xfId="14123" xr:uid="{8120F05E-1ED9-4BE3-9511-CF54D7D952AB}"/>
    <cellStyle name="Normal 8 2 2 2 2 4 4" xfId="9905" xr:uid="{981A1A6D-698C-4D4D-B050-08638FE28A04}"/>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CE2FDBBB-CD97-4E77-ADD5-C3ECFA2CBE6C}"/>
    <cellStyle name="Normal 8 2 2 2 2 5 2 3" xfId="12463" xr:uid="{9785401B-4947-4B61-87E5-224F86FCA37C}"/>
    <cellStyle name="Normal 8 2 2 2 2 5 3" xfId="6086" xr:uid="{00000000-0005-0000-0000-0000161C0000}"/>
    <cellStyle name="Normal 8 2 2 2 2 5 3 2" xfId="14536" xr:uid="{8898B81F-0BD1-462E-AA5B-BECB15A4DFC9}"/>
    <cellStyle name="Normal 8 2 2 2 2 5 4" xfId="10318" xr:uid="{E7452609-5C3B-497E-B7DF-AB71D7A4B1F6}"/>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94362D23-25DC-4AF3-824C-43B1595355D5}"/>
    <cellStyle name="Normal 8 2 2 2 2 6 2 3" xfId="12876" xr:uid="{82AFD16B-C495-4BE2-8553-0AA904C0D974}"/>
    <cellStyle name="Normal 8 2 2 2 2 6 3" xfId="6499" xr:uid="{00000000-0005-0000-0000-00001A1C0000}"/>
    <cellStyle name="Normal 8 2 2 2 2 6 3 2" xfId="14949" xr:uid="{3FEC09AE-6277-4A7F-8928-E5B294172839}"/>
    <cellStyle name="Normal 8 2 2 2 2 6 4" xfId="10731" xr:uid="{A0DE85E8-70E6-4FC7-8A6D-9F298F1D4954}"/>
    <cellStyle name="Normal 8 2 2 2 2 7" xfId="2629" xr:uid="{00000000-0005-0000-0000-00001B1C0000}"/>
    <cellStyle name="Normal 8 2 2 2 2 7 2" xfId="6912" xr:uid="{00000000-0005-0000-0000-00001C1C0000}"/>
    <cellStyle name="Normal 8 2 2 2 2 7 2 2" xfId="15362" xr:uid="{DD802B56-7270-4CD1-A327-95AB69170651}"/>
    <cellStyle name="Normal 8 2 2 2 2 7 3" xfId="11144" xr:uid="{D4F37999-4D0B-43A2-94B9-2991B808B26A}"/>
    <cellStyle name="Normal 8 2 2 2 2 8" xfId="4847" xr:uid="{00000000-0005-0000-0000-00001D1C0000}"/>
    <cellStyle name="Normal 8 2 2 2 2 8 2" xfId="13297" xr:uid="{8295B8FF-4B41-4372-AF0D-76C97E9A1C73}"/>
    <cellStyle name="Normal 8 2 2 2 2 9" xfId="9079" xr:uid="{D695758B-0E5D-4997-9D0C-20CF79E175E7}"/>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F75BFCEF-2FD0-4AA4-9F8D-8E5CC0AC55B0}"/>
    <cellStyle name="Normal 8 2 2 2 3 2 2 3" xfId="11639" xr:uid="{7EEACF2F-BCFD-4CD6-81B0-DBE2D7222008}"/>
    <cellStyle name="Normal 8 2 2 2 3 2 3" xfId="5262" xr:uid="{00000000-0005-0000-0000-0000221C0000}"/>
    <cellStyle name="Normal 8 2 2 2 3 2 3 2" xfId="13712" xr:uid="{0748096F-7BF1-411B-A2D0-90B1FE5C7CA3}"/>
    <cellStyle name="Normal 8 2 2 2 3 2 4" xfId="9494" xr:uid="{91124D9F-3A70-4C05-8397-294B46AB739E}"/>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99ABC7E3-AC8B-4225-B835-2782C4C4D67C}"/>
    <cellStyle name="Normal 8 2 2 2 3 3 2 3" xfId="12052" xr:uid="{653AB8FB-CEC0-45DA-B5D6-20C30F4BEF5A}"/>
    <cellStyle name="Normal 8 2 2 2 3 3 3" xfId="5675" xr:uid="{00000000-0005-0000-0000-0000261C0000}"/>
    <cellStyle name="Normal 8 2 2 2 3 3 3 2" xfId="14125" xr:uid="{778FAF59-9D4D-456F-A255-E58AEAEF60DE}"/>
    <cellStyle name="Normal 8 2 2 2 3 3 4" xfId="9907" xr:uid="{7312E6FD-1967-4345-B759-C94C46CF37B7}"/>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2335E4A8-B0DC-4DB9-9C12-E00C27A0E753}"/>
    <cellStyle name="Normal 8 2 2 2 3 4 2 3" xfId="12465" xr:uid="{FC5A5BC0-E8F5-4FC7-9117-9DBF169E02CE}"/>
    <cellStyle name="Normal 8 2 2 2 3 4 3" xfId="6088" xr:uid="{00000000-0005-0000-0000-00002A1C0000}"/>
    <cellStyle name="Normal 8 2 2 2 3 4 3 2" xfId="14538" xr:uid="{FCBC2A12-F2D1-49EA-B690-C9FC44B117FC}"/>
    <cellStyle name="Normal 8 2 2 2 3 4 4" xfId="10320" xr:uid="{22E00E12-79D7-4348-A26C-7B5BD7D7EEA9}"/>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1D3A9C5E-9821-4C9F-B1C8-948E32A6BE8A}"/>
    <cellStyle name="Normal 8 2 2 2 3 5 2 3" xfId="12878" xr:uid="{9099092E-CC86-4694-A144-7923463B35D6}"/>
    <cellStyle name="Normal 8 2 2 2 3 5 3" xfId="6501" xr:uid="{00000000-0005-0000-0000-00002E1C0000}"/>
    <cellStyle name="Normal 8 2 2 2 3 5 3 2" xfId="14951" xr:uid="{ACDE3191-6946-4F2E-AB6C-7A4149A41082}"/>
    <cellStyle name="Normal 8 2 2 2 3 5 4" xfId="10733" xr:uid="{91E0B3E4-B955-4EF4-9ACD-10591FE962BD}"/>
    <cellStyle name="Normal 8 2 2 2 3 6" xfId="2631" xr:uid="{00000000-0005-0000-0000-00002F1C0000}"/>
    <cellStyle name="Normal 8 2 2 2 3 6 2" xfId="6914" xr:uid="{00000000-0005-0000-0000-0000301C0000}"/>
    <cellStyle name="Normal 8 2 2 2 3 6 2 2" xfId="15364" xr:uid="{A5DBA852-E6A1-4086-861F-9FDE623EF1E4}"/>
    <cellStyle name="Normal 8 2 2 2 3 6 3" xfId="11146" xr:uid="{F56D0994-3C5A-4E1D-BD98-E284F58A9F8E}"/>
    <cellStyle name="Normal 8 2 2 2 3 7" xfId="4849" xr:uid="{00000000-0005-0000-0000-0000311C0000}"/>
    <cellStyle name="Normal 8 2 2 2 3 7 2" xfId="13299" xr:uid="{F7F680DE-2F8F-470B-8BAC-B97D7ADF8795}"/>
    <cellStyle name="Normal 8 2 2 2 3 8" xfId="9081" xr:uid="{8FF77B13-4D71-4694-AE3E-3A0F67030DCE}"/>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714BB4E9-159A-4931-A53B-ADE61B7D4C09}"/>
    <cellStyle name="Normal 8 2 2 2 4 2 3" xfId="11636" xr:uid="{1584FD75-FC17-49D4-B5A8-E97A32D27C5F}"/>
    <cellStyle name="Normal 8 2 2 2 4 3" xfId="5259" xr:uid="{00000000-0005-0000-0000-0000351C0000}"/>
    <cellStyle name="Normal 8 2 2 2 4 3 2" xfId="13709" xr:uid="{1A0D0FF8-8C1D-4850-9117-EB5CDCD79834}"/>
    <cellStyle name="Normal 8 2 2 2 4 4" xfId="9491" xr:uid="{FF1A9AEE-CCB7-44ED-8344-A80A869932BD}"/>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128EB8ED-BA78-4B48-9E17-24CB35F6FA41}"/>
    <cellStyle name="Normal 8 2 2 2 5 2 3" xfId="12049" xr:uid="{71DB62E1-E4DE-46B7-A374-8F1B73955BEE}"/>
    <cellStyle name="Normal 8 2 2 2 5 3" xfId="5672" xr:uid="{00000000-0005-0000-0000-0000391C0000}"/>
    <cellStyle name="Normal 8 2 2 2 5 3 2" xfId="14122" xr:uid="{8AE545E2-FADA-4FBD-B63C-1F3140A65FCD}"/>
    <cellStyle name="Normal 8 2 2 2 5 4" xfId="9904" xr:uid="{A7707C18-24BB-4C4A-898C-E23AC219E069}"/>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36381255-9CBF-4BD7-AC9C-1E31F255C39C}"/>
    <cellStyle name="Normal 8 2 2 2 6 2 3" xfId="12462" xr:uid="{9F313C5A-FAE7-4862-A587-B5F08C768EE1}"/>
    <cellStyle name="Normal 8 2 2 2 6 3" xfId="6085" xr:uid="{00000000-0005-0000-0000-00003D1C0000}"/>
    <cellStyle name="Normal 8 2 2 2 6 3 2" xfId="14535" xr:uid="{BC41EA89-D4CE-45B8-991B-FEB5B742F92F}"/>
    <cellStyle name="Normal 8 2 2 2 6 4" xfId="10317" xr:uid="{0D457948-B07B-44BF-AF54-C19B190BCB52}"/>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CE7C20BE-5E29-425D-BEF7-9358692E7BB1}"/>
    <cellStyle name="Normal 8 2 2 2 7 2 3" xfId="12875" xr:uid="{DC35634B-6713-4ED4-A090-ADB868A30F1D}"/>
    <cellStyle name="Normal 8 2 2 2 7 3" xfId="6498" xr:uid="{00000000-0005-0000-0000-0000411C0000}"/>
    <cellStyle name="Normal 8 2 2 2 7 3 2" xfId="14948" xr:uid="{310DA251-4403-4CCB-AD27-E1792D722D04}"/>
    <cellStyle name="Normal 8 2 2 2 7 4" xfId="10730" xr:uid="{930CD42D-0D44-41C7-96DC-82BFF89E8BB9}"/>
    <cellStyle name="Normal 8 2 2 2 8" xfId="2628" xr:uid="{00000000-0005-0000-0000-0000421C0000}"/>
    <cellStyle name="Normal 8 2 2 2 8 2" xfId="6911" xr:uid="{00000000-0005-0000-0000-0000431C0000}"/>
    <cellStyle name="Normal 8 2 2 2 8 2 2" xfId="15361" xr:uid="{3298008F-2DC0-4B11-B258-AAB2B9695C00}"/>
    <cellStyle name="Normal 8 2 2 2 8 3" xfId="11143" xr:uid="{2DDD90DF-AC03-4D0D-A60E-B4CABB84361A}"/>
    <cellStyle name="Normal 8 2 2 2 9" xfId="4846" xr:uid="{00000000-0005-0000-0000-0000441C0000}"/>
    <cellStyle name="Normal 8 2 2 2 9 2" xfId="13296" xr:uid="{DF24B9B5-806A-4B6A-A63E-85942D8016E9}"/>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D2C90DC1-A1F1-4D56-8F83-09B2B2B3D1C4}"/>
    <cellStyle name="Normal 8 2 2 3 2 2 2 3" xfId="11641" xr:uid="{CC1B5647-24F2-4416-8CDA-E849235FACD5}"/>
    <cellStyle name="Normal 8 2 2 3 2 2 3" xfId="5264" xr:uid="{00000000-0005-0000-0000-00004A1C0000}"/>
    <cellStyle name="Normal 8 2 2 3 2 2 3 2" xfId="13714" xr:uid="{67402459-5C80-4AD0-844A-82F08B891C50}"/>
    <cellStyle name="Normal 8 2 2 3 2 2 4" xfId="9496" xr:uid="{F2B08055-D3E4-4B85-A2EB-0E64C767348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EDB8288D-9926-48F8-9C95-F23A3DDBC142}"/>
    <cellStyle name="Normal 8 2 2 3 2 3 2 3" xfId="12054" xr:uid="{84688340-06B1-433B-B115-EEAF2ECAAA9A}"/>
    <cellStyle name="Normal 8 2 2 3 2 3 3" xfId="5677" xr:uid="{00000000-0005-0000-0000-00004E1C0000}"/>
    <cellStyle name="Normal 8 2 2 3 2 3 3 2" xfId="14127" xr:uid="{0F242B42-0544-4BFB-8198-2504D055D95F}"/>
    <cellStyle name="Normal 8 2 2 3 2 3 4" xfId="9909" xr:uid="{8C56148D-601B-4A93-B22C-0F2AFD90972D}"/>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BCD2917A-AE0A-464C-9134-9D924693DE14}"/>
    <cellStyle name="Normal 8 2 2 3 2 4 2 3" xfId="12467" xr:uid="{18044F71-C66D-4BDA-9367-FC124FE02D20}"/>
    <cellStyle name="Normal 8 2 2 3 2 4 3" xfId="6090" xr:uid="{00000000-0005-0000-0000-0000521C0000}"/>
    <cellStyle name="Normal 8 2 2 3 2 4 3 2" xfId="14540" xr:uid="{F54EFCD6-86D9-4ADD-BC04-6178702FE61E}"/>
    <cellStyle name="Normal 8 2 2 3 2 4 4" xfId="10322" xr:uid="{A9A86933-A9EE-4870-B036-3251C2439C5E}"/>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A823BE18-4BC9-4502-9F6B-AED39969F9A5}"/>
    <cellStyle name="Normal 8 2 2 3 2 5 2 3" xfId="12880" xr:uid="{74B7AD2F-AE12-4EE3-9E61-75037EDB9B18}"/>
    <cellStyle name="Normal 8 2 2 3 2 5 3" xfId="6503" xr:uid="{00000000-0005-0000-0000-0000561C0000}"/>
    <cellStyle name="Normal 8 2 2 3 2 5 3 2" xfId="14953" xr:uid="{78A9C46F-F567-4C64-82DD-67825E733C48}"/>
    <cellStyle name="Normal 8 2 2 3 2 5 4" xfId="10735" xr:uid="{ECE23802-796D-48B9-B509-0E228C83359F}"/>
    <cellStyle name="Normal 8 2 2 3 2 6" xfId="2633" xr:uid="{00000000-0005-0000-0000-0000571C0000}"/>
    <cellStyle name="Normal 8 2 2 3 2 6 2" xfId="6916" xr:uid="{00000000-0005-0000-0000-0000581C0000}"/>
    <cellStyle name="Normal 8 2 2 3 2 6 2 2" xfId="15366" xr:uid="{1EFBE8B4-249B-4CBF-A9FF-92D99E4E28D0}"/>
    <cellStyle name="Normal 8 2 2 3 2 6 3" xfId="11148" xr:uid="{F4D58682-21F2-4C43-B315-EFAC0F0F5785}"/>
    <cellStyle name="Normal 8 2 2 3 2 7" xfId="4851" xr:uid="{00000000-0005-0000-0000-0000591C0000}"/>
    <cellStyle name="Normal 8 2 2 3 2 7 2" xfId="13301" xr:uid="{74F6DA18-78E3-4D2C-AF48-46FBE988B7A7}"/>
    <cellStyle name="Normal 8 2 2 3 2 8" xfId="9083" xr:uid="{3E18CCFA-1667-47A3-827F-EEBA9F7940B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BC4BC131-3ED2-49C3-93DF-9083C217AA84}"/>
    <cellStyle name="Normal 8 2 2 3 3 2 3" xfId="11640" xr:uid="{E3C6D691-452B-4B73-A472-8ABC01BEBD9B}"/>
    <cellStyle name="Normal 8 2 2 3 3 3" xfId="5263" xr:uid="{00000000-0005-0000-0000-00005D1C0000}"/>
    <cellStyle name="Normal 8 2 2 3 3 3 2" xfId="13713" xr:uid="{02880BAE-4421-4581-B001-C7E1700BB116}"/>
    <cellStyle name="Normal 8 2 2 3 3 4" xfId="9495" xr:uid="{C3545C13-8009-4CCD-BFF6-042F77B3FEF7}"/>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19E0E68B-24CE-444B-98B2-9674C2C62303}"/>
    <cellStyle name="Normal 8 2 2 3 4 2 3" xfId="12053" xr:uid="{D2964668-AC86-422A-8A83-D9E993C3FFB3}"/>
    <cellStyle name="Normal 8 2 2 3 4 3" xfId="5676" xr:uid="{00000000-0005-0000-0000-0000611C0000}"/>
    <cellStyle name="Normal 8 2 2 3 4 3 2" xfId="14126" xr:uid="{FCD055A8-2159-49B0-AE9E-8CE751371428}"/>
    <cellStyle name="Normal 8 2 2 3 4 4" xfId="9908" xr:uid="{8F5AFFFD-9FDB-4ED0-8C92-6DC51ACE73B1}"/>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7DFB1595-BED3-4998-B084-5E2053D6CB1B}"/>
    <cellStyle name="Normal 8 2 2 3 5 2 3" xfId="12466" xr:uid="{9999CEAC-E15C-414A-9E55-91E3D0D97D7E}"/>
    <cellStyle name="Normal 8 2 2 3 5 3" xfId="6089" xr:uid="{00000000-0005-0000-0000-0000651C0000}"/>
    <cellStyle name="Normal 8 2 2 3 5 3 2" xfId="14539" xr:uid="{7FACD2B7-E349-4E02-B286-606A732A19EB}"/>
    <cellStyle name="Normal 8 2 2 3 5 4" xfId="10321" xr:uid="{256F8BD6-1479-49F8-A2F5-7BCC27D5DD68}"/>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C1525811-7EED-4CF7-BAEC-09291D7B5B0C}"/>
    <cellStyle name="Normal 8 2 2 3 6 2 3" xfId="12879" xr:uid="{15C605B6-560A-49FE-AD5B-0F0B7BBDB73A}"/>
    <cellStyle name="Normal 8 2 2 3 6 3" xfId="6502" xr:uid="{00000000-0005-0000-0000-0000691C0000}"/>
    <cellStyle name="Normal 8 2 2 3 6 3 2" xfId="14952" xr:uid="{99C71C4E-2195-46BA-89A0-1E02803D28C3}"/>
    <cellStyle name="Normal 8 2 2 3 6 4" xfId="10734" xr:uid="{684BF6AB-1AF9-46E6-B0D9-87A581E5CC07}"/>
    <cellStyle name="Normal 8 2 2 3 7" xfId="2632" xr:uid="{00000000-0005-0000-0000-00006A1C0000}"/>
    <cellStyle name="Normal 8 2 2 3 7 2" xfId="6915" xr:uid="{00000000-0005-0000-0000-00006B1C0000}"/>
    <cellStyle name="Normal 8 2 2 3 7 2 2" xfId="15365" xr:uid="{30958C90-B200-4C0C-ACF7-5036E31AC9E2}"/>
    <cellStyle name="Normal 8 2 2 3 7 3" xfId="11147" xr:uid="{7A142D1E-D950-4691-914E-E814C556588C}"/>
    <cellStyle name="Normal 8 2 2 3 8" xfId="4850" xr:uid="{00000000-0005-0000-0000-00006C1C0000}"/>
    <cellStyle name="Normal 8 2 2 3 8 2" xfId="13300" xr:uid="{14C982D8-FBFF-4D45-9A2B-D7BFC9F7FCF5}"/>
    <cellStyle name="Normal 8 2 2 3 9" xfId="9082" xr:uid="{C85221DB-63A1-48A8-913A-67CAB768C4E1}"/>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F214768F-F34F-49C2-98DB-12773CB4ADB8}"/>
    <cellStyle name="Normal 8 2 2 4 2 2 3" xfId="11642" xr:uid="{6993871E-6CA5-49D6-AEA7-74508C902890}"/>
    <cellStyle name="Normal 8 2 2 4 2 3" xfId="5265" xr:uid="{00000000-0005-0000-0000-0000711C0000}"/>
    <cellStyle name="Normal 8 2 2 4 2 3 2" xfId="13715" xr:uid="{92FCE66A-4F7B-4226-93B4-F3C7AE4D858D}"/>
    <cellStyle name="Normal 8 2 2 4 2 4" xfId="9497" xr:uid="{F642D5C9-410B-43EC-A2CB-5FD3A6B9744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44507781-2C70-4A77-B9D2-EBB7953982AB}"/>
    <cellStyle name="Normal 8 2 2 4 3 2 3" xfId="12055" xr:uid="{6E728350-D888-4B06-83AF-3D1684380018}"/>
    <cellStyle name="Normal 8 2 2 4 3 3" xfId="5678" xr:uid="{00000000-0005-0000-0000-0000751C0000}"/>
    <cellStyle name="Normal 8 2 2 4 3 3 2" xfId="14128" xr:uid="{5154ED20-9FA7-4C6D-ABC6-0A2F3BBA5B1C}"/>
    <cellStyle name="Normal 8 2 2 4 3 4" xfId="9910" xr:uid="{CB4C648B-C3CD-4E66-BA97-1000D504676D}"/>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5F9AAB2F-CA0E-40D8-8EBE-4AC71F787CDF}"/>
    <cellStyle name="Normal 8 2 2 4 4 2 3" xfId="12468" xr:uid="{ED3CC236-C7A2-4463-9A24-B7CFF95E3166}"/>
    <cellStyle name="Normal 8 2 2 4 4 3" xfId="6091" xr:uid="{00000000-0005-0000-0000-0000791C0000}"/>
    <cellStyle name="Normal 8 2 2 4 4 3 2" xfId="14541" xr:uid="{84347C06-01A7-450C-997B-E927151AB1F4}"/>
    <cellStyle name="Normal 8 2 2 4 4 4" xfId="10323" xr:uid="{0E3FAEC0-4495-4561-AFC1-893EC17AF9F3}"/>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23F3E582-857A-46E2-B7D4-68CD8457FBD5}"/>
    <cellStyle name="Normal 8 2 2 4 5 2 3" xfId="12881" xr:uid="{023BC08F-9194-4808-A5C2-437A3780CCB3}"/>
    <cellStyle name="Normal 8 2 2 4 5 3" xfId="6504" xr:uid="{00000000-0005-0000-0000-00007D1C0000}"/>
    <cellStyle name="Normal 8 2 2 4 5 3 2" xfId="14954" xr:uid="{BF91743A-E97C-46CB-AF03-7CF9DACBF30C}"/>
    <cellStyle name="Normal 8 2 2 4 5 4" xfId="10736" xr:uid="{6C0E43BF-5217-4CE2-800E-D9F12D1616AF}"/>
    <cellStyle name="Normal 8 2 2 4 6" xfId="2634" xr:uid="{00000000-0005-0000-0000-00007E1C0000}"/>
    <cellStyle name="Normal 8 2 2 4 6 2" xfId="6917" xr:uid="{00000000-0005-0000-0000-00007F1C0000}"/>
    <cellStyle name="Normal 8 2 2 4 6 2 2" xfId="15367" xr:uid="{2F773F40-CCAA-4B56-A007-A20C42ACB37F}"/>
    <cellStyle name="Normal 8 2 2 4 6 3" xfId="11149" xr:uid="{C25B089B-0BBE-471A-B04D-1CF08E350C33}"/>
    <cellStyle name="Normal 8 2 2 4 7" xfId="4852" xr:uid="{00000000-0005-0000-0000-0000801C0000}"/>
    <cellStyle name="Normal 8 2 2 4 7 2" xfId="13302" xr:uid="{C1431E44-9E9C-4AA5-935A-A20F0F5AEB42}"/>
    <cellStyle name="Normal 8 2 2 4 8" xfId="9084" xr:uid="{7C9798D7-97AF-49F2-A7BC-D38F73C4CDFA}"/>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FAA4D65D-7A34-448A-9163-9DA7175BC300}"/>
    <cellStyle name="Normal 8 2 2 5 2 3" xfId="11635" xr:uid="{B3ABA688-B9F7-41B2-BBF6-623665E1B3BC}"/>
    <cellStyle name="Normal 8 2 2 5 3" xfId="5258" xr:uid="{00000000-0005-0000-0000-0000841C0000}"/>
    <cellStyle name="Normal 8 2 2 5 3 2" xfId="13708" xr:uid="{E3A3282E-51C6-4FFE-8599-69F10BF333DB}"/>
    <cellStyle name="Normal 8 2 2 5 4" xfId="9490" xr:uid="{23774362-87DD-4D7A-B6C4-C6DD00EF451E}"/>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E6E0D941-B045-4621-95CA-7CE2DA8970F2}"/>
    <cellStyle name="Normal 8 2 2 6 2 3" xfId="12048" xr:uid="{7DF86AD9-FA5A-4949-8DAA-EF2A3176591D}"/>
    <cellStyle name="Normal 8 2 2 6 3" xfId="5671" xr:uid="{00000000-0005-0000-0000-0000881C0000}"/>
    <cellStyle name="Normal 8 2 2 6 3 2" xfId="14121" xr:uid="{AD307171-934E-4070-8718-DD68FA4FC9B5}"/>
    <cellStyle name="Normal 8 2 2 6 4" xfId="9903" xr:uid="{5133464C-7BE9-4600-9E79-CAEEEDB42B5C}"/>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04C71661-A917-4252-BCD6-D2101258A2AD}"/>
    <cellStyle name="Normal 8 2 2 7 2 3" xfId="12461" xr:uid="{0C2055BF-B9D5-4FAC-8ECE-404937D6E4A6}"/>
    <cellStyle name="Normal 8 2 2 7 3" xfId="6084" xr:uid="{00000000-0005-0000-0000-00008C1C0000}"/>
    <cellStyle name="Normal 8 2 2 7 3 2" xfId="14534" xr:uid="{97C43D23-0AC0-4E53-9D84-3933246F4A9B}"/>
    <cellStyle name="Normal 8 2 2 7 4" xfId="10316" xr:uid="{09AE03CC-D25D-4D69-B973-CB51887D199D}"/>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9DEF727C-54CF-4417-B3E9-767DF4643419}"/>
    <cellStyle name="Normal 8 2 2 8 2 3" xfId="12874" xr:uid="{4C3A777B-7ED3-48DB-8842-A0EF40F29192}"/>
    <cellStyle name="Normal 8 2 2 8 3" xfId="6497" xr:uid="{00000000-0005-0000-0000-0000901C0000}"/>
    <cellStyle name="Normal 8 2 2 8 3 2" xfId="14947" xr:uid="{F69956E9-4E09-49A2-A5C0-131259639775}"/>
    <cellStyle name="Normal 8 2 2 8 4" xfId="10729" xr:uid="{CC6659FA-D6AB-43C4-81B7-733C5DD52F3D}"/>
    <cellStyle name="Normal 8 2 2 9" xfId="2627" xr:uid="{00000000-0005-0000-0000-0000911C0000}"/>
    <cellStyle name="Normal 8 2 2 9 2" xfId="6910" xr:uid="{00000000-0005-0000-0000-0000921C0000}"/>
    <cellStyle name="Normal 8 2 2 9 2 2" xfId="15360" xr:uid="{F4BE4CE4-AA0E-4DAB-A791-0E00DDBA0F7A}"/>
    <cellStyle name="Normal 8 2 2 9 3" xfId="11142" xr:uid="{98E6EA4B-D30E-400A-BC2D-CD6D382E9369}"/>
    <cellStyle name="Normal 8 2 3" xfId="488" xr:uid="{00000000-0005-0000-0000-0000931C0000}"/>
    <cellStyle name="Normal 8 2 3 10" xfId="9085" xr:uid="{EA993E43-B0EF-44CF-AF96-E0F1AE37262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E2B07D59-DDA9-4C69-B13D-9DF0607E1540}"/>
    <cellStyle name="Normal 8 2 3 2 2 2 2 3" xfId="11645" xr:uid="{AD5225C3-6336-4C5B-85AA-18331E2E77FE}"/>
    <cellStyle name="Normal 8 2 3 2 2 2 3" xfId="5268" xr:uid="{00000000-0005-0000-0000-0000991C0000}"/>
    <cellStyle name="Normal 8 2 3 2 2 2 3 2" xfId="13718" xr:uid="{29616A99-550D-4E5D-819C-AC06A59E758A}"/>
    <cellStyle name="Normal 8 2 3 2 2 2 4" xfId="9500" xr:uid="{7B63E021-44A7-4882-A382-E4DE862847D3}"/>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1E5B9B4B-E6AC-41CF-87FE-D8993CC8183A}"/>
    <cellStyle name="Normal 8 2 3 2 2 3 2 3" xfId="12058" xr:uid="{06C24D06-42C8-47D2-AEA1-4F4BF0D32DA1}"/>
    <cellStyle name="Normal 8 2 3 2 2 3 3" xfId="5681" xr:uid="{00000000-0005-0000-0000-00009D1C0000}"/>
    <cellStyle name="Normal 8 2 3 2 2 3 3 2" xfId="14131" xr:uid="{E7412581-78EB-4FEB-8A0A-D462EDBC3895}"/>
    <cellStyle name="Normal 8 2 3 2 2 3 4" xfId="9913" xr:uid="{B7771572-29F7-45E2-8BB0-3CB0B093B071}"/>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3CF875DE-D0B2-43B4-9A13-B57BDA7CF62A}"/>
    <cellStyle name="Normal 8 2 3 2 2 4 2 3" xfId="12471" xr:uid="{3839E337-DCAB-49BD-9939-CB959D6EEBF2}"/>
    <cellStyle name="Normal 8 2 3 2 2 4 3" xfId="6094" xr:uid="{00000000-0005-0000-0000-0000A11C0000}"/>
    <cellStyle name="Normal 8 2 3 2 2 4 3 2" xfId="14544" xr:uid="{5590AB7F-9B8E-4AFE-B499-B70B8C1F7512}"/>
    <cellStyle name="Normal 8 2 3 2 2 4 4" xfId="10326" xr:uid="{2DF6A1B8-8BA8-4869-A6B4-6C58D622DBB5}"/>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842E938D-8221-45A5-981E-F868EAF027B6}"/>
    <cellStyle name="Normal 8 2 3 2 2 5 2 3" xfId="12884" xr:uid="{979E1B2E-8F5F-4098-A3B0-D100E26178B1}"/>
    <cellStyle name="Normal 8 2 3 2 2 5 3" xfId="6507" xr:uid="{00000000-0005-0000-0000-0000A51C0000}"/>
    <cellStyle name="Normal 8 2 3 2 2 5 3 2" xfId="14957" xr:uid="{9D4E2B2A-AB83-483E-A3A6-91B84E0FBC4F}"/>
    <cellStyle name="Normal 8 2 3 2 2 5 4" xfId="10739" xr:uid="{3977F8DA-0F4F-45AD-A2FF-F7C919A3D70D}"/>
    <cellStyle name="Normal 8 2 3 2 2 6" xfId="2637" xr:uid="{00000000-0005-0000-0000-0000A61C0000}"/>
    <cellStyle name="Normal 8 2 3 2 2 6 2" xfId="6920" xr:uid="{00000000-0005-0000-0000-0000A71C0000}"/>
    <cellStyle name="Normal 8 2 3 2 2 6 2 2" xfId="15370" xr:uid="{170426E0-DC94-493E-A697-D7ADD193084D}"/>
    <cellStyle name="Normal 8 2 3 2 2 6 3" xfId="11152" xr:uid="{4C138424-5918-4002-B978-2403C0BAE9EF}"/>
    <cellStyle name="Normal 8 2 3 2 2 7" xfId="4855" xr:uid="{00000000-0005-0000-0000-0000A81C0000}"/>
    <cellStyle name="Normal 8 2 3 2 2 7 2" xfId="13305" xr:uid="{D7332C45-9E98-462A-A042-69165A25ABDC}"/>
    <cellStyle name="Normal 8 2 3 2 2 8" xfId="9087" xr:uid="{C9B3D4F8-C94C-4DB4-9557-F749D5EBB262}"/>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9D29131F-7E63-4AFE-A1FF-155064BC3771}"/>
    <cellStyle name="Normal 8 2 3 2 3 2 3" xfId="11644" xr:uid="{FABA52EE-792C-4B50-B4E8-4AE5D218110E}"/>
    <cellStyle name="Normal 8 2 3 2 3 3" xfId="5267" xr:uid="{00000000-0005-0000-0000-0000AC1C0000}"/>
    <cellStyle name="Normal 8 2 3 2 3 3 2" xfId="13717" xr:uid="{33926001-EC6B-4F6D-ABD3-6FDB6376E174}"/>
    <cellStyle name="Normal 8 2 3 2 3 4" xfId="9499" xr:uid="{AB11AE3D-5EBE-4A6D-A45E-A5975A3260DF}"/>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2C634F06-2D9B-4ABF-9ECE-8DFB48728A57}"/>
    <cellStyle name="Normal 8 2 3 2 4 2 3" xfId="12057" xr:uid="{C25CCF30-381F-4D8A-9A74-F39C77A43F79}"/>
    <cellStyle name="Normal 8 2 3 2 4 3" xfId="5680" xr:uid="{00000000-0005-0000-0000-0000B01C0000}"/>
    <cellStyle name="Normal 8 2 3 2 4 3 2" xfId="14130" xr:uid="{CFEB021B-D286-4756-A8DD-865790806097}"/>
    <cellStyle name="Normal 8 2 3 2 4 4" xfId="9912" xr:uid="{E96F8BBE-5A31-4423-B101-14A461AD260A}"/>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CA114B93-3B0A-4A53-A68C-793461D60FC6}"/>
    <cellStyle name="Normal 8 2 3 2 5 2 3" xfId="12470" xr:uid="{6817F87A-92CF-44E3-B5F8-877BA5F485CD}"/>
    <cellStyle name="Normal 8 2 3 2 5 3" xfId="6093" xr:uid="{00000000-0005-0000-0000-0000B41C0000}"/>
    <cellStyle name="Normal 8 2 3 2 5 3 2" xfId="14543" xr:uid="{828216F9-C889-44D4-A330-FB094AAAB891}"/>
    <cellStyle name="Normal 8 2 3 2 5 4" xfId="10325" xr:uid="{B998ADDC-5C05-4F6A-977B-EFBF6F1B06B5}"/>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BAA10F24-8329-4D3E-9FC0-179DA9D1B7D1}"/>
    <cellStyle name="Normal 8 2 3 2 6 2 3" xfId="12883" xr:uid="{9D4A9A16-D46B-4E89-A377-CCB14FE47DE2}"/>
    <cellStyle name="Normal 8 2 3 2 6 3" xfId="6506" xr:uid="{00000000-0005-0000-0000-0000B81C0000}"/>
    <cellStyle name="Normal 8 2 3 2 6 3 2" xfId="14956" xr:uid="{4C061B73-A3C3-4575-BAE7-D920B66DE774}"/>
    <cellStyle name="Normal 8 2 3 2 6 4" xfId="10738" xr:uid="{FAACF6CA-1BDB-4123-986E-3CB3B6A3079A}"/>
    <cellStyle name="Normal 8 2 3 2 7" xfId="2636" xr:uid="{00000000-0005-0000-0000-0000B91C0000}"/>
    <cellStyle name="Normal 8 2 3 2 7 2" xfId="6919" xr:uid="{00000000-0005-0000-0000-0000BA1C0000}"/>
    <cellStyle name="Normal 8 2 3 2 7 2 2" xfId="15369" xr:uid="{A2747BC9-7232-44F0-B3AB-27EC320D6643}"/>
    <cellStyle name="Normal 8 2 3 2 7 3" xfId="11151" xr:uid="{CE6425DC-187B-428A-B499-C7582B4F159C}"/>
    <cellStyle name="Normal 8 2 3 2 8" xfId="4854" xr:uid="{00000000-0005-0000-0000-0000BB1C0000}"/>
    <cellStyle name="Normal 8 2 3 2 8 2" xfId="13304" xr:uid="{A0D39778-E3E4-488C-B5C2-F4528A388ED7}"/>
    <cellStyle name="Normal 8 2 3 2 9" xfId="9086" xr:uid="{59C39A44-D275-41AE-9FC7-2B1C4D43AD6E}"/>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C3C192EB-0EB5-4266-A1C4-977FBE4659ED}"/>
    <cellStyle name="Normal 8 2 3 3 2 2 3" xfId="11646" xr:uid="{BFE17B03-16DD-4E79-809F-51ACD741770E}"/>
    <cellStyle name="Normal 8 2 3 3 2 3" xfId="5269" xr:uid="{00000000-0005-0000-0000-0000C01C0000}"/>
    <cellStyle name="Normal 8 2 3 3 2 3 2" xfId="13719" xr:uid="{3E4AC9C0-F64A-4CFF-91AC-903363F7A510}"/>
    <cellStyle name="Normal 8 2 3 3 2 4" xfId="9501" xr:uid="{2D74B44C-57D6-490B-B44A-A47B72A23657}"/>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9DBD629B-6529-4BC7-99F8-FFDA7EE6552E}"/>
    <cellStyle name="Normal 8 2 3 3 3 2 3" xfId="12059" xr:uid="{E7DB6977-7612-4573-8F50-7232D7C6CBAB}"/>
    <cellStyle name="Normal 8 2 3 3 3 3" xfId="5682" xr:uid="{00000000-0005-0000-0000-0000C41C0000}"/>
    <cellStyle name="Normal 8 2 3 3 3 3 2" xfId="14132" xr:uid="{F01DBEC5-3E2C-484E-B4A5-6E2B9C79E4AA}"/>
    <cellStyle name="Normal 8 2 3 3 3 4" xfId="9914" xr:uid="{639C9410-7753-410E-B2B2-520408E0DF03}"/>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875FF7EF-A8DA-4521-A9D6-2B00FDFCD274}"/>
    <cellStyle name="Normal 8 2 3 3 4 2 3" xfId="12472" xr:uid="{4CB53A15-7B42-4074-A328-4DCF2AC735E3}"/>
    <cellStyle name="Normal 8 2 3 3 4 3" xfId="6095" xr:uid="{00000000-0005-0000-0000-0000C81C0000}"/>
    <cellStyle name="Normal 8 2 3 3 4 3 2" xfId="14545" xr:uid="{9A777AFE-3C51-4D6B-954E-9946BECF05D7}"/>
    <cellStyle name="Normal 8 2 3 3 4 4" xfId="10327" xr:uid="{C9338FE1-A032-47D0-8682-55F73BC8E690}"/>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5BAC3379-9D65-4747-B564-631B6F042AC1}"/>
    <cellStyle name="Normal 8 2 3 3 5 2 3" xfId="12885" xr:uid="{4A731388-B6F6-43D3-9C99-ADF9D56EFD09}"/>
    <cellStyle name="Normal 8 2 3 3 5 3" xfId="6508" xr:uid="{00000000-0005-0000-0000-0000CC1C0000}"/>
    <cellStyle name="Normal 8 2 3 3 5 3 2" xfId="14958" xr:uid="{9DCFF518-0C5C-48D7-954B-D7CEEE296DFA}"/>
    <cellStyle name="Normal 8 2 3 3 5 4" xfId="10740" xr:uid="{178115C2-122D-4C55-B812-4800EF27EF7E}"/>
    <cellStyle name="Normal 8 2 3 3 6" xfId="2638" xr:uid="{00000000-0005-0000-0000-0000CD1C0000}"/>
    <cellStyle name="Normal 8 2 3 3 6 2" xfId="6921" xr:uid="{00000000-0005-0000-0000-0000CE1C0000}"/>
    <cellStyle name="Normal 8 2 3 3 6 2 2" xfId="15371" xr:uid="{8F926A43-8A68-4700-A5EB-FE422C9817CF}"/>
    <cellStyle name="Normal 8 2 3 3 6 3" xfId="11153" xr:uid="{C2F756F3-C0CE-4DC1-95CB-5ADC72DF22C3}"/>
    <cellStyle name="Normal 8 2 3 3 7" xfId="4856" xr:uid="{00000000-0005-0000-0000-0000CF1C0000}"/>
    <cellStyle name="Normal 8 2 3 3 7 2" xfId="13306" xr:uid="{C7C1892C-2D6F-4E39-9F8A-858E896E85FA}"/>
    <cellStyle name="Normal 8 2 3 3 8" xfId="9088" xr:uid="{99AF7DCF-0E50-492F-B707-BCBCA76AA231}"/>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3072618C-4224-41A5-AD56-43694DFE0F2E}"/>
    <cellStyle name="Normal 8 2 3 4 2 3" xfId="11643" xr:uid="{7D5C0C62-AAC4-4079-881C-98EC5489D5EF}"/>
    <cellStyle name="Normal 8 2 3 4 3" xfId="5266" xr:uid="{00000000-0005-0000-0000-0000D31C0000}"/>
    <cellStyle name="Normal 8 2 3 4 3 2" xfId="13716" xr:uid="{1CA3A203-F63D-4575-BD54-B2D148C364AA}"/>
    <cellStyle name="Normal 8 2 3 4 4" xfId="9498" xr:uid="{0DA4BD76-9953-4942-8DD2-81402D0C2227}"/>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8CCC3408-D78C-43E5-8439-C571D3844FE1}"/>
    <cellStyle name="Normal 8 2 3 5 2 3" xfId="12056" xr:uid="{9415D417-CE7B-41D2-B960-EA6FA90D010D}"/>
    <cellStyle name="Normal 8 2 3 5 3" xfId="5679" xr:uid="{00000000-0005-0000-0000-0000D71C0000}"/>
    <cellStyle name="Normal 8 2 3 5 3 2" xfId="14129" xr:uid="{76A920FA-2DA7-4010-95F1-3C8F7131D09D}"/>
    <cellStyle name="Normal 8 2 3 5 4" xfId="9911" xr:uid="{A3955FFE-F652-4835-A10A-9327E1E1FD4C}"/>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8B981CB2-71A5-4E43-ADEE-C1AE12D8F65D}"/>
    <cellStyle name="Normal 8 2 3 6 2 3" xfId="12469" xr:uid="{44072970-3ACE-47A7-AFD8-016DFD0C5E91}"/>
    <cellStyle name="Normal 8 2 3 6 3" xfId="6092" xr:uid="{00000000-0005-0000-0000-0000DB1C0000}"/>
    <cellStyle name="Normal 8 2 3 6 3 2" xfId="14542" xr:uid="{B2B40994-4A7C-4E3B-9BEB-400E676E6714}"/>
    <cellStyle name="Normal 8 2 3 6 4" xfId="10324" xr:uid="{C263E56F-4879-4934-B28A-5437EF0BE78B}"/>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AA9FAE46-3B8F-409F-9F19-E212F19216A6}"/>
    <cellStyle name="Normal 8 2 3 7 2 3" xfId="12882" xr:uid="{C8E3C192-4EF1-4FB0-995B-4376D31275FF}"/>
    <cellStyle name="Normal 8 2 3 7 3" xfId="6505" xr:uid="{00000000-0005-0000-0000-0000DF1C0000}"/>
    <cellStyle name="Normal 8 2 3 7 3 2" xfId="14955" xr:uid="{341E485F-C200-437A-9958-DE659BFEEF78}"/>
    <cellStyle name="Normal 8 2 3 7 4" xfId="10737" xr:uid="{CE67D957-5D8F-4200-BB09-BB9E049B0F15}"/>
    <cellStyle name="Normal 8 2 3 8" xfId="2635" xr:uid="{00000000-0005-0000-0000-0000E01C0000}"/>
    <cellStyle name="Normal 8 2 3 8 2" xfId="6918" xr:uid="{00000000-0005-0000-0000-0000E11C0000}"/>
    <cellStyle name="Normal 8 2 3 8 2 2" xfId="15368" xr:uid="{E06DEB80-6FCB-447A-8332-926A2DA1472B}"/>
    <cellStyle name="Normal 8 2 3 8 3" xfId="11150" xr:uid="{21C36391-557F-437C-93F6-B635644A60C0}"/>
    <cellStyle name="Normal 8 2 3 9" xfId="4853" xr:uid="{00000000-0005-0000-0000-0000E21C0000}"/>
    <cellStyle name="Normal 8 2 3 9 2" xfId="13303" xr:uid="{C3E33979-604A-48B2-BC7D-B92F9FC53123}"/>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F2A5A345-6F27-4CAE-B863-1965EA5CFA61}"/>
    <cellStyle name="Normal 8 2 4 2 2 2 3" xfId="11648" xr:uid="{A102DCBD-28BF-453F-B18C-A0F6B6A9BD99}"/>
    <cellStyle name="Normal 8 2 4 2 2 3" xfId="5271" xr:uid="{00000000-0005-0000-0000-0000E81C0000}"/>
    <cellStyle name="Normal 8 2 4 2 2 3 2" xfId="13721" xr:uid="{21A6DBD5-9C61-43FB-B1EA-A4320A14C031}"/>
    <cellStyle name="Normal 8 2 4 2 2 4" xfId="9503" xr:uid="{99D7C9C1-5351-4A50-96DD-EFE36425BA3A}"/>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8D007F27-8E30-4873-BAAE-D68B4E2A4295}"/>
    <cellStyle name="Normal 8 2 4 2 3 2 3" xfId="12061" xr:uid="{FC809D26-E7E4-4983-BA0B-8E7EC594BC57}"/>
    <cellStyle name="Normal 8 2 4 2 3 3" xfId="5684" xr:uid="{00000000-0005-0000-0000-0000EC1C0000}"/>
    <cellStyle name="Normal 8 2 4 2 3 3 2" xfId="14134" xr:uid="{CACE15CA-CCA5-490D-9A64-D509FF52E94E}"/>
    <cellStyle name="Normal 8 2 4 2 3 4" xfId="9916" xr:uid="{D1A4B615-393D-41E4-90F8-9D0ACD6CF280}"/>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C7EC9CEB-57AF-43DD-A2B1-43993113D18C}"/>
    <cellStyle name="Normal 8 2 4 2 4 2 3" xfId="12474" xr:uid="{71D9F817-6B5B-4A95-A1A0-549352CC6695}"/>
    <cellStyle name="Normal 8 2 4 2 4 3" xfId="6097" xr:uid="{00000000-0005-0000-0000-0000F01C0000}"/>
    <cellStyle name="Normal 8 2 4 2 4 3 2" xfId="14547" xr:uid="{55E98F8D-CF8B-49E5-8347-70F49C3CADF6}"/>
    <cellStyle name="Normal 8 2 4 2 4 4" xfId="10329" xr:uid="{FEFCEE18-3D0F-4F13-B79F-4D597CC44D8D}"/>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7EABDF49-1A8B-42E9-9890-230ABD7FB5E3}"/>
    <cellStyle name="Normal 8 2 4 2 5 2 3" xfId="12887" xr:uid="{D8255BDC-DF3B-4AE1-B3D4-1E54768B8386}"/>
    <cellStyle name="Normal 8 2 4 2 5 3" xfId="6510" xr:uid="{00000000-0005-0000-0000-0000F41C0000}"/>
    <cellStyle name="Normal 8 2 4 2 5 3 2" xfId="14960" xr:uid="{37F5064F-AE6D-4168-8C86-AF15C9F91C35}"/>
    <cellStyle name="Normal 8 2 4 2 5 4" xfId="10742" xr:uid="{059565E6-D3B8-4A61-8321-5AE7A22DDDF6}"/>
    <cellStyle name="Normal 8 2 4 2 6" xfId="2640" xr:uid="{00000000-0005-0000-0000-0000F51C0000}"/>
    <cellStyle name="Normal 8 2 4 2 6 2" xfId="6923" xr:uid="{00000000-0005-0000-0000-0000F61C0000}"/>
    <cellStyle name="Normal 8 2 4 2 6 2 2" xfId="15373" xr:uid="{CF71CF0C-9A5A-4014-85D0-67A46F1C59CF}"/>
    <cellStyle name="Normal 8 2 4 2 6 3" xfId="11155" xr:uid="{1AA4E9F6-7520-4F7E-80A0-6E66EAF7E0BF}"/>
    <cellStyle name="Normal 8 2 4 2 7" xfId="4858" xr:uid="{00000000-0005-0000-0000-0000F71C0000}"/>
    <cellStyle name="Normal 8 2 4 2 7 2" xfId="13308" xr:uid="{849805AA-8905-4DB6-83D4-12E8854EA8A9}"/>
    <cellStyle name="Normal 8 2 4 2 8" xfId="9090" xr:uid="{0DCD2B16-1D20-4BE3-8052-7C7CEB7BF43D}"/>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8A59AC82-274D-483C-987A-F55EE584AA91}"/>
    <cellStyle name="Normal 8 2 4 3 2 3" xfId="11647" xr:uid="{C7AE4945-3648-4E2F-BDF1-128FD7B49C52}"/>
    <cellStyle name="Normal 8 2 4 3 3" xfId="5270" xr:uid="{00000000-0005-0000-0000-0000FB1C0000}"/>
    <cellStyle name="Normal 8 2 4 3 3 2" xfId="13720" xr:uid="{A911B0E8-A51D-471A-ADDA-FA2280666815}"/>
    <cellStyle name="Normal 8 2 4 3 4" xfId="9502" xr:uid="{05B26EB2-90D9-4E72-983B-61323DB65B54}"/>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5AB2B11C-66BE-4384-AAB6-E7850A3A3553}"/>
    <cellStyle name="Normal 8 2 4 4 2 3" xfId="12060" xr:uid="{E3D0B5CD-06EA-43CC-A7AC-9F097CADF49A}"/>
    <cellStyle name="Normal 8 2 4 4 3" xfId="5683" xr:uid="{00000000-0005-0000-0000-0000FF1C0000}"/>
    <cellStyle name="Normal 8 2 4 4 3 2" xfId="14133" xr:uid="{E5252D0B-1813-4A6A-A6E9-C116E7316BAB}"/>
    <cellStyle name="Normal 8 2 4 4 4" xfId="9915" xr:uid="{B1F4F174-6BBC-4460-BBDA-5A5DC39C7B92}"/>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D4DE7327-20C1-4DB1-BEE0-62A7A202D9E6}"/>
    <cellStyle name="Normal 8 2 4 5 2 3" xfId="12473" xr:uid="{A2876C3C-0E77-40D8-8B8B-8B54AC2CF388}"/>
    <cellStyle name="Normal 8 2 4 5 3" xfId="6096" xr:uid="{00000000-0005-0000-0000-0000031D0000}"/>
    <cellStyle name="Normal 8 2 4 5 3 2" xfId="14546" xr:uid="{9D88D01B-BE57-4886-B6D2-EF9CF8C01192}"/>
    <cellStyle name="Normal 8 2 4 5 4" xfId="10328" xr:uid="{196A65A8-E2C8-44EF-A7F6-35EF2877E71D}"/>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D6AD8837-5290-4714-8D49-9B3491D72DF1}"/>
    <cellStyle name="Normal 8 2 4 6 2 3" xfId="12886" xr:uid="{BAD21B0A-CAA1-4611-A299-B26CEF3FF782}"/>
    <cellStyle name="Normal 8 2 4 6 3" xfId="6509" xr:uid="{00000000-0005-0000-0000-0000071D0000}"/>
    <cellStyle name="Normal 8 2 4 6 3 2" xfId="14959" xr:uid="{80085143-A597-4A40-AAB8-A0EF0976E9F9}"/>
    <cellStyle name="Normal 8 2 4 6 4" xfId="10741" xr:uid="{722ADF85-19F6-47BB-AF66-AA22E6437C68}"/>
    <cellStyle name="Normal 8 2 4 7" xfId="2639" xr:uid="{00000000-0005-0000-0000-0000081D0000}"/>
    <cellStyle name="Normal 8 2 4 7 2" xfId="6922" xr:uid="{00000000-0005-0000-0000-0000091D0000}"/>
    <cellStyle name="Normal 8 2 4 7 2 2" xfId="15372" xr:uid="{1ADC2E35-CC93-44C1-91C3-A1D31BD3B3F8}"/>
    <cellStyle name="Normal 8 2 4 7 3" xfId="11154" xr:uid="{DDB1747D-ADA8-4A43-A393-8C2719FBB2D8}"/>
    <cellStyle name="Normal 8 2 4 8" xfId="4857" xr:uid="{00000000-0005-0000-0000-00000A1D0000}"/>
    <cellStyle name="Normal 8 2 4 8 2" xfId="13307" xr:uid="{5DA036A6-F746-4F1B-A258-9A7EF8FDC9C6}"/>
    <cellStyle name="Normal 8 2 4 9" xfId="9089" xr:uid="{13109DA3-4F7C-4E00-A9F8-A9F202A49548}"/>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6D7FE06D-1742-4EE5-8A45-76DC67D4CDCD}"/>
    <cellStyle name="Normal 8 2 5 2 2 3" xfId="11649" xr:uid="{8C3418B2-E258-4FE4-ADDA-61CC1FE0ECEA}"/>
    <cellStyle name="Normal 8 2 5 2 3" xfId="5272" xr:uid="{00000000-0005-0000-0000-00000F1D0000}"/>
    <cellStyle name="Normal 8 2 5 2 3 2" xfId="13722" xr:uid="{3032DAB2-7582-4E1D-8FC1-9B8F75FFE9A6}"/>
    <cellStyle name="Normal 8 2 5 2 4" xfId="9504" xr:uid="{B7FCFA5C-85AD-4D1C-AFA0-C46827418548}"/>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C0FB60EE-D9F5-463D-883C-34179D18E2BA}"/>
    <cellStyle name="Normal 8 2 5 3 2 3" xfId="12062" xr:uid="{42E64085-FC7E-4666-BEEF-33799899CB7B}"/>
    <cellStyle name="Normal 8 2 5 3 3" xfId="5685" xr:uid="{00000000-0005-0000-0000-0000131D0000}"/>
    <cellStyle name="Normal 8 2 5 3 3 2" xfId="14135" xr:uid="{976D5270-351F-40FA-A9F7-9DB823C4E796}"/>
    <cellStyle name="Normal 8 2 5 3 4" xfId="9917" xr:uid="{F44AFA73-4B89-4DC8-9FFA-8B04596B41F9}"/>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0287BD7F-F2E1-4EF2-9C8E-CA7DC818B9DD}"/>
    <cellStyle name="Normal 8 2 5 4 2 3" xfId="12475" xr:uid="{B7CB7563-B2C3-4D14-BF68-A7DFE27A503C}"/>
    <cellStyle name="Normal 8 2 5 4 3" xfId="6098" xr:uid="{00000000-0005-0000-0000-0000171D0000}"/>
    <cellStyle name="Normal 8 2 5 4 3 2" xfId="14548" xr:uid="{E99CBE9D-9DCB-462B-A835-F1B88BA02BC7}"/>
    <cellStyle name="Normal 8 2 5 4 4" xfId="10330" xr:uid="{8E09F948-8521-4B20-BBC2-4C5806BD302C}"/>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5331D20B-2D4E-4643-9528-1686E91901AB}"/>
    <cellStyle name="Normal 8 2 5 5 2 3" xfId="12888" xr:uid="{70D47B02-3E2E-428E-A880-D58602CE75B5}"/>
    <cellStyle name="Normal 8 2 5 5 3" xfId="6511" xr:uid="{00000000-0005-0000-0000-00001B1D0000}"/>
    <cellStyle name="Normal 8 2 5 5 3 2" xfId="14961" xr:uid="{E4FB9DA7-DC86-467C-8054-2B7F1B56A58F}"/>
    <cellStyle name="Normal 8 2 5 5 4" xfId="10743" xr:uid="{D3A2AED2-BAA7-417D-92CE-7A2FF86D8701}"/>
    <cellStyle name="Normal 8 2 5 6" xfId="2641" xr:uid="{00000000-0005-0000-0000-00001C1D0000}"/>
    <cellStyle name="Normal 8 2 5 6 2" xfId="6924" xr:uid="{00000000-0005-0000-0000-00001D1D0000}"/>
    <cellStyle name="Normal 8 2 5 6 2 2" xfId="15374" xr:uid="{C354E109-4796-4A61-AF85-479D550F6897}"/>
    <cellStyle name="Normal 8 2 5 6 3" xfId="11156" xr:uid="{04166894-404A-4B25-9B21-9A20C6A5ED12}"/>
    <cellStyle name="Normal 8 2 5 7" xfId="4859" xr:uid="{00000000-0005-0000-0000-00001E1D0000}"/>
    <cellStyle name="Normal 8 2 5 7 2" xfId="13309" xr:uid="{A3A76324-E138-49FF-BCFA-C90B659A5218}"/>
    <cellStyle name="Normal 8 2 5 8" xfId="9091" xr:uid="{0F133F2D-E020-4709-8970-D3103515F8DE}"/>
    <cellStyle name="Normal 8 2 6" xfId="946" xr:uid="{00000000-0005-0000-0000-00001F1D0000}"/>
    <cellStyle name="Normal 8 2 6 2" xfId="3180" xr:uid="{00000000-0005-0000-0000-0000201D0000}"/>
    <cellStyle name="Normal 8 2 6 2 2" xfId="7402" xr:uid="{00000000-0005-0000-0000-0000211D0000}"/>
    <cellStyle name="Normal 8 2 6 2 2 2" xfId="15852" xr:uid="{44763991-9668-4BB6-A17D-5311026F191F}"/>
    <cellStyle name="Normal 8 2 6 2 3" xfId="11634" xr:uid="{D4DB6159-EB04-4914-91D9-E3A16A1E29FD}"/>
    <cellStyle name="Normal 8 2 6 3" xfId="5257" xr:uid="{00000000-0005-0000-0000-0000221D0000}"/>
    <cellStyle name="Normal 8 2 6 3 2" xfId="13707" xr:uid="{E4940331-7E19-4F1F-A6C5-0FB649CDBFD4}"/>
    <cellStyle name="Normal 8 2 6 4" xfId="9489" xr:uid="{2DABA78D-E083-4138-B757-F5B391A752B4}"/>
    <cellStyle name="Normal 8 2 7" xfId="1363" xr:uid="{00000000-0005-0000-0000-0000231D0000}"/>
    <cellStyle name="Normal 8 2 7 2" xfId="3593" xr:uid="{00000000-0005-0000-0000-0000241D0000}"/>
    <cellStyle name="Normal 8 2 7 2 2" xfId="7815" xr:uid="{00000000-0005-0000-0000-0000251D0000}"/>
    <cellStyle name="Normal 8 2 7 2 2 2" xfId="16265" xr:uid="{471153E0-3C53-4D11-9342-055F8268E5A7}"/>
    <cellStyle name="Normal 8 2 7 2 3" xfId="12047" xr:uid="{419DB63B-4CD8-4D71-B467-7214703EC0FF}"/>
    <cellStyle name="Normal 8 2 7 3" xfId="5670" xr:uid="{00000000-0005-0000-0000-0000261D0000}"/>
    <cellStyle name="Normal 8 2 7 3 2" xfId="14120" xr:uid="{36EEE46C-3084-4BB0-B37B-79E4050F1D2C}"/>
    <cellStyle name="Normal 8 2 7 4" xfId="9902" xr:uid="{2EA10C6C-5C33-4EED-B1C8-4D70E9CF8643}"/>
    <cellStyle name="Normal 8 2 8" xfId="1776" xr:uid="{00000000-0005-0000-0000-0000271D0000}"/>
    <cellStyle name="Normal 8 2 8 2" xfId="4006" xr:uid="{00000000-0005-0000-0000-0000281D0000}"/>
    <cellStyle name="Normal 8 2 8 2 2" xfId="8228" xr:uid="{00000000-0005-0000-0000-0000291D0000}"/>
    <cellStyle name="Normal 8 2 8 2 2 2" xfId="16678" xr:uid="{0E47A3E7-CDEA-4883-90A3-3DF568406C14}"/>
    <cellStyle name="Normal 8 2 8 2 3" xfId="12460" xr:uid="{0F8EF803-CE31-45F3-B6E7-82FB95FDE271}"/>
    <cellStyle name="Normal 8 2 8 3" xfId="6083" xr:uid="{00000000-0005-0000-0000-00002A1D0000}"/>
    <cellStyle name="Normal 8 2 8 3 2" xfId="14533" xr:uid="{511C7AC4-1691-4BC8-AB96-3F8C20B0B9F6}"/>
    <cellStyle name="Normal 8 2 8 4" xfId="10315" xr:uid="{DBF7F25D-1B95-4042-A523-90F16C03A2C4}"/>
    <cellStyle name="Normal 8 2 9" xfId="2190" xr:uid="{00000000-0005-0000-0000-00002B1D0000}"/>
    <cellStyle name="Normal 8 2 9 2" xfId="4419" xr:uid="{00000000-0005-0000-0000-00002C1D0000}"/>
    <cellStyle name="Normal 8 2 9 2 2" xfId="8641" xr:uid="{00000000-0005-0000-0000-00002D1D0000}"/>
    <cellStyle name="Normal 8 2 9 2 2 2" xfId="17091" xr:uid="{B14AFFE2-CCF8-4CEE-9F79-CBD3825A903A}"/>
    <cellStyle name="Normal 8 2 9 2 3" xfId="12873" xr:uid="{0CABF0FE-9DA5-4074-9346-2B4A0B266CAE}"/>
    <cellStyle name="Normal 8 2 9 3" xfId="6496" xr:uid="{00000000-0005-0000-0000-00002E1D0000}"/>
    <cellStyle name="Normal 8 2 9 3 2" xfId="14946" xr:uid="{CA5851FC-994B-4391-9A30-5C37423682FB}"/>
    <cellStyle name="Normal 8 2 9 4" xfId="10728" xr:uid="{4B7F9139-EB50-42E3-8888-E8D6E89B298E}"/>
    <cellStyle name="Normal 8 3" xfId="495" xr:uid="{00000000-0005-0000-0000-00002F1D0000}"/>
    <cellStyle name="Normal 8 3 10" xfId="4860" xr:uid="{00000000-0005-0000-0000-0000301D0000}"/>
    <cellStyle name="Normal 8 3 10 2" xfId="13310" xr:uid="{CCFB4F79-934C-4BE3-BBDC-9BB3955D0B76}"/>
    <cellStyle name="Normal 8 3 11" xfId="9092" xr:uid="{DFF1FCB4-06FD-451B-9141-B4BBAE440681}"/>
    <cellStyle name="Normal 8 3 2" xfId="496" xr:uid="{00000000-0005-0000-0000-0000311D0000}"/>
    <cellStyle name="Normal 8 3 2 10" xfId="9093" xr:uid="{C229D267-F995-4D7E-9C79-04ADB4E48BA1}"/>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AD040A00-49D7-4FE9-B962-52E1B03DEDDC}"/>
    <cellStyle name="Normal 8 3 2 2 2 2 2 3" xfId="11653" xr:uid="{51F2AD18-918A-42F8-9AC0-EE28484BDB6B}"/>
    <cellStyle name="Normal 8 3 2 2 2 2 3" xfId="5276" xr:uid="{00000000-0005-0000-0000-0000371D0000}"/>
    <cellStyle name="Normal 8 3 2 2 2 2 3 2" xfId="13726" xr:uid="{EC2B282B-D15C-43D5-80E9-A956229A7E4A}"/>
    <cellStyle name="Normal 8 3 2 2 2 2 4" xfId="9508" xr:uid="{32727353-5F00-4666-8864-F1BEC88B017B}"/>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0D4AF5E0-C39D-4364-BC06-B8E1C8C08A7F}"/>
    <cellStyle name="Normal 8 3 2 2 2 3 2 3" xfId="12066" xr:uid="{A88F541A-46FC-489D-BAE4-E673315E852A}"/>
    <cellStyle name="Normal 8 3 2 2 2 3 3" xfId="5689" xr:uid="{00000000-0005-0000-0000-00003B1D0000}"/>
    <cellStyle name="Normal 8 3 2 2 2 3 3 2" xfId="14139" xr:uid="{E141C976-8415-43BC-8E59-2D41F96FB1F5}"/>
    <cellStyle name="Normal 8 3 2 2 2 3 4" xfId="9921" xr:uid="{FD05F6B8-ACB0-4B2D-B341-73A1194384A2}"/>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5E344FA3-BFD8-43A8-90B5-C46E73778012}"/>
    <cellStyle name="Normal 8 3 2 2 2 4 2 3" xfId="12479" xr:uid="{6E1C82FE-C3D3-48F3-874F-C91A517E0D29}"/>
    <cellStyle name="Normal 8 3 2 2 2 4 3" xfId="6102" xr:uid="{00000000-0005-0000-0000-00003F1D0000}"/>
    <cellStyle name="Normal 8 3 2 2 2 4 3 2" xfId="14552" xr:uid="{6702AC4F-DFEF-4673-A76F-F511C8942DCB}"/>
    <cellStyle name="Normal 8 3 2 2 2 4 4" xfId="10334" xr:uid="{4AE21528-4CA7-4FF4-A4D4-B4297516C93A}"/>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61E8C209-5CD8-46E7-9564-3A4F03532597}"/>
    <cellStyle name="Normal 8 3 2 2 2 5 2 3" xfId="12892" xr:uid="{7A95F67D-1789-4F5F-810C-294AF0BA1F5B}"/>
    <cellStyle name="Normal 8 3 2 2 2 5 3" xfId="6515" xr:uid="{00000000-0005-0000-0000-0000431D0000}"/>
    <cellStyle name="Normal 8 3 2 2 2 5 3 2" xfId="14965" xr:uid="{AEB0702A-FD86-48CE-B6D5-65F4D45C69A3}"/>
    <cellStyle name="Normal 8 3 2 2 2 5 4" xfId="10747" xr:uid="{03FF150E-054A-4A56-9941-4EEED447C1A5}"/>
    <cellStyle name="Normal 8 3 2 2 2 6" xfId="2645" xr:uid="{00000000-0005-0000-0000-0000441D0000}"/>
    <cellStyle name="Normal 8 3 2 2 2 6 2" xfId="6928" xr:uid="{00000000-0005-0000-0000-0000451D0000}"/>
    <cellStyle name="Normal 8 3 2 2 2 6 2 2" xfId="15378" xr:uid="{47E1A542-5C8A-4F36-BF4F-E4EF87CAAFF3}"/>
    <cellStyle name="Normal 8 3 2 2 2 6 3" xfId="11160" xr:uid="{07805B83-429F-4FBF-8E5D-EE3185954D61}"/>
    <cellStyle name="Normal 8 3 2 2 2 7" xfId="4863" xr:uid="{00000000-0005-0000-0000-0000461D0000}"/>
    <cellStyle name="Normal 8 3 2 2 2 7 2" xfId="13313" xr:uid="{B20B02AB-86A9-4E61-932F-DA19D79645A0}"/>
    <cellStyle name="Normal 8 3 2 2 2 8" xfId="9095" xr:uid="{E05A9A66-930B-4116-A232-51870D813ECE}"/>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2059C6FD-4C68-4E5A-AAAB-9CFF8DDA3435}"/>
    <cellStyle name="Normal 8 3 2 2 3 2 3" xfId="11652" xr:uid="{95498EA5-3249-46F7-99A0-340279A0AED3}"/>
    <cellStyle name="Normal 8 3 2 2 3 3" xfId="5275" xr:uid="{00000000-0005-0000-0000-00004A1D0000}"/>
    <cellStyle name="Normal 8 3 2 2 3 3 2" xfId="13725" xr:uid="{96CF884B-C74A-4A8B-A445-5AB6B4364390}"/>
    <cellStyle name="Normal 8 3 2 2 3 4" xfId="9507" xr:uid="{D80AF506-5D4B-4080-A995-AB6C1E25F83A}"/>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4F291150-918E-4E42-8BBC-D3BBE1320A7F}"/>
    <cellStyle name="Normal 8 3 2 2 4 2 3" xfId="12065" xr:uid="{54B8BFF2-30F8-4C4F-B575-CA1C2BFC4224}"/>
    <cellStyle name="Normal 8 3 2 2 4 3" xfId="5688" xr:uid="{00000000-0005-0000-0000-00004E1D0000}"/>
    <cellStyle name="Normal 8 3 2 2 4 3 2" xfId="14138" xr:uid="{33A73152-8BFF-423A-9F99-8CFFDB62AB9A}"/>
    <cellStyle name="Normal 8 3 2 2 4 4" xfId="9920" xr:uid="{889254A1-AFF1-4C79-8333-B49B24CF5ED1}"/>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7D3362F0-30EB-4F81-AF29-14373E58A4B3}"/>
    <cellStyle name="Normal 8 3 2 2 5 2 3" xfId="12478" xr:uid="{6B2E7760-5139-4986-961B-5F156630AA9A}"/>
    <cellStyle name="Normal 8 3 2 2 5 3" xfId="6101" xr:uid="{00000000-0005-0000-0000-0000521D0000}"/>
    <cellStyle name="Normal 8 3 2 2 5 3 2" xfId="14551" xr:uid="{69578813-9112-4175-A84B-4EE90BB96F74}"/>
    <cellStyle name="Normal 8 3 2 2 5 4" xfId="10333" xr:uid="{B5150750-F39A-49DB-B50C-07A4AD9BAEE7}"/>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80878D9E-C7A3-4C0F-9BEF-BBAD273F85B5}"/>
    <cellStyle name="Normal 8 3 2 2 6 2 3" xfId="12891" xr:uid="{5DACB94F-E489-4304-BD85-5CF4E436C8B2}"/>
    <cellStyle name="Normal 8 3 2 2 6 3" xfId="6514" xr:uid="{00000000-0005-0000-0000-0000561D0000}"/>
    <cellStyle name="Normal 8 3 2 2 6 3 2" xfId="14964" xr:uid="{9B6C6732-4C00-43D4-8803-E69E06094852}"/>
    <cellStyle name="Normal 8 3 2 2 6 4" xfId="10746" xr:uid="{04B1404A-F585-44DF-A894-8B48384C7784}"/>
    <cellStyle name="Normal 8 3 2 2 7" xfId="2644" xr:uid="{00000000-0005-0000-0000-0000571D0000}"/>
    <cellStyle name="Normal 8 3 2 2 7 2" xfId="6927" xr:uid="{00000000-0005-0000-0000-0000581D0000}"/>
    <cellStyle name="Normal 8 3 2 2 7 2 2" xfId="15377" xr:uid="{618AA98B-335D-4E45-BF2D-F745F1403CA5}"/>
    <cellStyle name="Normal 8 3 2 2 7 3" xfId="11159" xr:uid="{BADC141C-C668-4D36-AF81-A84732893F54}"/>
    <cellStyle name="Normal 8 3 2 2 8" xfId="4862" xr:uid="{00000000-0005-0000-0000-0000591D0000}"/>
    <cellStyle name="Normal 8 3 2 2 8 2" xfId="13312" xr:uid="{370FCEE0-516A-4D37-8808-674BFE7FE617}"/>
    <cellStyle name="Normal 8 3 2 2 9" xfId="9094" xr:uid="{ADD900D8-A7E3-4502-8844-B0EBD9C6BFE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4B9FF191-54CF-4B03-A9EB-19C315BA4DF9}"/>
    <cellStyle name="Normal 8 3 2 3 2 2 3" xfId="11654" xr:uid="{6658B6CA-A3AF-4F0B-832B-57FB084B2B65}"/>
    <cellStyle name="Normal 8 3 2 3 2 3" xfId="5277" xr:uid="{00000000-0005-0000-0000-00005E1D0000}"/>
    <cellStyle name="Normal 8 3 2 3 2 3 2" xfId="13727" xr:uid="{7B998E7D-711E-425F-BDED-FD92F650A840}"/>
    <cellStyle name="Normal 8 3 2 3 2 4" xfId="9509" xr:uid="{FD661E89-A8B0-4343-955C-CC294BBEE272}"/>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2169ACF6-215C-4F6B-B25F-A6DA15E4E2D1}"/>
    <cellStyle name="Normal 8 3 2 3 3 2 3" xfId="12067" xr:uid="{1ADECE6C-D6C2-4736-A14B-1B56DB26AE9E}"/>
    <cellStyle name="Normal 8 3 2 3 3 3" xfId="5690" xr:uid="{00000000-0005-0000-0000-0000621D0000}"/>
    <cellStyle name="Normal 8 3 2 3 3 3 2" xfId="14140" xr:uid="{61D9D4DF-43D3-498A-9C45-0503697B3FB7}"/>
    <cellStyle name="Normal 8 3 2 3 3 4" xfId="9922" xr:uid="{2374DC76-FEF6-42A6-B0A4-ECD087976F05}"/>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2C4528FF-7062-4227-A33A-25A184AA61A5}"/>
    <cellStyle name="Normal 8 3 2 3 4 2 3" xfId="12480" xr:uid="{8E7411A0-25C6-4B8F-BDAD-7778EA2B74DC}"/>
    <cellStyle name="Normal 8 3 2 3 4 3" xfId="6103" xr:uid="{00000000-0005-0000-0000-0000661D0000}"/>
    <cellStyle name="Normal 8 3 2 3 4 3 2" xfId="14553" xr:uid="{343C2D61-389D-4D65-A451-4C95DAA77ADF}"/>
    <cellStyle name="Normal 8 3 2 3 4 4" xfId="10335" xr:uid="{4E590540-1B8C-4DF9-9112-07B2A26F891B}"/>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FA03B431-491F-4C35-8709-63401E922EDC}"/>
    <cellStyle name="Normal 8 3 2 3 5 2 3" xfId="12893" xr:uid="{5FCA5168-7275-4BD7-862F-29DB1E0EA9CE}"/>
    <cellStyle name="Normal 8 3 2 3 5 3" xfId="6516" xr:uid="{00000000-0005-0000-0000-00006A1D0000}"/>
    <cellStyle name="Normal 8 3 2 3 5 3 2" xfId="14966" xr:uid="{8A42CD33-6DFC-49DA-BD7E-F67CF68BE17B}"/>
    <cellStyle name="Normal 8 3 2 3 5 4" xfId="10748" xr:uid="{6C7340DA-5CE7-4D3E-BA75-03CB9F7E7F9C}"/>
    <cellStyle name="Normal 8 3 2 3 6" xfId="2646" xr:uid="{00000000-0005-0000-0000-00006B1D0000}"/>
    <cellStyle name="Normal 8 3 2 3 6 2" xfId="6929" xr:uid="{00000000-0005-0000-0000-00006C1D0000}"/>
    <cellStyle name="Normal 8 3 2 3 6 2 2" xfId="15379" xr:uid="{8F6F60DB-F227-4BD7-82B2-1DD25C9BBE9E}"/>
    <cellStyle name="Normal 8 3 2 3 6 3" xfId="11161" xr:uid="{A96D5EFD-3D7E-403F-B229-D9DBCDA01E2D}"/>
    <cellStyle name="Normal 8 3 2 3 7" xfId="4864" xr:uid="{00000000-0005-0000-0000-00006D1D0000}"/>
    <cellStyle name="Normal 8 3 2 3 7 2" xfId="13314" xr:uid="{2B802D44-4708-4A06-927B-F8E657384951}"/>
    <cellStyle name="Normal 8 3 2 3 8" xfId="9096" xr:uid="{CA930685-C8D5-4B19-8D61-B5C928F8A5BB}"/>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8DAB26FD-11F3-4C8E-B620-C7003268BCD9}"/>
    <cellStyle name="Normal 8 3 2 4 2 3" xfId="11651" xr:uid="{63FA7309-5D49-4A14-9785-EA065045033F}"/>
    <cellStyle name="Normal 8 3 2 4 3" xfId="5274" xr:uid="{00000000-0005-0000-0000-0000711D0000}"/>
    <cellStyle name="Normal 8 3 2 4 3 2" xfId="13724" xr:uid="{2CFB6F63-5772-4AB8-B010-93BDEF6F9B6B}"/>
    <cellStyle name="Normal 8 3 2 4 4" xfId="9506" xr:uid="{6AA6BF0B-36E9-4006-9C93-1834E2A02075}"/>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DD1BE171-2437-4AD1-8BF5-648EF6E280C4}"/>
    <cellStyle name="Normal 8 3 2 5 2 3" xfId="12064" xr:uid="{7AF054E9-29F3-4126-A9CE-8CE0E6775835}"/>
    <cellStyle name="Normal 8 3 2 5 3" xfId="5687" xr:uid="{00000000-0005-0000-0000-0000751D0000}"/>
    <cellStyle name="Normal 8 3 2 5 3 2" xfId="14137" xr:uid="{B4EADCB4-B819-43A1-B5DB-4D8C1308F34D}"/>
    <cellStyle name="Normal 8 3 2 5 4" xfId="9919" xr:uid="{A62AECBD-2A5F-4C29-B3AA-61D79C6109D0}"/>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1866B448-546C-4E40-A462-C78599D05839}"/>
    <cellStyle name="Normal 8 3 2 6 2 3" xfId="12477" xr:uid="{489B767F-2E75-42E4-9499-24EFEB8AB0E6}"/>
    <cellStyle name="Normal 8 3 2 6 3" xfId="6100" xr:uid="{00000000-0005-0000-0000-0000791D0000}"/>
    <cellStyle name="Normal 8 3 2 6 3 2" xfId="14550" xr:uid="{9C1C4F14-ACFE-474B-BCAC-BE1A535E02C7}"/>
    <cellStyle name="Normal 8 3 2 6 4" xfId="10332" xr:uid="{016059C3-6890-4B1B-A40D-449F918CAE88}"/>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7AD0EE96-2034-4421-8DFA-DC2F74B2D318}"/>
    <cellStyle name="Normal 8 3 2 7 2 3" xfId="12890" xr:uid="{525484F3-A2D0-405D-BE8C-451A5456CD51}"/>
    <cellStyle name="Normal 8 3 2 7 3" xfId="6513" xr:uid="{00000000-0005-0000-0000-00007D1D0000}"/>
    <cellStyle name="Normal 8 3 2 7 3 2" xfId="14963" xr:uid="{2FBF3FDD-D849-44D6-8764-46276514870A}"/>
    <cellStyle name="Normal 8 3 2 7 4" xfId="10745" xr:uid="{95F845FB-E637-40A5-8DDC-CE2DC6508749}"/>
    <cellStyle name="Normal 8 3 2 8" xfId="2643" xr:uid="{00000000-0005-0000-0000-00007E1D0000}"/>
    <cellStyle name="Normal 8 3 2 8 2" xfId="6926" xr:uid="{00000000-0005-0000-0000-00007F1D0000}"/>
    <cellStyle name="Normal 8 3 2 8 2 2" xfId="15376" xr:uid="{4A4A1346-A00F-4CBE-A182-7DAB93073009}"/>
    <cellStyle name="Normal 8 3 2 8 3" xfId="11158" xr:uid="{C1022681-C68B-458B-B338-DFFCAFBD0F5B}"/>
    <cellStyle name="Normal 8 3 2 9" xfId="4861" xr:uid="{00000000-0005-0000-0000-0000801D0000}"/>
    <cellStyle name="Normal 8 3 2 9 2" xfId="13311" xr:uid="{51E78CEB-0D4C-419C-BD9C-6389BF1EE90D}"/>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B05D92A0-C6F4-41D3-BF61-ADD8581F7E38}"/>
    <cellStyle name="Normal 8 3 3 2 2 2 3" xfId="11656" xr:uid="{1320B80D-554F-49F4-A101-6935AB5324DC}"/>
    <cellStyle name="Normal 8 3 3 2 2 3" xfId="5279" xr:uid="{00000000-0005-0000-0000-0000861D0000}"/>
    <cellStyle name="Normal 8 3 3 2 2 3 2" xfId="13729" xr:uid="{ADDF07F3-4423-438D-B2FA-9C2F95A66376}"/>
    <cellStyle name="Normal 8 3 3 2 2 4" xfId="9511" xr:uid="{19597D4F-084D-4A66-917A-E168655EAD37}"/>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A39AE06C-130F-43D3-A2C5-6693E756A3FE}"/>
    <cellStyle name="Normal 8 3 3 2 3 2 3" xfId="12069" xr:uid="{E66E25C2-51DE-4EE1-9D3A-D3010EA87DC7}"/>
    <cellStyle name="Normal 8 3 3 2 3 3" xfId="5692" xr:uid="{00000000-0005-0000-0000-00008A1D0000}"/>
    <cellStyle name="Normal 8 3 3 2 3 3 2" xfId="14142" xr:uid="{EF02E7C9-8644-4075-8D9C-3CDA9A67151C}"/>
    <cellStyle name="Normal 8 3 3 2 3 4" xfId="9924" xr:uid="{0CACC9EF-8904-44A9-AC3C-C0B6502E8709}"/>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5674F8DD-FC9A-4E5B-A6D4-05B0AB717665}"/>
    <cellStyle name="Normal 8 3 3 2 4 2 3" xfId="12482" xr:uid="{3A2FD2BF-5B90-4159-97DF-CD1C64B3DAC8}"/>
    <cellStyle name="Normal 8 3 3 2 4 3" xfId="6105" xr:uid="{00000000-0005-0000-0000-00008E1D0000}"/>
    <cellStyle name="Normal 8 3 3 2 4 3 2" xfId="14555" xr:uid="{8527348E-A8FD-4955-AD95-2DA849500EEF}"/>
    <cellStyle name="Normal 8 3 3 2 4 4" xfId="10337" xr:uid="{99E0B2EB-510D-4DA3-9C06-2B68336EE2FB}"/>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32530D3C-6439-429D-945F-E42E1C438A0E}"/>
    <cellStyle name="Normal 8 3 3 2 5 2 3" xfId="12895" xr:uid="{5A3FA76A-FD1D-464A-AF10-3BA5E134940C}"/>
    <cellStyle name="Normal 8 3 3 2 5 3" xfId="6518" xr:uid="{00000000-0005-0000-0000-0000921D0000}"/>
    <cellStyle name="Normal 8 3 3 2 5 3 2" xfId="14968" xr:uid="{0081A038-6932-48FC-BFA7-7F5BD0891EBA}"/>
    <cellStyle name="Normal 8 3 3 2 5 4" xfId="10750" xr:uid="{CA3D5A93-2DFC-4EFB-83D5-FC9A36CC0D8C}"/>
    <cellStyle name="Normal 8 3 3 2 6" xfId="2648" xr:uid="{00000000-0005-0000-0000-0000931D0000}"/>
    <cellStyle name="Normal 8 3 3 2 6 2" xfId="6931" xr:uid="{00000000-0005-0000-0000-0000941D0000}"/>
    <cellStyle name="Normal 8 3 3 2 6 2 2" xfId="15381" xr:uid="{0B73EDF2-E1AE-4FCC-A207-CBF6D9DF0B46}"/>
    <cellStyle name="Normal 8 3 3 2 6 3" xfId="11163" xr:uid="{2FD4C9FA-2A75-423C-9269-983737A301F2}"/>
    <cellStyle name="Normal 8 3 3 2 7" xfId="4866" xr:uid="{00000000-0005-0000-0000-0000951D0000}"/>
    <cellStyle name="Normal 8 3 3 2 7 2" xfId="13316" xr:uid="{776B8639-E9B7-4DC9-B969-D91F705F6856}"/>
    <cellStyle name="Normal 8 3 3 2 8" xfId="9098" xr:uid="{50A8C1C9-FF83-4C3B-95FD-BA276C386C1A}"/>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4735F2BD-3784-4C91-82EE-0362D4E20844}"/>
    <cellStyle name="Normal 8 3 3 3 2 3" xfId="11655" xr:uid="{08C2A7F8-59F9-4045-97AA-01752A966512}"/>
    <cellStyle name="Normal 8 3 3 3 3" xfId="5278" xr:uid="{00000000-0005-0000-0000-0000991D0000}"/>
    <cellStyle name="Normal 8 3 3 3 3 2" xfId="13728" xr:uid="{B2FB55FB-7E5F-4DA8-9AC2-E3D0C9623D92}"/>
    <cellStyle name="Normal 8 3 3 3 4" xfId="9510" xr:uid="{5539641E-2924-45A8-ABEE-AEA5D5D20CB3}"/>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55A8011B-A900-465B-8853-E4CA4DE89C22}"/>
    <cellStyle name="Normal 8 3 3 4 2 3" xfId="12068" xr:uid="{5ED30598-8D06-4C44-89F0-679206DE6BE9}"/>
    <cellStyle name="Normal 8 3 3 4 3" xfId="5691" xr:uid="{00000000-0005-0000-0000-00009D1D0000}"/>
    <cellStyle name="Normal 8 3 3 4 3 2" xfId="14141" xr:uid="{688A8999-1A00-4CE2-9E48-2BFADD714856}"/>
    <cellStyle name="Normal 8 3 3 4 4" xfId="9923" xr:uid="{6562D451-B1E6-4B39-9EB5-8445FE9E8556}"/>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E3EBBFF0-BC61-4974-BA5A-1599C5A4EA21}"/>
    <cellStyle name="Normal 8 3 3 5 2 3" xfId="12481" xr:uid="{F56087D6-67F8-424B-8B47-8EDE00CDEB1E}"/>
    <cellStyle name="Normal 8 3 3 5 3" xfId="6104" xr:uid="{00000000-0005-0000-0000-0000A11D0000}"/>
    <cellStyle name="Normal 8 3 3 5 3 2" xfId="14554" xr:uid="{1A814AB9-CF28-42BE-AC65-D7B1F8B5D729}"/>
    <cellStyle name="Normal 8 3 3 5 4" xfId="10336" xr:uid="{A976C8F7-846C-44BC-8B36-47D3CCB9C74C}"/>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95D04DF4-4511-45CF-BF70-B3F22181DE34}"/>
    <cellStyle name="Normal 8 3 3 6 2 3" xfId="12894" xr:uid="{A341F07B-C6A1-46E1-B605-4790D3646C38}"/>
    <cellStyle name="Normal 8 3 3 6 3" xfId="6517" xr:uid="{00000000-0005-0000-0000-0000A51D0000}"/>
    <cellStyle name="Normal 8 3 3 6 3 2" xfId="14967" xr:uid="{94530632-54F5-4664-B3EF-AD8F0DEAE380}"/>
    <cellStyle name="Normal 8 3 3 6 4" xfId="10749" xr:uid="{998717C0-E3B3-49BA-AD23-184F82A06D90}"/>
    <cellStyle name="Normal 8 3 3 7" xfId="2647" xr:uid="{00000000-0005-0000-0000-0000A61D0000}"/>
    <cellStyle name="Normal 8 3 3 7 2" xfId="6930" xr:uid="{00000000-0005-0000-0000-0000A71D0000}"/>
    <cellStyle name="Normal 8 3 3 7 2 2" xfId="15380" xr:uid="{87E2E7C8-76E2-4CAD-9019-597BD284A945}"/>
    <cellStyle name="Normal 8 3 3 7 3" xfId="11162" xr:uid="{176DF629-7D0F-45F1-B5A8-EC8800A8701B}"/>
    <cellStyle name="Normal 8 3 3 8" xfId="4865" xr:uid="{00000000-0005-0000-0000-0000A81D0000}"/>
    <cellStyle name="Normal 8 3 3 8 2" xfId="13315" xr:uid="{30775F81-0809-41CC-B5FF-5001B9EFE012}"/>
    <cellStyle name="Normal 8 3 3 9" xfId="9097" xr:uid="{2B87EE2D-4587-4E60-8FDD-9D78E2BDA80A}"/>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CADF141E-19BB-43C2-B18D-089048FF33FC}"/>
    <cellStyle name="Normal 8 3 4 2 2 3" xfId="11657" xr:uid="{195DE73E-5C6F-4861-B999-C1CFFF12B10E}"/>
    <cellStyle name="Normal 8 3 4 2 3" xfId="5280" xr:uid="{00000000-0005-0000-0000-0000AD1D0000}"/>
    <cellStyle name="Normal 8 3 4 2 3 2" xfId="13730" xr:uid="{ED6B6EAF-7141-420E-9FEF-EF4FA1CD346D}"/>
    <cellStyle name="Normal 8 3 4 2 4" xfId="9512" xr:uid="{A16FE051-509B-472B-9F95-D052B1F6C984}"/>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43A87875-2D2E-4036-B0C0-607E8AA73E3A}"/>
    <cellStyle name="Normal 8 3 4 3 2 3" xfId="12070" xr:uid="{C0AEAF9A-47E4-4116-8F97-569AD21F6E2E}"/>
    <cellStyle name="Normal 8 3 4 3 3" xfId="5693" xr:uid="{00000000-0005-0000-0000-0000B11D0000}"/>
    <cellStyle name="Normal 8 3 4 3 3 2" xfId="14143" xr:uid="{656EE2C0-F240-4563-8057-BEF348CE8796}"/>
    <cellStyle name="Normal 8 3 4 3 4" xfId="9925" xr:uid="{9C010E45-339B-4AB6-BBCB-5F286A9F2092}"/>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A736715E-92E0-4034-85EF-95F534325AB2}"/>
    <cellStyle name="Normal 8 3 4 4 2 3" xfId="12483" xr:uid="{04782543-20D6-498B-9894-BA0189B13F33}"/>
    <cellStyle name="Normal 8 3 4 4 3" xfId="6106" xr:uid="{00000000-0005-0000-0000-0000B51D0000}"/>
    <cellStyle name="Normal 8 3 4 4 3 2" xfId="14556" xr:uid="{C23DAF20-32C7-44F9-ABB6-678172D1D6D2}"/>
    <cellStyle name="Normal 8 3 4 4 4" xfId="10338" xr:uid="{A4615DA8-5551-4F6C-BFC4-62AB21DC3003}"/>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723B3537-0981-4F2B-A45E-BC006BE39ABA}"/>
    <cellStyle name="Normal 8 3 4 5 2 3" xfId="12896" xr:uid="{7F84D8EC-8C4B-4068-98BA-6767404F1D2B}"/>
    <cellStyle name="Normal 8 3 4 5 3" xfId="6519" xr:uid="{00000000-0005-0000-0000-0000B91D0000}"/>
    <cellStyle name="Normal 8 3 4 5 3 2" xfId="14969" xr:uid="{E1D70AE6-1B69-4590-8938-37ABBA9B20AD}"/>
    <cellStyle name="Normal 8 3 4 5 4" xfId="10751" xr:uid="{9CB75941-7856-442D-92C0-65FC3D52E43E}"/>
    <cellStyle name="Normal 8 3 4 6" xfId="2649" xr:uid="{00000000-0005-0000-0000-0000BA1D0000}"/>
    <cellStyle name="Normal 8 3 4 6 2" xfId="6932" xr:uid="{00000000-0005-0000-0000-0000BB1D0000}"/>
    <cellStyle name="Normal 8 3 4 6 2 2" xfId="15382" xr:uid="{A2944678-B7FC-4A49-9DB6-EADE2F0971CC}"/>
    <cellStyle name="Normal 8 3 4 6 3" xfId="11164" xr:uid="{41C38454-3C93-4A09-A489-B868C0F45FFA}"/>
    <cellStyle name="Normal 8 3 4 7" xfId="4867" xr:uid="{00000000-0005-0000-0000-0000BC1D0000}"/>
    <cellStyle name="Normal 8 3 4 7 2" xfId="13317" xr:uid="{C36E8E83-0A38-4C51-B7E6-5CBF5312380B}"/>
    <cellStyle name="Normal 8 3 4 8" xfId="9099" xr:uid="{6EFBA52B-CBB2-46DC-B10F-7CBAC447B012}"/>
    <cellStyle name="Normal 8 3 5" xfId="962" xr:uid="{00000000-0005-0000-0000-0000BD1D0000}"/>
    <cellStyle name="Normal 8 3 5 2" xfId="3196" xr:uid="{00000000-0005-0000-0000-0000BE1D0000}"/>
    <cellStyle name="Normal 8 3 5 2 2" xfId="7418" xr:uid="{00000000-0005-0000-0000-0000BF1D0000}"/>
    <cellStyle name="Normal 8 3 5 2 2 2" xfId="15868" xr:uid="{844428CD-8B0C-4A48-84D6-1D1F7CA794B8}"/>
    <cellStyle name="Normal 8 3 5 2 3" xfId="11650" xr:uid="{4648FB8E-60FF-4259-8AC7-FB21A57EE673}"/>
    <cellStyle name="Normal 8 3 5 3" xfId="5273" xr:uid="{00000000-0005-0000-0000-0000C01D0000}"/>
    <cellStyle name="Normal 8 3 5 3 2" xfId="13723" xr:uid="{099FE940-25FB-4678-BF78-FA5EAD0D3C5F}"/>
    <cellStyle name="Normal 8 3 5 4" xfId="9505" xr:uid="{F2C0DEA6-B763-4689-B877-9617D0665C91}"/>
    <cellStyle name="Normal 8 3 6" xfId="1379" xr:uid="{00000000-0005-0000-0000-0000C11D0000}"/>
    <cellStyle name="Normal 8 3 6 2" xfId="3609" xr:uid="{00000000-0005-0000-0000-0000C21D0000}"/>
    <cellStyle name="Normal 8 3 6 2 2" xfId="7831" xr:uid="{00000000-0005-0000-0000-0000C31D0000}"/>
    <cellStyle name="Normal 8 3 6 2 2 2" xfId="16281" xr:uid="{049E417E-40A0-490E-B2D7-5176CF91592F}"/>
    <cellStyle name="Normal 8 3 6 2 3" xfId="12063" xr:uid="{4424ADF2-4271-4E9A-ADB3-736132062EAE}"/>
    <cellStyle name="Normal 8 3 6 3" xfId="5686" xr:uid="{00000000-0005-0000-0000-0000C41D0000}"/>
    <cellStyle name="Normal 8 3 6 3 2" xfId="14136" xr:uid="{D682583B-E8C4-4788-9E50-6566E01BEFB5}"/>
    <cellStyle name="Normal 8 3 6 4" xfId="9918" xr:uid="{ABB8A6F7-799F-42F7-B52F-5CE13584BB20}"/>
    <cellStyle name="Normal 8 3 7" xfId="1792" xr:uid="{00000000-0005-0000-0000-0000C51D0000}"/>
    <cellStyle name="Normal 8 3 7 2" xfId="4022" xr:uid="{00000000-0005-0000-0000-0000C61D0000}"/>
    <cellStyle name="Normal 8 3 7 2 2" xfId="8244" xr:uid="{00000000-0005-0000-0000-0000C71D0000}"/>
    <cellStyle name="Normal 8 3 7 2 2 2" xfId="16694" xr:uid="{4AA9A2EC-ABAE-43F9-9A84-51B7E1F0E49F}"/>
    <cellStyle name="Normal 8 3 7 2 3" xfId="12476" xr:uid="{AAA1FCAB-130E-4A22-9011-3A2C2AB28EBB}"/>
    <cellStyle name="Normal 8 3 7 3" xfId="6099" xr:uid="{00000000-0005-0000-0000-0000C81D0000}"/>
    <cellStyle name="Normal 8 3 7 3 2" xfId="14549" xr:uid="{31A84981-AFBE-4DDE-9B71-AAADE43F1117}"/>
    <cellStyle name="Normal 8 3 7 4" xfId="10331" xr:uid="{1D610629-9B95-48A1-89F4-3F317118802B}"/>
    <cellStyle name="Normal 8 3 8" xfId="2206" xr:uid="{00000000-0005-0000-0000-0000C91D0000}"/>
    <cellStyle name="Normal 8 3 8 2" xfId="4435" xr:uid="{00000000-0005-0000-0000-0000CA1D0000}"/>
    <cellStyle name="Normal 8 3 8 2 2" xfId="8657" xr:uid="{00000000-0005-0000-0000-0000CB1D0000}"/>
    <cellStyle name="Normal 8 3 8 2 2 2" xfId="17107" xr:uid="{49C4577E-DCC4-448A-B332-C6F9EB930A19}"/>
    <cellStyle name="Normal 8 3 8 2 3" xfId="12889" xr:uid="{49BA7E24-6E8C-4677-8F49-E74D3BCA2815}"/>
    <cellStyle name="Normal 8 3 8 3" xfId="6512" xr:uid="{00000000-0005-0000-0000-0000CC1D0000}"/>
    <cellStyle name="Normal 8 3 8 3 2" xfId="14962" xr:uid="{6B058AC0-EBE7-4A4C-8DDF-BCEA78502A9A}"/>
    <cellStyle name="Normal 8 3 8 4" xfId="10744" xr:uid="{8F300E3B-3029-476E-AAC5-246CAF7D3BB0}"/>
    <cellStyle name="Normal 8 3 9" xfId="2642" xr:uid="{00000000-0005-0000-0000-0000CD1D0000}"/>
    <cellStyle name="Normal 8 3 9 2" xfId="6925" xr:uid="{00000000-0005-0000-0000-0000CE1D0000}"/>
    <cellStyle name="Normal 8 3 9 2 2" xfId="15375" xr:uid="{3BE290FF-9DAA-4FDD-AA77-B0CEF3E3C87D}"/>
    <cellStyle name="Normal 8 3 9 3" xfId="11157" xr:uid="{EAA79AFF-7E1F-4C6E-9984-836621C0D030}"/>
    <cellStyle name="Normal 8 4" xfId="503" xr:uid="{00000000-0005-0000-0000-0000CF1D0000}"/>
    <cellStyle name="Normal 8 4 10" xfId="9100" xr:uid="{5636119A-C7A4-4A6E-916A-34F0BED843FF}"/>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FA95545B-8445-4C3A-A18F-D94C33586B55}"/>
    <cellStyle name="Normal 8 4 2 2 2 2 3" xfId="11660" xr:uid="{CCD5E90F-5AE8-4C35-9D82-6A9DAD91BFEA}"/>
    <cellStyle name="Normal 8 4 2 2 2 3" xfId="5283" xr:uid="{00000000-0005-0000-0000-0000D51D0000}"/>
    <cellStyle name="Normal 8 4 2 2 2 3 2" xfId="13733" xr:uid="{EB045A91-EC39-4AE8-9651-B5F567BC41EE}"/>
    <cellStyle name="Normal 8 4 2 2 2 4" xfId="9515" xr:uid="{6D4353C6-53C5-48EA-B3A4-5F34B96FFB25}"/>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D7CBF46D-B55F-4C93-B9E9-A007B75376CE}"/>
    <cellStyle name="Normal 8 4 2 2 3 2 3" xfId="12073" xr:uid="{C2E99E5D-2733-4777-9AAF-7B0C13C5A066}"/>
    <cellStyle name="Normal 8 4 2 2 3 3" xfId="5696" xr:uid="{00000000-0005-0000-0000-0000D91D0000}"/>
    <cellStyle name="Normal 8 4 2 2 3 3 2" xfId="14146" xr:uid="{CA822BE7-3A4F-4D29-B94B-36E2644A1C24}"/>
    <cellStyle name="Normal 8 4 2 2 3 4" xfId="9928" xr:uid="{990B3395-20A4-47DE-BE6D-D681ED4D7D0D}"/>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EA90BB64-FECC-4AA8-B74F-9AF626928222}"/>
    <cellStyle name="Normal 8 4 2 2 4 2 3" xfId="12486" xr:uid="{456B93A8-0833-4543-846B-FABD9702940F}"/>
    <cellStyle name="Normal 8 4 2 2 4 3" xfId="6109" xr:uid="{00000000-0005-0000-0000-0000DD1D0000}"/>
    <cellStyle name="Normal 8 4 2 2 4 3 2" xfId="14559" xr:uid="{EDBE3442-B377-45E3-ADCA-26B7AC574320}"/>
    <cellStyle name="Normal 8 4 2 2 4 4" xfId="10341" xr:uid="{4F10100D-C0A8-4F44-820B-63DD09E7FDD8}"/>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C4807450-4D0F-4088-B46C-864962C2A0A0}"/>
    <cellStyle name="Normal 8 4 2 2 5 2 3" xfId="12899" xr:uid="{FD844D0D-970F-445F-92FF-95248F8663BF}"/>
    <cellStyle name="Normal 8 4 2 2 5 3" xfId="6522" xr:uid="{00000000-0005-0000-0000-0000E11D0000}"/>
    <cellStyle name="Normal 8 4 2 2 5 3 2" xfId="14972" xr:uid="{21B366AA-66FA-426B-812F-EB92315CCE4A}"/>
    <cellStyle name="Normal 8 4 2 2 5 4" xfId="10754" xr:uid="{14688EDE-98AD-4F5D-99B5-DD1A43D840E4}"/>
    <cellStyle name="Normal 8 4 2 2 6" xfId="2652" xr:uid="{00000000-0005-0000-0000-0000E21D0000}"/>
    <cellStyle name="Normal 8 4 2 2 6 2" xfId="6935" xr:uid="{00000000-0005-0000-0000-0000E31D0000}"/>
    <cellStyle name="Normal 8 4 2 2 6 2 2" xfId="15385" xr:uid="{0A5F8904-FC98-4A28-8A19-550CE533BF66}"/>
    <cellStyle name="Normal 8 4 2 2 6 3" xfId="11167" xr:uid="{D109FD98-2F8A-49F1-8C7B-1EBD46FA0996}"/>
    <cellStyle name="Normal 8 4 2 2 7" xfId="4870" xr:uid="{00000000-0005-0000-0000-0000E41D0000}"/>
    <cellStyle name="Normal 8 4 2 2 7 2" xfId="13320" xr:uid="{5EE343CC-E929-4F40-BD8B-B8B89F4D153B}"/>
    <cellStyle name="Normal 8 4 2 2 8" xfId="9102" xr:uid="{9C0F5FF9-152F-42DE-A4FF-06C49FBA9B02}"/>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C8B0A269-8F51-483E-95B7-680C3003FB64}"/>
    <cellStyle name="Normal 8 4 2 3 2 3" xfId="11659" xr:uid="{DBF8AFFE-8F84-43AE-B281-483640F82468}"/>
    <cellStyle name="Normal 8 4 2 3 3" xfId="5282" xr:uid="{00000000-0005-0000-0000-0000E81D0000}"/>
    <cellStyle name="Normal 8 4 2 3 3 2" xfId="13732" xr:uid="{D3764904-459A-4D9D-B429-ED039ED4D5B3}"/>
    <cellStyle name="Normal 8 4 2 3 4" xfId="9514" xr:uid="{FCB1D4EF-6177-4AD6-8F44-9CFDF95FF882}"/>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09B64EFB-FB2C-4ABF-8276-A4407E8C7F6D}"/>
    <cellStyle name="Normal 8 4 2 4 2 3" xfId="12072" xr:uid="{B394597D-7FDC-4B79-AF79-628B9DA9F482}"/>
    <cellStyle name="Normal 8 4 2 4 3" xfId="5695" xr:uid="{00000000-0005-0000-0000-0000EC1D0000}"/>
    <cellStyle name="Normal 8 4 2 4 3 2" xfId="14145" xr:uid="{EDE264D1-4248-4813-B2A1-1764E6E0AA73}"/>
    <cellStyle name="Normal 8 4 2 4 4" xfId="9927" xr:uid="{EBA4E9D4-DDF5-4566-90CB-337B2093D4CB}"/>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A025A5DD-C494-4487-AAFC-33FA73D18A3B}"/>
    <cellStyle name="Normal 8 4 2 5 2 3" xfId="12485" xr:uid="{0F5D8F8A-7FFB-495F-99D1-417C531B6A37}"/>
    <cellStyle name="Normal 8 4 2 5 3" xfId="6108" xr:uid="{00000000-0005-0000-0000-0000F01D0000}"/>
    <cellStyle name="Normal 8 4 2 5 3 2" xfId="14558" xr:uid="{3319D26E-2FE1-41EB-A67F-6A2341339DE6}"/>
    <cellStyle name="Normal 8 4 2 5 4" xfId="10340" xr:uid="{5EC41633-3D3D-4D7A-8C05-37EAF2C9F49F}"/>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C84BD3DA-4607-4698-A2D1-6D396C55C38E}"/>
    <cellStyle name="Normal 8 4 2 6 2 3" xfId="12898" xr:uid="{EBEB6553-2DD5-411B-B69C-14086A76B6C5}"/>
    <cellStyle name="Normal 8 4 2 6 3" xfId="6521" xr:uid="{00000000-0005-0000-0000-0000F41D0000}"/>
    <cellStyle name="Normal 8 4 2 6 3 2" xfId="14971" xr:uid="{7A8EB874-D1B1-4035-AA64-12CD005A6506}"/>
    <cellStyle name="Normal 8 4 2 6 4" xfId="10753" xr:uid="{B20F2DAD-FF11-476A-AB2B-9BC3D79583A3}"/>
    <cellStyle name="Normal 8 4 2 7" xfId="2651" xr:uid="{00000000-0005-0000-0000-0000F51D0000}"/>
    <cellStyle name="Normal 8 4 2 7 2" xfId="6934" xr:uid="{00000000-0005-0000-0000-0000F61D0000}"/>
    <cellStyle name="Normal 8 4 2 7 2 2" xfId="15384" xr:uid="{20A821B9-F1B2-40E6-9C95-039F3E79F7E3}"/>
    <cellStyle name="Normal 8 4 2 7 3" xfId="11166" xr:uid="{DD26D32D-503B-4F8B-8B67-38395FBAFB87}"/>
    <cellStyle name="Normal 8 4 2 8" xfId="4869" xr:uid="{00000000-0005-0000-0000-0000F71D0000}"/>
    <cellStyle name="Normal 8 4 2 8 2" xfId="13319" xr:uid="{7C415E1F-FA5F-4924-989F-713065AEE73F}"/>
    <cellStyle name="Normal 8 4 2 9" xfId="9101" xr:uid="{F4EA03BE-CDF6-480A-A6DA-0954A1C2BBDC}"/>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87123308-A224-4B7F-A079-C5CC1CA76035}"/>
    <cellStyle name="Normal 8 4 3 2 2 3" xfId="11661" xr:uid="{C2545143-E1C1-4775-A6AA-254CCEEFDD32}"/>
    <cellStyle name="Normal 8 4 3 2 3" xfId="5284" xr:uid="{00000000-0005-0000-0000-0000FC1D0000}"/>
    <cellStyle name="Normal 8 4 3 2 3 2" xfId="13734" xr:uid="{5664A0B4-3AA5-47A5-B3D1-7EC1FD17162E}"/>
    <cellStyle name="Normal 8 4 3 2 4" xfId="9516" xr:uid="{A9A81113-D046-414E-B8EE-E4AD98E2B739}"/>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51EE080B-005E-4B6A-8D16-7B1C09B9DE46}"/>
    <cellStyle name="Normal 8 4 3 3 2 3" xfId="12074" xr:uid="{148DCB1A-0DD2-4988-83C5-D06F232C334C}"/>
    <cellStyle name="Normal 8 4 3 3 3" xfId="5697" xr:uid="{00000000-0005-0000-0000-0000001E0000}"/>
    <cellStyle name="Normal 8 4 3 3 3 2" xfId="14147" xr:uid="{E7FC28C6-280C-4932-AB15-EEB7586702E2}"/>
    <cellStyle name="Normal 8 4 3 3 4" xfId="9929" xr:uid="{F5995679-BFF3-4D42-8933-C72BB0EE49CB}"/>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47AB6AC9-B6EE-401C-A1AE-1A1325A46D29}"/>
    <cellStyle name="Normal 8 4 3 4 2 3" xfId="12487" xr:uid="{A59FC2F3-577F-49A0-B5E0-753FD21E6C5D}"/>
    <cellStyle name="Normal 8 4 3 4 3" xfId="6110" xr:uid="{00000000-0005-0000-0000-0000041E0000}"/>
    <cellStyle name="Normal 8 4 3 4 3 2" xfId="14560" xr:uid="{D3035892-3C2D-413A-8DFE-6A108832D7B8}"/>
    <cellStyle name="Normal 8 4 3 4 4" xfId="10342" xr:uid="{6EC89BBE-B67E-41F5-98D0-2A3745395D1E}"/>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3C89F34B-3A1F-4197-ACB3-DA78B502FFD4}"/>
    <cellStyle name="Normal 8 4 3 5 2 3" xfId="12900" xr:uid="{7C721415-B0CE-4345-BFB4-23222D37DCD8}"/>
    <cellStyle name="Normal 8 4 3 5 3" xfId="6523" xr:uid="{00000000-0005-0000-0000-0000081E0000}"/>
    <cellStyle name="Normal 8 4 3 5 3 2" xfId="14973" xr:uid="{17DB5204-F824-4C8B-B5E4-167EDBA3336D}"/>
    <cellStyle name="Normal 8 4 3 5 4" xfId="10755" xr:uid="{E8A832B6-5C64-40B5-8A7B-B3227490C916}"/>
    <cellStyle name="Normal 8 4 3 6" xfId="2653" xr:uid="{00000000-0005-0000-0000-0000091E0000}"/>
    <cellStyle name="Normal 8 4 3 6 2" xfId="6936" xr:uid="{00000000-0005-0000-0000-00000A1E0000}"/>
    <cellStyle name="Normal 8 4 3 6 2 2" xfId="15386" xr:uid="{853BE853-91BB-47DC-956B-2CD9254EAC0C}"/>
    <cellStyle name="Normal 8 4 3 6 3" xfId="11168" xr:uid="{C877D077-8302-47D8-A794-B0DAFD3FC937}"/>
    <cellStyle name="Normal 8 4 3 7" xfId="4871" xr:uid="{00000000-0005-0000-0000-00000B1E0000}"/>
    <cellStyle name="Normal 8 4 3 7 2" xfId="13321" xr:uid="{C3475EF3-961F-485E-87AA-335E23FAC8B8}"/>
    <cellStyle name="Normal 8 4 3 8" xfId="9103" xr:uid="{46DFD39C-58A2-4338-9500-A5041D3C117A}"/>
    <cellStyle name="Normal 8 4 4" xfId="970" xr:uid="{00000000-0005-0000-0000-00000C1E0000}"/>
    <cellStyle name="Normal 8 4 4 2" xfId="3204" xr:uid="{00000000-0005-0000-0000-00000D1E0000}"/>
    <cellStyle name="Normal 8 4 4 2 2" xfId="7426" xr:uid="{00000000-0005-0000-0000-00000E1E0000}"/>
    <cellStyle name="Normal 8 4 4 2 2 2" xfId="15876" xr:uid="{638168EE-EEAF-4F2C-AB4D-11227ADE6629}"/>
    <cellStyle name="Normal 8 4 4 2 3" xfId="11658" xr:uid="{D10B86DC-CFA9-45A0-9229-88B81F97FEEE}"/>
    <cellStyle name="Normal 8 4 4 3" xfId="5281" xr:uid="{00000000-0005-0000-0000-00000F1E0000}"/>
    <cellStyle name="Normal 8 4 4 3 2" xfId="13731" xr:uid="{5B047A77-7534-4B43-BAD0-584BA52794E8}"/>
    <cellStyle name="Normal 8 4 4 4" xfId="9513" xr:uid="{053C4315-7FF6-43DB-8144-674F83E17D43}"/>
    <cellStyle name="Normal 8 4 5" xfId="1387" xr:uid="{00000000-0005-0000-0000-0000101E0000}"/>
    <cellStyle name="Normal 8 4 5 2" xfId="3617" xr:uid="{00000000-0005-0000-0000-0000111E0000}"/>
    <cellStyle name="Normal 8 4 5 2 2" xfId="7839" xr:uid="{00000000-0005-0000-0000-0000121E0000}"/>
    <cellStyle name="Normal 8 4 5 2 2 2" xfId="16289" xr:uid="{BD8BDCB4-E707-416B-AFBB-07222E92047D}"/>
    <cellStyle name="Normal 8 4 5 2 3" xfId="12071" xr:uid="{907C06D9-F8A2-4ED8-A23E-604F695E31A1}"/>
    <cellStyle name="Normal 8 4 5 3" xfId="5694" xr:uid="{00000000-0005-0000-0000-0000131E0000}"/>
    <cellStyle name="Normal 8 4 5 3 2" xfId="14144" xr:uid="{9CA67BA0-F424-4E51-9CB0-3D88CEDF9123}"/>
    <cellStyle name="Normal 8 4 5 4" xfId="9926" xr:uid="{59243A90-1D8A-4E47-96A3-48C59869E0B0}"/>
    <cellStyle name="Normal 8 4 6" xfId="1800" xr:uid="{00000000-0005-0000-0000-0000141E0000}"/>
    <cellStyle name="Normal 8 4 6 2" xfId="4030" xr:uid="{00000000-0005-0000-0000-0000151E0000}"/>
    <cellStyle name="Normal 8 4 6 2 2" xfId="8252" xr:uid="{00000000-0005-0000-0000-0000161E0000}"/>
    <cellStyle name="Normal 8 4 6 2 2 2" xfId="16702" xr:uid="{C3228EE6-BE41-4031-A4AA-EA78FDDD01CC}"/>
    <cellStyle name="Normal 8 4 6 2 3" xfId="12484" xr:uid="{9D62D14E-953D-46F4-9166-C61E2CEAACD8}"/>
    <cellStyle name="Normal 8 4 6 3" xfId="6107" xr:uid="{00000000-0005-0000-0000-0000171E0000}"/>
    <cellStyle name="Normal 8 4 6 3 2" xfId="14557" xr:uid="{3BC8A6D7-1DB5-45F2-82D5-B893F0E8E487}"/>
    <cellStyle name="Normal 8 4 6 4" xfId="10339" xr:uid="{CB453007-C814-409B-A361-9D0D4941E58A}"/>
    <cellStyle name="Normal 8 4 7" xfId="2214" xr:uid="{00000000-0005-0000-0000-0000181E0000}"/>
    <cellStyle name="Normal 8 4 7 2" xfId="4443" xr:uid="{00000000-0005-0000-0000-0000191E0000}"/>
    <cellStyle name="Normal 8 4 7 2 2" xfId="8665" xr:uid="{00000000-0005-0000-0000-00001A1E0000}"/>
    <cellStyle name="Normal 8 4 7 2 2 2" xfId="17115" xr:uid="{25B077AC-454B-4A58-884D-BB72CFB24EB2}"/>
    <cellStyle name="Normal 8 4 7 2 3" xfId="12897" xr:uid="{6997CCE7-142A-4DE3-8F71-08A4991D245A}"/>
    <cellStyle name="Normal 8 4 7 3" xfId="6520" xr:uid="{00000000-0005-0000-0000-00001B1E0000}"/>
    <cellStyle name="Normal 8 4 7 3 2" xfId="14970" xr:uid="{842284A2-2161-49E6-84D5-A8D318C815E5}"/>
    <cellStyle name="Normal 8 4 7 4" xfId="10752" xr:uid="{DCD40894-59EA-44FD-9D33-AAA18CB5CC45}"/>
    <cellStyle name="Normal 8 4 8" xfId="2650" xr:uid="{00000000-0005-0000-0000-00001C1E0000}"/>
    <cellStyle name="Normal 8 4 8 2" xfId="6933" xr:uid="{00000000-0005-0000-0000-00001D1E0000}"/>
    <cellStyle name="Normal 8 4 8 2 2" xfId="15383" xr:uid="{8E805838-2070-499B-AD81-1782BCB3808D}"/>
    <cellStyle name="Normal 8 4 8 3" xfId="11165" xr:uid="{35E210FE-2BA2-4228-BC7D-A14A7ECBFE67}"/>
    <cellStyle name="Normal 8 4 9" xfId="4868" xr:uid="{00000000-0005-0000-0000-00001E1E0000}"/>
    <cellStyle name="Normal 8 4 9 2" xfId="13318" xr:uid="{80BC53EA-C1E8-4D4D-94A0-0FA6A9AF9AED}"/>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53D5EB33-67DA-4BFB-AA84-711E8EDAB1C1}"/>
    <cellStyle name="Normal 8 5 2 2 2 3" xfId="11663" xr:uid="{90091B7A-10CD-412A-8C66-140C5AAE05F2}"/>
    <cellStyle name="Normal 8 5 2 2 3" xfId="5286" xr:uid="{00000000-0005-0000-0000-0000241E0000}"/>
    <cellStyle name="Normal 8 5 2 2 3 2" xfId="13736" xr:uid="{A2A518FD-BDA5-4C8A-B9EE-C5B45AF3A9B6}"/>
    <cellStyle name="Normal 8 5 2 2 4" xfId="9518" xr:uid="{0E9EC061-C3BD-4AD3-9FFE-6253DA179508}"/>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7811F8E4-DB2D-41F1-AB29-52F1C8D4DF41}"/>
    <cellStyle name="Normal 8 5 2 3 2 3" xfId="12076" xr:uid="{B48121EB-F219-466D-AB0F-1D36CF40F03F}"/>
    <cellStyle name="Normal 8 5 2 3 3" xfId="5699" xr:uid="{00000000-0005-0000-0000-0000281E0000}"/>
    <cellStyle name="Normal 8 5 2 3 3 2" xfId="14149" xr:uid="{C0BDAF55-075F-4277-A3A6-6C165AD40B2F}"/>
    <cellStyle name="Normal 8 5 2 3 4" xfId="9931" xr:uid="{736E8C08-3D27-4F74-9629-CAA6283224CB}"/>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932F5AA4-CD36-415C-807C-C434CDF40F75}"/>
    <cellStyle name="Normal 8 5 2 4 2 3" xfId="12489" xr:uid="{1E38180B-DBCF-48B0-AAD9-8F800EEA6F8C}"/>
    <cellStyle name="Normal 8 5 2 4 3" xfId="6112" xr:uid="{00000000-0005-0000-0000-00002C1E0000}"/>
    <cellStyle name="Normal 8 5 2 4 3 2" xfId="14562" xr:uid="{2952788A-A44F-46AF-885A-83A7B5E76FD6}"/>
    <cellStyle name="Normal 8 5 2 4 4" xfId="10344" xr:uid="{0A98A6E9-3BAB-419E-9B22-C67489C3355A}"/>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C6D0A35B-0026-4B1D-ACE1-186671C42F28}"/>
    <cellStyle name="Normal 8 5 2 5 2 3" xfId="12902" xr:uid="{46EF1406-5A51-409A-95A9-D6E85E71F31B}"/>
    <cellStyle name="Normal 8 5 2 5 3" xfId="6525" xr:uid="{00000000-0005-0000-0000-0000301E0000}"/>
    <cellStyle name="Normal 8 5 2 5 3 2" xfId="14975" xr:uid="{F17BF355-0616-42D1-9356-3D3F208C49A9}"/>
    <cellStyle name="Normal 8 5 2 5 4" xfId="10757" xr:uid="{68A24EB3-47C0-48F7-9319-42BFE78600F2}"/>
    <cellStyle name="Normal 8 5 2 6" xfId="2655" xr:uid="{00000000-0005-0000-0000-0000311E0000}"/>
    <cellStyle name="Normal 8 5 2 6 2" xfId="6938" xr:uid="{00000000-0005-0000-0000-0000321E0000}"/>
    <cellStyle name="Normal 8 5 2 6 2 2" xfId="15388" xr:uid="{37A78732-BA4F-4232-90AD-D088DBBAB54F}"/>
    <cellStyle name="Normal 8 5 2 6 3" xfId="11170" xr:uid="{89CC0965-BF48-413D-8127-AB59BA84D576}"/>
    <cellStyle name="Normal 8 5 2 7" xfId="4873" xr:uid="{00000000-0005-0000-0000-0000331E0000}"/>
    <cellStyle name="Normal 8 5 2 7 2" xfId="13323" xr:uid="{D1821F24-C1EC-4F24-8C64-DDB5A0B07892}"/>
    <cellStyle name="Normal 8 5 2 8" xfId="9105" xr:uid="{77D3E405-FDC9-41F2-9E22-BF018C0C3DE8}"/>
    <cellStyle name="Normal 8 5 3" xfId="974" xr:uid="{00000000-0005-0000-0000-0000341E0000}"/>
    <cellStyle name="Normal 8 5 3 2" xfId="3208" xr:uid="{00000000-0005-0000-0000-0000351E0000}"/>
    <cellStyle name="Normal 8 5 3 2 2" xfId="7430" xr:uid="{00000000-0005-0000-0000-0000361E0000}"/>
    <cellStyle name="Normal 8 5 3 2 2 2" xfId="15880" xr:uid="{5C144C37-A35C-4D6E-92CA-D4E182CDCAD6}"/>
    <cellStyle name="Normal 8 5 3 2 3" xfId="11662" xr:uid="{66BE4736-AA84-4942-832E-EE52EBCC5FC7}"/>
    <cellStyle name="Normal 8 5 3 3" xfId="5285" xr:uid="{00000000-0005-0000-0000-0000371E0000}"/>
    <cellStyle name="Normal 8 5 3 3 2" xfId="13735" xr:uid="{8B4AC576-FA94-45B8-B90A-6A2C79B23F28}"/>
    <cellStyle name="Normal 8 5 3 4" xfId="9517" xr:uid="{DCEFA7D8-4C50-4E53-9F16-6B0D0411ECAE}"/>
    <cellStyle name="Normal 8 5 4" xfId="1391" xr:uid="{00000000-0005-0000-0000-0000381E0000}"/>
    <cellStyle name="Normal 8 5 4 2" xfId="3621" xr:uid="{00000000-0005-0000-0000-0000391E0000}"/>
    <cellStyle name="Normal 8 5 4 2 2" xfId="7843" xr:uid="{00000000-0005-0000-0000-00003A1E0000}"/>
    <cellStyle name="Normal 8 5 4 2 2 2" xfId="16293" xr:uid="{4B03BD54-1280-4F6D-849E-8A1B0A8F1198}"/>
    <cellStyle name="Normal 8 5 4 2 3" xfId="12075" xr:uid="{DA88DDD1-1DC3-487A-98A0-1053E55B57EB}"/>
    <cellStyle name="Normal 8 5 4 3" xfId="5698" xr:uid="{00000000-0005-0000-0000-00003B1E0000}"/>
    <cellStyle name="Normal 8 5 4 3 2" xfId="14148" xr:uid="{28A86B3C-732A-4864-8A1A-C3BBB07C8AE1}"/>
    <cellStyle name="Normal 8 5 4 4" xfId="9930" xr:uid="{AF2EDFD3-189A-487C-B4E4-10E783668EDD}"/>
    <cellStyle name="Normal 8 5 5" xfId="1804" xr:uid="{00000000-0005-0000-0000-00003C1E0000}"/>
    <cellStyle name="Normal 8 5 5 2" xfId="4034" xr:uid="{00000000-0005-0000-0000-00003D1E0000}"/>
    <cellStyle name="Normal 8 5 5 2 2" xfId="8256" xr:uid="{00000000-0005-0000-0000-00003E1E0000}"/>
    <cellStyle name="Normal 8 5 5 2 2 2" xfId="16706" xr:uid="{706F4BB3-AA91-4653-A79E-B8EF8E7EB38A}"/>
    <cellStyle name="Normal 8 5 5 2 3" xfId="12488" xr:uid="{F141A348-D44A-4D8B-A9ED-8CB8C71BC406}"/>
    <cellStyle name="Normal 8 5 5 3" xfId="6111" xr:uid="{00000000-0005-0000-0000-00003F1E0000}"/>
    <cellStyle name="Normal 8 5 5 3 2" xfId="14561" xr:uid="{A1DA94DD-4D99-4578-B5C1-2659B60F4182}"/>
    <cellStyle name="Normal 8 5 5 4" xfId="10343" xr:uid="{906839A1-F277-4965-85ED-419C0D2E804A}"/>
    <cellStyle name="Normal 8 5 6" xfId="2218" xr:uid="{00000000-0005-0000-0000-0000401E0000}"/>
    <cellStyle name="Normal 8 5 6 2" xfId="4447" xr:uid="{00000000-0005-0000-0000-0000411E0000}"/>
    <cellStyle name="Normal 8 5 6 2 2" xfId="8669" xr:uid="{00000000-0005-0000-0000-0000421E0000}"/>
    <cellStyle name="Normal 8 5 6 2 2 2" xfId="17119" xr:uid="{E25205E3-CB5F-4D8F-9DC0-FE3046D4EA1F}"/>
    <cellStyle name="Normal 8 5 6 2 3" xfId="12901" xr:uid="{B55E1D9C-FDE8-489A-9BBC-AAF7E4020DE6}"/>
    <cellStyle name="Normal 8 5 6 3" xfId="6524" xr:uid="{00000000-0005-0000-0000-0000431E0000}"/>
    <cellStyle name="Normal 8 5 6 3 2" xfId="14974" xr:uid="{CD7FCFB8-174F-42D2-B543-CD2BF21F960E}"/>
    <cellStyle name="Normal 8 5 6 4" xfId="10756" xr:uid="{A590D91F-8385-482A-8275-643EE32FB81B}"/>
    <cellStyle name="Normal 8 5 7" xfId="2654" xr:uid="{00000000-0005-0000-0000-0000441E0000}"/>
    <cellStyle name="Normal 8 5 7 2" xfId="6937" xr:uid="{00000000-0005-0000-0000-0000451E0000}"/>
    <cellStyle name="Normal 8 5 7 2 2" xfId="15387" xr:uid="{AE20EAF5-D49A-450D-852C-59905C043E4C}"/>
    <cellStyle name="Normal 8 5 7 3" xfId="11169" xr:uid="{CA28F182-016D-4640-9D07-30E6CB2E8415}"/>
    <cellStyle name="Normal 8 5 8" xfId="4872" xr:uid="{00000000-0005-0000-0000-0000461E0000}"/>
    <cellStyle name="Normal 8 5 8 2" xfId="13322" xr:uid="{3DDDF98B-6C04-4345-9AE2-3233CDDFC6A1}"/>
    <cellStyle name="Normal 8 5 9" xfId="9104" xr:uid="{D45BD80D-EA0F-4889-9FC6-91981AC9AB47}"/>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7DBA1216-7080-4C3B-896A-5409E5AF9237}"/>
    <cellStyle name="Normal 8 6 2 2 3" xfId="11664" xr:uid="{B4A02D81-1957-4EFE-B525-D7876C283CC6}"/>
    <cellStyle name="Normal 8 6 2 3" xfId="5287" xr:uid="{00000000-0005-0000-0000-00004B1E0000}"/>
    <cellStyle name="Normal 8 6 2 3 2" xfId="13737" xr:uid="{288CB242-5287-4D37-BD95-BE8EBFB7EAE8}"/>
    <cellStyle name="Normal 8 6 2 4" xfId="9519" xr:uid="{8DA1E36D-FCB5-46CD-B26A-8EB9606352C5}"/>
    <cellStyle name="Normal 8 6 3" xfId="1393" xr:uid="{00000000-0005-0000-0000-00004C1E0000}"/>
    <cellStyle name="Normal 8 6 3 2" xfId="3623" xr:uid="{00000000-0005-0000-0000-00004D1E0000}"/>
    <cellStyle name="Normal 8 6 3 2 2" xfId="7845" xr:uid="{00000000-0005-0000-0000-00004E1E0000}"/>
    <cellStyle name="Normal 8 6 3 2 2 2" xfId="16295" xr:uid="{11D463B5-AB0A-4C5D-A73F-2E0630F235F1}"/>
    <cellStyle name="Normal 8 6 3 2 3" xfId="12077" xr:uid="{BE6F6D9C-75F2-40D3-B1F4-3F7414FA730E}"/>
    <cellStyle name="Normal 8 6 3 3" xfId="5700" xr:uid="{00000000-0005-0000-0000-00004F1E0000}"/>
    <cellStyle name="Normal 8 6 3 3 2" xfId="14150" xr:uid="{2A8004AF-DA7C-4B4E-9C74-19CCFEDBAEAE}"/>
    <cellStyle name="Normal 8 6 3 4" xfId="9932" xr:uid="{083D9C2B-7D36-4ADA-8F30-34F174347449}"/>
    <cellStyle name="Normal 8 6 4" xfId="1806" xr:uid="{00000000-0005-0000-0000-0000501E0000}"/>
    <cellStyle name="Normal 8 6 4 2" xfId="4036" xr:uid="{00000000-0005-0000-0000-0000511E0000}"/>
    <cellStyle name="Normal 8 6 4 2 2" xfId="8258" xr:uid="{00000000-0005-0000-0000-0000521E0000}"/>
    <cellStyle name="Normal 8 6 4 2 2 2" xfId="16708" xr:uid="{D9B3137A-D00A-4168-9775-D8764206038C}"/>
    <cellStyle name="Normal 8 6 4 2 3" xfId="12490" xr:uid="{85A5ACE8-6B77-4B13-983D-51619DFEF8CD}"/>
    <cellStyle name="Normal 8 6 4 3" xfId="6113" xr:uid="{00000000-0005-0000-0000-0000531E0000}"/>
    <cellStyle name="Normal 8 6 4 3 2" xfId="14563" xr:uid="{3BC5480D-7201-4C65-AF63-2C1B525A7199}"/>
    <cellStyle name="Normal 8 6 4 4" xfId="10345" xr:uid="{3C7201CB-2699-429E-BE19-C0447C72785A}"/>
    <cellStyle name="Normal 8 6 5" xfId="2220" xr:uid="{00000000-0005-0000-0000-0000541E0000}"/>
    <cellStyle name="Normal 8 6 5 2" xfId="4449" xr:uid="{00000000-0005-0000-0000-0000551E0000}"/>
    <cellStyle name="Normal 8 6 5 2 2" xfId="8671" xr:uid="{00000000-0005-0000-0000-0000561E0000}"/>
    <cellStyle name="Normal 8 6 5 2 2 2" xfId="17121" xr:uid="{446AED0C-D185-43F7-9FA5-2D5AFF52BD5F}"/>
    <cellStyle name="Normal 8 6 5 2 3" xfId="12903" xr:uid="{FD7BDFF0-4DDF-43DD-85E3-ACE1D1CD01F5}"/>
    <cellStyle name="Normal 8 6 5 3" xfId="6526" xr:uid="{00000000-0005-0000-0000-0000571E0000}"/>
    <cellStyle name="Normal 8 6 5 3 2" xfId="14976" xr:uid="{6F900B86-502F-4903-8EB8-39665C87B754}"/>
    <cellStyle name="Normal 8 6 5 4" xfId="10758" xr:uid="{751EABBD-B697-4FC7-84E4-6C1066F62099}"/>
    <cellStyle name="Normal 8 6 6" xfId="2656" xr:uid="{00000000-0005-0000-0000-0000581E0000}"/>
    <cellStyle name="Normal 8 6 6 2" xfId="6939" xr:uid="{00000000-0005-0000-0000-0000591E0000}"/>
    <cellStyle name="Normal 8 6 6 2 2" xfId="15389" xr:uid="{A9E7BE44-812C-448F-BBED-36D0289757EF}"/>
    <cellStyle name="Normal 8 6 6 3" xfId="11171" xr:uid="{E4B578EF-8FF9-4847-BA80-AF9CBB1DFA4F}"/>
    <cellStyle name="Normal 8 6 7" xfId="4874" xr:uid="{00000000-0005-0000-0000-00005A1E0000}"/>
    <cellStyle name="Normal 8 6 7 2" xfId="13324" xr:uid="{52EF2B4C-9AE5-4CBE-8B8E-51B39E5405B4}"/>
    <cellStyle name="Normal 8 6 8" xfId="9106" xr:uid="{D5173095-34D6-4812-A667-05771FECBC69}"/>
    <cellStyle name="Normal 8 7" xfId="945" xr:uid="{00000000-0005-0000-0000-00005B1E0000}"/>
    <cellStyle name="Normal 8 7 2" xfId="3179" xr:uid="{00000000-0005-0000-0000-00005C1E0000}"/>
    <cellStyle name="Normal 8 7 2 2" xfId="7401" xr:uid="{00000000-0005-0000-0000-00005D1E0000}"/>
    <cellStyle name="Normal 8 7 2 2 2" xfId="15851" xr:uid="{BF724BD5-4880-4E45-97B7-0D7270DC1CE1}"/>
    <cellStyle name="Normal 8 7 2 3" xfId="11633" xr:uid="{BEBDDFFE-246E-4091-84F5-E3948C327E8E}"/>
    <cellStyle name="Normal 8 7 3" xfId="5256" xr:uid="{00000000-0005-0000-0000-00005E1E0000}"/>
    <cellStyle name="Normal 8 7 3 2" xfId="13706" xr:uid="{7CA68D40-D9D1-4838-9466-4127A97429A3}"/>
    <cellStyle name="Normal 8 7 4" xfId="9488" xr:uid="{2CEEACAE-C97F-4451-BCAA-F4D0761E657F}"/>
    <cellStyle name="Normal 8 8" xfId="1362" xr:uid="{00000000-0005-0000-0000-00005F1E0000}"/>
    <cellStyle name="Normal 8 8 2" xfId="3592" xr:uid="{00000000-0005-0000-0000-0000601E0000}"/>
    <cellStyle name="Normal 8 8 2 2" xfId="7814" xr:uid="{00000000-0005-0000-0000-0000611E0000}"/>
    <cellStyle name="Normal 8 8 2 2 2" xfId="16264" xr:uid="{F49070D4-0A2A-4CCF-9882-E4C476B78A5F}"/>
    <cellStyle name="Normal 8 8 2 3" xfId="12046" xr:uid="{3C92B378-72B8-4F93-9843-0A016851A365}"/>
    <cellStyle name="Normal 8 8 3" xfId="5669" xr:uid="{00000000-0005-0000-0000-0000621E0000}"/>
    <cellStyle name="Normal 8 8 3 2" xfId="14119" xr:uid="{D0128A8F-0223-41E2-9133-0E0E73729BA5}"/>
    <cellStyle name="Normal 8 8 4" xfId="9901" xr:uid="{B6ABE3A9-294B-4A7F-B247-667F857284E3}"/>
    <cellStyle name="Normal 8 9" xfId="1775" xr:uid="{00000000-0005-0000-0000-0000631E0000}"/>
    <cellStyle name="Normal 8 9 2" xfId="4005" xr:uid="{00000000-0005-0000-0000-0000641E0000}"/>
    <cellStyle name="Normal 8 9 2 2" xfId="8227" xr:uid="{00000000-0005-0000-0000-0000651E0000}"/>
    <cellStyle name="Normal 8 9 2 2 2" xfId="16677" xr:uid="{F44BDA25-4D22-4A87-8B1F-CD19B02BA2C5}"/>
    <cellStyle name="Normal 8 9 2 3" xfId="12459" xr:uid="{A1758737-EF10-4F87-A235-A3D17B41A4FD}"/>
    <cellStyle name="Normal 8 9 3" xfId="6082" xr:uid="{00000000-0005-0000-0000-0000661E0000}"/>
    <cellStyle name="Normal 8 9 3 2" xfId="14532" xr:uid="{5C4A1210-C6CB-4482-9172-157071543587}"/>
    <cellStyle name="Normal 8 9 4" xfId="10314" xr:uid="{22A849CD-B1E0-41B8-A900-2A1735D4A96C}"/>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F1B72976-5E3E-4764-8A18-C5354C015F9D}"/>
    <cellStyle name="Normal 9 2 10 3" xfId="11172" xr:uid="{0711B88D-3316-4328-9BCF-9F0D96EED57D}"/>
    <cellStyle name="Normal 9 2 11" xfId="4875" xr:uid="{00000000-0005-0000-0000-00006B1E0000}"/>
    <cellStyle name="Normal 9 2 11 2" xfId="13325" xr:uid="{22BFB416-C22F-47B2-99D8-E32778050AA8}"/>
    <cellStyle name="Normal 9 2 12" xfId="9107" xr:uid="{AE564FA2-3969-40CB-A475-ECDD5FDD0F77}"/>
    <cellStyle name="Normal 9 2 2" xfId="512" xr:uid="{00000000-0005-0000-0000-00006C1E0000}"/>
    <cellStyle name="Normal 9 2 2 10" xfId="4876" xr:uid="{00000000-0005-0000-0000-00006D1E0000}"/>
    <cellStyle name="Normal 9 2 2 10 2" xfId="13326" xr:uid="{F6C262BD-96BF-404A-882B-17CEDFB142BF}"/>
    <cellStyle name="Normal 9 2 2 11" xfId="9108" xr:uid="{26B2C61C-7D33-4A70-A625-82C85E029FF8}"/>
    <cellStyle name="Normal 9 2 2 2" xfId="513" xr:uid="{00000000-0005-0000-0000-00006E1E0000}"/>
    <cellStyle name="Normal 9 2 2 2 10" xfId="9109" xr:uid="{1492FFA1-B4FB-421E-BEAB-3A88F57A5C61}"/>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70E86D30-98D9-4273-891F-0971B499A3EC}"/>
    <cellStyle name="Normal 9 2 2 2 2 2 2 2 3" xfId="11669" xr:uid="{A16FCA90-4978-4ACC-B307-1B531417D6E9}"/>
    <cellStyle name="Normal 9 2 2 2 2 2 2 3" xfId="5292" xr:uid="{00000000-0005-0000-0000-0000741E0000}"/>
    <cellStyle name="Normal 9 2 2 2 2 2 2 3 2" xfId="13742" xr:uid="{084DFC15-761D-4C31-B72F-DB5AF35D49E8}"/>
    <cellStyle name="Normal 9 2 2 2 2 2 2 4" xfId="9524" xr:uid="{E639C247-B0BA-425A-8B4D-30CB5E61FEED}"/>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CC744CF2-BAC6-4C9A-AFB1-2915CC4760E9}"/>
    <cellStyle name="Normal 9 2 2 2 2 2 3 2 3" xfId="12082" xr:uid="{238424AD-BDB4-48CF-B9DA-31FFE2F17600}"/>
    <cellStyle name="Normal 9 2 2 2 2 2 3 3" xfId="5705" xr:uid="{00000000-0005-0000-0000-0000781E0000}"/>
    <cellStyle name="Normal 9 2 2 2 2 2 3 3 2" xfId="14155" xr:uid="{6F3DF326-8D47-4C21-8E6C-1C63240D19C3}"/>
    <cellStyle name="Normal 9 2 2 2 2 2 3 4" xfId="9937" xr:uid="{FC558DF2-52AC-48F8-A0C6-248DD6BD2BA1}"/>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B558B4A6-0EED-40F2-8B0D-7E907CC4B6D4}"/>
    <cellStyle name="Normal 9 2 2 2 2 2 4 2 3" xfId="12495" xr:uid="{736312B4-84A1-49DA-B565-F5DE49B3D500}"/>
    <cellStyle name="Normal 9 2 2 2 2 2 4 3" xfId="6118" xr:uid="{00000000-0005-0000-0000-00007C1E0000}"/>
    <cellStyle name="Normal 9 2 2 2 2 2 4 3 2" xfId="14568" xr:uid="{5E8B11F9-690D-48D2-908B-11A656BEDBDE}"/>
    <cellStyle name="Normal 9 2 2 2 2 2 4 4" xfId="10350" xr:uid="{A6C3182E-20D2-4F5F-8FD6-D9AA135808AE}"/>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9E259E6C-63F1-4C1F-A7B3-13D4F99B1F82}"/>
    <cellStyle name="Normal 9 2 2 2 2 2 5 2 3" xfId="12908" xr:uid="{0A310BDA-35AA-44F7-805D-7166E0FF24FA}"/>
    <cellStyle name="Normal 9 2 2 2 2 2 5 3" xfId="6531" xr:uid="{00000000-0005-0000-0000-0000801E0000}"/>
    <cellStyle name="Normal 9 2 2 2 2 2 5 3 2" xfId="14981" xr:uid="{BB4124DE-02A0-4D26-A7FC-F01F2B51EB6D}"/>
    <cellStyle name="Normal 9 2 2 2 2 2 5 4" xfId="10763" xr:uid="{46794AB1-E423-45C6-AF91-8EB99AD5C2A9}"/>
    <cellStyle name="Normal 9 2 2 2 2 2 6" xfId="2661" xr:uid="{00000000-0005-0000-0000-0000811E0000}"/>
    <cellStyle name="Normal 9 2 2 2 2 2 6 2" xfId="6944" xr:uid="{00000000-0005-0000-0000-0000821E0000}"/>
    <cellStyle name="Normal 9 2 2 2 2 2 6 2 2" xfId="15394" xr:uid="{C2B8B4FA-1E07-4A06-8437-87E56EFB8872}"/>
    <cellStyle name="Normal 9 2 2 2 2 2 6 3" xfId="11176" xr:uid="{B432D666-E130-4F46-951B-E9265AF26767}"/>
    <cellStyle name="Normal 9 2 2 2 2 2 7" xfId="4879" xr:uid="{00000000-0005-0000-0000-0000831E0000}"/>
    <cellStyle name="Normal 9 2 2 2 2 2 7 2" xfId="13329" xr:uid="{6499C554-DA6F-478F-AA5D-85F6930A37F3}"/>
    <cellStyle name="Normal 9 2 2 2 2 2 8" xfId="9111" xr:uid="{E7F11694-4D3B-4434-9928-95F9DDFF141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CBE7AE9F-2A09-4D6B-ADF9-44505EC38033}"/>
    <cellStyle name="Normal 9 2 2 2 2 3 2 3" xfId="11668" xr:uid="{AF70FCAA-EC11-48DE-BED3-158CCBA34B33}"/>
    <cellStyle name="Normal 9 2 2 2 2 3 3" xfId="5291" xr:uid="{00000000-0005-0000-0000-0000871E0000}"/>
    <cellStyle name="Normal 9 2 2 2 2 3 3 2" xfId="13741" xr:uid="{986961C2-8357-48E3-98E7-0A84FACD21AA}"/>
    <cellStyle name="Normal 9 2 2 2 2 3 4" xfId="9523" xr:uid="{56A71CD0-5EC2-469F-AF8F-6C0ED8A1716E}"/>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2FE6A488-D9F4-4053-91B6-DFF8A40256F8}"/>
    <cellStyle name="Normal 9 2 2 2 2 4 2 3" xfId="12081" xr:uid="{1AA15292-E7CB-4874-A5DD-F609A560503D}"/>
    <cellStyle name="Normal 9 2 2 2 2 4 3" xfId="5704" xr:uid="{00000000-0005-0000-0000-00008B1E0000}"/>
    <cellStyle name="Normal 9 2 2 2 2 4 3 2" xfId="14154" xr:uid="{EEB14A26-AC02-407F-ABB1-C57DA1484693}"/>
    <cellStyle name="Normal 9 2 2 2 2 4 4" xfId="9936" xr:uid="{C00BA9E6-DAE8-427D-9D02-B129B89CB88E}"/>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E07382E2-4BB8-4A2A-AB6D-B71669B13A1E}"/>
    <cellStyle name="Normal 9 2 2 2 2 5 2 3" xfId="12494" xr:uid="{D52AB7FD-54C9-4185-ABB0-38837ECDAEEB}"/>
    <cellStyle name="Normal 9 2 2 2 2 5 3" xfId="6117" xr:uid="{00000000-0005-0000-0000-00008F1E0000}"/>
    <cellStyle name="Normal 9 2 2 2 2 5 3 2" xfId="14567" xr:uid="{C6DD8999-E186-43BC-BC2E-85F63CC0EFAE}"/>
    <cellStyle name="Normal 9 2 2 2 2 5 4" xfId="10349" xr:uid="{4AEB3522-0284-42B0-A6FC-11B19108D44A}"/>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18493270-D27A-45FB-9F00-FABC33EC7ED9}"/>
    <cellStyle name="Normal 9 2 2 2 2 6 2 3" xfId="12907" xr:uid="{FA1414BA-6BA6-403B-A5FD-3A7EC804AE0E}"/>
    <cellStyle name="Normal 9 2 2 2 2 6 3" xfId="6530" xr:uid="{00000000-0005-0000-0000-0000931E0000}"/>
    <cellStyle name="Normal 9 2 2 2 2 6 3 2" xfId="14980" xr:uid="{C5AD4D62-01C4-4CA5-A491-AD3D31534476}"/>
    <cellStyle name="Normal 9 2 2 2 2 6 4" xfId="10762" xr:uid="{AECCCB3E-B249-4B3A-BC23-8CE4A61F21E2}"/>
    <cellStyle name="Normal 9 2 2 2 2 7" xfId="2660" xr:uid="{00000000-0005-0000-0000-0000941E0000}"/>
    <cellStyle name="Normal 9 2 2 2 2 7 2" xfId="6943" xr:uid="{00000000-0005-0000-0000-0000951E0000}"/>
    <cellStyle name="Normal 9 2 2 2 2 7 2 2" xfId="15393" xr:uid="{D2CD4620-59BA-4329-B396-3DF0894F42F6}"/>
    <cellStyle name="Normal 9 2 2 2 2 7 3" xfId="11175" xr:uid="{BDB65415-22F0-45B7-82EA-36C020B0BB1F}"/>
    <cellStyle name="Normal 9 2 2 2 2 8" xfId="4878" xr:uid="{00000000-0005-0000-0000-0000961E0000}"/>
    <cellStyle name="Normal 9 2 2 2 2 8 2" xfId="13328" xr:uid="{CF3255D4-3738-4086-B59D-A4B6E38FDA92}"/>
    <cellStyle name="Normal 9 2 2 2 2 9" xfId="9110" xr:uid="{D89800C3-205D-4F7A-BED7-1D00D099BA7C}"/>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8331CC0D-F2F9-4BE4-B47D-BEB01888B3B6}"/>
    <cellStyle name="Normal 9 2 2 2 3 2 2 3" xfId="11670" xr:uid="{0EE4A9BA-6B32-4836-BDF8-AFE5B79E6D6F}"/>
    <cellStyle name="Normal 9 2 2 2 3 2 3" xfId="5293" xr:uid="{00000000-0005-0000-0000-00009B1E0000}"/>
    <cellStyle name="Normal 9 2 2 2 3 2 3 2" xfId="13743" xr:uid="{8ADC3333-4130-44FC-ABC5-4455F2D2343A}"/>
    <cellStyle name="Normal 9 2 2 2 3 2 4" xfId="9525" xr:uid="{793930E9-DCE7-4B43-9F4E-1EA247B6DC1C}"/>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FDABAB75-2334-45D0-97F8-478B5D853414}"/>
    <cellStyle name="Normal 9 2 2 2 3 3 2 3" xfId="12083" xr:uid="{208F4D58-CDD1-49B3-BE16-7A0A6024A459}"/>
    <cellStyle name="Normal 9 2 2 2 3 3 3" xfId="5706" xr:uid="{00000000-0005-0000-0000-00009F1E0000}"/>
    <cellStyle name="Normal 9 2 2 2 3 3 3 2" xfId="14156" xr:uid="{F7CA7C70-82D7-436D-8FC9-38E40F76DD57}"/>
    <cellStyle name="Normal 9 2 2 2 3 3 4" xfId="9938" xr:uid="{1084F220-8D44-4115-8C1F-D61AB9EE3DC4}"/>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FF5D4D73-D048-48B6-AD25-38681697CBFB}"/>
    <cellStyle name="Normal 9 2 2 2 3 4 2 3" xfId="12496" xr:uid="{27FE019A-2AD1-44A9-9747-FEEE7BFAC95B}"/>
    <cellStyle name="Normal 9 2 2 2 3 4 3" xfId="6119" xr:uid="{00000000-0005-0000-0000-0000A31E0000}"/>
    <cellStyle name="Normal 9 2 2 2 3 4 3 2" xfId="14569" xr:uid="{24CF6B5D-F0F6-4EEB-B5BE-468BA3F5A8A1}"/>
    <cellStyle name="Normal 9 2 2 2 3 4 4" xfId="10351" xr:uid="{57FE461D-53AC-4728-AF14-D1688A799486}"/>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3A2C967C-87AE-46C7-9119-3F5D132BF4A0}"/>
    <cellStyle name="Normal 9 2 2 2 3 5 2 3" xfId="12909" xr:uid="{B33B8945-4149-4C0E-AC98-ED1992FC296A}"/>
    <cellStyle name="Normal 9 2 2 2 3 5 3" xfId="6532" xr:uid="{00000000-0005-0000-0000-0000A71E0000}"/>
    <cellStyle name="Normal 9 2 2 2 3 5 3 2" xfId="14982" xr:uid="{CE58D5BE-C2CB-40D3-A669-77469F1D40BE}"/>
    <cellStyle name="Normal 9 2 2 2 3 5 4" xfId="10764" xr:uid="{09C67131-EE03-4DEF-9014-E8E090B547A1}"/>
    <cellStyle name="Normal 9 2 2 2 3 6" xfId="2662" xr:uid="{00000000-0005-0000-0000-0000A81E0000}"/>
    <cellStyle name="Normal 9 2 2 2 3 6 2" xfId="6945" xr:uid="{00000000-0005-0000-0000-0000A91E0000}"/>
    <cellStyle name="Normal 9 2 2 2 3 6 2 2" xfId="15395" xr:uid="{896C17C1-B4EE-4CA5-B2DB-37D409C18E96}"/>
    <cellStyle name="Normal 9 2 2 2 3 6 3" xfId="11177" xr:uid="{FC34F9E0-599F-4104-A4A5-67BC14DCAC38}"/>
    <cellStyle name="Normal 9 2 2 2 3 7" xfId="4880" xr:uid="{00000000-0005-0000-0000-0000AA1E0000}"/>
    <cellStyle name="Normal 9 2 2 2 3 7 2" xfId="13330" xr:uid="{52701E89-8A3A-44C6-88C0-A02987FD68FC}"/>
    <cellStyle name="Normal 9 2 2 2 3 8" xfId="9112" xr:uid="{0D12EFB0-58EB-421C-B220-B1D87746E566}"/>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7A054184-5DBA-4F47-97E6-CB83FC7CB977}"/>
    <cellStyle name="Normal 9 2 2 2 4 2 3" xfId="11667" xr:uid="{122F0756-8FCA-4AE2-8171-88DE66A0C761}"/>
    <cellStyle name="Normal 9 2 2 2 4 3" xfId="5290" xr:uid="{00000000-0005-0000-0000-0000AE1E0000}"/>
    <cellStyle name="Normal 9 2 2 2 4 3 2" xfId="13740" xr:uid="{17162E5C-5D3B-4CDE-B80A-FD6B35BDE9E1}"/>
    <cellStyle name="Normal 9 2 2 2 4 4" xfId="9522" xr:uid="{B03EFE60-D0C5-4C2E-ABD0-D8C5D343DC19}"/>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D1363A4C-066C-42BD-ABBD-3CF8C3C8E057}"/>
    <cellStyle name="Normal 9 2 2 2 5 2 3" xfId="12080" xr:uid="{41955FA7-F9D6-4552-831D-179E243A4CBB}"/>
    <cellStyle name="Normal 9 2 2 2 5 3" xfId="5703" xr:uid="{00000000-0005-0000-0000-0000B21E0000}"/>
    <cellStyle name="Normal 9 2 2 2 5 3 2" xfId="14153" xr:uid="{520659DB-1EE8-4932-BEE2-6CB773B8644C}"/>
    <cellStyle name="Normal 9 2 2 2 5 4" xfId="9935" xr:uid="{121D8E59-719C-45F1-A525-C590480AA4BF}"/>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9D9CF95D-C8AC-4822-85EB-AA54E68A494E}"/>
    <cellStyle name="Normal 9 2 2 2 6 2 3" xfId="12493" xr:uid="{D84799C9-A9CD-4396-9030-70C84527FBAF}"/>
    <cellStyle name="Normal 9 2 2 2 6 3" xfId="6116" xr:uid="{00000000-0005-0000-0000-0000B61E0000}"/>
    <cellStyle name="Normal 9 2 2 2 6 3 2" xfId="14566" xr:uid="{18BFF4B5-7C4B-4A15-A0D4-54B831550D79}"/>
    <cellStyle name="Normal 9 2 2 2 6 4" xfId="10348" xr:uid="{C9FE3419-5794-4761-9003-69D189FA1633}"/>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12E041A8-19C8-46E0-90BC-18123D611724}"/>
    <cellStyle name="Normal 9 2 2 2 7 2 3" xfId="12906" xr:uid="{A190DA76-FA0C-4280-BB19-2AAF00113702}"/>
    <cellStyle name="Normal 9 2 2 2 7 3" xfId="6529" xr:uid="{00000000-0005-0000-0000-0000BA1E0000}"/>
    <cellStyle name="Normal 9 2 2 2 7 3 2" xfId="14979" xr:uid="{44009620-178E-4B80-B0B2-B0855C71DA27}"/>
    <cellStyle name="Normal 9 2 2 2 7 4" xfId="10761" xr:uid="{972191DD-4897-422A-8281-61B70E812696}"/>
    <cellStyle name="Normal 9 2 2 2 8" xfId="2659" xr:uid="{00000000-0005-0000-0000-0000BB1E0000}"/>
    <cellStyle name="Normal 9 2 2 2 8 2" xfId="6942" xr:uid="{00000000-0005-0000-0000-0000BC1E0000}"/>
    <cellStyle name="Normal 9 2 2 2 8 2 2" xfId="15392" xr:uid="{5781A1BE-E353-4F40-8162-E5B3FA19B28D}"/>
    <cellStyle name="Normal 9 2 2 2 8 3" xfId="11174" xr:uid="{22AA85D1-787A-4098-BB9A-FDC86EDD7591}"/>
    <cellStyle name="Normal 9 2 2 2 9" xfId="4877" xr:uid="{00000000-0005-0000-0000-0000BD1E0000}"/>
    <cellStyle name="Normal 9 2 2 2 9 2" xfId="13327" xr:uid="{5D1E8CF3-048C-48C0-BD8B-7A6CBA40652D}"/>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01ED5FDC-A698-4624-BEBF-718F61A6785C}"/>
    <cellStyle name="Normal 9 2 2 3 2 2 2 3" xfId="11672" xr:uid="{77775F94-183C-4E52-B369-85F0048D2908}"/>
    <cellStyle name="Normal 9 2 2 3 2 2 3" xfId="5295" xr:uid="{00000000-0005-0000-0000-0000C31E0000}"/>
    <cellStyle name="Normal 9 2 2 3 2 2 3 2" xfId="13745" xr:uid="{D2D90673-4075-450E-A2BB-4765B7EC44EC}"/>
    <cellStyle name="Normal 9 2 2 3 2 2 4" xfId="9527" xr:uid="{3273DEA7-C674-4545-8D64-48761491561B}"/>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41D49A7E-7803-4F07-8A24-0AC5FDDFB3EB}"/>
    <cellStyle name="Normal 9 2 2 3 2 3 2 3" xfId="12085" xr:uid="{F874F8AF-FF7D-4E3B-9B84-18D956FA902D}"/>
    <cellStyle name="Normal 9 2 2 3 2 3 3" xfId="5708" xr:uid="{00000000-0005-0000-0000-0000C71E0000}"/>
    <cellStyle name="Normal 9 2 2 3 2 3 3 2" xfId="14158" xr:uid="{F98362A7-C843-4115-984C-E13BE0F32254}"/>
    <cellStyle name="Normal 9 2 2 3 2 3 4" xfId="9940" xr:uid="{3AEFB882-A2C9-43F4-9A4B-2E2175E5EC67}"/>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DA23F909-AD4D-44BF-98EF-774BAD53DEC1}"/>
    <cellStyle name="Normal 9 2 2 3 2 4 2 3" xfId="12498" xr:uid="{84B6F189-E96B-449C-BED4-0BAAE824E426}"/>
    <cellStyle name="Normal 9 2 2 3 2 4 3" xfId="6121" xr:uid="{00000000-0005-0000-0000-0000CB1E0000}"/>
    <cellStyle name="Normal 9 2 2 3 2 4 3 2" xfId="14571" xr:uid="{B9389B99-2995-4246-8486-0288D9C19AB7}"/>
    <cellStyle name="Normal 9 2 2 3 2 4 4" xfId="10353" xr:uid="{6228E12F-4881-48B2-BD1D-50814CE28313}"/>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BB12506D-6BC2-424A-8E8F-2FCE03E0122B}"/>
    <cellStyle name="Normal 9 2 2 3 2 5 2 3" xfId="12911" xr:uid="{110BC257-4712-4D00-BA72-3DE923A7933A}"/>
    <cellStyle name="Normal 9 2 2 3 2 5 3" xfId="6534" xr:uid="{00000000-0005-0000-0000-0000CF1E0000}"/>
    <cellStyle name="Normal 9 2 2 3 2 5 3 2" xfId="14984" xr:uid="{9BA369AE-1E8D-49DC-A078-787112A101D6}"/>
    <cellStyle name="Normal 9 2 2 3 2 5 4" xfId="10766" xr:uid="{576EBA4D-1D6D-485B-9702-AF83C365401F}"/>
    <cellStyle name="Normal 9 2 2 3 2 6" xfId="2664" xr:uid="{00000000-0005-0000-0000-0000D01E0000}"/>
    <cellStyle name="Normal 9 2 2 3 2 6 2" xfId="6947" xr:uid="{00000000-0005-0000-0000-0000D11E0000}"/>
    <cellStyle name="Normal 9 2 2 3 2 6 2 2" xfId="15397" xr:uid="{83F93ACB-D935-42D1-A854-7AA0A75E82E9}"/>
    <cellStyle name="Normal 9 2 2 3 2 6 3" xfId="11179" xr:uid="{5DDDFA51-7ABA-411E-8817-D6AC61D31FEA}"/>
    <cellStyle name="Normal 9 2 2 3 2 7" xfId="4882" xr:uid="{00000000-0005-0000-0000-0000D21E0000}"/>
    <cellStyle name="Normal 9 2 2 3 2 7 2" xfId="13332" xr:uid="{E65773D5-A8DB-4755-B059-0C81C9EA6910}"/>
    <cellStyle name="Normal 9 2 2 3 2 8" xfId="9114" xr:uid="{6278A0E6-54BB-4D38-AB87-3E4FD96900E4}"/>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52510796-C6D9-421B-AF90-1BCE68C2D1A7}"/>
    <cellStyle name="Normal 9 2 2 3 3 2 3" xfId="11671" xr:uid="{D55AAEF3-A884-4313-B779-34FB3444CE75}"/>
    <cellStyle name="Normal 9 2 2 3 3 3" xfId="5294" xr:uid="{00000000-0005-0000-0000-0000D61E0000}"/>
    <cellStyle name="Normal 9 2 2 3 3 3 2" xfId="13744" xr:uid="{9ACB1010-B21C-4972-9401-F4BC0C74F3DC}"/>
    <cellStyle name="Normal 9 2 2 3 3 4" xfId="9526" xr:uid="{CCAD2CAA-6353-4040-9185-B4FABA76003F}"/>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3CC7B042-C59A-4F0A-8883-653C395BBE54}"/>
    <cellStyle name="Normal 9 2 2 3 4 2 3" xfId="12084" xr:uid="{31685A83-93DC-4CB7-A636-F0A917BC69AE}"/>
    <cellStyle name="Normal 9 2 2 3 4 3" xfId="5707" xr:uid="{00000000-0005-0000-0000-0000DA1E0000}"/>
    <cellStyle name="Normal 9 2 2 3 4 3 2" xfId="14157" xr:uid="{D531A9D9-CA24-4ACC-9F85-E431719B4F7D}"/>
    <cellStyle name="Normal 9 2 2 3 4 4" xfId="9939" xr:uid="{3FB8C71C-3F00-4E8F-BDEB-4F00CB439F64}"/>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E609C09E-BAB4-45AC-A99D-13BDECFF9096}"/>
    <cellStyle name="Normal 9 2 2 3 5 2 3" xfId="12497" xr:uid="{E00B2831-F5D7-4706-BBC1-3565AEFD5D41}"/>
    <cellStyle name="Normal 9 2 2 3 5 3" xfId="6120" xr:uid="{00000000-0005-0000-0000-0000DE1E0000}"/>
    <cellStyle name="Normal 9 2 2 3 5 3 2" xfId="14570" xr:uid="{45A47291-AF07-4317-BB26-D7E19EFCF71B}"/>
    <cellStyle name="Normal 9 2 2 3 5 4" xfId="10352" xr:uid="{847A19F8-108C-47EF-8BC0-20B371CB481B}"/>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D8EB6175-ABE6-4756-9729-D5DCB8DF1CD0}"/>
    <cellStyle name="Normal 9 2 2 3 6 2 3" xfId="12910" xr:uid="{3344A055-3B8C-49E3-9078-7A10C7ABB386}"/>
    <cellStyle name="Normal 9 2 2 3 6 3" xfId="6533" xr:uid="{00000000-0005-0000-0000-0000E21E0000}"/>
    <cellStyle name="Normal 9 2 2 3 6 3 2" xfId="14983" xr:uid="{5BF0FC1D-00C3-46A2-AA12-5037EA2A49D9}"/>
    <cellStyle name="Normal 9 2 2 3 6 4" xfId="10765" xr:uid="{72AD6F3F-1766-450B-9754-A0025D3CE5FC}"/>
    <cellStyle name="Normal 9 2 2 3 7" xfId="2663" xr:uid="{00000000-0005-0000-0000-0000E31E0000}"/>
    <cellStyle name="Normal 9 2 2 3 7 2" xfId="6946" xr:uid="{00000000-0005-0000-0000-0000E41E0000}"/>
    <cellStyle name="Normal 9 2 2 3 7 2 2" xfId="15396" xr:uid="{B92BE5E3-4FE2-4420-B99B-CC7E805EE3FE}"/>
    <cellStyle name="Normal 9 2 2 3 7 3" xfId="11178" xr:uid="{E4FA34A5-44A4-4C80-89D1-37850CFB6E2A}"/>
    <cellStyle name="Normal 9 2 2 3 8" xfId="4881" xr:uid="{00000000-0005-0000-0000-0000E51E0000}"/>
    <cellStyle name="Normal 9 2 2 3 8 2" xfId="13331" xr:uid="{30CA76D3-10E9-40B8-AB93-C327D1865A01}"/>
    <cellStyle name="Normal 9 2 2 3 9" xfId="9113" xr:uid="{06EC3D02-FBDE-4FAF-AC52-A4771CFABCAE}"/>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41967429-FAAD-41E7-B102-83FF22596725}"/>
    <cellStyle name="Normal 9 2 2 4 2 2 3" xfId="11673" xr:uid="{6B3142B4-EE8C-4555-8679-145C64C0B386}"/>
    <cellStyle name="Normal 9 2 2 4 2 3" xfId="5296" xr:uid="{00000000-0005-0000-0000-0000EA1E0000}"/>
    <cellStyle name="Normal 9 2 2 4 2 3 2" xfId="13746" xr:uid="{D0CC1743-25E6-4401-A0F0-28BEE00B0E62}"/>
    <cellStyle name="Normal 9 2 2 4 2 4" xfId="9528" xr:uid="{364857C2-6BFD-4BFC-AB45-CC38346B14DE}"/>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A97D8BF3-78E1-4011-B561-20EE88BB87F1}"/>
    <cellStyle name="Normal 9 2 2 4 3 2 3" xfId="12086" xr:uid="{48A278E6-9E64-4700-8C43-881C4F76E3E8}"/>
    <cellStyle name="Normal 9 2 2 4 3 3" xfId="5709" xr:uid="{00000000-0005-0000-0000-0000EE1E0000}"/>
    <cellStyle name="Normal 9 2 2 4 3 3 2" xfId="14159" xr:uid="{AA8387D0-D7B2-4FF7-B8FE-F3304AE9B788}"/>
    <cellStyle name="Normal 9 2 2 4 3 4" xfId="9941" xr:uid="{4DF043AD-42C4-4D2A-A9DD-DDA93A9F26D3}"/>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6E476B36-59D7-4C28-A785-5D3111271AA9}"/>
    <cellStyle name="Normal 9 2 2 4 4 2 3" xfId="12499" xr:uid="{65CBAC51-1D03-41AC-916B-C6396507CDC0}"/>
    <cellStyle name="Normal 9 2 2 4 4 3" xfId="6122" xr:uid="{00000000-0005-0000-0000-0000F21E0000}"/>
    <cellStyle name="Normal 9 2 2 4 4 3 2" xfId="14572" xr:uid="{26348599-9183-4317-AE36-F122D2345A74}"/>
    <cellStyle name="Normal 9 2 2 4 4 4" xfId="10354" xr:uid="{C57058C4-F8D4-4C58-99A0-00F5B02ABF3C}"/>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97DC9C66-F653-48D7-9E90-211591DE1CDA}"/>
    <cellStyle name="Normal 9 2 2 4 5 2 3" xfId="12912" xr:uid="{F4EC34FF-9F1A-4EED-B8E8-E05D06D59DDB}"/>
    <cellStyle name="Normal 9 2 2 4 5 3" xfId="6535" xr:uid="{00000000-0005-0000-0000-0000F61E0000}"/>
    <cellStyle name="Normal 9 2 2 4 5 3 2" xfId="14985" xr:uid="{C57B1CFC-AE65-462C-8242-B761BB36C07C}"/>
    <cellStyle name="Normal 9 2 2 4 5 4" xfId="10767" xr:uid="{302DB71B-117C-4049-8557-B3604A300C97}"/>
    <cellStyle name="Normal 9 2 2 4 6" xfId="2665" xr:uid="{00000000-0005-0000-0000-0000F71E0000}"/>
    <cellStyle name="Normal 9 2 2 4 6 2" xfId="6948" xr:uid="{00000000-0005-0000-0000-0000F81E0000}"/>
    <cellStyle name="Normal 9 2 2 4 6 2 2" xfId="15398" xr:uid="{9B309651-54F4-40B4-BF69-16BC096E65FE}"/>
    <cellStyle name="Normal 9 2 2 4 6 3" xfId="11180" xr:uid="{44D65A29-6E23-49AE-B400-F5236CE9946E}"/>
    <cellStyle name="Normal 9 2 2 4 7" xfId="4883" xr:uid="{00000000-0005-0000-0000-0000F91E0000}"/>
    <cellStyle name="Normal 9 2 2 4 7 2" xfId="13333" xr:uid="{65D9190A-3D4D-43E0-92A7-CAD930AFECB2}"/>
    <cellStyle name="Normal 9 2 2 4 8" xfId="9115" xr:uid="{900244E7-EA8E-401B-9516-67E84640E9C2}"/>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242E5F11-2E6B-4A44-BCFC-CBE9670A3680}"/>
    <cellStyle name="Normal 9 2 2 5 2 3" xfId="11666" xr:uid="{281C2CC1-6F44-4FF5-A6D7-4FCDEE27BCF4}"/>
    <cellStyle name="Normal 9 2 2 5 3" xfId="5289" xr:uid="{00000000-0005-0000-0000-0000FD1E0000}"/>
    <cellStyle name="Normal 9 2 2 5 3 2" xfId="13739" xr:uid="{E5F793F7-01FC-47A8-9FA9-4E03FD00CD55}"/>
    <cellStyle name="Normal 9 2 2 5 4" xfId="9521" xr:uid="{B9126831-AA7F-4392-9FF2-98BD9EC13624}"/>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B63F9EDA-AB5E-40ED-B1EA-5061E0CCA4A6}"/>
    <cellStyle name="Normal 9 2 2 6 2 3" xfId="12079" xr:uid="{7C90BE8A-5086-49A8-99B1-036E48A90D3A}"/>
    <cellStyle name="Normal 9 2 2 6 3" xfId="5702" xr:uid="{00000000-0005-0000-0000-0000011F0000}"/>
    <cellStyle name="Normal 9 2 2 6 3 2" xfId="14152" xr:uid="{1882EEB3-982D-473B-A089-7923C22E515D}"/>
    <cellStyle name="Normal 9 2 2 6 4" xfId="9934" xr:uid="{4B162580-A007-43D2-A7DA-BBA720F1BA88}"/>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F7450C45-9C2A-47A3-8D69-C0BBE8ABCB1A}"/>
    <cellStyle name="Normal 9 2 2 7 2 3" xfId="12492" xr:uid="{7B1D8F28-83BC-49DD-BA77-90F3A1BD2BC7}"/>
    <cellStyle name="Normal 9 2 2 7 3" xfId="6115" xr:uid="{00000000-0005-0000-0000-0000051F0000}"/>
    <cellStyle name="Normal 9 2 2 7 3 2" xfId="14565" xr:uid="{21B8C45A-78A3-4AEC-9C66-7F34057C59DD}"/>
    <cellStyle name="Normal 9 2 2 7 4" xfId="10347" xr:uid="{B2362D06-0B7F-44C3-8635-2A2C10DBB941}"/>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BC950380-023B-46C0-A50E-BE5DF68C888E}"/>
    <cellStyle name="Normal 9 2 2 8 2 3" xfId="12905" xr:uid="{C91B85C0-266E-4ACE-949E-E4969F1DC1E7}"/>
    <cellStyle name="Normal 9 2 2 8 3" xfId="6528" xr:uid="{00000000-0005-0000-0000-0000091F0000}"/>
    <cellStyle name="Normal 9 2 2 8 3 2" xfId="14978" xr:uid="{5703451D-62A2-4EC0-BDCA-0AC5AB943876}"/>
    <cellStyle name="Normal 9 2 2 8 4" xfId="10760" xr:uid="{9CD5923A-0B51-4590-98E7-1DBD2CA90560}"/>
    <cellStyle name="Normal 9 2 2 9" xfId="2658" xr:uid="{00000000-0005-0000-0000-00000A1F0000}"/>
    <cellStyle name="Normal 9 2 2 9 2" xfId="6941" xr:uid="{00000000-0005-0000-0000-00000B1F0000}"/>
    <cellStyle name="Normal 9 2 2 9 2 2" xfId="15391" xr:uid="{C8A57310-D193-4F5F-9AAC-225144710DF8}"/>
    <cellStyle name="Normal 9 2 2 9 3" xfId="11173" xr:uid="{8773B0EF-3999-4387-9B09-9783BC2D3C65}"/>
    <cellStyle name="Normal 9 2 3" xfId="520" xr:uid="{00000000-0005-0000-0000-00000C1F0000}"/>
    <cellStyle name="Normal 9 2 3 10" xfId="9116" xr:uid="{95307B04-97AD-41CA-9887-9BC83E306E4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FBF24615-8194-4079-B844-EC2DE9B51776}"/>
    <cellStyle name="Normal 9 2 3 2 2 2 2 3" xfId="11676" xr:uid="{E57A0B5C-1D11-472E-9BEA-5B1726279699}"/>
    <cellStyle name="Normal 9 2 3 2 2 2 3" xfId="5299" xr:uid="{00000000-0005-0000-0000-0000121F0000}"/>
    <cellStyle name="Normal 9 2 3 2 2 2 3 2" xfId="13749" xr:uid="{C5809A9B-DA53-46E1-9DB0-3761F79C8081}"/>
    <cellStyle name="Normal 9 2 3 2 2 2 4" xfId="9531" xr:uid="{8C72E4D1-577C-479F-8474-51836B8C0706}"/>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08AFB541-BCF5-45BB-BA08-FD1BF428E0C8}"/>
    <cellStyle name="Normal 9 2 3 2 2 3 2 3" xfId="12089" xr:uid="{3F09CD4A-0101-46A5-AA5B-7CF6443000FE}"/>
    <cellStyle name="Normal 9 2 3 2 2 3 3" xfId="5712" xr:uid="{00000000-0005-0000-0000-0000161F0000}"/>
    <cellStyle name="Normal 9 2 3 2 2 3 3 2" xfId="14162" xr:uid="{6F8225B8-24C7-4A4F-B0E8-E9F3CA53983B}"/>
    <cellStyle name="Normal 9 2 3 2 2 3 4" xfId="9944" xr:uid="{F9ED03B5-A2AD-4D0E-97FA-240425D845A2}"/>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5F77D3BD-6F8E-43D7-90BA-3F315FA6D216}"/>
    <cellStyle name="Normal 9 2 3 2 2 4 2 3" xfId="12502" xr:uid="{ED2A4AA9-7141-4957-A946-C98A49A34EFD}"/>
    <cellStyle name="Normal 9 2 3 2 2 4 3" xfId="6125" xr:uid="{00000000-0005-0000-0000-00001A1F0000}"/>
    <cellStyle name="Normal 9 2 3 2 2 4 3 2" xfId="14575" xr:uid="{FB2579F2-E952-486A-A14E-DC55AF2EB7E8}"/>
    <cellStyle name="Normal 9 2 3 2 2 4 4" xfId="10357" xr:uid="{477CB57C-D3EF-4A0A-916B-0A2CD0E1792A}"/>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3CA625FF-49B7-44D3-8167-330FF01C2C17}"/>
    <cellStyle name="Normal 9 2 3 2 2 5 2 3" xfId="12915" xr:uid="{6334AAD5-48B5-4E44-9209-D911A0B9370E}"/>
    <cellStyle name="Normal 9 2 3 2 2 5 3" xfId="6538" xr:uid="{00000000-0005-0000-0000-00001E1F0000}"/>
    <cellStyle name="Normal 9 2 3 2 2 5 3 2" xfId="14988" xr:uid="{9A34795B-F958-4A7E-B771-8CD4C9F5C06F}"/>
    <cellStyle name="Normal 9 2 3 2 2 5 4" xfId="10770" xr:uid="{A7AC8C83-EDAA-40BA-ADC8-AEA76B484138}"/>
    <cellStyle name="Normal 9 2 3 2 2 6" xfId="2668" xr:uid="{00000000-0005-0000-0000-00001F1F0000}"/>
    <cellStyle name="Normal 9 2 3 2 2 6 2" xfId="6951" xr:uid="{00000000-0005-0000-0000-0000201F0000}"/>
    <cellStyle name="Normal 9 2 3 2 2 6 2 2" xfId="15401" xr:uid="{0FB60B78-EDD3-467F-93C0-D8E829684216}"/>
    <cellStyle name="Normal 9 2 3 2 2 6 3" xfId="11183" xr:uid="{C1D506B1-4F27-4741-A2A7-0E4E4D65E205}"/>
    <cellStyle name="Normal 9 2 3 2 2 7" xfId="4886" xr:uid="{00000000-0005-0000-0000-0000211F0000}"/>
    <cellStyle name="Normal 9 2 3 2 2 7 2" xfId="13336" xr:uid="{A4D462CB-2F7B-4C9E-AC51-2266FED834DB}"/>
    <cellStyle name="Normal 9 2 3 2 2 8" xfId="9118" xr:uid="{9FEA90B9-351B-4F5B-B0F7-BBD821C99620}"/>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35D87E65-0EAB-4ACB-A68C-D5E54B988462}"/>
    <cellStyle name="Normal 9 2 3 2 3 2 3" xfId="11675" xr:uid="{1D7E855F-DCEE-41E1-9F4B-09F5C812478C}"/>
    <cellStyle name="Normal 9 2 3 2 3 3" xfId="5298" xr:uid="{00000000-0005-0000-0000-0000251F0000}"/>
    <cellStyle name="Normal 9 2 3 2 3 3 2" xfId="13748" xr:uid="{46FD9B84-3BAE-4089-BB2B-75EC8414735F}"/>
    <cellStyle name="Normal 9 2 3 2 3 4" xfId="9530" xr:uid="{C4F88ED5-1728-4FA9-AF15-5AB710713F16}"/>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B565DFBA-8CDD-42C1-8A53-D43D4CBCCF57}"/>
    <cellStyle name="Normal 9 2 3 2 4 2 3" xfId="12088" xr:uid="{7852665E-B73F-4225-B470-EC42DDBE088C}"/>
    <cellStyle name="Normal 9 2 3 2 4 3" xfId="5711" xr:uid="{00000000-0005-0000-0000-0000291F0000}"/>
    <cellStyle name="Normal 9 2 3 2 4 3 2" xfId="14161" xr:uid="{C1B768B9-8951-43DC-AD3A-E9F47C85B71E}"/>
    <cellStyle name="Normal 9 2 3 2 4 4" xfId="9943" xr:uid="{8621AF79-B4C9-4544-B772-7B5B79BB9315}"/>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4C9E3FBC-6602-45A7-A953-3B763F29083C}"/>
    <cellStyle name="Normal 9 2 3 2 5 2 3" xfId="12501" xr:uid="{B0839394-A78B-4791-8875-211ADD2CC7DD}"/>
    <cellStyle name="Normal 9 2 3 2 5 3" xfId="6124" xr:uid="{00000000-0005-0000-0000-00002D1F0000}"/>
    <cellStyle name="Normal 9 2 3 2 5 3 2" xfId="14574" xr:uid="{B5FBC4F0-E4AE-429F-849E-28F6453DB374}"/>
    <cellStyle name="Normal 9 2 3 2 5 4" xfId="10356" xr:uid="{C163090C-9E54-412B-8FF3-D6BA3D4E6D41}"/>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C55756B1-8819-4842-8254-E85C9021213C}"/>
    <cellStyle name="Normal 9 2 3 2 6 2 3" xfId="12914" xr:uid="{078E9CF9-EAA2-4071-BBC5-597B26293696}"/>
    <cellStyle name="Normal 9 2 3 2 6 3" xfId="6537" xr:uid="{00000000-0005-0000-0000-0000311F0000}"/>
    <cellStyle name="Normal 9 2 3 2 6 3 2" xfId="14987" xr:uid="{9F3E3F8D-C720-446B-9151-7C60B39150C2}"/>
    <cellStyle name="Normal 9 2 3 2 6 4" xfId="10769" xr:uid="{70AF27D5-21F9-4C69-A6C8-B597023BE067}"/>
    <cellStyle name="Normal 9 2 3 2 7" xfId="2667" xr:uid="{00000000-0005-0000-0000-0000321F0000}"/>
    <cellStyle name="Normal 9 2 3 2 7 2" xfId="6950" xr:uid="{00000000-0005-0000-0000-0000331F0000}"/>
    <cellStyle name="Normal 9 2 3 2 7 2 2" xfId="15400" xr:uid="{885C0382-E449-4843-A693-D4B4054B0173}"/>
    <cellStyle name="Normal 9 2 3 2 7 3" xfId="11182" xr:uid="{3E0E9795-7080-4027-9DEC-57BFB500EE6C}"/>
    <cellStyle name="Normal 9 2 3 2 8" xfId="4885" xr:uid="{00000000-0005-0000-0000-0000341F0000}"/>
    <cellStyle name="Normal 9 2 3 2 8 2" xfId="13335" xr:uid="{C94A3BCD-BFDD-4EF5-A8F3-F489A2956067}"/>
    <cellStyle name="Normal 9 2 3 2 9" xfId="9117" xr:uid="{4D5E7E06-1131-4EC9-807E-8FD7AD155A1F}"/>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DD45C84D-D3DA-4D87-ACED-485AC7D2FA38}"/>
    <cellStyle name="Normal 9 2 3 3 2 2 3" xfId="11677" xr:uid="{38A6936C-31BB-457F-B9D9-7F8C5634E94E}"/>
    <cellStyle name="Normal 9 2 3 3 2 3" xfId="5300" xr:uid="{00000000-0005-0000-0000-0000391F0000}"/>
    <cellStyle name="Normal 9 2 3 3 2 3 2" xfId="13750" xr:uid="{9BBBFAB2-1497-40A7-A51D-EC9676047AD3}"/>
    <cellStyle name="Normal 9 2 3 3 2 4" xfId="9532" xr:uid="{70ED124F-D8C9-4784-AB08-74551178EA3A}"/>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F7194AFA-F757-499E-B5FA-77BBA642C65C}"/>
    <cellStyle name="Normal 9 2 3 3 3 2 3" xfId="12090" xr:uid="{52311587-8786-499C-90E1-C0BA320DE31D}"/>
    <cellStyle name="Normal 9 2 3 3 3 3" xfId="5713" xr:uid="{00000000-0005-0000-0000-00003D1F0000}"/>
    <cellStyle name="Normal 9 2 3 3 3 3 2" xfId="14163" xr:uid="{33E1FA26-9E66-4793-91B8-F34AB2406F30}"/>
    <cellStyle name="Normal 9 2 3 3 3 4" xfId="9945" xr:uid="{66505F6D-9C08-4F15-9E9E-989AFE0FD669}"/>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B3A421AF-37F9-44E9-9953-8B309AC071B3}"/>
    <cellStyle name="Normal 9 2 3 3 4 2 3" xfId="12503" xr:uid="{F380F21B-27E8-48A0-92E1-5FFB127F7CAE}"/>
    <cellStyle name="Normal 9 2 3 3 4 3" xfId="6126" xr:uid="{00000000-0005-0000-0000-0000411F0000}"/>
    <cellStyle name="Normal 9 2 3 3 4 3 2" xfId="14576" xr:uid="{EF073BC2-1E69-4E20-B95A-0D36E30B20FB}"/>
    <cellStyle name="Normal 9 2 3 3 4 4" xfId="10358" xr:uid="{897FF20C-F606-4179-8BB9-BBACF12591B0}"/>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BE88657D-D7D4-4AA3-B482-094DD203E485}"/>
    <cellStyle name="Normal 9 2 3 3 5 2 3" xfId="12916" xr:uid="{B44D9996-CA94-43EE-84C2-A233D511EC80}"/>
    <cellStyle name="Normal 9 2 3 3 5 3" xfId="6539" xr:uid="{00000000-0005-0000-0000-0000451F0000}"/>
    <cellStyle name="Normal 9 2 3 3 5 3 2" xfId="14989" xr:uid="{BB3367CC-26D7-42E1-985A-15FE441EABB3}"/>
    <cellStyle name="Normal 9 2 3 3 5 4" xfId="10771" xr:uid="{D97769AA-7035-40FD-82E8-CE498AFA046A}"/>
    <cellStyle name="Normal 9 2 3 3 6" xfId="2669" xr:uid="{00000000-0005-0000-0000-0000461F0000}"/>
    <cellStyle name="Normal 9 2 3 3 6 2" xfId="6952" xr:uid="{00000000-0005-0000-0000-0000471F0000}"/>
    <cellStyle name="Normal 9 2 3 3 6 2 2" xfId="15402" xr:uid="{797819CF-D728-470E-973D-A9D03B652494}"/>
    <cellStyle name="Normal 9 2 3 3 6 3" xfId="11184" xr:uid="{21794A42-26DB-49CA-954E-07FB3DDDF914}"/>
    <cellStyle name="Normal 9 2 3 3 7" xfId="4887" xr:uid="{00000000-0005-0000-0000-0000481F0000}"/>
    <cellStyle name="Normal 9 2 3 3 7 2" xfId="13337" xr:uid="{FB9954F9-72B5-4D90-867E-7CBE024C17FA}"/>
    <cellStyle name="Normal 9 2 3 3 8" xfId="9119" xr:uid="{F4E8C33A-973F-4C2D-B0A1-5034D16DFAFE}"/>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DC55023E-A21A-45FE-8A4B-B6CFCD96F17A}"/>
    <cellStyle name="Normal 9 2 3 4 2 3" xfId="11674" xr:uid="{211E1AD1-7F18-4E2D-A3BD-A865D5F99A49}"/>
    <cellStyle name="Normal 9 2 3 4 3" xfId="5297" xr:uid="{00000000-0005-0000-0000-00004C1F0000}"/>
    <cellStyle name="Normal 9 2 3 4 3 2" xfId="13747" xr:uid="{30372DE5-BD5F-4C02-8B9E-ECC339BC979D}"/>
    <cellStyle name="Normal 9 2 3 4 4" xfId="9529" xr:uid="{CDC299CF-AB57-4CAE-817E-15C8283D812A}"/>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882140E0-A9C6-4404-8EC5-4756646F0A31}"/>
    <cellStyle name="Normal 9 2 3 5 2 3" xfId="12087" xr:uid="{6E96EC81-26D4-440D-A395-EDBF96A19B18}"/>
    <cellStyle name="Normal 9 2 3 5 3" xfId="5710" xr:uid="{00000000-0005-0000-0000-0000501F0000}"/>
    <cellStyle name="Normal 9 2 3 5 3 2" xfId="14160" xr:uid="{D7564FA7-FFA4-46F6-9595-81D7C80013D8}"/>
    <cellStyle name="Normal 9 2 3 5 4" xfId="9942" xr:uid="{95B4EBB2-21E8-4F59-861F-DDD23B2DF89E}"/>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DE7C95D9-9263-4D27-95B5-1BAEA9F75DC5}"/>
    <cellStyle name="Normal 9 2 3 6 2 3" xfId="12500" xr:uid="{37048713-2C98-4002-9ABC-DD8897E42CAF}"/>
    <cellStyle name="Normal 9 2 3 6 3" xfId="6123" xr:uid="{00000000-0005-0000-0000-0000541F0000}"/>
    <cellStyle name="Normal 9 2 3 6 3 2" xfId="14573" xr:uid="{9782C917-99C7-46E3-858A-7DCE0E80E83F}"/>
    <cellStyle name="Normal 9 2 3 6 4" xfId="10355" xr:uid="{11FCDF70-06FB-4846-96B9-629449521ED3}"/>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CB991E48-032D-44D5-8A7F-5259CBC26051}"/>
    <cellStyle name="Normal 9 2 3 7 2 3" xfId="12913" xr:uid="{C2A90416-0CC7-431E-A61B-89F2634E6E7C}"/>
    <cellStyle name="Normal 9 2 3 7 3" xfId="6536" xr:uid="{00000000-0005-0000-0000-0000581F0000}"/>
    <cellStyle name="Normal 9 2 3 7 3 2" xfId="14986" xr:uid="{7E73C09B-ECDC-462E-9121-47B3CA74C0B8}"/>
    <cellStyle name="Normal 9 2 3 7 4" xfId="10768" xr:uid="{EDB955EE-9624-4FBA-8976-A423CA1CB5D7}"/>
    <cellStyle name="Normal 9 2 3 8" xfId="2666" xr:uid="{00000000-0005-0000-0000-0000591F0000}"/>
    <cellStyle name="Normal 9 2 3 8 2" xfId="6949" xr:uid="{00000000-0005-0000-0000-00005A1F0000}"/>
    <cellStyle name="Normal 9 2 3 8 2 2" xfId="15399" xr:uid="{62FE5D96-6A49-496D-8E1E-6E7101E8DE91}"/>
    <cellStyle name="Normal 9 2 3 8 3" xfId="11181" xr:uid="{06B710EF-9359-400A-828B-0C611E404E36}"/>
    <cellStyle name="Normal 9 2 3 9" xfId="4884" xr:uid="{00000000-0005-0000-0000-00005B1F0000}"/>
    <cellStyle name="Normal 9 2 3 9 2" xfId="13334" xr:uid="{B2617DA1-07A1-4652-B17E-1CE539CFCF8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EFBF05BC-E5C1-4D83-9EF8-07B1B0D50EAB}"/>
    <cellStyle name="Normal 9 2 4 2 2 2 3" xfId="11679" xr:uid="{4048E574-85DF-47DE-960C-6B13CBCD12CC}"/>
    <cellStyle name="Normal 9 2 4 2 2 3" xfId="5302" xr:uid="{00000000-0005-0000-0000-0000611F0000}"/>
    <cellStyle name="Normal 9 2 4 2 2 3 2" xfId="13752" xr:uid="{1A2D53F9-EA0D-4F25-A978-31C7AD8E4F44}"/>
    <cellStyle name="Normal 9 2 4 2 2 4" xfId="9534" xr:uid="{3163EF34-472C-49C2-B631-232169202745}"/>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5C717284-3B04-4039-A6A3-1FB451D98376}"/>
    <cellStyle name="Normal 9 2 4 2 3 2 3" xfId="12092" xr:uid="{F471ADC2-06F0-4DE8-8B7B-B9C71D051A28}"/>
    <cellStyle name="Normal 9 2 4 2 3 3" xfId="5715" xr:uid="{00000000-0005-0000-0000-0000651F0000}"/>
    <cellStyle name="Normal 9 2 4 2 3 3 2" xfId="14165" xr:uid="{FC733E3F-A507-4465-885B-3F4DB037008E}"/>
    <cellStyle name="Normal 9 2 4 2 3 4" xfId="9947" xr:uid="{D604F63E-1A65-4863-ACD9-F1892B40C7F8}"/>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D38F72B4-75E1-4903-853E-1104BF0F808A}"/>
    <cellStyle name="Normal 9 2 4 2 4 2 3" xfId="12505" xr:uid="{5BC0A7A7-737D-47A9-91A1-4280290B248D}"/>
    <cellStyle name="Normal 9 2 4 2 4 3" xfId="6128" xr:uid="{00000000-0005-0000-0000-0000691F0000}"/>
    <cellStyle name="Normal 9 2 4 2 4 3 2" xfId="14578" xr:uid="{9B8B05E6-DA6B-4350-8635-313F97020BAA}"/>
    <cellStyle name="Normal 9 2 4 2 4 4" xfId="10360" xr:uid="{859C3C8B-875E-4177-97F4-55ACD7C924C8}"/>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133BEE8F-AF6F-48F7-8FAB-F774D1BED8D9}"/>
    <cellStyle name="Normal 9 2 4 2 5 2 3" xfId="12918" xr:uid="{8FA4724F-CAD1-46C9-A05A-8E44AF8FBF0A}"/>
    <cellStyle name="Normal 9 2 4 2 5 3" xfId="6541" xr:uid="{00000000-0005-0000-0000-00006D1F0000}"/>
    <cellStyle name="Normal 9 2 4 2 5 3 2" xfId="14991" xr:uid="{95385703-F206-4454-98A7-50E1518489CC}"/>
    <cellStyle name="Normal 9 2 4 2 5 4" xfId="10773" xr:uid="{CF484D23-81F1-49E6-9FE4-9585866713E0}"/>
    <cellStyle name="Normal 9 2 4 2 6" xfId="2671" xr:uid="{00000000-0005-0000-0000-00006E1F0000}"/>
    <cellStyle name="Normal 9 2 4 2 6 2" xfId="6954" xr:uid="{00000000-0005-0000-0000-00006F1F0000}"/>
    <cellStyle name="Normal 9 2 4 2 6 2 2" xfId="15404" xr:uid="{77FBC5AE-BE6B-49A6-8AF5-B453E2AFBA3F}"/>
    <cellStyle name="Normal 9 2 4 2 6 3" xfId="11186" xr:uid="{32CD53C7-C2FC-42FB-A5D7-155B6C0CE987}"/>
    <cellStyle name="Normal 9 2 4 2 7" xfId="4889" xr:uid="{00000000-0005-0000-0000-0000701F0000}"/>
    <cellStyle name="Normal 9 2 4 2 7 2" xfId="13339" xr:uid="{A292F1FB-C0D3-4F68-8D8C-0A5245AE702B}"/>
    <cellStyle name="Normal 9 2 4 2 8" xfId="9121" xr:uid="{F236D2BE-F487-44D5-8F31-4BEF27A7D5FD}"/>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C6D9F216-C8BB-4452-A54D-1795F8B61969}"/>
    <cellStyle name="Normal 9 2 4 3 2 3" xfId="11678" xr:uid="{DCE92E22-A02F-4E6E-A1DE-51744427B3A6}"/>
    <cellStyle name="Normal 9 2 4 3 3" xfId="5301" xr:uid="{00000000-0005-0000-0000-0000741F0000}"/>
    <cellStyle name="Normal 9 2 4 3 3 2" xfId="13751" xr:uid="{B26F7A3D-C424-4B29-B26D-7DC261E2DD3B}"/>
    <cellStyle name="Normal 9 2 4 3 4" xfId="9533" xr:uid="{514F4FB0-7CB9-4C4D-9054-22F4562BE34F}"/>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6DAB8605-0E84-4A0A-A90F-F8BB802CCBE8}"/>
    <cellStyle name="Normal 9 2 4 4 2 3" xfId="12091" xr:uid="{BA5F61DD-69B5-4E9D-9785-EE3D9D413497}"/>
    <cellStyle name="Normal 9 2 4 4 3" xfId="5714" xr:uid="{00000000-0005-0000-0000-0000781F0000}"/>
    <cellStyle name="Normal 9 2 4 4 3 2" xfId="14164" xr:uid="{BFFA4F12-2F43-42B7-A416-F250371D9BC2}"/>
    <cellStyle name="Normal 9 2 4 4 4" xfId="9946" xr:uid="{FD745800-C364-4316-B8C0-C2B308F6E16F}"/>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98E648F2-CC99-485C-990D-3193CDA88788}"/>
    <cellStyle name="Normal 9 2 4 5 2 3" xfId="12504" xr:uid="{0B6C6DAD-000E-4EDC-BEE2-91CC49747E24}"/>
    <cellStyle name="Normal 9 2 4 5 3" xfId="6127" xr:uid="{00000000-0005-0000-0000-00007C1F0000}"/>
    <cellStyle name="Normal 9 2 4 5 3 2" xfId="14577" xr:uid="{280181A8-9F73-4675-93C7-86D87E19D8F7}"/>
    <cellStyle name="Normal 9 2 4 5 4" xfId="10359" xr:uid="{DBF55841-D706-4A14-BB49-3FA73ED03E87}"/>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2FA1D8B6-6905-4370-8BED-34D2C961828C}"/>
    <cellStyle name="Normal 9 2 4 6 2 3" xfId="12917" xr:uid="{EE3FC877-5944-4978-86BE-E9D7624ED67C}"/>
    <cellStyle name="Normal 9 2 4 6 3" xfId="6540" xr:uid="{00000000-0005-0000-0000-0000801F0000}"/>
    <cellStyle name="Normal 9 2 4 6 3 2" xfId="14990" xr:uid="{B43FAE7D-A0A5-4C0C-9D05-86B65BE94BBF}"/>
    <cellStyle name="Normal 9 2 4 6 4" xfId="10772" xr:uid="{A50688CE-D874-4551-8FCD-1FCD696154BE}"/>
    <cellStyle name="Normal 9 2 4 7" xfId="2670" xr:uid="{00000000-0005-0000-0000-0000811F0000}"/>
    <cellStyle name="Normal 9 2 4 7 2" xfId="6953" xr:uid="{00000000-0005-0000-0000-0000821F0000}"/>
    <cellStyle name="Normal 9 2 4 7 2 2" xfId="15403" xr:uid="{C57B437E-F2C8-4EAE-AEB1-BB776E91BB18}"/>
    <cellStyle name="Normal 9 2 4 7 3" xfId="11185" xr:uid="{A576F818-7100-4EA8-990C-44969B0DF90F}"/>
    <cellStyle name="Normal 9 2 4 8" xfId="4888" xr:uid="{00000000-0005-0000-0000-0000831F0000}"/>
    <cellStyle name="Normal 9 2 4 8 2" xfId="13338" xr:uid="{BFA92184-9361-4484-83BD-C9271D9B6E03}"/>
    <cellStyle name="Normal 9 2 4 9" xfId="9120" xr:uid="{AB84A1E2-3994-43CC-B51B-E362A67440ED}"/>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8842409A-237F-46B0-BF59-38FDF19B48B9}"/>
    <cellStyle name="Normal 9 2 5 2 2 3" xfId="11680" xr:uid="{EDEA110E-C143-4177-B144-A0FE765A1BF1}"/>
    <cellStyle name="Normal 9 2 5 2 3" xfId="5303" xr:uid="{00000000-0005-0000-0000-0000881F0000}"/>
    <cellStyle name="Normal 9 2 5 2 3 2" xfId="13753" xr:uid="{0CE109F6-DA82-4A13-97A8-0E93B45A0E71}"/>
    <cellStyle name="Normal 9 2 5 2 4" xfId="9535" xr:uid="{6BF3F1D2-9908-4AD9-BAF8-B84AAE5FC074}"/>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56175E27-9FEF-4A47-A0DB-E18253BD84CC}"/>
    <cellStyle name="Normal 9 2 5 3 2 3" xfId="12093" xr:uid="{042940B1-992C-4588-9C0E-E94DEBF0C3AC}"/>
    <cellStyle name="Normal 9 2 5 3 3" xfId="5716" xr:uid="{00000000-0005-0000-0000-00008C1F0000}"/>
    <cellStyle name="Normal 9 2 5 3 3 2" xfId="14166" xr:uid="{FB3584AA-B6AE-48B4-97EC-235419C8C19B}"/>
    <cellStyle name="Normal 9 2 5 3 4" xfId="9948" xr:uid="{5DFF4D15-FB36-4DCB-9412-36654F263A32}"/>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39656FC7-F58C-4C6F-A76A-893349D1CF5C}"/>
    <cellStyle name="Normal 9 2 5 4 2 3" xfId="12506" xr:uid="{0E3A2F38-3888-47F5-BE32-28F04C73C741}"/>
    <cellStyle name="Normal 9 2 5 4 3" xfId="6129" xr:uid="{00000000-0005-0000-0000-0000901F0000}"/>
    <cellStyle name="Normal 9 2 5 4 3 2" xfId="14579" xr:uid="{F74066BF-CEEA-4C96-8F02-CB4EDD5D52D2}"/>
    <cellStyle name="Normal 9 2 5 4 4" xfId="10361" xr:uid="{D0F34FF6-2254-4331-96EB-806D92804FA3}"/>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CBE69F8F-3318-416A-859A-F866BF731CAC}"/>
    <cellStyle name="Normal 9 2 5 5 2 3" xfId="12919" xr:uid="{A5F3F188-DDDD-4313-8588-7BACADBAE406}"/>
    <cellStyle name="Normal 9 2 5 5 3" xfId="6542" xr:uid="{00000000-0005-0000-0000-0000941F0000}"/>
    <cellStyle name="Normal 9 2 5 5 3 2" xfId="14992" xr:uid="{8259C714-BBD4-49B4-AD45-B18966853BEB}"/>
    <cellStyle name="Normal 9 2 5 5 4" xfId="10774" xr:uid="{B6CECD6E-B133-485F-9987-D1FAF4042E22}"/>
    <cellStyle name="Normal 9 2 5 6" xfId="2672" xr:uid="{00000000-0005-0000-0000-0000951F0000}"/>
    <cellStyle name="Normal 9 2 5 6 2" xfId="6955" xr:uid="{00000000-0005-0000-0000-0000961F0000}"/>
    <cellStyle name="Normal 9 2 5 6 2 2" xfId="15405" xr:uid="{976685F7-96AD-4D7D-80F2-EF8DA3F8C642}"/>
    <cellStyle name="Normal 9 2 5 6 3" xfId="11187" xr:uid="{A584B9F2-8395-40A1-A690-90C711EC7DAB}"/>
    <cellStyle name="Normal 9 2 5 7" xfId="4890" xr:uid="{00000000-0005-0000-0000-0000971F0000}"/>
    <cellStyle name="Normal 9 2 5 7 2" xfId="13340" xr:uid="{2CD326EC-ACCE-4BB4-91A2-C473EF972709}"/>
    <cellStyle name="Normal 9 2 5 8" xfId="9122" xr:uid="{00753622-2EA1-4F3B-885B-D58E0DE3BD6E}"/>
    <cellStyle name="Normal 9 2 6" xfId="978" xr:uid="{00000000-0005-0000-0000-0000981F0000}"/>
    <cellStyle name="Normal 9 2 6 2" xfId="3211" xr:uid="{00000000-0005-0000-0000-0000991F0000}"/>
    <cellStyle name="Normal 9 2 6 2 2" xfId="7433" xr:uid="{00000000-0005-0000-0000-00009A1F0000}"/>
    <cellStyle name="Normal 9 2 6 2 2 2" xfId="15883" xr:uid="{9556952F-A0DA-456A-8D2A-948BB0AAB3B8}"/>
    <cellStyle name="Normal 9 2 6 2 3" xfId="11665" xr:uid="{295C72A9-BB46-4098-96E7-2AB5C007BA20}"/>
    <cellStyle name="Normal 9 2 6 3" xfId="5288" xr:uid="{00000000-0005-0000-0000-00009B1F0000}"/>
    <cellStyle name="Normal 9 2 6 3 2" xfId="13738" xr:uid="{206AF487-2DBF-4F62-B51F-8950C16A390D}"/>
    <cellStyle name="Normal 9 2 6 4" xfId="9520" xr:uid="{9AEEF144-5AD1-4683-9104-1358E66CD53B}"/>
    <cellStyle name="Normal 9 2 7" xfId="1394" xr:uid="{00000000-0005-0000-0000-00009C1F0000}"/>
    <cellStyle name="Normal 9 2 7 2" xfId="3624" xr:uid="{00000000-0005-0000-0000-00009D1F0000}"/>
    <cellStyle name="Normal 9 2 7 2 2" xfId="7846" xr:uid="{00000000-0005-0000-0000-00009E1F0000}"/>
    <cellStyle name="Normal 9 2 7 2 2 2" xfId="16296" xr:uid="{EC581C61-51BA-4A0C-9BEC-9F01A051575D}"/>
    <cellStyle name="Normal 9 2 7 2 3" xfId="12078" xr:uid="{645D9CB8-585C-45E3-BB73-80D257771E81}"/>
    <cellStyle name="Normal 9 2 7 3" xfId="5701" xr:uid="{00000000-0005-0000-0000-00009F1F0000}"/>
    <cellStyle name="Normal 9 2 7 3 2" xfId="14151" xr:uid="{1037E71E-40C3-4ECC-A87F-F399BF60FF67}"/>
    <cellStyle name="Normal 9 2 7 4" xfId="9933" xr:uid="{B3143E9D-2851-40CB-9CD4-4CA5A28AFE03}"/>
    <cellStyle name="Normal 9 2 8" xfId="1807" xr:uid="{00000000-0005-0000-0000-0000A01F0000}"/>
    <cellStyle name="Normal 9 2 8 2" xfId="4037" xr:uid="{00000000-0005-0000-0000-0000A11F0000}"/>
    <cellStyle name="Normal 9 2 8 2 2" xfId="8259" xr:uid="{00000000-0005-0000-0000-0000A21F0000}"/>
    <cellStyle name="Normal 9 2 8 2 2 2" xfId="16709" xr:uid="{C4E1332A-C661-4C32-BDE7-E279FD5C28B5}"/>
    <cellStyle name="Normal 9 2 8 2 3" xfId="12491" xr:uid="{AD5BDDF2-7752-4F4A-838C-0A3E25AD8B77}"/>
    <cellStyle name="Normal 9 2 8 3" xfId="6114" xr:uid="{00000000-0005-0000-0000-0000A31F0000}"/>
    <cellStyle name="Normal 9 2 8 3 2" xfId="14564" xr:uid="{84BD2070-DFF8-4EFB-BDD3-9296AB99F56F}"/>
    <cellStyle name="Normal 9 2 8 4" xfId="10346" xr:uid="{F14A28F2-A445-446E-9071-DC1686D70D52}"/>
    <cellStyle name="Normal 9 2 9" xfId="2221" xr:uid="{00000000-0005-0000-0000-0000A41F0000}"/>
    <cellStyle name="Normal 9 2 9 2" xfId="4450" xr:uid="{00000000-0005-0000-0000-0000A51F0000}"/>
    <cellStyle name="Normal 9 2 9 2 2" xfId="8672" xr:uid="{00000000-0005-0000-0000-0000A61F0000}"/>
    <cellStyle name="Normal 9 2 9 2 2 2" xfId="17122" xr:uid="{865A1DA4-7650-4531-BFE3-947AABB4E7EA}"/>
    <cellStyle name="Normal 9 2 9 2 3" xfId="12904" xr:uid="{BE82E812-EC45-485B-9B45-FA5E975B1531}"/>
    <cellStyle name="Normal 9 2 9 3" xfId="6527" xr:uid="{00000000-0005-0000-0000-0000A71F0000}"/>
    <cellStyle name="Normal 9 2 9 3 2" xfId="14977" xr:uid="{745653C7-92E0-4217-8B22-DDDE5A5FF8B5}"/>
    <cellStyle name="Normal 9 2 9 4" xfId="10759" xr:uid="{2D2562A6-FC4A-40A3-8993-9F01EEAFAC77}"/>
    <cellStyle name="Normal 9 3" xfId="527" xr:uid="{00000000-0005-0000-0000-0000A81F0000}"/>
    <cellStyle name="Normal 9 3 10" xfId="4891" xr:uid="{00000000-0005-0000-0000-0000A91F0000}"/>
    <cellStyle name="Normal 9 3 10 2" xfId="13341" xr:uid="{D62435A3-A9EF-4EC4-885B-C8DA7D4892EF}"/>
    <cellStyle name="Normal 9 3 11" xfId="9123" xr:uid="{3EC0A834-87E1-4E79-8F39-B1ACB7590FC9}"/>
    <cellStyle name="Normal 9 3 2" xfId="528" xr:uid="{00000000-0005-0000-0000-0000AA1F0000}"/>
    <cellStyle name="Normal 9 3 2 10" xfId="9124" xr:uid="{52B1464D-F1F4-444D-A3F2-A67823C93A2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AF93F20C-A254-47C5-BA56-73160348144A}"/>
    <cellStyle name="Normal 9 3 2 2 2 2 2 3" xfId="11684" xr:uid="{DC940829-7757-4CDD-AF00-C73079E06D01}"/>
    <cellStyle name="Normal 9 3 2 2 2 2 3" xfId="5307" xr:uid="{00000000-0005-0000-0000-0000B01F0000}"/>
    <cellStyle name="Normal 9 3 2 2 2 2 3 2" xfId="13757" xr:uid="{3F503302-94BA-4FD5-9B90-FC6B98D5F294}"/>
    <cellStyle name="Normal 9 3 2 2 2 2 4" xfId="9539" xr:uid="{278F8BA9-BCC7-4C92-83CF-DF53AD243A44}"/>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F5AB29C8-5D5F-4372-8491-06D99FED49FC}"/>
    <cellStyle name="Normal 9 3 2 2 2 3 2 3" xfId="12097" xr:uid="{3C61D9AB-8BAA-4218-AAD0-BD4CEBF321E8}"/>
    <cellStyle name="Normal 9 3 2 2 2 3 3" xfId="5720" xr:uid="{00000000-0005-0000-0000-0000B41F0000}"/>
    <cellStyle name="Normal 9 3 2 2 2 3 3 2" xfId="14170" xr:uid="{D40FFFB1-F125-4498-8F24-67074C65C2F5}"/>
    <cellStyle name="Normal 9 3 2 2 2 3 4" xfId="9952" xr:uid="{2E2198B6-0BC1-43CA-90A4-7CA403CC00D8}"/>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41F82B48-ACE9-43A3-9197-885C9F54B05F}"/>
    <cellStyle name="Normal 9 3 2 2 2 4 2 3" xfId="12510" xr:uid="{C1AC0DE2-4FE6-42E1-B8E0-C0B0DDBF1E27}"/>
    <cellStyle name="Normal 9 3 2 2 2 4 3" xfId="6133" xr:uid="{00000000-0005-0000-0000-0000B81F0000}"/>
    <cellStyle name="Normal 9 3 2 2 2 4 3 2" xfId="14583" xr:uid="{27177152-F22E-4EC6-B09C-0CA6E2ED50E5}"/>
    <cellStyle name="Normal 9 3 2 2 2 4 4" xfId="10365" xr:uid="{2CB6D821-0AB4-4776-B2D3-8E077A25C7D2}"/>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1145BCCF-316A-46EE-A18B-B9B967F88D18}"/>
    <cellStyle name="Normal 9 3 2 2 2 5 2 3" xfId="12923" xr:uid="{DBEBDD2B-2726-4A12-826B-276858D23C76}"/>
    <cellStyle name="Normal 9 3 2 2 2 5 3" xfId="6546" xr:uid="{00000000-0005-0000-0000-0000BC1F0000}"/>
    <cellStyle name="Normal 9 3 2 2 2 5 3 2" xfId="14996" xr:uid="{3511BA36-7C3F-4D6E-9DE7-2D6BD7D2BAB5}"/>
    <cellStyle name="Normal 9 3 2 2 2 5 4" xfId="10778" xr:uid="{DBD944DE-1C6E-4327-B82E-C0532E3D5FE1}"/>
    <cellStyle name="Normal 9 3 2 2 2 6" xfId="2676" xr:uid="{00000000-0005-0000-0000-0000BD1F0000}"/>
    <cellStyle name="Normal 9 3 2 2 2 6 2" xfId="6959" xr:uid="{00000000-0005-0000-0000-0000BE1F0000}"/>
    <cellStyle name="Normal 9 3 2 2 2 6 2 2" xfId="15409" xr:uid="{69FB3FF9-1C8F-4310-9B6F-9A1732ED56BF}"/>
    <cellStyle name="Normal 9 3 2 2 2 6 3" xfId="11191" xr:uid="{E016A3FC-5BFF-4E55-B2A2-427E314BF54B}"/>
    <cellStyle name="Normal 9 3 2 2 2 7" xfId="4894" xr:uid="{00000000-0005-0000-0000-0000BF1F0000}"/>
    <cellStyle name="Normal 9 3 2 2 2 7 2" xfId="13344" xr:uid="{02D374BE-B689-4B62-9552-259B064B7D5A}"/>
    <cellStyle name="Normal 9 3 2 2 2 8" xfId="9126" xr:uid="{8CA3B1C4-64C3-4CFA-A202-448794EF5659}"/>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5B526DB0-8449-4CEE-9A35-ED5295D47533}"/>
    <cellStyle name="Normal 9 3 2 2 3 2 3" xfId="11683" xr:uid="{970B8EC9-1EF7-4EBA-AD43-8F9210E4EB82}"/>
    <cellStyle name="Normal 9 3 2 2 3 3" xfId="5306" xr:uid="{00000000-0005-0000-0000-0000C31F0000}"/>
    <cellStyle name="Normal 9 3 2 2 3 3 2" xfId="13756" xr:uid="{C6F4FEC8-3680-4397-8284-F8392A655416}"/>
    <cellStyle name="Normal 9 3 2 2 3 4" xfId="9538" xr:uid="{4E92C7E7-129D-4FF7-B432-08802326B5FF}"/>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316A96D3-2ECD-417B-85CA-3A1756A0350C}"/>
    <cellStyle name="Normal 9 3 2 2 4 2 3" xfId="12096" xr:uid="{230918A8-497F-4AB1-9131-325F688A43E5}"/>
    <cellStyle name="Normal 9 3 2 2 4 3" xfId="5719" xr:uid="{00000000-0005-0000-0000-0000C71F0000}"/>
    <cellStyle name="Normal 9 3 2 2 4 3 2" xfId="14169" xr:uid="{9C45A229-BD60-4E94-B358-1D3DE9CEBEFD}"/>
    <cellStyle name="Normal 9 3 2 2 4 4" xfId="9951" xr:uid="{7C248F4D-7BF7-48AF-A6C5-97781C30F824}"/>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43D6BBCC-EC8D-4EAF-B3FB-41E24DEB44CE}"/>
    <cellStyle name="Normal 9 3 2 2 5 2 3" xfId="12509" xr:uid="{5D924310-7EBD-49A1-A0DA-A58674103B2F}"/>
    <cellStyle name="Normal 9 3 2 2 5 3" xfId="6132" xr:uid="{00000000-0005-0000-0000-0000CB1F0000}"/>
    <cellStyle name="Normal 9 3 2 2 5 3 2" xfId="14582" xr:uid="{673BE211-79FD-4759-BC72-107FB0995D05}"/>
    <cellStyle name="Normal 9 3 2 2 5 4" xfId="10364" xr:uid="{A62DD594-EE35-41C4-B45B-3197E1C2DD2D}"/>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A42C88F2-0306-4127-B6A4-137E4822C4AA}"/>
    <cellStyle name="Normal 9 3 2 2 6 2 3" xfId="12922" xr:uid="{22782447-F409-4676-ACF9-7A3DD116C1C7}"/>
    <cellStyle name="Normal 9 3 2 2 6 3" xfId="6545" xr:uid="{00000000-0005-0000-0000-0000CF1F0000}"/>
    <cellStyle name="Normal 9 3 2 2 6 3 2" xfId="14995" xr:uid="{6CF73807-52FD-43F3-AD40-1F033054958D}"/>
    <cellStyle name="Normal 9 3 2 2 6 4" xfId="10777" xr:uid="{ACA67CE3-3EE1-4F77-8FE1-3C1C61F50E57}"/>
    <cellStyle name="Normal 9 3 2 2 7" xfId="2675" xr:uid="{00000000-0005-0000-0000-0000D01F0000}"/>
    <cellStyle name="Normal 9 3 2 2 7 2" xfId="6958" xr:uid="{00000000-0005-0000-0000-0000D11F0000}"/>
    <cellStyle name="Normal 9 3 2 2 7 2 2" xfId="15408" xr:uid="{6D1B34F7-76B5-4F16-87D2-F9B8191AB157}"/>
    <cellStyle name="Normal 9 3 2 2 7 3" xfId="11190" xr:uid="{31B41A6B-46F8-4823-9BF8-F0420236799E}"/>
    <cellStyle name="Normal 9 3 2 2 8" xfId="4893" xr:uid="{00000000-0005-0000-0000-0000D21F0000}"/>
    <cellStyle name="Normal 9 3 2 2 8 2" xfId="13343" xr:uid="{4155458E-0E41-487B-94C7-326203B093BA}"/>
    <cellStyle name="Normal 9 3 2 2 9" xfId="9125" xr:uid="{D26CBCAF-F79C-4F17-8C2D-A4FE9826D374}"/>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48973229-BC2D-4237-B7AE-F8E00641EAE6}"/>
    <cellStyle name="Normal 9 3 2 3 2 2 3" xfId="11685" xr:uid="{1B97B335-0AE9-4F42-AC2B-FF63AC8A11D7}"/>
    <cellStyle name="Normal 9 3 2 3 2 3" xfId="5308" xr:uid="{00000000-0005-0000-0000-0000D71F0000}"/>
    <cellStyle name="Normal 9 3 2 3 2 3 2" xfId="13758" xr:uid="{EB72BFEA-BF81-4EB3-B76D-05D4C8331553}"/>
    <cellStyle name="Normal 9 3 2 3 2 4" xfId="9540" xr:uid="{D3A4F1E9-1B1E-4387-9140-6137820EED65}"/>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84089DCE-FD39-4D4D-A51E-F494BEC9000A}"/>
    <cellStyle name="Normal 9 3 2 3 3 2 3" xfId="12098" xr:uid="{09C0CF02-805C-4C05-B812-EB0F4966918E}"/>
    <cellStyle name="Normal 9 3 2 3 3 3" xfId="5721" xr:uid="{00000000-0005-0000-0000-0000DB1F0000}"/>
    <cellStyle name="Normal 9 3 2 3 3 3 2" xfId="14171" xr:uid="{6A783416-2157-43A9-81F3-30B19D2AAFC9}"/>
    <cellStyle name="Normal 9 3 2 3 3 4" xfId="9953" xr:uid="{34FFF03D-3C02-4538-A9EA-633BF5F4FDDC}"/>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9526AE54-F38B-4BA6-A80B-B7730A836D31}"/>
    <cellStyle name="Normal 9 3 2 3 4 2 3" xfId="12511" xr:uid="{7C24387C-F016-4BDB-A54E-C1B2A785A3D0}"/>
    <cellStyle name="Normal 9 3 2 3 4 3" xfId="6134" xr:uid="{00000000-0005-0000-0000-0000DF1F0000}"/>
    <cellStyle name="Normal 9 3 2 3 4 3 2" xfId="14584" xr:uid="{E77EBA79-9C45-41EB-90CC-300469F734C6}"/>
    <cellStyle name="Normal 9 3 2 3 4 4" xfId="10366" xr:uid="{EAF7F401-4024-4E5F-A8DD-BCE315DFAFB5}"/>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2A1240F8-F26E-4E45-9334-5783FC1CA170}"/>
    <cellStyle name="Normal 9 3 2 3 5 2 3" xfId="12924" xr:uid="{C9F1B0A9-435B-4019-B454-8DA8FF77327D}"/>
    <cellStyle name="Normal 9 3 2 3 5 3" xfId="6547" xr:uid="{00000000-0005-0000-0000-0000E31F0000}"/>
    <cellStyle name="Normal 9 3 2 3 5 3 2" xfId="14997" xr:uid="{99109E85-6F22-468C-BB4F-1EB66401D56B}"/>
    <cellStyle name="Normal 9 3 2 3 5 4" xfId="10779" xr:uid="{450588A8-1FD4-4617-A2CE-FA50647FA115}"/>
    <cellStyle name="Normal 9 3 2 3 6" xfId="2677" xr:uid="{00000000-0005-0000-0000-0000E41F0000}"/>
    <cellStyle name="Normal 9 3 2 3 6 2" xfId="6960" xr:uid="{00000000-0005-0000-0000-0000E51F0000}"/>
    <cellStyle name="Normal 9 3 2 3 6 2 2" xfId="15410" xr:uid="{718DFC82-5E96-43A1-91EE-2AFEB4C36A7B}"/>
    <cellStyle name="Normal 9 3 2 3 6 3" xfId="11192" xr:uid="{C1DE4630-4E78-4BD2-AD33-7EEA745963EB}"/>
    <cellStyle name="Normal 9 3 2 3 7" xfId="4895" xr:uid="{00000000-0005-0000-0000-0000E61F0000}"/>
    <cellStyle name="Normal 9 3 2 3 7 2" xfId="13345" xr:uid="{A7298378-2E26-456E-A7EE-DA4125A6AD10}"/>
    <cellStyle name="Normal 9 3 2 3 8" xfId="9127" xr:uid="{8D360B5B-59E0-4598-A47E-7E11360F3C1B}"/>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E11A15F4-7944-4D57-BD89-4B779E180D7F}"/>
    <cellStyle name="Normal 9 3 2 4 2 3" xfId="11682" xr:uid="{B4659189-6C84-428A-8402-DE0963A5C02D}"/>
    <cellStyle name="Normal 9 3 2 4 3" xfId="5305" xr:uid="{00000000-0005-0000-0000-0000EA1F0000}"/>
    <cellStyle name="Normal 9 3 2 4 3 2" xfId="13755" xr:uid="{29685F7D-6F2A-4514-AE31-28E52EFDB4A5}"/>
    <cellStyle name="Normal 9 3 2 4 4" xfId="9537" xr:uid="{4DEC0F45-B632-422B-8F40-9E6ACCC23C9B}"/>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D95180A6-99B8-49AA-BCFE-AA2018BCD54A}"/>
    <cellStyle name="Normal 9 3 2 5 2 3" xfId="12095" xr:uid="{3E97E2F2-560E-4390-8CDE-60005DB7856D}"/>
    <cellStyle name="Normal 9 3 2 5 3" xfId="5718" xr:uid="{00000000-0005-0000-0000-0000EE1F0000}"/>
    <cellStyle name="Normal 9 3 2 5 3 2" xfId="14168" xr:uid="{6F8D36BD-D305-45EF-A225-D18B3A6E5D0A}"/>
    <cellStyle name="Normal 9 3 2 5 4" xfId="9950" xr:uid="{D51384A8-E6E2-44C6-8C4A-58A7EF104172}"/>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3615D855-0A7E-4334-A2BD-A0DF260D4811}"/>
    <cellStyle name="Normal 9 3 2 6 2 3" xfId="12508" xr:uid="{53E2283B-FF0B-429C-BBE3-E4EA57232EAF}"/>
    <cellStyle name="Normal 9 3 2 6 3" xfId="6131" xr:uid="{00000000-0005-0000-0000-0000F21F0000}"/>
    <cellStyle name="Normal 9 3 2 6 3 2" xfId="14581" xr:uid="{F15BD69E-2AF5-4E4E-A21E-3ADC49DAEE3B}"/>
    <cellStyle name="Normal 9 3 2 6 4" xfId="10363" xr:uid="{8F78FBEE-8A19-4002-921B-356716052F24}"/>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BB287799-859C-491C-89A9-94F274134D2C}"/>
    <cellStyle name="Normal 9 3 2 7 2 3" xfId="12921" xr:uid="{0E54B224-BBC7-48D2-AD3B-A7E4A51C2CE3}"/>
    <cellStyle name="Normal 9 3 2 7 3" xfId="6544" xr:uid="{00000000-0005-0000-0000-0000F61F0000}"/>
    <cellStyle name="Normal 9 3 2 7 3 2" xfId="14994" xr:uid="{DF9AC0BC-FE45-44E8-8A80-CF0D4C9E2E27}"/>
    <cellStyle name="Normal 9 3 2 7 4" xfId="10776" xr:uid="{A4E63958-A6F3-44AC-9DB8-FEDFA8BBEE63}"/>
    <cellStyle name="Normal 9 3 2 8" xfId="2674" xr:uid="{00000000-0005-0000-0000-0000F71F0000}"/>
    <cellStyle name="Normal 9 3 2 8 2" xfId="6957" xr:uid="{00000000-0005-0000-0000-0000F81F0000}"/>
    <cellStyle name="Normal 9 3 2 8 2 2" xfId="15407" xr:uid="{8282C36E-CF2A-4495-967B-5137B921EFBC}"/>
    <cellStyle name="Normal 9 3 2 8 3" xfId="11189" xr:uid="{CF1B4382-B80A-4FFE-9971-897CA87A5732}"/>
    <cellStyle name="Normal 9 3 2 9" xfId="4892" xr:uid="{00000000-0005-0000-0000-0000F91F0000}"/>
    <cellStyle name="Normal 9 3 2 9 2" xfId="13342" xr:uid="{8FF08FE0-518E-425B-ADE2-D8AD745E5FD1}"/>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18502208-E762-48DA-BBBD-5B287CA0842C}"/>
    <cellStyle name="Normal 9 3 3 2 2 2 3" xfId="11687" xr:uid="{F5840BDD-48CC-4447-91B0-E727D8790A28}"/>
    <cellStyle name="Normal 9 3 3 2 2 3" xfId="5310" xr:uid="{00000000-0005-0000-0000-0000FF1F0000}"/>
    <cellStyle name="Normal 9 3 3 2 2 3 2" xfId="13760" xr:uid="{F369DE6C-F820-4ECE-A91C-633370B1736C}"/>
    <cellStyle name="Normal 9 3 3 2 2 4" xfId="9542" xr:uid="{6862E713-29B2-487A-AA99-8D6E49067CAA}"/>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9EFB615F-CD09-47FA-8CCD-746BE2C9B5FD}"/>
    <cellStyle name="Normal 9 3 3 2 3 2 3" xfId="12100" xr:uid="{F7D8D3FE-6584-49FE-B5C0-0B2D566F5BA5}"/>
    <cellStyle name="Normal 9 3 3 2 3 3" xfId="5723" xr:uid="{00000000-0005-0000-0000-000003200000}"/>
    <cellStyle name="Normal 9 3 3 2 3 3 2" xfId="14173" xr:uid="{A60358CB-7940-4901-9FF3-68E4B89D341C}"/>
    <cellStyle name="Normal 9 3 3 2 3 4" xfId="9955" xr:uid="{4EEB30D9-AE55-48BA-B626-322E1F6ABA1F}"/>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FA95C03F-36ED-4E09-A96B-5C61ED43F7C4}"/>
    <cellStyle name="Normal 9 3 3 2 4 2 3" xfId="12513" xr:uid="{09DA8774-8860-4699-912D-C39A64BB8E95}"/>
    <cellStyle name="Normal 9 3 3 2 4 3" xfId="6136" xr:uid="{00000000-0005-0000-0000-000007200000}"/>
    <cellStyle name="Normal 9 3 3 2 4 3 2" xfId="14586" xr:uid="{380A4A81-9B6C-49D6-AFA7-95DBC67A7AAA}"/>
    <cellStyle name="Normal 9 3 3 2 4 4" xfId="10368" xr:uid="{39E20DDC-0047-48E8-AEA0-1AACD69EE75D}"/>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8E96FB2E-E256-4321-8CEE-D5EE61EDE7D3}"/>
    <cellStyle name="Normal 9 3 3 2 5 2 3" xfId="12926" xr:uid="{E6452660-0EF3-42F6-B2AD-FD6802BFA92B}"/>
    <cellStyle name="Normal 9 3 3 2 5 3" xfId="6549" xr:uid="{00000000-0005-0000-0000-00000B200000}"/>
    <cellStyle name="Normal 9 3 3 2 5 3 2" xfId="14999" xr:uid="{43C627F7-599C-4A35-9897-F54B3E4DE599}"/>
    <cellStyle name="Normal 9 3 3 2 5 4" xfId="10781" xr:uid="{DC5C6E9E-71A2-4141-B135-978E66451AEA}"/>
    <cellStyle name="Normal 9 3 3 2 6" xfId="2679" xr:uid="{00000000-0005-0000-0000-00000C200000}"/>
    <cellStyle name="Normal 9 3 3 2 6 2" xfId="6962" xr:uid="{00000000-0005-0000-0000-00000D200000}"/>
    <cellStyle name="Normal 9 3 3 2 6 2 2" xfId="15412" xr:uid="{A0E1AFA5-87B7-4891-9341-13061C50CF7C}"/>
    <cellStyle name="Normal 9 3 3 2 6 3" xfId="11194" xr:uid="{3F5D7159-EA0C-4750-A38E-C0549888751B}"/>
    <cellStyle name="Normal 9 3 3 2 7" xfId="4897" xr:uid="{00000000-0005-0000-0000-00000E200000}"/>
    <cellStyle name="Normal 9 3 3 2 7 2" xfId="13347" xr:uid="{5D97037B-8B49-4BFE-B9D2-DA07935DA880}"/>
    <cellStyle name="Normal 9 3 3 2 8" xfId="9129" xr:uid="{26030367-0CFD-4425-9678-43F739AADC90}"/>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CED0917E-9009-43C6-8CCD-7DFB05641545}"/>
    <cellStyle name="Normal 9 3 3 3 2 3" xfId="11686" xr:uid="{06204308-50B6-40E5-A891-1F69E99F5998}"/>
    <cellStyle name="Normal 9 3 3 3 3" xfId="5309" xr:uid="{00000000-0005-0000-0000-000012200000}"/>
    <cellStyle name="Normal 9 3 3 3 3 2" xfId="13759" xr:uid="{CB7AA640-9755-4BFA-8FA6-B65CDEC38FE0}"/>
    <cellStyle name="Normal 9 3 3 3 4" xfId="9541" xr:uid="{EC0B5254-F0CC-4598-9AAA-C0BF647EEF6F}"/>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4D04124E-3B35-436E-9B13-ADD2B302E777}"/>
    <cellStyle name="Normal 9 3 3 4 2 3" xfId="12099" xr:uid="{AC350099-2F53-4AD8-A332-CF4A4CAD2805}"/>
    <cellStyle name="Normal 9 3 3 4 3" xfId="5722" xr:uid="{00000000-0005-0000-0000-000016200000}"/>
    <cellStyle name="Normal 9 3 3 4 3 2" xfId="14172" xr:uid="{6A1BF5C1-BC48-4951-9CB7-60DE99B5DAC5}"/>
    <cellStyle name="Normal 9 3 3 4 4" xfId="9954" xr:uid="{21800250-19C5-4CD7-8312-6BB2894F418A}"/>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4E4495C8-B5D0-4022-AC8D-104A2DEF2D86}"/>
    <cellStyle name="Normal 9 3 3 5 2 3" xfId="12512" xr:uid="{901E29DC-5251-4C63-BA49-89783975BE2E}"/>
    <cellStyle name="Normal 9 3 3 5 3" xfId="6135" xr:uid="{00000000-0005-0000-0000-00001A200000}"/>
    <cellStyle name="Normal 9 3 3 5 3 2" xfId="14585" xr:uid="{1BB859C2-3C48-4BC9-860D-E3730ECEFE21}"/>
    <cellStyle name="Normal 9 3 3 5 4" xfId="10367" xr:uid="{F6A10E67-8FCF-4B1A-87F5-AE7F4C1BF463}"/>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F07063B5-DD12-420F-B526-DCE7B4F993BF}"/>
    <cellStyle name="Normal 9 3 3 6 2 3" xfId="12925" xr:uid="{86D7256B-0EB3-4549-98D2-CA7C9AD44CA4}"/>
    <cellStyle name="Normal 9 3 3 6 3" xfId="6548" xr:uid="{00000000-0005-0000-0000-00001E200000}"/>
    <cellStyle name="Normal 9 3 3 6 3 2" xfId="14998" xr:uid="{F3118FBC-BDDA-4848-9A4D-9717B3914B2E}"/>
    <cellStyle name="Normal 9 3 3 6 4" xfId="10780" xr:uid="{3832D054-3F09-45EA-970D-2B7367C17921}"/>
    <cellStyle name="Normal 9 3 3 7" xfId="2678" xr:uid="{00000000-0005-0000-0000-00001F200000}"/>
    <cellStyle name="Normal 9 3 3 7 2" xfId="6961" xr:uid="{00000000-0005-0000-0000-000020200000}"/>
    <cellStyle name="Normal 9 3 3 7 2 2" xfId="15411" xr:uid="{F6BBF4C7-7B45-47F2-9419-D0F0D4A204EF}"/>
    <cellStyle name="Normal 9 3 3 7 3" xfId="11193" xr:uid="{C9530211-E450-471E-A911-A79A5D3AF5B8}"/>
    <cellStyle name="Normal 9 3 3 8" xfId="4896" xr:uid="{00000000-0005-0000-0000-000021200000}"/>
    <cellStyle name="Normal 9 3 3 8 2" xfId="13346" xr:uid="{5B9BC741-9173-4125-8C49-DEC54AEA883A}"/>
    <cellStyle name="Normal 9 3 3 9" xfId="9128" xr:uid="{F89D7320-4CF7-4AB8-B5F5-F3AA7E68EC91}"/>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54E97EF4-E903-436E-9851-F59356AF7A64}"/>
    <cellStyle name="Normal 9 3 4 2 2 3" xfId="11688" xr:uid="{5FCB9D0E-D57B-46E4-B8AD-62F030F42610}"/>
    <cellStyle name="Normal 9 3 4 2 3" xfId="5311" xr:uid="{00000000-0005-0000-0000-000026200000}"/>
    <cellStyle name="Normal 9 3 4 2 3 2" xfId="13761" xr:uid="{8A748609-B1AF-4B5C-B7CA-C294BAC2766B}"/>
    <cellStyle name="Normal 9 3 4 2 4" xfId="9543" xr:uid="{8A8B6467-CB79-4808-87A3-2FFAC46346BE}"/>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5DBFF4B7-8E88-4E51-882D-F5457DFDB829}"/>
    <cellStyle name="Normal 9 3 4 3 2 3" xfId="12101" xr:uid="{A191994E-35CF-4165-8E3A-85581391C971}"/>
    <cellStyle name="Normal 9 3 4 3 3" xfId="5724" xr:uid="{00000000-0005-0000-0000-00002A200000}"/>
    <cellStyle name="Normal 9 3 4 3 3 2" xfId="14174" xr:uid="{6DDCD13F-5FD4-4525-8765-37FDAA883B61}"/>
    <cellStyle name="Normal 9 3 4 3 4" xfId="9956" xr:uid="{BC243C81-B14F-4AA7-A28C-F8E472037123}"/>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4E2628ED-E5DC-4990-AB28-47430CB4C314}"/>
    <cellStyle name="Normal 9 3 4 4 2 3" xfId="12514" xr:uid="{904309F3-FA50-4A34-9C01-C725BE60F750}"/>
    <cellStyle name="Normal 9 3 4 4 3" xfId="6137" xr:uid="{00000000-0005-0000-0000-00002E200000}"/>
    <cellStyle name="Normal 9 3 4 4 3 2" xfId="14587" xr:uid="{88141D92-3AEE-4241-8AB0-AF1A84E0FE4B}"/>
    <cellStyle name="Normal 9 3 4 4 4" xfId="10369" xr:uid="{F507F394-D215-414C-88EB-DCA5D7ED8272}"/>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61DC1ABA-85BB-44E3-BA22-998B739B5BFC}"/>
    <cellStyle name="Normal 9 3 4 5 2 3" xfId="12927" xr:uid="{09BAB584-6E2E-4383-9C6D-9A42230FCD6C}"/>
    <cellStyle name="Normal 9 3 4 5 3" xfId="6550" xr:uid="{00000000-0005-0000-0000-000032200000}"/>
    <cellStyle name="Normal 9 3 4 5 3 2" xfId="15000" xr:uid="{66D92D84-8F36-4DDB-B680-B763C32E1613}"/>
    <cellStyle name="Normal 9 3 4 5 4" xfId="10782" xr:uid="{4C38BFE3-60A9-435E-8216-0704AD7108DB}"/>
    <cellStyle name="Normal 9 3 4 6" xfId="2680" xr:uid="{00000000-0005-0000-0000-000033200000}"/>
    <cellStyle name="Normal 9 3 4 6 2" xfId="6963" xr:uid="{00000000-0005-0000-0000-000034200000}"/>
    <cellStyle name="Normal 9 3 4 6 2 2" xfId="15413" xr:uid="{EA866FD6-D087-44BE-A492-71F5E353A69D}"/>
    <cellStyle name="Normal 9 3 4 6 3" xfId="11195" xr:uid="{B29D6FEE-6976-4561-952E-6ACB67FD084F}"/>
    <cellStyle name="Normal 9 3 4 7" xfId="4898" xr:uid="{00000000-0005-0000-0000-000035200000}"/>
    <cellStyle name="Normal 9 3 4 7 2" xfId="13348" xr:uid="{84A3AF35-D81B-479E-93DB-2C947E2AE8BD}"/>
    <cellStyle name="Normal 9 3 4 8" xfId="9130" xr:uid="{62AA598D-5AEE-4C0E-B2FA-16F7B95F92D1}"/>
    <cellStyle name="Normal 9 3 5" xfId="994" xr:uid="{00000000-0005-0000-0000-000036200000}"/>
    <cellStyle name="Normal 9 3 5 2" xfId="3227" xr:uid="{00000000-0005-0000-0000-000037200000}"/>
    <cellStyle name="Normal 9 3 5 2 2" xfId="7449" xr:uid="{00000000-0005-0000-0000-000038200000}"/>
    <cellStyle name="Normal 9 3 5 2 2 2" xfId="15899" xr:uid="{4FB78432-F4A2-4859-9345-B4DDB49DC4B4}"/>
    <cellStyle name="Normal 9 3 5 2 3" xfId="11681" xr:uid="{61B61C8C-29F2-42C5-BAF1-84956986558C}"/>
    <cellStyle name="Normal 9 3 5 3" xfId="5304" xr:uid="{00000000-0005-0000-0000-000039200000}"/>
    <cellStyle name="Normal 9 3 5 3 2" xfId="13754" xr:uid="{276B3829-FF61-44BF-96B8-CA642A104A53}"/>
    <cellStyle name="Normal 9 3 5 4" xfId="9536" xr:uid="{133EB8BB-2517-4912-B6E0-8200A58CAB5C}"/>
    <cellStyle name="Normal 9 3 6" xfId="1410" xr:uid="{00000000-0005-0000-0000-00003A200000}"/>
    <cellStyle name="Normal 9 3 6 2" xfId="3640" xr:uid="{00000000-0005-0000-0000-00003B200000}"/>
    <cellStyle name="Normal 9 3 6 2 2" xfId="7862" xr:uid="{00000000-0005-0000-0000-00003C200000}"/>
    <cellStyle name="Normal 9 3 6 2 2 2" xfId="16312" xr:uid="{8310A762-D4E8-4C12-B338-8B6EF957DAA0}"/>
    <cellStyle name="Normal 9 3 6 2 3" xfId="12094" xr:uid="{B9F0F36F-F549-47CD-8B91-8F81CD658AA8}"/>
    <cellStyle name="Normal 9 3 6 3" xfId="5717" xr:uid="{00000000-0005-0000-0000-00003D200000}"/>
    <cellStyle name="Normal 9 3 6 3 2" xfId="14167" xr:uid="{7D7D70EF-97D0-45F3-8A1E-0677E408F5B1}"/>
    <cellStyle name="Normal 9 3 6 4" xfId="9949" xr:uid="{827F8EB2-F467-4193-9D32-91C92D744F8D}"/>
    <cellStyle name="Normal 9 3 7" xfId="1823" xr:uid="{00000000-0005-0000-0000-00003E200000}"/>
    <cellStyle name="Normal 9 3 7 2" xfId="4053" xr:uid="{00000000-0005-0000-0000-00003F200000}"/>
    <cellStyle name="Normal 9 3 7 2 2" xfId="8275" xr:uid="{00000000-0005-0000-0000-000040200000}"/>
    <cellStyle name="Normal 9 3 7 2 2 2" xfId="16725" xr:uid="{BB8D5DDD-A9BD-4F83-8254-E313182C957A}"/>
    <cellStyle name="Normal 9 3 7 2 3" xfId="12507" xr:uid="{2BBD2993-4929-4A69-90A7-186C2754ADEE}"/>
    <cellStyle name="Normal 9 3 7 3" xfId="6130" xr:uid="{00000000-0005-0000-0000-000041200000}"/>
    <cellStyle name="Normal 9 3 7 3 2" xfId="14580" xr:uid="{EB3509CB-0832-4E22-8E9C-2355CE030590}"/>
    <cellStyle name="Normal 9 3 7 4" xfId="10362" xr:uid="{1079E3C2-3CDA-422A-B662-5846B11C5BFB}"/>
    <cellStyle name="Normal 9 3 8" xfId="2237" xr:uid="{00000000-0005-0000-0000-000042200000}"/>
    <cellStyle name="Normal 9 3 8 2" xfId="4466" xr:uid="{00000000-0005-0000-0000-000043200000}"/>
    <cellStyle name="Normal 9 3 8 2 2" xfId="8688" xr:uid="{00000000-0005-0000-0000-000044200000}"/>
    <cellStyle name="Normal 9 3 8 2 2 2" xfId="17138" xr:uid="{BB0C8C36-C532-429E-8E37-F3AB8A21ED38}"/>
    <cellStyle name="Normal 9 3 8 2 3" xfId="12920" xr:uid="{D3DE3BCD-0DA9-4F88-B65A-E6E5A3A94F62}"/>
    <cellStyle name="Normal 9 3 8 3" xfId="6543" xr:uid="{00000000-0005-0000-0000-000045200000}"/>
    <cellStyle name="Normal 9 3 8 3 2" xfId="14993" xr:uid="{BD3E42C3-7B09-4F53-988A-139639C93190}"/>
    <cellStyle name="Normal 9 3 8 4" xfId="10775" xr:uid="{628521D4-8959-4D02-AF31-30A201047B0B}"/>
    <cellStyle name="Normal 9 3 9" xfId="2673" xr:uid="{00000000-0005-0000-0000-000046200000}"/>
    <cellStyle name="Normal 9 3 9 2" xfId="6956" xr:uid="{00000000-0005-0000-0000-000047200000}"/>
    <cellStyle name="Normal 9 3 9 2 2" xfId="15406" xr:uid="{4ED4625E-9090-4B70-A704-94584AC69EF4}"/>
    <cellStyle name="Normal 9 3 9 3" xfId="11188" xr:uid="{31D89529-D462-421F-B697-8A8BEE0248FB}"/>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BB3C1114-AEC4-4964-B1E7-9A684BBB5EC7}"/>
    <cellStyle name="Normal 9 5 2 2 2 3" xfId="11690" xr:uid="{F8E1349F-CE4B-4660-B2F2-0FF965609CCB}"/>
    <cellStyle name="Normal 9 5 2 2 3" xfId="5313" xr:uid="{00000000-0005-0000-0000-00004F200000}"/>
    <cellStyle name="Normal 9 5 2 2 3 2" xfId="13763" xr:uid="{6E5EE2D4-F6DD-400E-9190-42ACE9ADE829}"/>
    <cellStyle name="Normal 9 5 2 2 4" xfId="9545" xr:uid="{C4660B4F-710C-4891-A7AC-AF037B0017D5}"/>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3824DCC7-719A-42AA-9DEA-151F61BC5266}"/>
    <cellStyle name="Normal 9 5 2 3 2 3" xfId="12103" xr:uid="{30CF8F12-A698-4926-85F7-E7D129EE46F4}"/>
    <cellStyle name="Normal 9 5 2 3 3" xfId="5726" xr:uid="{00000000-0005-0000-0000-000053200000}"/>
    <cellStyle name="Normal 9 5 2 3 3 2" xfId="14176" xr:uid="{54CF3EE0-2B5F-4C03-93BC-CF371CB74177}"/>
    <cellStyle name="Normal 9 5 2 3 4" xfId="9958" xr:uid="{A1F698FE-7D95-46DC-A8AD-3306466D3B7C}"/>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68571556-74CB-431E-AE5C-973C1F31E556}"/>
    <cellStyle name="Normal 9 5 2 4 2 3" xfId="12516" xr:uid="{2554B706-19BA-489F-B303-A85C741CC7BD}"/>
    <cellStyle name="Normal 9 5 2 4 3" xfId="6139" xr:uid="{00000000-0005-0000-0000-000057200000}"/>
    <cellStyle name="Normal 9 5 2 4 3 2" xfId="14589" xr:uid="{EAE513D5-3B18-4FC1-892B-FA46054A14A9}"/>
    <cellStyle name="Normal 9 5 2 4 4" xfId="10371" xr:uid="{08CB8D32-1316-4C50-A146-99BF54D93610}"/>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0A760CB1-C475-4A32-8927-E488119CFCBA}"/>
    <cellStyle name="Normal 9 5 2 5 2 3" xfId="12929" xr:uid="{8FDB002D-F36E-4CC9-AD55-A10327232AFA}"/>
    <cellStyle name="Normal 9 5 2 5 3" xfId="6552" xr:uid="{00000000-0005-0000-0000-00005B200000}"/>
    <cellStyle name="Normal 9 5 2 5 3 2" xfId="15002" xr:uid="{B22131E9-60AA-4E84-AC47-CEE81BDB0C91}"/>
    <cellStyle name="Normal 9 5 2 5 4" xfId="10784" xr:uid="{B09B7AC3-7682-46A8-8899-C6426F4FB3D3}"/>
    <cellStyle name="Normal 9 5 2 6" xfId="2682" xr:uid="{00000000-0005-0000-0000-00005C200000}"/>
    <cellStyle name="Normal 9 5 2 6 2" xfId="6965" xr:uid="{00000000-0005-0000-0000-00005D200000}"/>
    <cellStyle name="Normal 9 5 2 6 2 2" xfId="15415" xr:uid="{E006936E-F495-4935-B747-ECDEA2D3FAB3}"/>
    <cellStyle name="Normal 9 5 2 6 3" xfId="11197" xr:uid="{154BFE4C-4397-4485-9CF7-826D2664F870}"/>
    <cellStyle name="Normal 9 5 2 7" xfId="4900" xr:uid="{00000000-0005-0000-0000-00005E200000}"/>
    <cellStyle name="Normal 9 5 2 7 2" xfId="13350" xr:uid="{34ED93EA-2BE5-4C33-91F7-056AB7332A50}"/>
    <cellStyle name="Normal 9 5 2 8" xfId="9132" xr:uid="{402CFA4C-68A0-4A97-AEA7-6042083FF2C0}"/>
    <cellStyle name="Normal 9 5 3" xfId="1003" xr:uid="{00000000-0005-0000-0000-00005F200000}"/>
    <cellStyle name="Normal 9 5 3 2" xfId="3235" xr:uid="{00000000-0005-0000-0000-000060200000}"/>
    <cellStyle name="Normal 9 5 3 2 2" xfId="7457" xr:uid="{00000000-0005-0000-0000-000061200000}"/>
    <cellStyle name="Normal 9 5 3 2 2 2" xfId="15907" xr:uid="{3AE02D12-5236-4288-B8B6-A35EC4FDC60D}"/>
    <cellStyle name="Normal 9 5 3 2 3" xfId="11689" xr:uid="{60360236-35F1-4454-80A7-FFC223350422}"/>
    <cellStyle name="Normal 9 5 3 3" xfId="5312" xr:uid="{00000000-0005-0000-0000-000062200000}"/>
    <cellStyle name="Normal 9 5 3 3 2" xfId="13762" xr:uid="{398A0F9B-2507-41EA-8862-9062ADB150A1}"/>
    <cellStyle name="Normal 9 5 3 4" xfId="9544" xr:uid="{CE515CF8-5177-403F-A3E1-EE566F5CC7A3}"/>
    <cellStyle name="Normal 9 5 4" xfId="1418" xr:uid="{00000000-0005-0000-0000-000063200000}"/>
    <cellStyle name="Normal 9 5 4 2" xfId="3648" xr:uid="{00000000-0005-0000-0000-000064200000}"/>
    <cellStyle name="Normal 9 5 4 2 2" xfId="7870" xr:uid="{00000000-0005-0000-0000-000065200000}"/>
    <cellStyle name="Normal 9 5 4 2 2 2" xfId="16320" xr:uid="{4C81C31F-54D9-4A09-81DB-A87A7DF671E1}"/>
    <cellStyle name="Normal 9 5 4 2 3" xfId="12102" xr:uid="{901AEE7B-DD0A-40E7-8378-F55E3F3FBB8C}"/>
    <cellStyle name="Normal 9 5 4 3" xfId="5725" xr:uid="{00000000-0005-0000-0000-000066200000}"/>
    <cellStyle name="Normal 9 5 4 3 2" xfId="14175" xr:uid="{5CFB25DE-EDB6-4070-A33B-BECF4ECE04DB}"/>
    <cellStyle name="Normal 9 5 4 4" xfId="9957" xr:uid="{B957AB0F-E583-41B7-AD70-9642BAA57CBC}"/>
    <cellStyle name="Normal 9 5 5" xfId="1831" xr:uid="{00000000-0005-0000-0000-000067200000}"/>
    <cellStyle name="Normal 9 5 5 2" xfId="4061" xr:uid="{00000000-0005-0000-0000-000068200000}"/>
    <cellStyle name="Normal 9 5 5 2 2" xfId="8283" xr:uid="{00000000-0005-0000-0000-000069200000}"/>
    <cellStyle name="Normal 9 5 5 2 2 2" xfId="16733" xr:uid="{16DA856B-22D0-46EE-BB69-EA3185E3772A}"/>
    <cellStyle name="Normal 9 5 5 2 3" xfId="12515" xr:uid="{449BA9EC-1E63-482A-8E9C-45322934A5D8}"/>
    <cellStyle name="Normal 9 5 5 3" xfId="6138" xr:uid="{00000000-0005-0000-0000-00006A200000}"/>
    <cellStyle name="Normal 9 5 5 3 2" xfId="14588" xr:uid="{E302AF52-D223-4AB7-A4D8-517FD6C293A7}"/>
    <cellStyle name="Normal 9 5 5 4" xfId="10370" xr:uid="{3CCCFF50-F6E6-421F-AA75-64E71A1CF16D}"/>
    <cellStyle name="Normal 9 5 6" xfId="2245" xr:uid="{00000000-0005-0000-0000-00006B200000}"/>
    <cellStyle name="Normal 9 5 6 2" xfId="4474" xr:uid="{00000000-0005-0000-0000-00006C200000}"/>
    <cellStyle name="Normal 9 5 6 2 2" xfId="8696" xr:uid="{00000000-0005-0000-0000-00006D200000}"/>
    <cellStyle name="Normal 9 5 6 2 2 2" xfId="17146" xr:uid="{99ACA241-45B5-4FEF-90EB-1DE8896B90D7}"/>
    <cellStyle name="Normal 9 5 6 2 3" xfId="12928" xr:uid="{73B0075C-96C0-4B26-A37B-87B46A8FF40E}"/>
    <cellStyle name="Normal 9 5 6 3" xfId="6551" xr:uid="{00000000-0005-0000-0000-00006E200000}"/>
    <cellStyle name="Normal 9 5 6 3 2" xfId="15001" xr:uid="{32CEC880-FF1A-4637-9A35-CA031DB9789C}"/>
    <cellStyle name="Normal 9 5 6 4" xfId="10783" xr:uid="{D8282AC9-7529-42B7-A236-02A04161986F}"/>
    <cellStyle name="Normal 9 5 7" xfId="2681" xr:uid="{00000000-0005-0000-0000-00006F200000}"/>
    <cellStyle name="Normal 9 5 7 2" xfId="6964" xr:uid="{00000000-0005-0000-0000-000070200000}"/>
    <cellStyle name="Normal 9 5 7 2 2" xfId="15414" xr:uid="{AF3936B9-0747-4B7C-89A4-B7B057297F5D}"/>
    <cellStyle name="Normal 9 5 7 3" xfId="11196" xr:uid="{1CBA2B03-3264-47BD-923B-7CF3C8142868}"/>
    <cellStyle name="Normal 9 5 8" xfId="4899" xr:uid="{00000000-0005-0000-0000-000071200000}"/>
    <cellStyle name="Normal 9 5 8 2" xfId="13349" xr:uid="{B272ECEF-D553-41C4-AC8D-3EFB98C225F0}"/>
    <cellStyle name="Normal 9 5 9" xfId="9131" xr:uid="{C5B6252D-2FE5-44CC-97C4-78FBD4969356}"/>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FF8AFB8A-EF59-46FD-A97D-80FEF5ACD922}"/>
    <cellStyle name="Normal 9 6 2 2 3" xfId="11691" xr:uid="{B893C528-7BFC-4AE9-AB8F-5592B3673BA6}"/>
    <cellStyle name="Normal 9 6 2 3" xfId="5314" xr:uid="{00000000-0005-0000-0000-000076200000}"/>
    <cellStyle name="Normal 9 6 2 3 2" xfId="13764" xr:uid="{D17EAE25-459F-4876-92CF-EC2E65CAE592}"/>
    <cellStyle name="Normal 9 6 2 4" xfId="9546" xr:uid="{E82AD8FB-B8C1-4EB6-96EA-72DD746CAB3A}"/>
    <cellStyle name="Normal 9 6 3" xfId="1420" xr:uid="{00000000-0005-0000-0000-000077200000}"/>
    <cellStyle name="Normal 9 6 3 2" xfId="3650" xr:uid="{00000000-0005-0000-0000-000078200000}"/>
    <cellStyle name="Normal 9 6 3 2 2" xfId="7872" xr:uid="{00000000-0005-0000-0000-000079200000}"/>
    <cellStyle name="Normal 9 6 3 2 2 2" xfId="16322" xr:uid="{E36B7B22-8CCA-496D-B41E-BBF250828E38}"/>
    <cellStyle name="Normal 9 6 3 2 3" xfId="12104" xr:uid="{BCDBB8C2-9050-4A82-B498-FA2C7FC09887}"/>
    <cellStyle name="Normal 9 6 3 3" xfId="5727" xr:uid="{00000000-0005-0000-0000-00007A200000}"/>
    <cellStyle name="Normal 9 6 3 3 2" xfId="14177" xr:uid="{983F5093-D63C-4E71-8D30-E90AA4E4C1C7}"/>
    <cellStyle name="Normal 9 6 3 4" xfId="9959" xr:uid="{A90C63C7-D8B9-417F-BA63-92B7C393877D}"/>
    <cellStyle name="Normal 9 6 4" xfId="1833" xr:uid="{00000000-0005-0000-0000-00007B200000}"/>
    <cellStyle name="Normal 9 6 4 2" xfId="4063" xr:uid="{00000000-0005-0000-0000-00007C200000}"/>
    <cellStyle name="Normal 9 6 4 2 2" xfId="8285" xr:uid="{00000000-0005-0000-0000-00007D200000}"/>
    <cellStyle name="Normal 9 6 4 2 2 2" xfId="16735" xr:uid="{68A412EF-ACE0-4AC0-BD91-49101D568D6A}"/>
    <cellStyle name="Normal 9 6 4 2 3" xfId="12517" xr:uid="{6C229CA7-D20F-4305-8281-920A240F0A24}"/>
    <cellStyle name="Normal 9 6 4 3" xfId="6140" xr:uid="{00000000-0005-0000-0000-00007E200000}"/>
    <cellStyle name="Normal 9 6 4 3 2" xfId="14590" xr:uid="{A7AC0E91-38BC-44E5-8A5E-BB7DA9DB624E}"/>
    <cellStyle name="Normal 9 6 4 4" xfId="10372" xr:uid="{44BB3B9F-76F3-4044-83A9-2A59E9EED81A}"/>
    <cellStyle name="Normal 9 6 5" xfId="2247" xr:uid="{00000000-0005-0000-0000-00007F200000}"/>
    <cellStyle name="Normal 9 6 5 2" xfId="4476" xr:uid="{00000000-0005-0000-0000-000080200000}"/>
    <cellStyle name="Normal 9 6 5 2 2" xfId="8698" xr:uid="{00000000-0005-0000-0000-000081200000}"/>
    <cellStyle name="Normal 9 6 5 2 2 2" xfId="17148" xr:uid="{BE6EF10E-2CF3-4BB6-B67C-BCC055DF6A17}"/>
    <cellStyle name="Normal 9 6 5 2 3" xfId="12930" xr:uid="{92DC869B-6032-4A79-A3DC-C8A798063570}"/>
    <cellStyle name="Normal 9 6 5 3" xfId="6553" xr:uid="{00000000-0005-0000-0000-000082200000}"/>
    <cellStyle name="Normal 9 6 5 3 2" xfId="15003" xr:uid="{F00DAC83-DE78-47C4-A500-D741A6E463F3}"/>
    <cellStyle name="Normal 9 6 5 4" xfId="10785" xr:uid="{63E8AF14-36A0-4472-95F0-A902C0BC1C80}"/>
    <cellStyle name="Normal 9 6 6" xfId="2683" xr:uid="{00000000-0005-0000-0000-000083200000}"/>
    <cellStyle name="Normal 9 6 6 2" xfId="6966" xr:uid="{00000000-0005-0000-0000-000084200000}"/>
    <cellStyle name="Normal 9 6 6 2 2" xfId="15416" xr:uid="{CC0BC1A0-F9CB-402C-B527-0BA57FA87735}"/>
    <cellStyle name="Normal 9 6 6 3" xfId="11198" xr:uid="{E7FCC117-3469-425B-8321-A17999159633}"/>
    <cellStyle name="Normal 9 6 7" xfId="4901" xr:uid="{00000000-0005-0000-0000-000085200000}"/>
    <cellStyle name="Normal 9 6 7 2" xfId="13351" xr:uid="{FC0D6D1F-E065-4046-8523-3CCE3DC85351}"/>
    <cellStyle name="Normal 9 6 8" xfId="9133" xr:uid="{F6D6A540-5E06-4478-A8AE-931788A8BBF2}"/>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82D284D8-C8E7-403C-ACE8-0DC69AB6F2C3}"/>
    <cellStyle name="Note 2 2 10 3" xfId="11279" xr:uid="{14808178-9C5F-4CA6-9813-E72F0E8C5FCD}"/>
    <cellStyle name="Note 2 2 11" xfId="4902" xr:uid="{00000000-0005-0000-0000-000094200000}"/>
    <cellStyle name="Note 2 2 11 2" xfId="13352" xr:uid="{B78E1F0A-1107-46CE-AC87-58681D977511}"/>
    <cellStyle name="Note 2 2 12" xfId="9134" xr:uid="{C11241CF-81ED-4999-94FA-8100FB451B8D}"/>
    <cellStyle name="Note 2 2 2" xfId="546" xr:uid="{00000000-0005-0000-0000-000095200000}"/>
    <cellStyle name="Note 2 2 2 10" xfId="4903" xr:uid="{00000000-0005-0000-0000-000096200000}"/>
    <cellStyle name="Note 2 2 2 10 2" xfId="13353" xr:uid="{065E2C0D-1137-43C8-B72B-55D2926623D1}"/>
    <cellStyle name="Note 2 2 2 11" xfId="9135" xr:uid="{7627CD35-2FC5-4318-A0A1-811D628AFCB8}"/>
    <cellStyle name="Note 2 2 2 2" xfId="547" xr:uid="{00000000-0005-0000-0000-000097200000}"/>
    <cellStyle name="Note 2 2 2 2 10" xfId="9136" xr:uid="{8A0CC890-5988-4CB2-B60A-1214468D389B}"/>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F1EE92FA-41D3-4F5A-BF37-1EFC44FB1571}"/>
    <cellStyle name="Note 2 2 2 2 2 2 3" xfId="11694" xr:uid="{5AA8CFFC-B131-4BB8-B6CE-D45E8C2EFAC5}"/>
    <cellStyle name="Note 2 2 2 2 2 3" xfId="5317" xr:uid="{00000000-0005-0000-0000-00009B200000}"/>
    <cellStyle name="Note 2 2 2 2 2 3 2" xfId="13767" xr:uid="{F871DB62-EFCD-44A3-A017-47E76E83995A}"/>
    <cellStyle name="Note 2 2 2 2 2 4" xfId="9549" xr:uid="{F06F0C4D-8FCE-49F8-A86B-3242763EFCB1}"/>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676DA7B5-D09F-43E3-9CB6-5E9A4A12AF71}"/>
    <cellStyle name="Note 2 2 2 2 3 2 3" xfId="12107" xr:uid="{00BF2906-1246-4C8D-8A8F-422665350FD3}"/>
    <cellStyle name="Note 2 2 2 2 3 3" xfId="5730" xr:uid="{00000000-0005-0000-0000-00009F200000}"/>
    <cellStyle name="Note 2 2 2 2 3 3 2" xfId="14180" xr:uid="{624C3CE0-FE1D-4EC8-81B1-8F89334EFA8E}"/>
    <cellStyle name="Note 2 2 2 2 3 4" xfId="9962" xr:uid="{82347C1F-B719-4C8A-84BE-9D5228DD2E1E}"/>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9221970F-B8C8-41F4-BE24-CF05DD7152FF}"/>
    <cellStyle name="Note 2 2 2 2 4 2 3" xfId="12520" xr:uid="{CAEDD5AC-AF0F-4105-AD67-253A7F97A8BE}"/>
    <cellStyle name="Note 2 2 2 2 4 3" xfId="6143" xr:uid="{00000000-0005-0000-0000-0000A3200000}"/>
    <cellStyle name="Note 2 2 2 2 4 3 2" xfId="14593" xr:uid="{254DB9D2-74A1-437D-AF6B-B13FC875B367}"/>
    <cellStyle name="Note 2 2 2 2 4 4" xfId="10375" xr:uid="{C55D5D2A-8921-4EC0-A1DA-245760121699}"/>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A669B74B-DFAC-4ACB-94E3-AC5336DACC79}"/>
    <cellStyle name="Note 2 2 2 2 5 2 3" xfId="12933" xr:uid="{068C87D7-6BA8-4527-86CD-B28787D262C8}"/>
    <cellStyle name="Note 2 2 2 2 5 3" xfId="6556" xr:uid="{00000000-0005-0000-0000-0000A7200000}"/>
    <cellStyle name="Note 2 2 2 2 5 3 2" xfId="15006" xr:uid="{5B2369F3-7CA0-4A56-B8B3-9ECEF1AD1399}"/>
    <cellStyle name="Note 2 2 2 2 5 4" xfId="10788" xr:uid="{F4065507-03F2-4FF7-AAA4-6BA2B063C2FE}"/>
    <cellStyle name="Note 2 2 2 2 6" xfId="2686" xr:uid="{00000000-0005-0000-0000-0000A8200000}"/>
    <cellStyle name="Note 2 2 2 2 6 2" xfId="6969" xr:uid="{00000000-0005-0000-0000-0000A9200000}"/>
    <cellStyle name="Note 2 2 2 2 6 2 2" xfId="15419" xr:uid="{643C12B4-8C93-46D2-BF9D-01595DF99346}"/>
    <cellStyle name="Note 2 2 2 2 6 3" xfId="11201" xr:uid="{877B6FD4-6ADA-427D-97AD-8963603210CF}"/>
    <cellStyle name="Note 2 2 2 2 7" xfId="2745" xr:uid="{00000000-0005-0000-0000-0000AA200000}"/>
    <cellStyle name="Note 2 2 2 2 8" xfId="2826" xr:uid="{00000000-0005-0000-0000-0000AB200000}"/>
    <cellStyle name="Note 2 2 2 2 8 2" xfId="7049" xr:uid="{00000000-0005-0000-0000-0000AC200000}"/>
    <cellStyle name="Note 2 2 2 2 8 2 2" xfId="15499" xr:uid="{7D0903FC-5C42-4616-BF37-F8570D438C17}"/>
    <cellStyle name="Note 2 2 2 2 8 3" xfId="11281" xr:uid="{846CC060-4DEA-4A99-BD01-01C5E6A7CD54}"/>
    <cellStyle name="Note 2 2 2 2 9" xfId="4904" xr:uid="{00000000-0005-0000-0000-0000AD200000}"/>
    <cellStyle name="Note 2 2 2 2 9 2" xfId="13354" xr:uid="{D081CAC7-2620-4A27-B43C-F282D7D38906}"/>
    <cellStyle name="Note 2 2 2 3" xfId="1007" xr:uid="{00000000-0005-0000-0000-0000AE200000}"/>
    <cellStyle name="Note 2 2 2 3 2" xfId="3239" xr:uid="{00000000-0005-0000-0000-0000AF200000}"/>
    <cellStyle name="Note 2 2 2 3 2 2" xfId="7461" xr:uid="{00000000-0005-0000-0000-0000B0200000}"/>
    <cellStyle name="Note 2 2 2 3 2 2 2" xfId="15911" xr:uid="{4DEC8DA9-C777-46C1-97DF-603F5B761ABD}"/>
    <cellStyle name="Note 2 2 2 3 2 3" xfId="11693" xr:uid="{870A8901-9C5B-4168-9971-300F56384152}"/>
    <cellStyle name="Note 2 2 2 3 3" xfId="5316" xr:uid="{00000000-0005-0000-0000-0000B1200000}"/>
    <cellStyle name="Note 2 2 2 3 3 2" xfId="13766" xr:uid="{8EA43DC4-636F-4D88-8557-B1E7E43F5D51}"/>
    <cellStyle name="Note 2 2 2 3 4" xfId="9548" xr:uid="{EF5886F8-B16D-42D2-8A9B-246A74F1F526}"/>
    <cellStyle name="Note 2 2 2 4" xfId="1422" xr:uid="{00000000-0005-0000-0000-0000B2200000}"/>
    <cellStyle name="Note 2 2 2 4 2" xfId="3652" xr:uid="{00000000-0005-0000-0000-0000B3200000}"/>
    <cellStyle name="Note 2 2 2 4 2 2" xfId="7874" xr:uid="{00000000-0005-0000-0000-0000B4200000}"/>
    <cellStyle name="Note 2 2 2 4 2 2 2" xfId="16324" xr:uid="{B0A1BB70-ACA7-410C-9F10-617129668A58}"/>
    <cellStyle name="Note 2 2 2 4 2 3" xfId="12106" xr:uid="{F00A99C1-AB2F-43BC-ACE4-8C8F89AB8590}"/>
    <cellStyle name="Note 2 2 2 4 3" xfId="5729" xr:uid="{00000000-0005-0000-0000-0000B5200000}"/>
    <cellStyle name="Note 2 2 2 4 3 2" xfId="14179" xr:uid="{A79F1735-4E58-4C1C-8F1F-89B3DC05D932}"/>
    <cellStyle name="Note 2 2 2 4 4" xfId="9961" xr:uid="{A5454ECA-5F39-4C69-8428-960DD54D972A}"/>
    <cellStyle name="Note 2 2 2 5" xfId="1836" xr:uid="{00000000-0005-0000-0000-0000B6200000}"/>
    <cellStyle name="Note 2 2 2 5 2" xfId="4065" xr:uid="{00000000-0005-0000-0000-0000B7200000}"/>
    <cellStyle name="Note 2 2 2 5 2 2" xfId="8287" xr:uid="{00000000-0005-0000-0000-0000B8200000}"/>
    <cellStyle name="Note 2 2 2 5 2 2 2" xfId="16737" xr:uid="{69D620F0-1726-404C-9D84-C51EE06CC75D}"/>
    <cellStyle name="Note 2 2 2 5 2 3" xfId="12519" xr:uid="{425B0A51-E538-4843-9073-8B21737896EA}"/>
    <cellStyle name="Note 2 2 2 5 3" xfId="6142" xr:uid="{00000000-0005-0000-0000-0000B9200000}"/>
    <cellStyle name="Note 2 2 2 5 3 2" xfId="14592" xr:uid="{878A5C3D-622C-4B01-A274-1F1BA12B7FAF}"/>
    <cellStyle name="Note 2 2 2 5 4" xfId="10374" xr:uid="{F4FBE976-EA40-4BC2-8C89-BF05ED459835}"/>
    <cellStyle name="Note 2 2 2 6" xfId="2249" xr:uid="{00000000-0005-0000-0000-0000BA200000}"/>
    <cellStyle name="Note 2 2 2 6 2" xfId="4478" xr:uid="{00000000-0005-0000-0000-0000BB200000}"/>
    <cellStyle name="Note 2 2 2 6 2 2" xfId="8700" xr:uid="{00000000-0005-0000-0000-0000BC200000}"/>
    <cellStyle name="Note 2 2 2 6 2 2 2" xfId="17150" xr:uid="{8B0BA546-4B2D-4B0B-9041-4E3B6776F8CA}"/>
    <cellStyle name="Note 2 2 2 6 2 3" xfId="12932" xr:uid="{B89D9AB8-F8A9-43C3-85FB-D9137AAC0DF0}"/>
    <cellStyle name="Note 2 2 2 6 3" xfId="6555" xr:uid="{00000000-0005-0000-0000-0000BD200000}"/>
    <cellStyle name="Note 2 2 2 6 3 2" xfId="15005" xr:uid="{3708D0A4-05DD-447D-9B58-C8C1EFDEA2CF}"/>
    <cellStyle name="Note 2 2 2 6 4" xfId="10787" xr:uid="{B4607BB5-A3B3-4B66-8BFD-1DC59EC139B1}"/>
    <cellStyle name="Note 2 2 2 7" xfId="2685" xr:uid="{00000000-0005-0000-0000-0000BE200000}"/>
    <cellStyle name="Note 2 2 2 7 2" xfId="6968" xr:uid="{00000000-0005-0000-0000-0000BF200000}"/>
    <cellStyle name="Note 2 2 2 7 2 2" xfId="15418" xr:uid="{0B616673-7CE0-4930-9C22-9B5FC38EB474}"/>
    <cellStyle name="Note 2 2 2 7 3" xfId="11200" xr:uid="{AECDCB1D-A73A-45FE-AA00-4142CD6AEC6C}"/>
    <cellStyle name="Note 2 2 2 8" xfId="2744" xr:uid="{00000000-0005-0000-0000-0000C0200000}"/>
    <cellStyle name="Note 2 2 2 9" xfId="2825" xr:uid="{00000000-0005-0000-0000-0000C1200000}"/>
    <cellStyle name="Note 2 2 2 9 2" xfId="7048" xr:uid="{00000000-0005-0000-0000-0000C2200000}"/>
    <cellStyle name="Note 2 2 2 9 2 2" xfId="15498" xr:uid="{9A9BA986-7D4F-438C-B76D-A5368084028F}"/>
    <cellStyle name="Note 2 2 2 9 3" xfId="11280" xr:uid="{C9233284-C8B4-4654-A6E7-5C01AEEA5CD1}"/>
    <cellStyle name="Note 2 2 3" xfId="548" xr:uid="{00000000-0005-0000-0000-0000C3200000}"/>
    <cellStyle name="Note 2 2 3 10" xfId="9137" xr:uid="{E5CDC039-92D6-4826-AB8A-995DD6146109}"/>
    <cellStyle name="Note 2 2 3 2" xfId="1009" xr:uid="{00000000-0005-0000-0000-0000C4200000}"/>
    <cellStyle name="Note 2 2 3 2 2" xfId="3241" xr:uid="{00000000-0005-0000-0000-0000C5200000}"/>
    <cellStyle name="Note 2 2 3 2 2 2" xfId="7463" xr:uid="{00000000-0005-0000-0000-0000C6200000}"/>
    <cellStyle name="Note 2 2 3 2 2 2 2" xfId="15913" xr:uid="{7644381C-0E2C-4D4B-AA34-07AF7E2AF7A7}"/>
    <cellStyle name="Note 2 2 3 2 2 3" xfId="11695" xr:uid="{67584060-0439-466D-B1C9-E278C85F13A3}"/>
    <cellStyle name="Note 2 2 3 2 3" xfId="5318" xr:uid="{00000000-0005-0000-0000-0000C7200000}"/>
    <cellStyle name="Note 2 2 3 2 3 2" xfId="13768" xr:uid="{4545A78E-D360-4C6B-9B1E-0490080DF425}"/>
    <cellStyle name="Note 2 2 3 2 4" xfId="9550" xr:uid="{92E11D75-27E9-409E-BDC6-E07EECE4AC58}"/>
    <cellStyle name="Note 2 2 3 3" xfId="1424" xr:uid="{00000000-0005-0000-0000-0000C8200000}"/>
    <cellStyle name="Note 2 2 3 3 2" xfId="3654" xr:uid="{00000000-0005-0000-0000-0000C9200000}"/>
    <cellStyle name="Note 2 2 3 3 2 2" xfId="7876" xr:uid="{00000000-0005-0000-0000-0000CA200000}"/>
    <cellStyle name="Note 2 2 3 3 2 2 2" xfId="16326" xr:uid="{A00B4B72-558A-4D41-B07C-CCE1800D363D}"/>
    <cellStyle name="Note 2 2 3 3 2 3" xfId="12108" xr:uid="{536FA2D3-EFF3-4F34-8587-8B1568CE3118}"/>
    <cellStyle name="Note 2 2 3 3 3" xfId="5731" xr:uid="{00000000-0005-0000-0000-0000CB200000}"/>
    <cellStyle name="Note 2 2 3 3 3 2" xfId="14181" xr:uid="{AEC1FD62-DB45-4779-902F-11D3AD8CECD5}"/>
    <cellStyle name="Note 2 2 3 3 4" xfId="9963" xr:uid="{C886C939-B640-4297-93C2-8CD4C11207C3}"/>
    <cellStyle name="Note 2 2 3 4" xfId="1838" xr:uid="{00000000-0005-0000-0000-0000CC200000}"/>
    <cellStyle name="Note 2 2 3 4 2" xfId="4067" xr:uid="{00000000-0005-0000-0000-0000CD200000}"/>
    <cellStyle name="Note 2 2 3 4 2 2" xfId="8289" xr:uid="{00000000-0005-0000-0000-0000CE200000}"/>
    <cellStyle name="Note 2 2 3 4 2 2 2" xfId="16739" xr:uid="{A83BA18A-5DAE-4822-B94C-88C3808BE939}"/>
    <cellStyle name="Note 2 2 3 4 2 3" xfId="12521" xr:uid="{4361863B-BBAA-484E-AEFC-473D48626DEC}"/>
    <cellStyle name="Note 2 2 3 4 3" xfId="6144" xr:uid="{00000000-0005-0000-0000-0000CF200000}"/>
    <cellStyle name="Note 2 2 3 4 3 2" xfId="14594" xr:uid="{B9C6CE70-E879-4A9C-82F5-424C2CC1D6B3}"/>
    <cellStyle name="Note 2 2 3 4 4" xfId="10376" xr:uid="{921B4A1A-9419-4373-BFFC-1F202DA2B917}"/>
    <cellStyle name="Note 2 2 3 5" xfId="2251" xr:uid="{00000000-0005-0000-0000-0000D0200000}"/>
    <cellStyle name="Note 2 2 3 5 2" xfId="4480" xr:uid="{00000000-0005-0000-0000-0000D1200000}"/>
    <cellStyle name="Note 2 2 3 5 2 2" xfId="8702" xr:uid="{00000000-0005-0000-0000-0000D2200000}"/>
    <cellStyle name="Note 2 2 3 5 2 2 2" xfId="17152" xr:uid="{E62C145A-41BB-4945-9827-3C29564BF95E}"/>
    <cellStyle name="Note 2 2 3 5 2 3" xfId="12934" xr:uid="{989A15E8-7B07-47B2-B681-5DF1D6F3BF81}"/>
    <cellStyle name="Note 2 2 3 5 3" xfId="6557" xr:uid="{00000000-0005-0000-0000-0000D3200000}"/>
    <cellStyle name="Note 2 2 3 5 3 2" xfId="15007" xr:uid="{561172BC-0BE3-4F2E-9EEC-735BF0DA20DC}"/>
    <cellStyle name="Note 2 2 3 5 4" xfId="10789" xr:uid="{433D41D1-55CF-4AC3-82BA-21914E2CDF73}"/>
    <cellStyle name="Note 2 2 3 6" xfId="2687" xr:uid="{00000000-0005-0000-0000-0000D4200000}"/>
    <cellStyle name="Note 2 2 3 6 2" xfId="6970" xr:uid="{00000000-0005-0000-0000-0000D5200000}"/>
    <cellStyle name="Note 2 2 3 6 2 2" xfId="15420" xr:uid="{D143E146-44A1-4A35-8035-D1355BFA632E}"/>
    <cellStyle name="Note 2 2 3 6 3" xfId="11202" xr:uid="{B8A0D47C-7B70-4EDC-A331-07282A1ADA0B}"/>
    <cellStyle name="Note 2 2 3 7" xfId="2746" xr:uid="{00000000-0005-0000-0000-0000D6200000}"/>
    <cellStyle name="Note 2 2 3 8" xfId="2827" xr:uid="{00000000-0005-0000-0000-0000D7200000}"/>
    <cellStyle name="Note 2 2 3 8 2" xfId="7050" xr:uid="{00000000-0005-0000-0000-0000D8200000}"/>
    <cellStyle name="Note 2 2 3 8 2 2" xfId="15500" xr:uid="{9519855C-0550-489F-B264-AF2782565D5C}"/>
    <cellStyle name="Note 2 2 3 8 3" xfId="11282" xr:uid="{45DFD303-4520-4237-8FC5-075879287D45}"/>
    <cellStyle name="Note 2 2 3 9" xfId="4905" xr:uid="{00000000-0005-0000-0000-0000D9200000}"/>
    <cellStyle name="Note 2 2 3 9 2" xfId="13355" xr:uid="{66DBF0B5-A11C-41A1-A56A-15E4CB5399B2}"/>
    <cellStyle name="Note 2 2 4" xfId="1006" xr:uid="{00000000-0005-0000-0000-0000DA200000}"/>
    <cellStyle name="Note 2 2 4 2" xfId="3238" xr:uid="{00000000-0005-0000-0000-0000DB200000}"/>
    <cellStyle name="Note 2 2 4 2 2" xfId="7460" xr:uid="{00000000-0005-0000-0000-0000DC200000}"/>
    <cellStyle name="Note 2 2 4 2 2 2" xfId="15910" xr:uid="{745B48D4-F651-436A-B997-402D921AF209}"/>
    <cellStyle name="Note 2 2 4 2 3" xfId="11692" xr:uid="{BBB8685D-DE39-4831-BBDE-33DAC9CFF78E}"/>
    <cellStyle name="Note 2 2 4 3" xfId="5315" xr:uid="{00000000-0005-0000-0000-0000DD200000}"/>
    <cellStyle name="Note 2 2 4 3 2" xfId="13765" xr:uid="{DDE5F6F8-1734-4BCA-AD95-369D8653C14B}"/>
    <cellStyle name="Note 2 2 4 4" xfId="9547" xr:uid="{7DEF7689-7AA5-46F2-A926-D5FC5EB47B3F}"/>
    <cellStyle name="Note 2 2 5" xfId="1421" xr:uid="{00000000-0005-0000-0000-0000DE200000}"/>
    <cellStyle name="Note 2 2 5 2" xfId="3651" xr:uid="{00000000-0005-0000-0000-0000DF200000}"/>
    <cellStyle name="Note 2 2 5 2 2" xfId="7873" xr:uid="{00000000-0005-0000-0000-0000E0200000}"/>
    <cellStyle name="Note 2 2 5 2 2 2" xfId="16323" xr:uid="{D69F5518-086A-469A-8F03-2918B58D8303}"/>
    <cellStyle name="Note 2 2 5 2 3" xfId="12105" xr:uid="{9089538D-C11F-42A8-927A-F54A5EDFB92F}"/>
    <cellStyle name="Note 2 2 5 3" xfId="5728" xr:uid="{00000000-0005-0000-0000-0000E1200000}"/>
    <cellStyle name="Note 2 2 5 3 2" xfId="14178" xr:uid="{3616192D-4E1B-40CB-8686-3B4F57F649C9}"/>
    <cellStyle name="Note 2 2 5 4" xfId="9960" xr:uid="{55B87636-E7F6-40A6-84E6-00AEB03BD2D1}"/>
    <cellStyle name="Note 2 2 6" xfId="1835" xr:uid="{00000000-0005-0000-0000-0000E2200000}"/>
    <cellStyle name="Note 2 2 6 2" xfId="4064" xr:uid="{00000000-0005-0000-0000-0000E3200000}"/>
    <cellStyle name="Note 2 2 6 2 2" xfId="8286" xr:uid="{00000000-0005-0000-0000-0000E4200000}"/>
    <cellStyle name="Note 2 2 6 2 2 2" xfId="16736" xr:uid="{5418BD44-9EFE-4287-A6FF-C9FA542259C8}"/>
    <cellStyle name="Note 2 2 6 2 3" xfId="12518" xr:uid="{9440F4E8-0845-4740-8815-517D037231CA}"/>
    <cellStyle name="Note 2 2 6 3" xfId="6141" xr:uid="{00000000-0005-0000-0000-0000E5200000}"/>
    <cellStyle name="Note 2 2 6 3 2" xfId="14591" xr:uid="{46AF99D2-5420-4A38-818F-04A1F7B170D9}"/>
    <cellStyle name="Note 2 2 6 4" xfId="10373" xr:uid="{2C3A9416-38B4-4573-A0EF-F07405206314}"/>
    <cellStyle name="Note 2 2 7" xfId="2248" xr:uid="{00000000-0005-0000-0000-0000E6200000}"/>
    <cellStyle name="Note 2 2 7 2" xfId="4477" xr:uid="{00000000-0005-0000-0000-0000E7200000}"/>
    <cellStyle name="Note 2 2 7 2 2" xfId="8699" xr:uid="{00000000-0005-0000-0000-0000E8200000}"/>
    <cellStyle name="Note 2 2 7 2 2 2" xfId="17149" xr:uid="{BD29883C-A198-44D9-B39A-BFDD9075CB2A}"/>
    <cellStyle name="Note 2 2 7 2 3" xfId="12931" xr:uid="{15FD8141-8E51-43CC-B359-D4659CA21D73}"/>
    <cellStyle name="Note 2 2 7 3" xfId="6554" xr:uid="{00000000-0005-0000-0000-0000E9200000}"/>
    <cellStyle name="Note 2 2 7 3 2" xfId="15004" xr:uid="{ABF49514-4032-4987-B20F-D979B3742D07}"/>
    <cellStyle name="Note 2 2 7 4" xfId="10786" xr:uid="{92CCE90C-B216-479F-A320-AE307660DAE6}"/>
    <cellStyle name="Note 2 2 8" xfId="2684" xr:uid="{00000000-0005-0000-0000-0000EA200000}"/>
    <cellStyle name="Note 2 2 8 2" xfId="6967" xr:uid="{00000000-0005-0000-0000-0000EB200000}"/>
    <cellStyle name="Note 2 2 8 2 2" xfId="15417" xr:uid="{2B63442E-B4EE-4072-B640-F9D9F37E1E96}"/>
    <cellStyle name="Note 2 2 8 3" xfId="11199" xr:uid="{7464E8E2-E3A6-4EB0-9C71-0E473E32FD7D}"/>
    <cellStyle name="Note 2 2 9" xfId="2743" xr:uid="{00000000-0005-0000-0000-0000EC200000}"/>
    <cellStyle name="Note 2 3" xfId="549" xr:uid="{00000000-0005-0000-0000-0000ED200000}"/>
    <cellStyle name="Note 2 3 10" xfId="4906" xr:uid="{00000000-0005-0000-0000-0000EE200000}"/>
    <cellStyle name="Note 2 3 10 2" xfId="13356" xr:uid="{199CA8EF-89A2-4677-AD98-690C378089FA}"/>
    <cellStyle name="Note 2 3 11" xfId="9138" xr:uid="{6EF29398-7FC4-40BD-90F6-5DB86E0FAF1F}"/>
    <cellStyle name="Note 2 3 2" xfId="550" xr:uid="{00000000-0005-0000-0000-0000EF200000}"/>
    <cellStyle name="Note 2 3 2 10" xfId="9139" xr:uid="{DD8283EC-6FE5-4303-A15F-51AC494CE317}"/>
    <cellStyle name="Note 2 3 2 2" xfId="1011" xr:uid="{00000000-0005-0000-0000-0000F0200000}"/>
    <cellStyle name="Note 2 3 2 2 2" xfId="3243" xr:uid="{00000000-0005-0000-0000-0000F1200000}"/>
    <cellStyle name="Note 2 3 2 2 2 2" xfId="7465" xr:uid="{00000000-0005-0000-0000-0000F2200000}"/>
    <cellStyle name="Note 2 3 2 2 2 2 2" xfId="15915" xr:uid="{C0E78481-85E7-4F37-931B-A55846D84C86}"/>
    <cellStyle name="Note 2 3 2 2 2 3" xfId="11697" xr:uid="{16AEE850-D05F-426D-83DD-956E242E10AA}"/>
    <cellStyle name="Note 2 3 2 2 3" xfId="5320" xr:uid="{00000000-0005-0000-0000-0000F3200000}"/>
    <cellStyle name="Note 2 3 2 2 3 2" xfId="13770" xr:uid="{083E0C4B-EDF9-4D0E-B2C7-6A6E1C6943D9}"/>
    <cellStyle name="Note 2 3 2 2 4" xfId="9552" xr:uid="{B5581C7D-28B8-4315-A761-1068D9968F26}"/>
    <cellStyle name="Note 2 3 2 3" xfId="1426" xr:uid="{00000000-0005-0000-0000-0000F4200000}"/>
    <cellStyle name="Note 2 3 2 3 2" xfId="3656" xr:uid="{00000000-0005-0000-0000-0000F5200000}"/>
    <cellStyle name="Note 2 3 2 3 2 2" xfId="7878" xr:uid="{00000000-0005-0000-0000-0000F6200000}"/>
    <cellStyle name="Note 2 3 2 3 2 2 2" xfId="16328" xr:uid="{81598AC7-0785-416A-98D6-E6BD624B2D5C}"/>
    <cellStyle name="Note 2 3 2 3 2 3" xfId="12110" xr:uid="{82C29F2F-9230-4158-B319-735BB2F9EC36}"/>
    <cellStyle name="Note 2 3 2 3 3" xfId="5733" xr:uid="{00000000-0005-0000-0000-0000F7200000}"/>
    <cellStyle name="Note 2 3 2 3 3 2" xfId="14183" xr:uid="{516DD9F4-DCE3-4A0F-923F-CE27C929B57E}"/>
    <cellStyle name="Note 2 3 2 3 4" xfId="9965" xr:uid="{0F4913F1-EEF3-430C-8846-6EE754547AD2}"/>
    <cellStyle name="Note 2 3 2 4" xfId="1840" xr:uid="{00000000-0005-0000-0000-0000F8200000}"/>
    <cellStyle name="Note 2 3 2 4 2" xfId="4069" xr:uid="{00000000-0005-0000-0000-0000F9200000}"/>
    <cellStyle name="Note 2 3 2 4 2 2" xfId="8291" xr:uid="{00000000-0005-0000-0000-0000FA200000}"/>
    <cellStyle name="Note 2 3 2 4 2 2 2" xfId="16741" xr:uid="{BE1E3448-A77D-413A-B9FC-9377D85DF080}"/>
    <cellStyle name="Note 2 3 2 4 2 3" xfId="12523" xr:uid="{016E8D98-C6D9-4BE4-BA06-CD2C2ED5D5E2}"/>
    <cellStyle name="Note 2 3 2 4 3" xfId="6146" xr:uid="{00000000-0005-0000-0000-0000FB200000}"/>
    <cellStyle name="Note 2 3 2 4 3 2" xfId="14596" xr:uid="{6259E430-D423-4062-8678-DE1B671F6F26}"/>
    <cellStyle name="Note 2 3 2 4 4" xfId="10378" xr:uid="{FDB16A18-F806-4467-B701-692E69FFE88D}"/>
    <cellStyle name="Note 2 3 2 5" xfId="2253" xr:uid="{00000000-0005-0000-0000-0000FC200000}"/>
    <cellStyle name="Note 2 3 2 5 2" xfId="4482" xr:uid="{00000000-0005-0000-0000-0000FD200000}"/>
    <cellStyle name="Note 2 3 2 5 2 2" xfId="8704" xr:uid="{00000000-0005-0000-0000-0000FE200000}"/>
    <cellStyle name="Note 2 3 2 5 2 2 2" xfId="17154" xr:uid="{A09EFE58-D58A-41A2-B57E-79C55FCECF82}"/>
    <cellStyle name="Note 2 3 2 5 2 3" xfId="12936" xr:uid="{D9262AFD-EB67-492D-AA2D-04CDBEE30D01}"/>
    <cellStyle name="Note 2 3 2 5 3" xfId="6559" xr:uid="{00000000-0005-0000-0000-0000FF200000}"/>
    <cellStyle name="Note 2 3 2 5 3 2" xfId="15009" xr:uid="{02F3ED70-4889-4415-ABFF-236D079F83D5}"/>
    <cellStyle name="Note 2 3 2 5 4" xfId="10791" xr:uid="{1F3F693C-30AA-43F2-A053-6CF401CD91FD}"/>
    <cellStyle name="Note 2 3 2 6" xfId="2689" xr:uid="{00000000-0005-0000-0000-000000210000}"/>
    <cellStyle name="Note 2 3 2 6 2" xfId="6972" xr:uid="{00000000-0005-0000-0000-000001210000}"/>
    <cellStyle name="Note 2 3 2 6 2 2" xfId="15422" xr:uid="{962DFC0B-1AD4-495B-8E96-7BBDD3A172F5}"/>
    <cellStyle name="Note 2 3 2 6 3" xfId="11204" xr:uid="{13A1C698-4EC7-453F-A9E7-1BD6B83E3211}"/>
    <cellStyle name="Note 2 3 2 7" xfId="2748" xr:uid="{00000000-0005-0000-0000-000002210000}"/>
    <cellStyle name="Note 2 3 2 8" xfId="2829" xr:uid="{00000000-0005-0000-0000-000003210000}"/>
    <cellStyle name="Note 2 3 2 8 2" xfId="7052" xr:uid="{00000000-0005-0000-0000-000004210000}"/>
    <cellStyle name="Note 2 3 2 8 2 2" xfId="15502" xr:uid="{AE42DBCB-0332-48AD-A895-469509AEFF02}"/>
    <cellStyle name="Note 2 3 2 8 3" xfId="11284" xr:uid="{01918DED-20C2-47DB-9AF2-E601669B821A}"/>
    <cellStyle name="Note 2 3 2 9" xfId="4907" xr:uid="{00000000-0005-0000-0000-000005210000}"/>
    <cellStyle name="Note 2 3 2 9 2" xfId="13357" xr:uid="{A5D8124A-4112-4EAA-9AE3-BA181FFE9189}"/>
    <cellStyle name="Note 2 3 3" xfId="1010" xr:uid="{00000000-0005-0000-0000-000006210000}"/>
    <cellStyle name="Note 2 3 3 2" xfId="3242" xr:uid="{00000000-0005-0000-0000-000007210000}"/>
    <cellStyle name="Note 2 3 3 2 2" xfId="7464" xr:uid="{00000000-0005-0000-0000-000008210000}"/>
    <cellStyle name="Note 2 3 3 2 2 2" xfId="15914" xr:uid="{270C6BD6-7FBE-4CEB-9F09-95551A64C147}"/>
    <cellStyle name="Note 2 3 3 2 3" xfId="11696" xr:uid="{1516F8EB-35B8-4D51-BEDD-1B042BAF2385}"/>
    <cellStyle name="Note 2 3 3 3" xfId="5319" xr:uid="{00000000-0005-0000-0000-000009210000}"/>
    <cellStyle name="Note 2 3 3 3 2" xfId="13769" xr:uid="{91F7B6F3-5673-4326-9927-C7455A0B33FC}"/>
    <cellStyle name="Note 2 3 3 4" xfId="9551" xr:uid="{51889C2E-12C8-49E1-8BAE-DB7A69C62F50}"/>
    <cellStyle name="Note 2 3 4" xfId="1425" xr:uid="{00000000-0005-0000-0000-00000A210000}"/>
    <cellStyle name="Note 2 3 4 2" xfId="3655" xr:uid="{00000000-0005-0000-0000-00000B210000}"/>
    <cellStyle name="Note 2 3 4 2 2" xfId="7877" xr:uid="{00000000-0005-0000-0000-00000C210000}"/>
    <cellStyle name="Note 2 3 4 2 2 2" xfId="16327" xr:uid="{63296C37-F079-4418-AB2A-095C85E03B46}"/>
    <cellStyle name="Note 2 3 4 2 3" xfId="12109" xr:uid="{1A636D3B-B511-40E8-A89A-6DC3322C372D}"/>
    <cellStyle name="Note 2 3 4 3" xfId="5732" xr:uid="{00000000-0005-0000-0000-00000D210000}"/>
    <cellStyle name="Note 2 3 4 3 2" xfId="14182" xr:uid="{14CC4D5C-724C-435A-8552-8F9A27B6C3CB}"/>
    <cellStyle name="Note 2 3 4 4" xfId="9964" xr:uid="{1C0BA99E-3748-4BAA-811E-D988D801E521}"/>
    <cellStyle name="Note 2 3 5" xfId="1839" xr:uid="{00000000-0005-0000-0000-00000E210000}"/>
    <cellStyle name="Note 2 3 5 2" xfId="4068" xr:uid="{00000000-0005-0000-0000-00000F210000}"/>
    <cellStyle name="Note 2 3 5 2 2" xfId="8290" xr:uid="{00000000-0005-0000-0000-000010210000}"/>
    <cellStyle name="Note 2 3 5 2 2 2" xfId="16740" xr:uid="{42B5718F-6D06-42F6-A78E-666ABC4341AA}"/>
    <cellStyle name="Note 2 3 5 2 3" xfId="12522" xr:uid="{C073DCBB-7BEB-4DCC-837F-804E3FAF305E}"/>
    <cellStyle name="Note 2 3 5 3" xfId="6145" xr:uid="{00000000-0005-0000-0000-000011210000}"/>
    <cellStyle name="Note 2 3 5 3 2" xfId="14595" xr:uid="{B4A55707-E3A2-4988-AF3B-3E3E571E24AA}"/>
    <cellStyle name="Note 2 3 5 4" xfId="10377" xr:uid="{E07B1379-7CD2-4F36-8CCB-B324B6375CA1}"/>
    <cellStyle name="Note 2 3 6" xfId="2252" xr:uid="{00000000-0005-0000-0000-000012210000}"/>
    <cellStyle name="Note 2 3 6 2" xfId="4481" xr:uid="{00000000-0005-0000-0000-000013210000}"/>
    <cellStyle name="Note 2 3 6 2 2" xfId="8703" xr:uid="{00000000-0005-0000-0000-000014210000}"/>
    <cellStyle name="Note 2 3 6 2 2 2" xfId="17153" xr:uid="{2798B4BA-F9AD-43F3-A74D-12A8518D027D}"/>
    <cellStyle name="Note 2 3 6 2 3" xfId="12935" xr:uid="{D8B6039A-B161-4D98-A47B-ED3DB4EB5C39}"/>
    <cellStyle name="Note 2 3 6 3" xfId="6558" xr:uid="{00000000-0005-0000-0000-000015210000}"/>
    <cellStyle name="Note 2 3 6 3 2" xfId="15008" xr:uid="{B96568B5-07AF-470B-B455-6EBE22794961}"/>
    <cellStyle name="Note 2 3 6 4" xfId="10790" xr:uid="{DC79B15A-40C7-4F5F-B508-E0D08AC0F8FB}"/>
    <cellStyle name="Note 2 3 7" xfId="2688" xr:uid="{00000000-0005-0000-0000-000016210000}"/>
    <cellStyle name="Note 2 3 7 2" xfId="6971" xr:uid="{00000000-0005-0000-0000-000017210000}"/>
    <cellStyle name="Note 2 3 7 2 2" xfId="15421" xr:uid="{8D91082F-CA04-4C05-B2A8-82EAC84CF8C3}"/>
    <cellStyle name="Note 2 3 7 3" xfId="11203" xr:uid="{490589A4-FCB8-4B6E-A0CF-A125124DF40D}"/>
    <cellStyle name="Note 2 3 8" xfId="2747" xr:uid="{00000000-0005-0000-0000-000018210000}"/>
    <cellStyle name="Note 2 3 9" xfId="2828" xr:uid="{00000000-0005-0000-0000-000019210000}"/>
    <cellStyle name="Note 2 3 9 2" xfId="7051" xr:uid="{00000000-0005-0000-0000-00001A210000}"/>
    <cellStyle name="Note 2 3 9 2 2" xfId="15501" xr:uid="{2381E825-3114-4D9D-A557-73D4E99FDCE2}"/>
    <cellStyle name="Note 2 3 9 3" xfId="11283" xr:uid="{9D645723-DB77-4C96-B9B9-711E1BD0F27D}"/>
    <cellStyle name="Note 2 4" xfId="551" xr:uid="{00000000-0005-0000-0000-00001B210000}"/>
    <cellStyle name="Note 2 4 10" xfId="9140" xr:uid="{A918D124-6B95-473E-A68A-146F60F9CD54}"/>
    <cellStyle name="Note 2 4 2" xfId="1012" xr:uid="{00000000-0005-0000-0000-00001C210000}"/>
    <cellStyle name="Note 2 4 2 2" xfId="3244" xr:uid="{00000000-0005-0000-0000-00001D210000}"/>
    <cellStyle name="Note 2 4 2 2 2" xfId="7466" xr:uid="{00000000-0005-0000-0000-00001E210000}"/>
    <cellStyle name="Note 2 4 2 2 2 2" xfId="15916" xr:uid="{D1FB1981-9ECB-4230-8A91-7DFB8A76E18B}"/>
    <cellStyle name="Note 2 4 2 2 3" xfId="11698" xr:uid="{1A07CC1B-9AE7-4A01-AC24-1998DF0DF1D8}"/>
    <cellStyle name="Note 2 4 2 3" xfId="5321" xr:uid="{00000000-0005-0000-0000-00001F210000}"/>
    <cellStyle name="Note 2 4 2 3 2" xfId="13771" xr:uid="{1076A13C-9CCD-41D0-BA3B-370DC140860F}"/>
    <cellStyle name="Note 2 4 2 4" xfId="9553" xr:uid="{BC44E188-2E99-4F4C-9801-E4E456F38B4C}"/>
    <cellStyle name="Note 2 4 3" xfId="1427" xr:uid="{00000000-0005-0000-0000-000020210000}"/>
    <cellStyle name="Note 2 4 3 2" xfId="3657" xr:uid="{00000000-0005-0000-0000-000021210000}"/>
    <cellStyle name="Note 2 4 3 2 2" xfId="7879" xr:uid="{00000000-0005-0000-0000-000022210000}"/>
    <cellStyle name="Note 2 4 3 2 2 2" xfId="16329" xr:uid="{A84B9055-3F02-4288-B056-98545D7F0120}"/>
    <cellStyle name="Note 2 4 3 2 3" xfId="12111" xr:uid="{D35BF622-9A59-4398-B2AD-4E8E5EC31FB8}"/>
    <cellStyle name="Note 2 4 3 3" xfId="5734" xr:uid="{00000000-0005-0000-0000-000023210000}"/>
    <cellStyle name="Note 2 4 3 3 2" xfId="14184" xr:uid="{86A4D1C3-FC4D-487E-899F-7B87CD95674C}"/>
    <cellStyle name="Note 2 4 3 4" xfId="9966" xr:uid="{3A9B19B4-3C32-446D-978E-F9FB7E4AFB5B}"/>
    <cellStyle name="Note 2 4 4" xfId="1841" xr:uid="{00000000-0005-0000-0000-000024210000}"/>
    <cellStyle name="Note 2 4 4 2" xfId="4070" xr:uid="{00000000-0005-0000-0000-000025210000}"/>
    <cellStyle name="Note 2 4 4 2 2" xfId="8292" xr:uid="{00000000-0005-0000-0000-000026210000}"/>
    <cellStyle name="Note 2 4 4 2 2 2" xfId="16742" xr:uid="{BBD9EB18-10F3-4C7A-9703-51076C0B27B2}"/>
    <cellStyle name="Note 2 4 4 2 3" xfId="12524" xr:uid="{AF136EBD-E564-46EF-BD1C-FA78FF545584}"/>
    <cellStyle name="Note 2 4 4 3" xfId="6147" xr:uid="{00000000-0005-0000-0000-000027210000}"/>
    <cellStyle name="Note 2 4 4 3 2" xfId="14597" xr:uid="{0DE65F32-CCAE-4022-83D0-349013BB51C8}"/>
    <cellStyle name="Note 2 4 4 4" xfId="10379" xr:uid="{3C990E8C-C6D1-4BBB-9283-74CC418C3544}"/>
    <cellStyle name="Note 2 4 5" xfId="2254" xr:uid="{00000000-0005-0000-0000-000028210000}"/>
    <cellStyle name="Note 2 4 5 2" xfId="4483" xr:uid="{00000000-0005-0000-0000-000029210000}"/>
    <cellStyle name="Note 2 4 5 2 2" xfId="8705" xr:uid="{00000000-0005-0000-0000-00002A210000}"/>
    <cellStyle name="Note 2 4 5 2 2 2" xfId="17155" xr:uid="{82DD8B86-76B2-4134-899C-60598635EC62}"/>
    <cellStyle name="Note 2 4 5 2 3" xfId="12937" xr:uid="{7BD8A0C0-C654-41B1-A4F1-7A85CBB4C166}"/>
    <cellStyle name="Note 2 4 5 3" xfId="6560" xr:uid="{00000000-0005-0000-0000-00002B210000}"/>
    <cellStyle name="Note 2 4 5 3 2" xfId="15010" xr:uid="{2D8D160A-F3E1-4A7B-B2F3-1A858C0584A7}"/>
    <cellStyle name="Note 2 4 5 4" xfId="10792" xr:uid="{42E4933B-D129-4F9E-A97F-7E24AC801B81}"/>
    <cellStyle name="Note 2 4 6" xfId="2690" xr:uid="{00000000-0005-0000-0000-00002C210000}"/>
    <cellStyle name="Note 2 4 6 2" xfId="6973" xr:uid="{00000000-0005-0000-0000-00002D210000}"/>
    <cellStyle name="Note 2 4 6 2 2" xfId="15423" xr:uid="{B0C6C61F-4B2C-4A81-905B-6D17AB2A9D5D}"/>
    <cellStyle name="Note 2 4 6 3" xfId="11205" xr:uid="{D2C8216A-4808-4E2D-AE76-849A144521E4}"/>
    <cellStyle name="Note 2 4 7" xfId="2749" xr:uid="{00000000-0005-0000-0000-00002E210000}"/>
    <cellStyle name="Note 2 4 8" xfId="2830" xr:uid="{00000000-0005-0000-0000-00002F210000}"/>
    <cellStyle name="Note 2 4 8 2" xfId="7053" xr:uid="{00000000-0005-0000-0000-000030210000}"/>
    <cellStyle name="Note 2 4 8 2 2" xfId="15503" xr:uid="{69297312-B5AA-4D0B-BB2F-D5E08BE2A8AA}"/>
    <cellStyle name="Note 2 4 8 3" xfId="11285" xr:uid="{5AF67FE7-4CEE-4AFD-9B69-BE5D19EE6168}"/>
    <cellStyle name="Note 2 4 9" xfId="4908" xr:uid="{00000000-0005-0000-0000-000031210000}"/>
    <cellStyle name="Note 2 4 9 2" xfId="13358" xr:uid="{F9D18E66-D0F3-4B34-BE48-689944367F74}"/>
    <cellStyle name="Note 2 5" xfId="552" xr:uid="{00000000-0005-0000-0000-000032210000}"/>
    <cellStyle name="Note 2 5 10" xfId="9141" xr:uid="{24D7D5BD-B446-4F9F-8E82-6B2AE894E2D2}"/>
    <cellStyle name="Note 2 5 2" xfId="1013" xr:uid="{00000000-0005-0000-0000-000033210000}"/>
    <cellStyle name="Note 2 5 2 2" xfId="3245" xr:uid="{00000000-0005-0000-0000-000034210000}"/>
    <cellStyle name="Note 2 5 2 2 2" xfId="7467" xr:uid="{00000000-0005-0000-0000-000035210000}"/>
    <cellStyle name="Note 2 5 2 2 2 2" xfId="15917" xr:uid="{C1F5DB5C-1BAD-4C1F-9119-34AC8B0DBCAA}"/>
    <cellStyle name="Note 2 5 2 2 3" xfId="11699" xr:uid="{F70BC827-FCDE-42EA-9C10-3B7DCD8D0F18}"/>
    <cellStyle name="Note 2 5 2 3" xfId="5322" xr:uid="{00000000-0005-0000-0000-000036210000}"/>
    <cellStyle name="Note 2 5 2 3 2" xfId="13772" xr:uid="{04A4A17B-A37B-4FDC-8E43-1DD48E17592C}"/>
    <cellStyle name="Note 2 5 2 4" xfId="9554" xr:uid="{501619F0-EDE9-47BA-826D-4293BA067F43}"/>
    <cellStyle name="Note 2 5 3" xfId="1428" xr:uid="{00000000-0005-0000-0000-000037210000}"/>
    <cellStyle name="Note 2 5 3 2" xfId="3658" xr:uid="{00000000-0005-0000-0000-000038210000}"/>
    <cellStyle name="Note 2 5 3 2 2" xfId="7880" xr:uid="{00000000-0005-0000-0000-000039210000}"/>
    <cellStyle name="Note 2 5 3 2 2 2" xfId="16330" xr:uid="{4C07DC82-2D54-4113-B36E-FE1A9055D5D6}"/>
    <cellStyle name="Note 2 5 3 2 3" xfId="12112" xr:uid="{E9597837-DEA2-4222-BE3C-E3F1FB6890DB}"/>
    <cellStyle name="Note 2 5 3 3" xfId="5735" xr:uid="{00000000-0005-0000-0000-00003A210000}"/>
    <cellStyle name="Note 2 5 3 3 2" xfId="14185" xr:uid="{76DA1825-B279-4A78-AD6B-6440FB89B18A}"/>
    <cellStyle name="Note 2 5 3 4" xfId="9967" xr:uid="{D427AC17-3385-419A-8000-3ADD7E91D56F}"/>
    <cellStyle name="Note 2 5 4" xfId="1842" xr:uid="{00000000-0005-0000-0000-00003B210000}"/>
    <cellStyle name="Note 2 5 4 2" xfId="4071" xr:uid="{00000000-0005-0000-0000-00003C210000}"/>
    <cellStyle name="Note 2 5 4 2 2" xfId="8293" xr:uid="{00000000-0005-0000-0000-00003D210000}"/>
    <cellStyle name="Note 2 5 4 2 2 2" xfId="16743" xr:uid="{2A0CC8AE-1B0A-46EA-84F2-1E47F42B1B7F}"/>
    <cellStyle name="Note 2 5 4 2 3" xfId="12525" xr:uid="{AAF36F59-9C0B-4E32-B113-4C24C83386C7}"/>
    <cellStyle name="Note 2 5 4 3" xfId="6148" xr:uid="{00000000-0005-0000-0000-00003E210000}"/>
    <cellStyle name="Note 2 5 4 3 2" xfId="14598" xr:uid="{0A5A0D72-0427-4ACC-B6CF-F755B08FEE01}"/>
    <cellStyle name="Note 2 5 4 4" xfId="10380" xr:uid="{89F37A91-4143-4263-A6F9-7B4B317F52B0}"/>
    <cellStyle name="Note 2 5 5" xfId="2255" xr:uid="{00000000-0005-0000-0000-00003F210000}"/>
    <cellStyle name="Note 2 5 5 2" xfId="4484" xr:uid="{00000000-0005-0000-0000-000040210000}"/>
    <cellStyle name="Note 2 5 5 2 2" xfId="8706" xr:uid="{00000000-0005-0000-0000-000041210000}"/>
    <cellStyle name="Note 2 5 5 2 2 2" xfId="17156" xr:uid="{E3401CBC-B484-4552-AC08-468243759B89}"/>
    <cellStyle name="Note 2 5 5 2 3" xfId="12938" xr:uid="{5BA3A017-CCE3-4BC2-A397-C05E3A531517}"/>
    <cellStyle name="Note 2 5 5 3" xfId="6561" xr:uid="{00000000-0005-0000-0000-000042210000}"/>
    <cellStyle name="Note 2 5 5 3 2" xfId="15011" xr:uid="{AA69BEB0-1AAF-4CBD-915F-04DEA0609E1A}"/>
    <cellStyle name="Note 2 5 5 4" xfId="10793" xr:uid="{E2999172-7AAA-4F50-B9A4-04B0773469C7}"/>
    <cellStyle name="Note 2 5 6" xfId="2691" xr:uid="{00000000-0005-0000-0000-000043210000}"/>
    <cellStyle name="Note 2 5 6 2" xfId="6974" xr:uid="{00000000-0005-0000-0000-000044210000}"/>
    <cellStyle name="Note 2 5 6 2 2" xfId="15424" xr:uid="{E363C3D8-7838-4080-BE44-58EA44F0B0A4}"/>
    <cellStyle name="Note 2 5 6 3" xfId="11206" xr:uid="{A25BC086-FE5E-4512-921F-F79E9B49D8D5}"/>
    <cellStyle name="Note 2 5 7" xfId="2750" xr:uid="{00000000-0005-0000-0000-000045210000}"/>
    <cellStyle name="Note 2 5 8" xfId="2831" xr:uid="{00000000-0005-0000-0000-000046210000}"/>
    <cellStyle name="Note 2 5 8 2" xfId="7054" xr:uid="{00000000-0005-0000-0000-000047210000}"/>
    <cellStyle name="Note 2 5 8 2 2" xfId="15504" xr:uid="{DC063B33-C43F-413C-B609-E43690A8A22F}"/>
    <cellStyle name="Note 2 5 8 3" xfId="11286" xr:uid="{371E4B46-09EB-467D-A25A-7BFB2F8274D7}"/>
    <cellStyle name="Note 2 5 9" xfId="4909" xr:uid="{00000000-0005-0000-0000-000048210000}"/>
    <cellStyle name="Note 2 5 9 2" xfId="13359" xr:uid="{D040FAF1-E0A6-40FC-8529-819CD15ADAD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279D5745-778C-4D86-8863-3E5F6A07AD05}"/>
    <cellStyle name="Note 3 2 10 3" xfId="11287" xr:uid="{7EE09204-BE05-489F-A7D6-A2249A205083}"/>
    <cellStyle name="Note 3 2 11" xfId="4910" xr:uid="{00000000-0005-0000-0000-00004D210000}"/>
    <cellStyle name="Note 3 2 11 2" xfId="13360" xr:uid="{350EA402-16F6-47E9-A86A-9E5456AD96E2}"/>
    <cellStyle name="Note 3 2 12" xfId="9142" xr:uid="{014F995F-F20A-4EFA-8CE7-2D02CBA445C6}"/>
    <cellStyle name="Note 3 2 2" xfId="555" xr:uid="{00000000-0005-0000-0000-00004E210000}"/>
    <cellStyle name="Note 3 2 2 10" xfId="4911" xr:uid="{00000000-0005-0000-0000-00004F210000}"/>
    <cellStyle name="Note 3 2 2 10 2" xfId="13361" xr:uid="{3783DCF3-9453-41D7-8F4D-59F55E9285A2}"/>
    <cellStyle name="Note 3 2 2 11" xfId="9143" xr:uid="{85EDC8CD-D713-4BAC-A28D-D4994D0EE6D5}"/>
    <cellStyle name="Note 3 2 2 2" xfId="556" xr:uid="{00000000-0005-0000-0000-000050210000}"/>
    <cellStyle name="Note 3 2 2 2 10" xfId="9144" xr:uid="{32319780-19DF-4A75-A92B-087A3E613453}"/>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CD295502-D5DD-449F-8A77-0D8621FE75DF}"/>
    <cellStyle name="Note 3 2 2 2 2 2 3" xfId="11702" xr:uid="{EE4955CF-F098-45A1-B8F5-1C232EAE9F62}"/>
    <cellStyle name="Note 3 2 2 2 2 3" xfId="5325" xr:uid="{00000000-0005-0000-0000-000054210000}"/>
    <cellStyle name="Note 3 2 2 2 2 3 2" xfId="13775" xr:uid="{5F3A2C40-5506-40AE-811F-A2C83C29F0D6}"/>
    <cellStyle name="Note 3 2 2 2 2 4" xfId="9557" xr:uid="{57FA8BDD-96F1-4952-AC45-A03B43C0174D}"/>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E6A3F8FF-D428-4766-BC9B-EDEB6ACBB149}"/>
    <cellStyle name="Note 3 2 2 2 3 2 3" xfId="12115" xr:uid="{1C7BE81F-9F1A-492B-AEE4-EB3133D524F9}"/>
    <cellStyle name="Note 3 2 2 2 3 3" xfId="5738" xr:uid="{00000000-0005-0000-0000-000058210000}"/>
    <cellStyle name="Note 3 2 2 2 3 3 2" xfId="14188" xr:uid="{04D5951C-E062-4557-8673-14477850CDC5}"/>
    <cellStyle name="Note 3 2 2 2 3 4" xfId="9970" xr:uid="{F76625F3-21B0-4B91-8CB8-E7EA8E81C808}"/>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1406A5EA-2F0C-4EE7-A02D-56FB958DAB59}"/>
    <cellStyle name="Note 3 2 2 2 4 2 3" xfId="12528" xr:uid="{AD53A38E-17F0-4504-962E-4D008CC35647}"/>
    <cellStyle name="Note 3 2 2 2 4 3" xfId="6151" xr:uid="{00000000-0005-0000-0000-00005C210000}"/>
    <cellStyle name="Note 3 2 2 2 4 3 2" xfId="14601" xr:uid="{7A06230B-E3CE-45C6-BC24-6E3890CD03B9}"/>
    <cellStyle name="Note 3 2 2 2 4 4" xfId="10383" xr:uid="{D565E7B1-0098-4D0D-AB3D-E6C6AAB6CAFA}"/>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5EB73F19-B29E-468C-9479-83F2BF291719}"/>
    <cellStyle name="Note 3 2 2 2 5 2 3" xfId="12941" xr:uid="{A3CC05D4-11B6-4089-9366-E9F643C3472F}"/>
    <cellStyle name="Note 3 2 2 2 5 3" xfId="6564" xr:uid="{00000000-0005-0000-0000-000060210000}"/>
    <cellStyle name="Note 3 2 2 2 5 3 2" xfId="15014" xr:uid="{D7526C12-0E26-4DF7-9F45-1743265FB370}"/>
    <cellStyle name="Note 3 2 2 2 5 4" xfId="10796" xr:uid="{BEC9C5B4-EF89-4015-9113-B93DD883C431}"/>
    <cellStyle name="Note 3 2 2 2 6" xfId="2694" xr:uid="{00000000-0005-0000-0000-000061210000}"/>
    <cellStyle name="Note 3 2 2 2 6 2" xfId="6977" xr:uid="{00000000-0005-0000-0000-000062210000}"/>
    <cellStyle name="Note 3 2 2 2 6 2 2" xfId="15427" xr:uid="{0F176FF7-8E2B-45BC-A989-8D91D8AC24E3}"/>
    <cellStyle name="Note 3 2 2 2 6 3" xfId="11209" xr:uid="{CCB92F0E-CB99-43B6-B9D5-240F3C8CF4EF}"/>
    <cellStyle name="Note 3 2 2 2 7" xfId="2753" xr:uid="{00000000-0005-0000-0000-000063210000}"/>
    <cellStyle name="Note 3 2 2 2 8" xfId="2834" xr:uid="{00000000-0005-0000-0000-000064210000}"/>
    <cellStyle name="Note 3 2 2 2 8 2" xfId="7057" xr:uid="{00000000-0005-0000-0000-000065210000}"/>
    <cellStyle name="Note 3 2 2 2 8 2 2" xfId="15507" xr:uid="{AD41EAAC-D235-4246-BBF0-215BC30BD526}"/>
    <cellStyle name="Note 3 2 2 2 8 3" xfId="11289" xr:uid="{4D26E7BB-745A-4F10-AFCF-BAC1348274A4}"/>
    <cellStyle name="Note 3 2 2 2 9" xfId="4912" xr:uid="{00000000-0005-0000-0000-000066210000}"/>
    <cellStyle name="Note 3 2 2 2 9 2" xfId="13362" xr:uid="{B7B16A22-F971-443B-BEFB-6190335649F2}"/>
    <cellStyle name="Note 3 2 2 3" xfId="1015" xr:uid="{00000000-0005-0000-0000-000067210000}"/>
    <cellStyle name="Note 3 2 2 3 2" xfId="3247" xr:uid="{00000000-0005-0000-0000-000068210000}"/>
    <cellStyle name="Note 3 2 2 3 2 2" xfId="7469" xr:uid="{00000000-0005-0000-0000-000069210000}"/>
    <cellStyle name="Note 3 2 2 3 2 2 2" xfId="15919" xr:uid="{E951907C-C0A6-45EB-84AF-4BB67A986490}"/>
    <cellStyle name="Note 3 2 2 3 2 3" xfId="11701" xr:uid="{EEAAD583-8E4F-4346-9EA4-16B2E484D1BE}"/>
    <cellStyle name="Note 3 2 2 3 3" xfId="5324" xr:uid="{00000000-0005-0000-0000-00006A210000}"/>
    <cellStyle name="Note 3 2 2 3 3 2" xfId="13774" xr:uid="{607C9FB9-E967-4DE2-B91E-C1083A9AE1E3}"/>
    <cellStyle name="Note 3 2 2 3 4" xfId="9556" xr:uid="{CED6A10E-5265-4962-AE44-A2BA6FF73D60}"/>
    <cellStyle name="Note 3 2 2 4" xfId="1430" xr:uid="{00000000-0005-0000-0000-00006B210000}"/>
    <cellStyle name="Note 3 2 2 4 2" xfId="3660" xr:uid="{00000000-0005-0000-0000-00006C210000}"/>
    <cellStyle name="Note 3 2 2 4 2 2" xfId="7882" xr:uid="{00000000-0005-0000-0000-00006D210000}"/>
    <cellStyle name="Note 3 2 2 4 2 2 2" xfId="16332" xr:uid="{8BF1A4D4-6D5A-4C2C-A4D8-3802538DE98A}"/>
    <cellStyle name="Note 3 2 2 4 2 3" xfId="12114" xr:uid="{FB5896F5-603B-4705-A56D-38CF3B3840D8}"/>
    <cellStyle name="Note 3 2 2 4 3" xfId="5737" xr:uid="{00000000-0005-0000-0000-00006E210000}"/>
    <cellStyle name="Note 3 2 2 4 3 2" xfId="14187" xr:uid="{C278A9FE-5A80-47A3-8697-DA1C2D568F2A}"/>
    <cellStyle name="Note 3 2 2 4 4" xfId="9969" xr:uid="{02560D47-B9A9-4961-8607-4125A8474E6B}"/>
    <cellStyle name="Note 3 2 2 5" xfId="1844" xr:uid="{00000000-0005-0000-0000-00006F210000}"/>
    <cellStyle name="Note 3 2 2 5 2" xfId="4073" xr:uid="{00000000-0005-0000-0000-000070210000}"/>
    <cellStyle name="Note 3 2 2 5 2 2" xfId="8295" xr:uid="{00000000-0005-0000-0000-000071210000}"/>
    <cellStyle name="Note 3 2 2 5 2 2 2" xfId="16745" xr:uid="{47C4DAF6-FE2F-457F-93E0-DC48E9A30F81}"/>
    <cellStyle name="Note 3 2 2 5 2 3" xfId="12527" xr:uid="{110B5463-624D-495A-8A28-A8C59FF97F26}"/>
    <cellStyle name="Note 3 2 2 5 3" xfId="6150" xr:uid="{00000000-0005-0000-0000-000072210000}"/>
    <cellStyle name="Note 3 2 2 5 3 2" xfId="14600" xr:uid="{2164259F-6E68-4522-88B6-822279C6C7BB}"/>
    <cellStyle name="Note 3 2 2 5 4" xfId="10382" xr:uid="{F7181A8D-7C83-4EE2-8C9E-71B2EA45E8D0}"/>
    <cellStyle name="Note 3 2 2 6" xfId="2257" xr:uid="{00000000-0005-0000-0000-000073210000}"/>
    <cellStyle name="Note 3 2 2 6 2" xfId="4486" xr:uid="{00000000-0005-0000-0000-000074210000}"/>
    <cellStyle name="Note 3 2 2 6 2 2" xfId="8708" xr:uid="{00000000-0005-0000-0000-000075210000}"/>
    <cellStyle name="Note 3 2 2 6 2 2 2" xfId="17158" xr:uid="{4D8D9DF1-D9D5-428A-87AD-758CA356DF9A}"/>
    <cellStyle name="Note 3 2 2 6 2 3" xfId="12940" xr:uid="{18302257-CFCB-4971-879F-BC78D5862225}"/>
    <cellStyle name="Note 3 2 2 6 3" xfId="6563" xr:uid="{00000000-0005-0000-0000-000076210000}"/>
    <cellStyle name="Note 3 2 2 6 3 2" xfId="15013" xr:uid="{201D71A8-3E5B-46BD-B9D5-CE8F1C447E5A}"/>
    <cellStyle name="Note 3 2 2 6 4" xfId="10795" xr:uid="{EAE2EBED-8D8C-4689-8667-9F7A15442BF6}"/>
    <cellStyle name="Note 3 2 2 7" xfId="2693" xr:uid="{00000000-0005-0000-0000-000077210000}"/>
    <cellStyle name="Note 3 2 2 7 2" xfId="6976" xr:uid="{00000000-0005-0000-0000-000078210000}"/>
    <cellStyle name="Note 3 2 2 7 2 2" xfId="15426" xr:uid="{DC312CDB-A2A1-4CF7-8320-16078B1681FF}"/>
    <cellStyle name="Note 3 2 2 7 3" xfId="11208" xr:uid="{1263E176-4468-4A2D-B03A-04EDD0538313}"/>
    <cellStyle name="Note 3 2 2 8" xfId="2752" xr:uid="{00000000-0005-0000-0000-000079210000}"/>
    <cellStyle name="Note 3 2 2 9" xfId="2833" xr:uid="{00000000-0005-0000-0000-00007A210000}"/>
    <cellStyle name="Note 3 2 2 9 2" xfId="7056" xr:uid="{00000000-0005-0000-0000-00007B210000}"/>
    <cellStyle name="Note 3 2 2 9 2 2" xfId="15506" xr:uid="{8BA61376-54A4-4301-BF38-17AEE6D75F3F}"/>
    <cellStyle name="Note 3 2 2 9 3" xfId="11288" xr:uid="{B3F3C1F0-0793-4F7A-914B-E278D52824E9}"/>
    <cellStyle name="Note 3 2 3" xfId="557" xr:uid="{00000000-0005-0000-0000-00007C210000}"/>
    <cellStyle name="Note 3 2 3 10" xfId="9145" xr:uid="{56C334C9-E939-45ED-852C-559E590D408D}"/>
    <cellStyle name="Note 3 2 3 2" xfId="1017" xr:uid="{00000000-0005-0000-0000-00007D210000}"/>
    <cellStyle name="Note 3 2 3 2 2" xfId="3249" xr:uid="{00000000-0005-0000-0000-00007E210000}"/>
    <cellStyle name="Note 3 2 3 2 2 2" xfId="7471" xr:uid="{00000000-0005-0000-0000-00007F210000}"/>
    <cellStyle name="Note 3 2 3 2 2 2 2" xfId="15921" xr:uid="{3BF6D19C-0318-4450-BEB5-C277B4696431}"/>
    <cellStyle name="Note 3 2 3 2 2 3" xfId="11703" xr:uid="{6F233AF9-8BAC-4854-BE0E-3D4563D9A83E}"/>
    <cellStyle name="Note 3 2 3 2 3" xfId="5326" xr:uid="{00000000-0005-0000-0000-000080210000}"/>
    <cellStyle name="Note 3 2 3 2 3 2" xfId="13776" xr:uid="{7AD0A206-7FC8-4110-8145-E30264064AD4}"/>
    <cellStyle name="Note 3 2 3 2 4" xfId="9558" xr:uid="{C2BCA55D-BCE0-4C5F-9C89-8BB66C275115}"/>
    <cellStyle name="Note 3 2 3 3" xfId="1432" xr:uid="{00000000-0005-0000-0000-000081210000}"/>
    <cellStyle name="Note 3 2 3 3 2" xfId="3662" xr:uid="{00000000-0005-0000-0000-000082210000}"/>
    <cellStyle name="Note 3 2 3 3 2 2" xfId="7884" xr:uid="{00000000-0005-0000-0000-000083210000}"/>
    <cellStyle name="Note 3 2 3 3 2 2 2" xfId="16334" xr:uid="{CEA295F7-239A-4DA7-82A2-362D56C4D809}"/>
    <cellStyle name="Note 3 2 3 3 2 3" xfId="12116" xr:uid="{1A9C11CB-6C11-405E-A4A9-CAA1491365D6}"/>
    <cellStyle name="Note 3 2 3 3 3" xfId="5739" xr:uid="{00000000-0005-0000-0000-000084210000}"/>
    <cellStyle name="Note 3 2 3 3 3 2" xfId="14189" xr:uid="{55EB5F88-964A-4687-94D7-C715E2F7E3BD}"/>
    <cellStyle name="Note 3 2 3 3 4" xfId="9971" xr:uid="{0354F79E-FDD2-4116-B7BB-9D4B1B5AA1D8}"/>
    <cellStyle name="Note 3 2 3 4" xfId="1846" xr:uid="{00000000-0005-0000-0000-000085210000}"/>
    <cellStyle name="Note 3 2 3 4 2" xfId="4075" xr:uid="{00000000-0005-0000-0000-000086210000}"/>
    <cellStyle name="Note 3 2 3 4 2 2" xfId="8297" xr:uid="{00000000-0005-0000-0000-000087210000}"/>
    <cellStyle name="Note 3 2 3 4 2 2 2" xfId="16747" xr:uid="{CA447DDE-7942-4EA7-A9F1-AD761D4192FC}"/>
    <cellStyle name="Note 3 2 3 4 2 3" xfId="12529" xr:uid="{7F0C51B0-1A90-46C4-B81E-C3F59C49AF67}"/>
    <cellStyle name="Note 3 2 3 4 3" xfId="6152" xr:uid="{00000000-0005-0000-0000-000088210000}"/>
    <cellStyle name="Note 3 2 3 4 3 2" xfId="14602" xr:uid="{640A756F-6ABA-4D48-B3C1-BB0A6A16C520}"/>
    <cellStyle name="Note 3 2 3 4 4" xfId="10384" xr:uid="{1CCBB21F-4A66-47AE-A642-D7A9A2FCE904}"/>
    <cellStyle name="Note 3 2 3 5" xfId="2259" xr:uid="{00000000-0005-0000-0000-000089210000}"/>
    <cellStyle name="Note 3 2 3 5 2" xfId="4488" xr:uid="{00000000-0005-0000-0000-00008A210000}"/>
    <cellStyle name="Note 3 2 3 5 2 2" xfId="8710" xr:uid="{00000000-0005-0000-0000-00008B210000}"/>
    <cellStyle name="Note 3 2 3 5 2 2 2" xfId="17160" xr:uid="{A2FEA3C6-DFA6-42A6-809D-F1547B55D202}"/>
    <cellStyle name="Note 3 2 3 5 2 3" xfId="12942" xr:uid="{66A7E77C-5304-49F1-A70F-7B4B0EB32747}"/>
    <cellStyle name="Note 3 2 3 5 3" xfId="6565" xr:uid="{00000000-0005-0000-0000-00008C210000}"/>
    <cellStyle name="Note 3 2 3 5 3 2" xfId="15015" xr:uid="{3665DBE5-0D51-40FE-A644-0B85F4D30AD6}"/>
    <cellStyle name="Note 3 2 3 5 4" xfId="10797" xr:uid="{CB988767-1B3F-4CE6-A318-6752B9FF8D96}"/>
    <cellStyle name="Note 3 2 3 6" xfId="2695" xr:uid="{00000000-0005-0000-0000-00008D210000}"/>
    <cellStyle name="Note 3 2 3 6 2" xfId="6978" xr:uid="{00000000-0005-0000-0000-00008E210000}"/>
    <cellStyle name="Note 3 2 3 6 2 2" xfId="15428" xr:uid="{7940D6B4-896F-4658-82A3-95A0D0024C13}"/>
    <cellStyle name="Note 3 2 3 6 3" xfId="11210" xr:uid="{F6C1BB29-D416-4BF6-BB12-37C7CEC27348}"/>
    <cellStyle name="Note 3 2 3 7" xfId="2754" xr:uid="{00000000-0005-0000-0000-00008F210000}"/>
    <cellStyle name="Note 3 2 3 8" xfId="2835" xr:uid="{00000000-0005-0000-0000-000090210000}"/>
    <cellStyle name="Note 3 2 3 8 2" xfId="7058" xr:uid="{00000000-0005-0000-0000-000091210000}"/>
    <cellStyle name="Note 3 2 3 8 2 2" xfId="15508" xr:uid="{E1BA2F02-663E-4CC2-940D-A17F8703F4A6}"/>
    <cellStyle name="Note 3 2 3 8 3" xfId="11290" xr:uid="{5414732E-6102-4D4B-8A74-ED603A40A3A5}"/>
    <cellStyle name="Note 3 2 3 9" xfId="4913" xr:uid="{00000000-0005-0000-0000-000092210000}"/>
    <cellStyle name="Note 3 2 3 9 2" xfId="13363" xr:uid="{E74634B4-8903-493A-A6C5-6DDE29EEC3CB}"/>
    <cellStyle name="Note 3 2 4" xfId="1014" xr:uid="{00000000-0005-0000-0000-000093210000}"/>
    <cellStyle name="Note 3 2 4 2" xfId="3246" xr:uid="{00000000-0005-0000-0000-000094210000}"/>
    <cellStyle name="Note 3 2 4 2 2" xfId="7468" xr:uid="{00000000-0005-0000-0000-000095210000}"/>
    <cellStyle name="Note 3 2 4 2 2 2" xfId="15918" xr:uid="{A5BED54C-21A9-46D7-9969-D556FC8267EF}"/>
    <cellStyle name="Note 3 2 4 2 3" xfId="11700" xr:uid="{9EE51628-AD6C-4564-9107-E60642FAD9AB}"/>
    <cellStyle name="Note 3 2 4 3" xfId="5323" xr:uid="{00000000-0005-0000-0000-000096210000}"/>
    <cellStyle name="Note 3 2 4 3 2" xfId="13773" xr:uid="{54BB7FCE-9F2E-4A6E-AA13-68EE97EB3DAD}"/>
    <cellStyle name="Note 3 2 4 4" xfId="9555" xr:uid="{36F68AB5-EE76-43B8-BEF0-CEA7724BCAB7}"/>
    <cellStyle name="Note 3 2 5" xfId="1429" xr:uid="{00000000-0005-0000-0000-000097210000}"/>
    <cellStyle name="Note 3 2 5 2" xfId="3659" xr:uid="{00000000-0005-0000-0000-000098210000}"/>
    <cellStyle name="Note 3 2 5 2 2" xfId="7881" xr:uid="{00000000-0005-0000-0000-000099210000}"/>
    <cellStyle name="Note 3 2 5 2 2 2" xfId="16331" xr:uid="{22A83A69-7919-42D4-89B2-671D7E0695B7}"/>
    <cellStyle name="Note 3 2 5 2 3" xfId="12113" xr:uid="{6B0BC109-BAF3-4937-91C0-E3A4FA010EA4}"/>
    <cellStyle name="Note 3 2 5 3" xfId="5736" xr:uid="{00000000-0005-0000-0000-00009A210000}"/>
    <cellStyle name="Note 3 2 5 3 2" xfId="14186" xr:uid="{E383C70C-C773-4C50-83AD-1F0EE4236BBF}"/>
    <cellStyle name="Note 3 2 5 4" xfId="9968" xr:uid="{59187310-97B5-4EAC-9AA3-041A7B506CD5}"/>
    <cellStyle name="Note 3 2 6" xfId="1843" xr:uid="{00000000-0005-0000-0000-00009B210000}"/>
    <cellStyle name="Note 3 2 6 2" xfId="4072" xr:uid="{00000000-0005-0000-0000-00009C210000}"/>
    <cellStyle name="Note 3 2 6 2 2" xfId="8294" xr:uid="{00000000-0005-0000-0000-00009D210000}"/>
    <cellStyle name="Note 3 2 6 2 2 2" xfId="16744" xr:uid="{4D707A1D-BF4C-4514-9A10-42B2E6D59A97}"/>
    <cellStyle name="Note 3 2 6 2 3" xfId="12526" xr:uid="{B1C3C300-903A-40A7-8CA8-5CE2BF826AE4}"/>
    <cellStyle name="Note 3 2 6 3" xfId="6149" xr:uid="{00000000-0005-0000-0000-00009E210000}"/>
    <cellStyle name="Note 3 2 6 3 2" xfId="14599" xr:uid="{6E5A35B8-19C8-4744-BF5C-F8B31E26A1DC}"/>
    <cellStyle name="Note 3 2 6 4" xfId="10381" xr:uid="{E40BC0A7-00F3-40C6-9E72-920DB008FE83}"/>
    <cellStyle name="Note 3 2 7" xfId="2256" xr:uid="{00000000-0005-0000-0000-00009F210000}"/>
    <cellStyle name="Note 3 2 7 2" xfId="4485" xr:uid="{00000000-0005-0000-0000-0000A0210000}"/>
    <cellStyle name="Note 3 2 7 2 2" xfId="8707" xr:uid="{00000000-0005-0000-0000-0000A1210000}"/>
    <cellStyle name="Note 3 2 7 2 2 2" xfId="17157" xr:uid="{CA24B595-5417-4CD3-83BD-760450521D10}"/>
    <cellStyle name="Note 3 2 7 2 3" xfId="12939" xr:uid="{49D58F31-8DC2-46E2-A77E-8CACC8EDB735}"/>
    <cellStyle name="Note 3 2 7 3" xfId="6562" xr:uid="{00000000-0005-0000-0000-0000A2210000}"/>
    <cellStyle name="Note 3 2 7 3 2" xfId="15012" xr:uid="{16A327C5-541E-408A-9BD7-CF00EB49348C}"/>
    <cellStyle name="Note 3 2 7 4" xfId="10794" xr:uid="{B345B6BC-95CB-4313-B71C-32714F5C2EF1}"/>
    <cellStyle name="Note 3 2 8" xfId="2692" xr:uid="{00000000-0005-0000-0000-0000A3210000}"/>
    <cellStyle name="Note 3 2 8 2" xfId="6975" xr:uid="{00000000-0005-0000-0000-0000A4210000}"/>
    <cellStyle name="Note 3 2 8 2 2" xfId="15425" xr:uid="{C8B17573-44A9-496A-A16C-2A35EB6FC0E3}"/>
    <cellStyle name="Note 3 2 8 3" xfId="11207" xr:uid="{D7024EB4-4A13-475E-81DC-A3DF271E5929}"/>
    <cellStyle name="Note 3 2 9" xfId="2751" xr:uid="{00000000-0005-0000-0000-0000A5210000}"/>
    <cellStyle name="Note 3 3" xfId="558" xr:uid="{00000000-0005-0000-0000-0000A6210000}"/>
    <cellStyle name="Note 3 3 10" xfId="4914" xr:uid="{00000000-0005-0000-0000-0000A7210000}"/>
    <cellStyle name="Note 3 3 10 2" xfId="13364" xr:uid="{DCC4A51E-4C73-43A0-8C01-8D7CB8C7150D}"/>
    <cellStyle name="Note 3 3 11" xfId="9146" xr:uid="{5542A250-B084-43EF-8CFF-31C3BE303B23}"/>
    <cellStyle name="Note 3 3 2" xfId="559" xr:uid="{00000000-0005-0000-0000-0000A8210000}"/>
    <cellStyle name="Note 3 3 2 10" xfId="9147" xr:uid="{F15DB4F0-E8B5-447E-8476-AB57CB269339}"/>
    <cellStyle name="Note 3 3 2 2" xfId="1019" xr:uid="{00000000-0005-0000-0000-0000A9210000}"/>
    <cellStyle name="Note 3 3 2 2 2" xfId="3251" xr:uid="{00000000-0005-0000-0000-0000AA210000}"/>
    <cellStyle name="Note 3 3 2 2 2 2" xfId="7473" xr:uid="{00000000-0005-0000-0000-0000AB210000}"/>
    <cellStyle name="Note 3 3 2 2 2 2 2" xfId="15923" xr:uid="{CE0916A8-F850-47C3-9187-9F81BD22267E}"/>
    <cellStyle name="Note 3 3 2 2 2 3" xfId="11705" xr:uid="{0EEAC634-A3B7-4DA3-A829-863C94263B37}"/>
    <cellStyle name="Note 3 3 2 2 3" xfId="5328" xr:uid="{00000000-0005-0000-0000-0000AC210000}"/>
    <cellStyle name="Note 3 3 2 2 3 2" xfId="13778" xr:uid="{8DB5EDE2-692D-415E-983F-72F434D9ADCB}"/>
    <cellStyle name="Note 3 3 2 2 4" xfId="9560" xr:uid="{04D09D46-37A7-4294-8AA1-193B59BB391E}"/>
    <cellStyle name="Note 3 3 2 3" xfId="1434" xr:uid="{00000000-0005-0000-0000-0000AD210000}"/>
    <cellStyle name="Note 3 3 2 3 2" xfId="3664" xr:uid="{00000000-0005-0000-0000-0000AE210000}"/>
    <cellStyle name="Note 3 3 2 3 2 2" xfId="7886" xr:uid="{00000000-0005-0000-0000-0000AF210000}"/>
    <cellStyle name="Note 3 3 2 3 2 2 2" xfId="16336" xr:uid="{B67B23E7-89A7-4840-9528-CC3DAF753FEC}"/>
    <cellStyle name="Note 3 3 2 3 2 3" xfId="12118" xr:uid="{B60AE006-0F69-476D-AA20-9DF2747DC54A}"/>
    <cellStyle name="Note 3 3 2 3 3" xfId="5741" xr:uid="{00000000-0005-0000-0000-0000B0210000}"/>
    <cellStyle name="Note 3 3 2 3 3 2" xfId="14191" xr:uid="{9E20D18D-EA98-4F0A-A284-3C00203C39FE}"/>
    <cellStyle name="Note 3 3 2 3 4" xfId="9973" xr:uid="{21178834-6943-41A3-A241-7FC6689D831F}"/>
    <cellStyle name="Note 3 3 2 4" xfId="1848" xr:uid="{00000000-0005-0000-0000-0000B1210000}"/>
    <cellStyle name="Note 3 3 2 4 2" xfId="4077" xr:uid="{00000000-0005-0000-0000-0000B2210000}"/>
    <cellStyle name="Note 3 3 2 4 2 2" xfId="8299" xr:uid="{00000000-0005-0000-0000-0000B3210000}"/>
    <cellStyle name="Note 3 3 2 4 2 2 2" xfId="16749" xr:uid="{FF7BEA82-E50C-4421-8B25-9983E4248856}"/>
    <cellStyle name="Note 3 3 2 4 2 3" xfId="12531" xr:uid="{3A295CFA-F550-44A3-A4E7-717237A1682F}"/>
    <cellStyle name="Note 3 3 2 4 3" xfId="6154" xr:uid="{00000000-0005-0000-0000-0000B4210000}"/>
    <cellStyle name="Note 3 3 2 4 3 2" xfId="14604" xr:uid="{419F2137-B14F-432F-87B1-0770E88C3DD9}"/>
    <cellStyle name="Note 3 3 2 4 4" xfId="10386" xr:uid="{652B12E5-5C2F-497D-9FE6-76B56E700ACD}"/>
    <cellStyle name="Note 3 3 2 5" xfId="2261" xr:uid="{00000000-0005-0000-0000-0000B5210000}"/>
    <cellStyle name="Note 3 3 2 5 2" xfId="4490" xr:uid="{00000000-0005-0000-0000-0000B6210000}"/>
    <cellStyle name="Note 3 3 2 5 2 2" xfId="8712" xr:uid="{00000000-0005-0000-0000-0000B7210000}"/>
    <cellStyle name="Note 3 3 2 5 2 2 2" xfId="17162" xr:uid="{ED1DF509-3461-4B7E-9323-A6602C355D65}"/>
    <cellStyle name="Note 3 3 2 5 2 3" xfId="12944" xr:uid="{AD848C30-C83C-4C33-8874-8F6B97D5F6C9}"/>
    <cellStyle name="Note 3 3 2 5 3" xfId="6567" xr:uid="{00000000-0005-0000-0000-0000B8210000}"/>
    <cellStyle name="Note 3 3 2 5 3 2" xfId="15017" xr:uid="{F091C02F-A803-462C-908B-FC0E384696AF}"/>
    <cellStyle name="Note 3 3 2 5 4" xfId="10799" xr:uid="{A18891C6-D6AE-48C0-9E91-146B12AEAEDD}"/>
    <cellStyle name="Note 3 3 2 6" xfId="2697" xr:uid="{00000000-0005-0000-0000-0000B9210000}"/>
    <cellStyle name="Note 3 3 2 6 2" xfId="6980" xr:uid="{00000000-0005-0000-0000-0000BA210000}"/>
    <cellStyle name="Note 3 3 2 6 2 2" xfId="15430" xr:uid="{86DA7CCA-54C9-43E8-9805-619F50D2CDC2}"/>
    <cellStyle name="Note 3 3 2 6 3" xfId="11212" xr:uid="{3C7ED581-3455-4D7A-93BC-C4472E33479B}"/>
    <cellStyle name="Note 3 3 2 7" xfId="2756" xr:uid="{00000000-0005-0000-0000-0000BB210000}"/>
    <cellStyle name="Note 3 3 2 8" xfId="2837" xr:uid="{00000000-0005-0000-0000-0000BC210000}"/>
    <cellStyle name="Note 3 3 2 8 2" xfId="7060" xr:uid="{00000000-0005-0000-0000-0000BD210000}"/>
    <cellStyle name="Note 3 3 2 8 2 2" xfId="15510" xr:uid="{D2A030AC-92E6-45EC-A91F-6E8B766A2988}"/>
    <cellStyle name="Note 3 3 2 8 3" xfId="11292" xr:uid="{72946B3D-C3C6-42BA-BAA1-E7E77D414C37}"/>
    <cellStyle name="Note 3 3 2 9" xfId="4915" xr:uid="{00000000-0005-0000-0000-0000BE210000}"/>
    <cellStyle name="Note 3 3 2 9 2" xfId="13365" xr:uid="{3A6B81EB-5EDA-49EB-9369-7A129DFCF7FC}"/>
    <cellStyle name="Note 3 3 3" xfId="1018" xr:uid="{00000000-0005-0000-0000-0000BF210000}"/>
    <cellStyle name="Note 3 3 3 2" xfId="3250" xr:uid="{00000000-0005-0000-0000-0000C0210000}"/>
    <cellStyle name="Note 3 3 3 2 2" xfId="7472" xr:uid="{00000000-0005-0000-0000-0000C1210000}"/>
    <cellStyle name="Note 3 3 3 2 2 2" xfId="15922" xr:uid="{1BB5FDB6-0F27-43D9-8470-FE4AF6F5A250}"/>
    <cellStyle name="Note 3 3 3 2 3" xfId="11704" xr:uid="{44314E41-2F16-4394-92D4-7C3534E458EC}"/>
    <cellStyle name="Note 3 3 3 3" xfId="5327" xr:uid="{00000000-0005-0000-0000-0000C2210000}"/>
    <cellStyle name="Note 3 3 3 3 2" xfId="13777" xr:uid="{4DEF435A-302D-4DC9-872F-E9E74DD9354C}"/>
    <cellStyle name="Note 3 3 3 4" xfId="9559" xr:uid="{8A34A167-F7D2-4FF3-8A88-9C8C8002104E}"/>
    <cellStyle name="Note 3 3 4" xfId="1433" xr:uid="{00000000-0005-0000-0000-0000C3210000}"/>
    <cellStyle name="Note 3 3 4 2" xfId="3663" xr:uid="{00000000-0005-0000-0000-0000C4210000}"/>
    <cellStyle name="Note 3 3 4 2 2" xfId="7885" xr:uid="{00000000-0005-0000-0000-0000C5210000}"/>
    <cellStyle name="Note 3 3 4 2 2 2" xfId="16335" xr:uid="{34BF17BB-4FD0-4F61-A6D9-77E81B945752}"/>
    <cellStyle name="Note 3 3 4 2 3" xfId="12117" xr:uid="{5A4D858D-AEB5-4A0D-ABE3-01D8C306B55F}"/>
    <cellStyle name="Note 3 3 4 3" xfId="5740" xr:uid="{00000000-0005-0000-0000-0000C6210000}"/>
    <cellStyle name="Note 3 3 4 3 2" xfId="14190" xr:uid="{895F6A1A-490F-4D8A-905A-967ED33E0189}"/>
    <cellStyle name="Note 3 3 4 4" xfId="9972" xr:uid="{1B277F07-921B-4290-B63B-93F336965F6D}"/>
    <cellStyle name="Note 3 3 5" xfId="1847" xr:uid="{00000000-0005-0000-0000-0000C7210000}"/>
    <cellStyle name="Note 3 3 5 2" xfId="4076" xr:uid="{00000000-0005-0000-0000-0000C8210000}"/>
    <cellStyle name="Note 3 3 5 2 2" xfId="8298" xr:uid="{00000000-0005-0000-0000-0000C9210000}"/>
    <cellStyle name="Note 3 3 5 2 2 2" xfId="16748" xr:uid="{1FA74C56-1FD6-4926-A5F0-D14479664AEC}"/>
    <cellStyle name="Note 3 3 5 2 3" xfId="12530" xr:uid="{8100D7EB-4108-49AB-AE7C-73902F5E7B04}"/>
    <cellStyle name="Note 3 3 5 3" xfId="6153" xr:uid="{00000000-0005-0000-0000-0000CA210000}"/>
    <cellStyle name="Note 3 3 5 3 2" xfId="14603" xr:uid="{078C8A56-93E5-4D75-8BA9-E82F652DDEF4}"/>
    <cellStyle name="Note 3 3 5 4" xfId="10385" xr:uid="{5ECFF7C5-C652-44FB-ADA1-67A63ECAA71A}"/>
    <cellStyle name="Note 3 3 6" xfId="2260" xr:uid="{00000000-0005-0000-0000-0000CB210000}"/>
    <cellStyle name="Note 3 3 6 2" xfId="4489" xr:uid="{00000000-0005-0000-0000-0000CC210000}"/>
    <cellStyle name="Note 3 3 6 2 2" xfId="8711" xr:uid="{00000000-0005-0000-0000-0000CD210000}"/>
    <cellStyle name="Note 3 3 6 2 2 2" xfId="17161" xr:uid="{8C4E6CB3-31BF-493A-A18E-579D8F52B18E}"/>
    <cellStyle name="Note 3 3 6 2 3" xfId="12943" xr:uid="{6B0CE96E-3F74-4E4E-AA11-FCEDF155EFC9}"/>
    <cellStyle name="Note 3 3 6 3" xfId="6566" xr:uid="{00000000-0005-0000-0000-0000CE210000}"/>
    <cellStyle name="Note 3 3 6 3 2" xfId="15016" xr:uid="{873DEDA2-4AE4-4447-BB05-287E5011B919}"/>
    <cellStyle name="Note 3 3 6 4" xfId="10798" xr:uid="{70F9129D-2A54-4F73-B2EA-AA05B2AEC431}"/>
    <cellStyle name="Note 3 3 7" xfId="2696" xr:uid="{00000000-0005-0000-0000-0000CF210000}"/>
    <cellStyle name="Note 3 3 7 2" xfId="6979" xr:uid="{00000000-0005-0000-0000-0000D0210000}"/>
    <cellStyle name="Note 3 3 7 2 2" xfId="15429" xr:uid="{EB74BD10-34F0-4D26-8DC3-D9D248F466BA}"/>
    <cellStyle name="Note 3 3 7 3" xfId="11211" xr:uid="{AEA0565F-31B7-44DF-8975-5A4B8CD9F6FB}"/>
    <cellStyle name="Note 3 3 8" xfId="2755" xr:uid="{00000000-0005-0000-0000-0000D1210000}"/>
    <cellStyle name="Note 3 3 9" xfId="2836" xr:uid="{00000000-0005-0000-0000-0000D2210000}"/>
    <cellStyle name="Note 3 3 9 2" xfId="7059" xr:uid="{00000000-0005-0000-0000-0000D3210000}"/>
    <cellStyle name="Note 3 3 9 2 2" xfId="15509" xr:uid="{03FF8937-20AD-4D50-8A47-DA8DE70A3063}"/>
    <cellStyle name="Note 3 3 9 3" xfId="11291" xr:uid="{C52C9DC9-518A-4014-A6E7-36B95C649DA3}"/>
    <cellStyle name="Note 3 4" xfId="560" xr:uid="{00000000-0005-0000-0000-0000D4210000}"/>
    <cellStyle name="Note 3 4 10" xfId="9148" xr:uid="{30AAE9A1-87CF-41FB-9B84-CA75D18693B2}"/>
    <cellStyle name="Note 3 4 2" xfId="1020" xr:uid="{00000000-0005-0000-0000-0000D5210000}"/>
    <cellStyle name="Note 3 4 2 2" xfId="3252" xr:uid="{00000000-0005-0000-0000-0000D6210000}"/>
    <cellStyle name="Note 3 4 2 2 2" xfId="7474" xr:uid="{00000000-0005-0000-0000-0000D7210000}"/>
    <cellStyle name="Note 3 4 2 2 2 2" xfId="15924" xr:uid="{12F15DEA-60AE-4540-8BBD-03F6D6E9E8BF}"/>
    <cellStyle name="Note 3 4 2 2 3" xfId="11706" xr:uid="{4040A1A1-E886-456C-9DEC-FBB8FD9FAF1F}"/>
    <cellStyle name="Note 3 4 2 3" xfId="5329" xr:uid="{00000000-0005-0000-0000-0000D8210000}"/>
    <cellStyle name="Note 3 4 2 3 2" xfId="13779" xr:uid="{172BCB06-B39D-42C6-9EC4-2F9F872E0282}"/>
    <cellStyle name="Note 3 4 2 4" xfId="9561" xr:uid="{A59D0D10-1F1E-4FAC-8FD7-EB59E21FBFDC}"/>
    <cellStyle name="Note 3 4 3" xfId="1435" xr:uid="{00000000-0005-0000-0000-0000D9210000}"/>
    <cellStyle name="Note 3 4 3 2" xfId="3665" xr:uid="{00000000-0005-0000-0000-0000DA210000}"/>
    <cellStyle name="Note 3 4 3 2 2" xfId="7887" xr:uid="{00000000-0005-0000-0000-0000DB210000}"/>
    <cellStyle name="Note 3 4 3 2 2 2" xfId="16337" xr:uid="{47475381-A0C9-4DB4-B06C-6BF67218D891}"/>
    <cellStyle name="Note 3 4 3 2 3" xfId="12119" xr:uid="{F9E1B085-5E0A-41DD-BF91-C3C1974F2567}"/>
    <cellStyle name="Note 3 4 3 3" xfId="5742" xr:uid="{00000000-0005-0000-0000-0000DC210000}"/>
    <cellStyle name="Note 3 4 3 3 2" xfId="14192" xr:uid="{370D8376-E9F2-4E80-AF50-31EC9F1833E9}"/>
    <cellStyle name="Note 3 4 3 4" xfId="9974" xr:uid="{70D5DEFC-F452-4337-B907-BFC1EEB5EA5A}"/>
    <cellStyle name="Note 3 4 4" xfId="1849" xr:uid="{00000000-0005-0000-0000-0000DD210000}"/>
    <cellStyle name="Note 3 4 4 2" xfId="4078" xr:uid="{00000000-0005-0000-0000-0000DE210000}"/>
    <cellStyle name="Note 3 4 4 2 2" xfId="8300" xr:uid="{00000000-0005-0000-0000-0000DF210000}"/>
    <cellStyle name="Note 3 4 4 2 2 2" xfId="16750" xr:uid="{16910628-A0F7-4273-8BDF-0F232BA33412}"/>
    <cellStyle name="Note 3 4 4 2 3" xfId="12532" xr:uid="{CDD2328D-CA35-47C3-8C5D-E6EEE92C54D3}"/>
    <cellStyle name="Note 3 4 4 3" xfId="6155" xr:uid="{00000000-0005-0000-0000-0000E0210000}"/>
    <cellStyle name="Note 3 4 4 3 2" xfId="14605" xr:uid="{03D297F7-64D9-47F2-BF89-2B881929F92E}"/>
    <cellStyle name="Note 3 4 4 4" xfId="10387" xr:uid="{5FD0DF44-561F-4CB6-B87C-4A49C76EB5FA}"/>
    <cellStyle name="Note 3 4 5" xfId="2262" xr:uid="{00000000-0005-0000-0000-0000E1210000}"/>
    <cellStyle name="Note 3 4 5 2" xfId="4491" xr:uid="{00000000-0005-0000-0000-0000E2210000}"/>
    <cellStyle name="Note 3 4 5 2 2" xfId="8713" xr:uid="{00000000-0005-0000-0000-0000E3210000}"/>
    <cellStyle name="Note 3 4 5 2 2 2" xfId="17163" xr:uid="{7B195414-936F-4BFE-B9C0-C94616C71FBF}"/>
    <cellStyle name="Note 3 4 5 2 3" xfId="12945" xr:uid="{186D30CC-C6E2-452C-98BF-674E2D58E53E}"/>
    <cellStyle name="Note 3 4 5 3" xfId="6568" xr:uid="{00000000-0005-0000-0000-0000E4210000}"/>
    <cellStyle name="Note 3 4 5 3 2" xfId="15018" xr:uid="{CC931522-984F-428A-B4F6-024AFA117DCB}"/>
    <cellStyle name="Note 3 4 5 4" xfId="10800" xr:uid="{4EB35F7D-CD87-4EB0-ADF0-A20B5F78B965}"/>
    <cellStyle name="Note 3 4 6" xfId="2698" xr:uid="{00000000-0005-0000-0000-0000E5210000}"/>
    <cellStyle name="Note 3 4 6 2" xfId="6981" xr:uid="{00000000-0005-0000-0000-0000E6210000}"/>
    <cellStyle name="Note 3 4 6 2 2" xfId="15431" xr:uid="{65415A53-1E8D-4A46-B54D-FE189D34C79B}"/>
    <cellStyle name="Note 3 4 6 3" xfId="11213" xr:uid="{CF7BF2BE-DCC7-4DB2-8C1D-79304FC20985}"/>
    <cellStyle name="Note 3 4 7" xfId="2757" xr:uid="{00000000-0005-0000-0000-0000E7210000}"/>
    <cellStyle name="Note 3 4 8" xfId="2838" xr:uid="{00000000-0005-0000-0000-0000E8210000}"/>
    <cellStyle name="Note 3 4 8 2" xfId="7061" xr:uid="{00000000-0005-0000-0000-0000E9210000}"/>
    <cellStyle name="Note 3 4 8 2 2" xfId="15511" xr:uid="{0D161E13-56D3-4223-9889-584D392B985D}"/>
    <cellStyle name="Note 3 4 8 3" xfId="11293" xr:uid="{B6D0DA9E-AF29-41C4-97E7-17B477EEF9FF}"/>
    <cellStyle name="Note 3 4 9" xfId="4916" xr:uid="{00000000-0005-0000-0000-0000EA210000}"/>
    <cellStyle name="Note 3 4 9 2" xfId="13366" xr:uid="{A09842D1-4876-4A65-A458-CF7EAE4634E5}"/>
    <cellStyle name="Note 3 5" xfId="561" xr:uid="{00000000-0005-0000-0000-0000EB210000}"/>
    <cellStyle name="Note 3 5 10" xfId="9149" xr:uid="{7F2D95E7-9D8B-4E74-847B-02FF5C4F2003}"/>
    <cellStyle name="Note 3 5 2" xfId="1021" xr:uid="{00000000-0005-0000-0000-0000EC210000}"/>
    <cellStyle name="Note 3 5 2 2" xfId="3253" xr:uid="{00000000-0005-0000-0000-0000ED210000}"/>
    <cellStyle name="Note 3 5 2 2 2" xfId="7475" xr:uid="{00000000-0005-0000-0000-0000EE210000}"/>
    <cellStyle name="Note 3 5 2 2 2 2" xfId="15925" xr:uid="{6AA3926D-F458-4EE5-AA1D-78C5D0DB98D5}"/>
    <cellStyle name="Note 3 5 2 2 3" xfId="11707" xr:uid="{02D0C73F-67EC-4484-8BA4-F1687C059953}"/>
    <cellStyle name="Note 3 5 2 3" xfId="5330" xr:uid="{00000000-0005-0000-0000-0000EF210000}"/>
    <cellStyle name="Note 3 5 2 3 2" xfId="13780" xr:uid="{9CF14363-2ACE-453B-8502-B49AA014C0E6}"/>
    <cellStyle name="Note 3 5 2 4" xfId="9562" xr:uid="{1DA950CA-ADAC-4B6B-A2DA-0FCBB51B3AB1}"/>
    <cellStyle name="Note 3 5 3" xfId="1436" xr:uid="{00000000-0005-0000-0000-0000F0210000}"/>
    <cellStyle name="Note 3 5 3 2" xfId="3666" xr:uid="{00000000-0005-0000-0000-0000F1210000}"/>
    <cellStyle name="Note 3 5 3 2 2" xfId="7888" xr:uid="{00000000-0005-0000-0000-0000F2210000}"/>
    <cellStyle name="Note 3 5 3 2 2 2" xfId="16338" xr:uid="{415DAC66-FD2E-46FE-ABE6-5E988CAE2DCF}"/>
    <cellStyle name="Note 3 5 3 2 3" xfId="12120" xr:uid="{7BD21C62-9C68-4EAA-B870-3529F1982153}"/>
    <cellStyle name="Note 3 5 3 3" xfId="5743" xr:uid="{00000000-0005-0000-0000-0000F3210000}"/>
    <cellStyle name="Note 3 5 3 3 2" xfId="14193" xr:uid="{B0BC141D-1151-43BE-BA84-186FAA567415}"/>
    <cellStyle name="Note 3 5 3 4" xfId="9975" xr:uid="{1E4445C6-3C56-407F-992E-D21C892DA87F}"/>
    <cellStyle name="Note 3 5 4" xfId="1850" xr:uid="{00000000-0005-0000-0000-0000F4210000}"/>
    <cellStyle name="Note 3 5 4 2" xfId="4079" xr:uid="{00000000-0005-0000-0000-0000F5210000}"/>
    <cellStyle name="Note 3 5 4 2 2" xfId="8301" xr:uid="{00000000-0005-0000-0000-0000F6210000}"/>
    <cellStyle name="Note 3 5 4 2 2 2" xfId="16751" xr:uid="{86872CA6-33E4-4884-B063-B8A09002AD23}"/>
    <cellStyle name="Note 3 5 4 2 3" xfId="12533" xr:uid="{471154CC-7996-4C53-A33A-056B9B0649A4}"/>
    <cellStyle name="Note 3 5 4 3" xfId="6156" xr:uid="{00000000-0005-0000-0000-0000F7210000}"/>
    <cellStyle name="Note 3 5 4 3 2" xfId="14606" xr:uid="{5CC66594-F071-4A27-A67E-166C724BAD93}"/>
    <cellStyle name="Note 3 5 4 4" xfId="10388" xr:uid="{DC5D05DB-50FE-4A4D-A9C3-60ACDECB1DAA}"/>
    <cellStyle name="Note 3 5 5" xfId="2263" xr:uid="{00000000-0005-0000-0000-0000F8210000}"/>
    <cellStyle name="Note 3 5 5 2" xfId="4492" xr:uid="{00000000-0005-0000-0000-0000F9210000}"/>
    <cellStyle name="Note 3 5 5 2 2" xfId="8714" xr:uid="{00000000-0005-0000-0000-0000FA210000}"/>
    <cellStyle name="Note 3 5 5 2 2 2" xfId="17164" xr:uid="{096256E1-15EC-47BB-87C0-3FA71727BB53}"/>
    <cellStyle name="Note 3 5 5 2 3" xfId="12946" xr:uid="{1D8AC0D3-070B-475A-A03A-AA0E8B04AAD6}"/>
    <cellStyle name="Note 3 5 5 3" xfId="6569" xr:uid="{00000000-0005-0000-0000-0000FB210000}"/>
    <cellStyle name="Note 3 5 5 3 2" xfId="15019" xr:uid="{76EFD0CD-ACC8-45C9-8194-3E367C26B056}"/>
    <cellStyle name="Note 3 5 5 4" xfId="10801" xr:uid="{0EF95282-FF43-4E6A-A01F-4DD109A5248A}"/>
    <cellStyle name="Note 3 5 6" xfId="2699" xr:uid="{00000000-0005-0000-0000-0000FC210000}"/>
    <cellStyle name="Note 3 5 6 2" xfId="6982" xr:uid="{00000000-0005-0000-0000-0000FD210000}"/>
    <cellStyle name="Note 3 5 6 2 2" xfId="15432" xr:uid="{EC56ECDC-1AAD-4DB4-8B60-FD77D6450EBE}"/>
    <cellStyle name="Note 3 5 6 3" xfId="11214" xr:uid="{3F91E7F9-0C9C-4303-B521-5D9612FE4330}"/>
    <cellStyle name="Note 3 5 7" xfId="2758" xr:uid="{00000000-0005-0000-0000-0000FE210000}"/>
    <cellStyle name="Note 3 5 8" xfId="2839" xr:uid="{00000000-0005-0000-0000-0000FF210000}"/>
    <cellStyle name="Note 3 5 8 2" xfId="7062" xr:uid="{00000000-0005-0000-0000-000000220000}"/>
    <cellStyle name="Note 3 5 8 2 2" xfId="15512" xr:uid="{E936EBA9-7345-41C9-86AB-525267E1BEE8}"/>
    <cellStyle name="Note 3 5 8 3" xfId="11294" xr:uid="{C6C5E0BB-1334-499B-BF8E-DE0367F3EDB7}"/>
    <cellStyle name="Note 3 5 9" xfId="4917" xr:uid="{00000000-0005-0000-0000-000001220000}"/>
    <cellStyle name="Note 3 5 9 2" xfId="13367" xr:uid="{CF8CEC50-0EFC-4360-9C9A-92C3AB088ADD}"/>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4AE4C3EF-78A4-40D0-BA41-D73F60FE520D}"/>
    <cellStyle name="Percent 4" xfId="4502" xr:uid="{00000000-0005-0000-0000-000007220000}"/>
    <cellStyle name="Percent 4 2" xfId="8717" xr:uid="{00000000-0005-0000-0000-000008220000}"/>
    <cellStyle name="Percent 4 2 2" xfId="17167" xr:uid="{F79ADADF-83E1-4FD8-B0DA-59163CA25E11}"/>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A6E88452-FE08-41D4-BE66-997C8C84601F}"/>
    <cellStyle name="Percent 4 3 2 2 2 3" xfId="17180" xr:uid="{7B03FAF1-DB8F-427F-ACD0-E4ABA82F2D1C}"/>
    <cellStyle name="Percent 4 3 2 2 3" xfId="17176" xr:uid="{7AD21F13-8377-444E-8DAC-80BCA2EFEDBE}"/>
    <cellStyle name="Percent 4 3 2 3" xfId="17173" xr:uid="{475A6154-3FDA-4A3F-806F-2D7C8E7E7920}"/>
    <cellStyle name="Percent 4 3 3" xfId="17170" xr:uid="{4C098991-CA4B-4CA9-B245-431CF500CDC0}"/>
    <cellStyle name="Percent 4 4" xfId="12953" xr:uid="{572EEA38-8430-4E11-AA9F-51DE0692C2E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26" workbookViewId="0">
      <selection activeCell="A226" sqref="A226"/>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4"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2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2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25" customHeight="1">
      <c r="A40" s="3"/>
      <c r="B40"/>
      <c r="C40" s="2"/>
      <c r="D40" s="3"/>
      <c r="E40" s="3" t="s">
        <v>20</v>
      </c>
      <c r="F40" s="1224" t="s">
        <v>21</v>
      </c>
    </row>
    <row r="41" spans="1:38" s="1224"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2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2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113" sqref="H113"/>
    </sheetView>
  </sheetViews>
  <sheetFormatPr baseColWidth="10" defaultColWidth="9.1640625" defaultRowHeight="14"/>
  <cols>
    <col min="1" max="1" width="2.5" style="934" customWidth="1"/>
    <col min="2" max="9" width="14.6640625" style="934" customWidth="1"/>
    <col min="10" max="10" width="2.33203125" style="934" customWidth="1"/>
    <col min="11" max="11" width="11.83203125" style="935" customWidth="1"/>
    <col min="12" max="12" width="10.6640625" style="934" customWidth="1"/>
    <col min="13" max="13" width="10.5" style="934" customWidth="1"/>
    <col min="14" max="14" width="10.83203125" style="934" customWidth="1"/>
    <col min="15" max="18" width="9.1640625" style="934"/>
    <col min="19" max="19" width="9.5" style="934" bestFit="1" customWidth="1"/>
    <col min="20" max="16384" width="9.1640625" style="934"/>
  </cols>
  <sheetData>
    <row r="1" spans="1:13" ht="30" customHeight="1">
      <c r="A1" s="2585" t="s">
        <v>2579</v>
      </c>
      <c r="B1" s="2585"/>
      <c r="C1" s="2585"/>
      <c r="D1" s="2585"/>
      <c r="E1" s="2585"/>
      <c r="F1" s="2585"/>
      <c r="G1" s="2585"/>
      <c r="H1" s="2585"/>
      <c r="I1" s="2585"/>
      <c r="J1" s="2585"/>
    </row>
    <row r="2" spans="1:13" ht="15" customHeight="1" thickBot="1">
      <c r="A2" s="936"/>
      <c r="B2" s="936"/>
      <c r="I2" s="937"/>
      <c r="K2" s="938"/>
    </row>
    <row r="3" spans="1:13" s="941" customFormat="1" ht="20" customHeight="1">
      <c r="A3" s="989"/>
      <c r="B3" s="990"/>
      <c r="C3" s="991"/>
      <c r="D3" s="996"/>
      <c r="E3" s="991"/>
      <c r="F3" s="992" t="s">
        <v>2580</v>
      </c>
      <c r="G3" s="991"/>
      <c r="H3" s="993">
        <f>E18</f>
        <v>71887288</v>
      </c>
      <c r="I3" s="994"/>
    </row>
    <row r="4" spans="1:13" s="941" customFormat="1" ht="20" customHeight="1">
      <c r="B4" s="983"/>
      <c r="D4" s="997"/>
      <c r="F4" s="981" t="s">
        <v>2581</v>
      </c>
      <c r="G4" s="980" t="s">
        <v>2582</v>
      </c>
      <c r="H4" s="982">
        <f>I18</f>
        <v>63934640.522875816</v>
      </c>
      <c r="I4" s="984"/>
      <c r="K4" s="945"/>
    </row>
    <row r="5" spans="1:13" s="941" customFormat="1" ht="20" customHeight="1" thickBot="1">
      <c r="B5" s="985"/>
      <c r="C5" s="986"/>
      <c r="D5" s="998"/>
      <c r="E5" s="987"/>
      <c r="F5" s="998" t="s">
        <v>2583</v>
      </c>
      <c r="G5" s="999"/>
      <c r="H5" s="995">
        <f>IFERROR(H3/H4,0)</f>
        <v>1.124387146186874</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88" t="s">
        <v>2584</v>
      </c>
      <c r="C8" s="2589"/>
      <c r="D8" s="2589"/>
      <c r="E8" s="2590"/>
      <c r="G8" s="2591" t="s">
        <v>2585</v>
      </c>
      <c r="H8" s="2592"/>
      <c r="I8" s="2593"/>
      <c r="K8" s="947"/>
    </row>
    <row r="9" spans="1:13" ht="15" customHeight="1">
      <c r="A9" s="936"/>
      <c r="B9" s="2586" t="s">
        <v>2586</v>
      </c>
      <c r="C9" s="2586"/>
      <c r="D9" s="2586"/>
      <c r="E9" s="949">
        <f>G33</f>
        <v>12450000</v>
      </c>
      <c r="G9" s="2594" t="s">
        <v>2587</v>
      </c>
      <c r="H9" s="2594"/>
      <c r="I9" s="950">
        <f>SUMIF(Application!M554:M565,"Loan, Tax-Exempt",Application!AM554:AM565)</f>
        <v>80000000</v>
      </c>
      <c r="K9" s="951"/>
      <c r="M9" s="952"/>
    </row>
    <row r="10" spans="1:13" ht="15" customHeight="1" thickBot="1">
      <c r="A10" s="936"/>
      <c r="B10" s="2586" t="s">
        <v>2588</v>
      </c>
      <c r="C10" s="2586"/>
      <c r="D10" s="2586"/>
      <c r="E10" s="950">
        <f>G47</f>
        <v>35280288</v>
      </c>
      <c r="G10" s="2598" t="s">
        <v>2589</v>
      </c>
      <c r="H10" s="2598"/>
      <c r="I10" s="1029">
        <f>'Basis &amp; Credits'!AB78</f>
        <v>0</v>
      </c>
      <c r="M10" s="952"/>
    </row>
    <row r="11" spans="1:13" ht="15" customHeight="1">
      <c r="A11" s="936"/>
      <c r="B11" s="2602" t="s">
        <v>2590</v>
      </c>
      <c r="C11" s="2603"/>
      <c r="D11" s="2604"/>
      <c r="E11" s="950">
        <f>SUM(E12,E13)</f>
        <v>1000000</v>
      </c>
      <c r="G11" s="2601" t="s">
        <v>2591</v>
      </c>
      <c r="H11" s="2601"/>
      <c r="I11" s="1028">
        <f>I9+I10</f>
        <v>80000000</v>
      </c>
      <c r="M11" s="952"/>
    </row>
    <row r="12" spans="1:13" ht="15" customHeight="1">
      <c r="A12" s="953"/>
      <c r="B12" s="2587" t="s">
        <v>2592</v>
      </c>
      <c r="C12" s="2587"/>
      <c r="D12" s="2587"/>
      <c r="E12" s="1054">
        <f>G56</f>
        <v>0</v>
      </c>
      <c r="M12" s="952"/>
    </row>
    <row r="13" spans="1:13" ht="15" customHeight="1">
      <c r="A13" s="939"/>
      <c r="B13" s="2587" t="s">
        <v>2593</v>
      </c>
      <c r="C13" s="2587"/>
      <c r="D13" s="2587"/>
      <c r="E13" s="1054">
        <f>G65</f>
        <v>1000000</v>
      </c>
      <c r="G13" s="2591" t="s">
        <v>2594</v>
      </c>
      <c r="H13" s="2592"/>
      <c r="I13" s="2593"/>
      <c r="M13" s="952"/>
    </row>
    <row r="14" spans="1:13" ht="15" customHeight="1">
      <c r="A14" s="939"/>
      <c r="B14" s="2602" t="s">
        <v>2595</v>
      </c>
      <c r="C14" s="2603"/>
      <c r="D14" s="2604"/>
      <c r="E14" s="1056">
        <f>MAX(E15,E16)+E17</f>
        <v>23157000</v>
      </c>
      <c r="G14" s="2594" t="s">
        <v>1777</v>
      </c>
      <c r="H14" s="2594"/>
      <c r="I14" s="954">
        <f>15%*(AND(G120="Yes",G122&lt;&gt;""))</f>
        <v>0.15</v>
      </c>
      <c r="M14" s="952"/>
    </row>
    <row r="15" spans="1:13" ht="15" customHeight="1">
      <c r="A15" s="939"/>
      <c r="B15" s="2605" t="s">
        <v>2596</v>
      </c>
      <c r="C15" s="2606"/>
      <c r="D15" s="2607"/>
      <c r="E15" s="1054">
        <f>G80</f>
        <v>4980000</v>
      </c>
      <c r="G15" s="1026" t="s">
        <v>1899</v>
      </c>
      <c r="H15" s="1026"/>
      <c r="I15" s="954">
        <f>IF(Application!AJ1032&gt;0,10%,IF(Application!AJ1036&gt;0,5%,0))</f>
        <v>0.05</v>
      </c>
      <c r="M15" s="952"/>
    </row>
    <row r="16" spans="1:13" ht="15" customHeight="1">
      <c r="A16" s="939"/>
      <c r="B16" s="2605" t="s">
        <v>2597</v>
      </c>
      <c r="C16" s="2606"/>
      <c r="D16" s="2607"/>
      <c r="E16" s="1054">
        <f>G90</f>
        <v>0</v>
      </c>
      <c r="G16" s="2594" t="s">
        <v>2598</v>
      </c>
      <c r="H16" s="2594"/>
      <c r="I16" s="954">
        <f>G132</f>
        <v>8.1699346405228761E-4</v>
      </c>
    </row>
    <row r="17" spans="1:21" ht="15" customHeight="1" thickBot="1">
      <c r="A17" s="939"/>
      <c r="B17" s="2605" t="s">
        <v>2599</v>
      </c>
      <c r="C17" s="2606"/>
      <c r="D17" s="2607"/>
      <c r="E17" s="1054">
        <f>G115</f>
        <v>18177000</v>
      </c>
      <c r="G17" s="2594" t="s">
        <v>2600</v>
      </c>
      <c r="H17" s="2594"/>
      <c r="I17" s="954">
        <f>IF(AND(G139="Yes",OR(G136,G137)),IF(G143&gt;15%,15%,G143),0)</f>
        <v>0</v>
      </c>
    </row>
    <row r="18" spans="1:21" ht="15" customHeight="1">
      <c r="A18" s="936"/>
      <c r="B18" s="2597" t="s">
        <v>2601</v>
      </c>
      <c r="C18" s="2597"/>
      <c r="D18" s="2597"/>
      <c r="E18" s="1000">
        <f>SUM(E9:E11,E14)</f>
        <v>71887288</v>
      </c>
      <c r="G18" s="1027" t="s">
        <v>2602</v>
      </c>
      <c r="H18" s="1027"/>
      <c r="I18" s="1001">
        <f>I11-((I11*I14)+(I11*I15)+(I11*I16)+(I11*I17))</f>
        <v>63934640.522875816</v>
      </c>
      <c r="M18" s="955">
        <f>SUM(Cdlac[Quantity])</f>
        <v>197</v>
      </c>
      <c r="O18" s="974" t="s">
        <v>934</v>
      </c>
      <c r="P18" s="934">
        <f>MATCH(Application!T189,Application!CB160:CB217,0)</f>
        <v>37</v>
      </c>
      <c r="T18" s="955">
        <f>SUM(Cdlac[Population])</f>
        <v>0</v>
      </c>
    </row>
    <row r="19" spans="1:21" ht="15" customHeight="1">
      <c r="A19" s="936"/>
      <c r="B19" s="936"/>
      <c r="C19" s="936"/>
      <c r="D19" s="936"/>
      <c r="E19" s="936"/>
      <c r="L19" s="934" t="s">
        <v>2603</v>
      </c>
      <c r="M19" s="934" t="s">
        <v>2604</v>
      </c>
      <c r="N19" s="934" t="s">
        <v>2605</v>
      </c>
      <c r="O19" s="934" t="s">
        <v>2606</v>
      </c>
      <c r="P19" s="934" t="s">
        <v>2607</v>
      </c>
      <c r="Q19" s="934" t="s">
        <v>2608</v>
      </c>
      <c r="R19" s="934" t="s">
        <v>2609</v>
      </c>
      <c r="S19" s="934" t="s">
        <v>2610</v>
      </c>
      <c r="T19" s="934" t="s">
        <v>2611</v>
      </c>
      <c r="U19" s="934" t="s">
        <v>997</v>
      </c>
    </row>
    <row r="20" spans="1:21" ht="15" customHeight="1">
      <c r="B20" s="956" t="str">
        <f>B9</f>
        <v>A. Unit Production Benefit</v>
      </c>
      <c r="C20" s="957"/>
      <c r="D20" s="957"/>
      <c r="E20" s="957"/>
      <c r="F20" s="957"/>
      <c r="G20" s="957"/>
      <c r="H20" s="957"/>
      <c r="I20" s="958"/>
      <c r="L20" s="934">
        <f>IFERROR(MIN(4,MATCH(Application!B718,UnitSizes,0)-1),"")</f>
        <v>1</v>
      </c>
      <c r="M20" s="955">
        <f>Application!G718</f>
        <v>5</v>
      </c>
      <c r="N20" s="961">
        <f>Application!AC718</f>
        <v>0.3</v>
      </c>
      <c r="O20" s="961">
        <f>IF(Cdlac[[#This Row],[Quantity]]&gt;0,IF(Cdlac[[#This Row],[Federal]],30%,IF(AND(OR(NOT($G$38),$G$38=""),$G$43),40%,Cdlac[[#This Row],[iAMI]])),"")</f>
        <v>0.3</v>
      </c>
      <c r="P20" s="955" cm="1">
        <f t="array" ref="P20">IF(Cdlac[[#This Row],[Quantity]]&gt;0,INDEX(TcacRents,$P$18,Cdlac[[#This Row],[Bedrooms]]+1)*Cdlac[[#This Row],[AMI]],"")</f>
        <v>930</v>
      </c>
      <c r="Q20" s="1053"/>
      <c r="R20" s="955" cm="1">
        <f t="array" ref="R20">IF(Cdlac[[#This Row],[Quantity]]&gt;0,INDEX(HudFmrs,$P$18,Cdlac[[#This Row],[Bedrooms]]+1),"")</f>
        <v>2328</v>
      </c>
      <c r="S20" s="955">
        <f>IF(Cdlac[[#This Row],[Quantity]]&gt;0,MAX(0,Cdlac[[#This Row],[Fair Market Rent]]-IF(AND($G$37,$G$38,$G$38&lt;&gt;"",NOT(Cdlac[[#This Row],[Federal]]),Cdlac[[#This Row],[Preservation Rent]]&lt;&gt;""),Cdlac[[#This Row],[Preservation Rent]],Cdlac[[#This Row],[Restricted Rent]])),"")</f>
        <v>1398</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11</v>
      </c>
      <c r="N21" s="961">
        <f>Application!AC719</f>
        <v>0.4</v>
      </c>
      <c r="O21" s="961">
        <f>IF(Cdlac[[#This Row],[Quantity]]&gt;0,IF(Cdlac[[#This Row],[Federal]],30%,IF(AND(OR(NOT($G$38),$G$38=""),$G$43),40%,Cdlac[[#This Row],[iAMI]])),"")</f>
        <v>0.3</v>
      </c>
      <c r="P21" s="955" cm="1">
        <f t="array" ref="P21">IF(Cdlac[[#This Row],[Quantity]]&gt;0,INDEX(TcacRents,$P$18,Cdlac[[#This Row],[Bedrooms]]+1)*Cdlac[[#This Row],[AMI]],"")</f>
        <v>930</v>
      </c>
      <c r="Q21" s="1053"/>
      <c r="R21" s="955" cm="1">
        <f t="array" ref="R21">IF(Cdlac[[#This Row],[Quantity]]&gt;0,INDEX(HudFmrs,$P$18,Cdlac[[#This Row],[Bedrooms]]+1),"")</f>
        <v>2328</v>
      </c>
      <c r="S21" s="955">
        <f>IF(Cdlac[[#This Row],[Quantity]]&gt;0,MAX(0,Cdlac[[#This Row],[Fair Market Rent]]-IF(AND($G$37,$G$38,$G$38&lt;&gt;"",NOT(Cdlac[[#This Row],[Federal]]),Cdlac[[#This Row],[Preservation Rent]]&lt;&gt;""),Cdlac[[#This Row],[Preservation Rent]],Cdlac[[#This Row],[Restricted Rent]])),"")</f>
        <v>1398</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595" t="s">
        <v>2612</v>
      </c>
      <c r="D22" s="2595" t="s">
        <v>2613</v>
      </c>
      <c r="E22" s="2595" t="s">
        <v>2614</v>
      </c>
      <c r="F22" s="2595" t="s">
        <v>2615</v>
      </c>
      <c r="G22" s="2595" t="s">
        <v>2616</v>
      </c>
      <c r="H22" s="960"/>
      <c r="I22" s="959"/>
      <c r="L22" s="934">
        <f>IFERROR(MIN(4,MATCH(Application!B720,UnitSizes,0)-1),"")</f>
        <v>1</v>
      </c>
      <c r="M22" s="955">
        <f>Application!G720</f>
        <v>32</v>
      </c>
      <c r="N22" s="961">
        <f>Application!AC720</f>
        <v>0.6</v>
      </c>
      <c r="O22" s="961">
        <f>IF(Cdlac[[#This Row],[Quantity]]&gt;0,IF(Cdlac[[#This Row],[Federal]],30%,IF(AND(OR(NOT($G$38),$G$38=""),$G$43),40%,Cdlac[[#This Row],[iAMI]])),"")</f>
        <v>0.6</v>
      </c>
      <c r="P22" s="955" cm="1">
        <f t="array" ref="P22">IF(Cdlac[[#This Row],[Quantity]]&gt;0,INDEX(TcacRents,$P$18,Cdlac[[#This Row],[Bedrooms]]+1)*Cdlac[[#This Row],[AMI]],"")</f>
        <v>1860</v>
      </c>
      <c r="Q22" s="1053"/>
      <c r="R22" s="955" cm="1">
        <f t="array" ref="R22">IF(Cdlac[[#This Row],[Quantity]]&gt;0,INDEX(HudFmrs,$P$18,Cdlac[[#This Row],[Bedrooms]]+1),"")</f>
        <v>2328</v>
      </c>
      <c r="S22" s="955">
        <f>IF(Cdlac[[#This Row],[Quantity]]&gt;0,MAX(0,Cdlac[[#This Row],[Fair Market Rent]]-IF(AND($G$37,$G$38,$G$38&lt;&gt;"",NOT(Cdlac[[#This Row],[Federal]]),Cdlac[[#This Row],[Preservation Rent]]&lt;&gt;""),Cdlac[[#This Row],[Preservation Rent]],Cdlac[[#This Row],[Restricted Rent]])),"")</f>
        <v>468</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6"/>
      <c r="D23" s="2596"/>
      <c r="E23" s="2596"/>
      <c r="F23" s="2596"/>
      <c r="G23" s="2596"/>
      <c r="H23" s="960"/>
      <c r="I23" s="959"/>
      <c r="L23" s="934">
        <f>IFERROR(MIN(4,MATCH(Application!B721,UnitSizes,0)-1),"")</f>
        <v>2</v>
      </c>
      <c r="M23" s="955">
        <f>Application!G721</f>
        <v>15</v>
      </c>
      <c r="N23" s="961">
        <f>Application!AC721</f>
        <v>0.3</v>
      </c>
      <c r="O23" s="961">
        <f>IF(Cdlac[[#This Row],[Quantity]]&gt;0,IF(Cdlac[[#This Row],[Federal]],30%,IF(AND(OR(NOT($G$38),$G$38=""),$G$43),40%,Cdlac[[#This Row],[iAMI]])),"")</f>
        <v>0.3</v>
      </c>
      <c r="P23" s="955" cm="1">
        <f t="array" ref="P23">IF(Cdlac[[#This Row],[Quantity]]&gt;0,INDEX(TcacRents,$P$18,Cdlac[[#This Row],[Bedrooms]]+1)*Cdlac[[#This Row],[AMI]],"")</f>
        <v>1116.5999999999999</v>
      </c>
      <c r="Q23" s="1053"/>
      <c r="R23" s="955" cm="1">
        <f t="array" ref="R23">IF(Cdlac[[#This Row],[Quantity]]&gt;0,INDEX(HudFmrs,$P$18,Cdlac[[#This Row],[Bedrooms]]+1),"")</f>
        <v>2881</v>
      </c>
      <c r="S23" s="955">
        <f>IF(Cdlac[[#This Row],[Quantity]]&gt;0,MAX(0,Cdlac[[#This Row],[Fair Market Rent]]-IF(AND($G$37,$G$38,$G$38&lt;&gt;"",NOT(Cdlac[[#This Row],[Federal]]),Cdlac[[#This Row],[Preservation Rent]]&lt;&gt;""),Cdlac[[#This Row],[Preservation Rent]],Cdlac[[#This Row],[Restricted Rent]])),"")</f>
        <v>1764.4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42</v>
      </c>
      <c r="N24" s="961">
        <f>Application!AC722</f>
        <v>0.6</v>
      </c>
      <c r="O24" s="961">
        <f>IF(Cdlac[[#This Row],[Quantity]]&gt;0,IF(Cdlac[[#This Row],[Federal]],30%,IF(AND(OR(NOT($G$38),$G$38=""),$G$43),40%,Cdlac[[#This Row],[iAMI]])),"")</f>
        <v>0.6</v>
      </c>
      <c r="P24" s="955" cm="1">
        <f t="array" ref="P24">IF(Cdlac[[#This Row],[Quantity]]&gt;0,INDEX(TcacRents,$P$18,Cdlac[[#This Row],[Bedrooms]]+1)*Cdlac[[#This Row],[AMI]],"")</f>
        <v>2233.1999999999998</v>
      </c>
      <c r="Q24" s="1053"/>
      <c r="R24" s="955" cm="1">
        <f t="array" ref="R24">IF(Cdlac[[#This Row],[Quantity]]&gt;0,INDEX(HudFmrs,$P$18,Cdlac[[#This Row],[Bedrooms]]+1),"")</f>
        <v>2881</v>
      </c>
      <c r="S24" s="955">
        <f>IF(Cdlac[[#This Row],[Quantity]]&gt;0,MAX(0,Cdlac[[#This Row],[Fair Market Rent]]-IF(AND($G$37,$G$38,$G$38&lt;&gt;"",NOT(Cdlac[[#This Row],[Federal]]),Cdlac[[#This Row],[Preservation Rent]]&lt;&gt;""),Cdlac[[#This Row],[Preservation Rent]],Cdlac[[#This Row],[Restricted Rent]])),"")</f>
        <v>647.80000000000018</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48</v>
      </c>
      <c r="F25" s="962">
        <f>E25</f>
        <v>48</v>
      </c>
      <c r="G25" s="962">
        <f>D25*F25</f>
        <v>48</v>
      </c>
      <c r="L25" s="934">
        <f>IFERROR(MIN(4,MATCH(Application!B723,UnitSizes,0)-1),"")</f>
        <v>3</v>
      </c>
      <c r="M25" s="955">
        <f>Application!G723</f>
        <v>30</v>
      </c>
      <c r="N25" s="961">
        <f>Application!AC723</f>
        <v>0.3</v>
      </c>
      <c r="O25" s="961">
        <f>IF(Cdlac[[#This Row],[Quantity]]&gt;0,IF(Cdlac[[#This Row],[Federal]],30%,IF(AND(OR(NOT($G$38),$G$38=""),$G$43),40%,Cdlac[[#This Row],[iAMI]])),"")</f>
        <v>0.3</v>
      </c>
      <c r="P25" s="955" cm="1">
        <f t="array" ref="P25">IF(Cdlac[[#This Row],[Quantity]]&gt;0,INDEX(TcacRents,$P$18,Cdlac[[#This Row],[Bedrooms]]+1)*Cdlac[[#This Row],[AMI]],"")</f>
        <v>1290</v>
      </c>
      <c r="Q25" s="1053"/>
      <c r="R25" s="955" cm="1">
        <f t="array" ref="R25">IF(Cdlac[[#This Row],[Quantity]]&gt;0,INDEX(HudFmrs,$P$18,Cdlac[[#This Row],[Bedrooms]]+1),"")</f>
        <v>3852</v>
      </c>
      <c r="S25" s="955">
        <f>IF(Cdlac[[#This Row],[Quantity]]&gt;0,MAX(0,Cdlac[[#This Row],[Fair Market Rent]]-IF(AND($G$37,$G$38,$G$38&lt;&gt;"",NOT(Cdlac[[#This Row],[Federal]]),Cdlac[[#This Row],[Preservation Rent]]&lt;&gt;""),Cdlac[[#This Row],[Preservation Rent]],Cdlac[[#This Row],[Restricted Rent]])),"")</f>
        <v>2562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1</v>
      </c>
    </row>
    <row r="26" spans="1:21" ht="15" customHeight="1">
      <c r="A26" s="964"/>
      <c r="C26" s="965">
        <v>2</v>
      </c>
      <c r="D26" s="963">
        <v>1.25</v>
      </c>
      <c r="E26" s="962">
        <f>SUMIFS(Cdlac[Quantity],Cdlac[Bedrooms],C26)</f>
        <v>57</v>
      </c>
      <c r="F26" s="965">
        <f>SUM(E26:E28)-SUM(F27:F28)</f>
        <v>90</v>
      </c>
      <c r="G26" s="962">
        <f>D26*F26</f>
        <v>112.5</v>
      </c>
      <c r="H26" s="964"/>
      <c r="I26" s="964"/>
      <c r="L26" s="934">
        <f>IFERROR(MIN(4,MATCH(Application!B724,UnitSizes,0)-1),"")</f>
        <v>3</v>
      </c>
      <c r="M26" s="955">
        <f>Application!G724</f>
        <v>3</v>
      </c>
      <c r="N26" s="961">
        <f>Application!AC724</f>
        <v>0.6</v>
      </c>
      <c r="O26" s="961">
        <f>IF(Cdlac[[#This Row],[Quantity]]&gt;0,IF(Cdlac[[#This Row],[Federal]],30%,IF(AND(OR(NOT($G$38),$G$38=""),$G$43),40%,Cdlac[[#This Row],[iAMI]])),"")</f>
        <v>0.6</v>
      </c>
      <c r="P26" s="955" cm="1">
        <f t="array" ref="P26">IF(Cdlac[[#This Row],[Quantity]]&gt;0,INDEX(TcacRents,$P$18,Cdlac[[#This Row],[Bedrooms]]+1)*Cdlac[[#This Row],[AMI]],"")</f>
        <v>2580</v>
      </c>
      <c r="Q26" s="1053"/>
      <c r="R26" s="955" cm="1">
        <f t="array" ref="R26">IF(Cdlac[[#This Row],[Quantity]]&gt;0,INDEX(HudFmrs,$P$18,Cdlac[[#This Row],[Bedrooms]]+1),"")</f>
        <v>3852</v>
      </c>
      <c r="S26" s="955">
        <f>IF(Cdlac[[#This Row],[Quantity]]&gt;0,MAX(0,Cdlac[[#This Row],[Fair Market Rent]]-IF(AND($G$37,$G$38,$G$38&lt;&gt;"",NOT(Cdlac[[#This Row],[Federal]]),Cdlac[[#This Row],[Preservation Rent]]&lt;&gt;""),Cdlac[[#This Row],[Preservation Rent]],Cdlac[[#This Row],[Restricted Rent]])),"")</f>
        <v>1272</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92</v>
      </c>
      <c r="F27" s="965">
        <f>MIN(E27,ROUNDDOWN(E29*30%,0))</f>
        <v>59</v>
      </c>
      <c r="G27" s="962">
        <f>D27*F27</f>
        <v>88.5</v>
      </c>
      <c r="H27" s="964"/>
      <c r="I27" s="964"/>
      <c r="L27" s="934">
        <f>IFERROR(MIN(4,MATCH(Application!B725,UnitSizes,0)-1),"")</f>
        <v>3</v>
      </c>
      <c r="M27" s="955">
        <f>Application!G725</f>
        <v>59</v>
      </c>
      <c r="N27" s="961">
        <f>Application!AC725</f>
        <v>0.8</v>
      </c>
      <c r="O27" s="961">
        <f>IF(Cdlac[[#This Row],[Quantity]]&gt;0,IF(Cdlac[[#This Row],[Federal]],30%,IF(AND(OR(NOT($G$38),$G$38=""),$G$43),40%,Cdlac[[#This Row],[iAMI]])),"")</f>
        <v>0.8</v>
      </c>
      <c r="P27" s="955" cm="1">
        <f t="array" ref="P27">IF(Cdlac[[#This Row],[Quantity]]&gt;0,INDEX(TcacRents,$P$18,Cdlac[[#This Row],[Bedrooms]]+1)*Cdlac[[#This Row],[AMI]],"")</f>
        <v>3440</v>
      </c>
      <c r="Q27" s="1053"/>
      <c r="R27" s="955" cm="1">
        <f t="array" ref="R27">IF(Cdlac[[#This Row],[Quantity]]&gt;0,INDEX(HudFmrs,$P$18,Cdlac[[#This Row],[Bedrooms]]+1),"")</f>
        <v>3852</v>
      </c>
      <c r="S27" s="955">
        <f>IF(Cdlac[[#This Row],[Quantity]]&gt;0,MAX(0,Cdlac[[#This Row],[Fair Market Rent]]-IF(AND($G$37,$G$38,$G$38&lt;&gt;"",NOT(Cdlac[[#This Row],[Federal]]),Cdlac[[#This Row],[Preservation Rent]]&lt;&gt;""),Cdlac[[#This Row],[Preservation Rent]],Cdlac[[#This Row],[Restricted Rent]])),"")</f>
        <v>412</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09" t="s">
        <v>1916</v>
      </c>
      <c r="D29" s="2610"/>
      <c r="E29" s="978">
        <f>SUM(E24:E28)</f>
        <v>197</v>
      </c>
      <c r="F29" s="978">
        <f>SUM(F24:F28)</f>
        <v>197</v>
      </c>
      <c r="G29" s="979">
        <f>SUMPRODUCT(D24:D28,F24:F28)</f>
        <v>249</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2616</v>
      </c>
      <c r="G31" s="1003">
        <f>G29</f>
        <v>249</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2617</v>
      </c>
      <c r="F32" s="1002" t="s">
        <v>2618</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2619</v>
      </c>
      <c r="F33" s="936"/>
      <c r="G33" s="1008">
        <f>G32*G31</f>
        <v>12450000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2620</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2621</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2" t="str">
        <f>IF(AND(G37,G38,G38&lt;&gt;""),"Enter the average rent charged for each unit type over the last three years, as documented with rent rolls or property audits, in cells Q20:Q44","")</f>
        <v/>
      </c>
      <c r="D39" s="2612"/>
      <c r="E39" s="2612"/>
      <c r="F39" s="2612"/>
      <c r="G39" s="2612"/>
      <c r="H39" s="2612"/>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2"/>
      <c r="D40" s="2612"/>
      <c r="E40" s="2612"/>
      <c r="F40" s="2612"/>
      <c r="G40" s="2612"/>
      <c r="H40" s="2612"/>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2"/>
      <c r="D41" s="2612"/>
      <c r="E41" s="2612"/>
      <c r="F41" s="2612"/>
      <c r="G41" s="2612"/>
      <c r="H41" s="2612"/>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2622</v>
      </c>
      <c r="G42" s="1009" cm="1">
        <f t="array" ref="G42">SUMPRODUCT(Cdlac[Quantity],Cdlac[iAMI],IF(Cdlac[Federal],0,1))/SUMIFS(Cdlac[Quantity],Cdlac[Federal],FALSE)</f>
        <v>0.68676470588235294</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2623</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2624</v>
      </c>
      <c r="G45" s="968">
        <f>IFERROR(SUMPRODUCT(Cdlac[Quantity],Cdlac[Delta]),0)</f>
        <v>196001.6</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2625</v>
      </c>
      <c r="F46" s="1002" t="s">
        <v>2618</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2626</v>
      </c>
      <c r="F47" s="936"/>
      <c r="G47" s="1012">
        <f>G45*G46</f>
        <v>35280288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2627</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2628</v>
      </c>
      <c r="G52" s="1003">
        <f>ROUNDDOWN(E29*50%,0)</f>
        <v>98</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2629</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2617</v>
      </c>
      <c r="F55" s="1002" t="s">
        <v>2618</v>
      </c>
      <c r="G55" s="1013">
        <v>10000</v>
      </c>
      <c r="M55" s="955"/>
      <c r="N55" s="961"/>
      <c r="O55" s="961"/>
      <c r="P55" s="955"/>
      <c r="Q55" s="1053"/>
      <c r="R55" s="955"/>
      <c r="S55" s="955"/>
    </row>
    <row r="56" spans="2:21" ht="15" customHeight="1">
      <c r="E56" s="1007" t="s">
        <v>2630</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2631</v>
      </c>
      <c r="G60" s="969">
        <f>SUMIFS(Cdlac[Quantity],Cdlac[iAMI],"&lt;=30%")</f>
        <v>50</v>
      </c>
    </row>
    <row r="61" spans="2:21" ht="15" customHeight="1">
      <c r="E61" s="1006" t="s">
        <v>2628</v>
      </c>
      <c r="G61" s="969">
        <f>ROUNDDOWN(E29*50%,0)</f>
        <v>98</v>
      </c>
    </row>
    <row r="62" spans="2:21" ht="15" customHeight="1">
      <c r="E62" s="1006"/>
      <c r="G62" s="969"/>
    </row>
    <row r="63" spans="2:21" ht="15" customHeight="1">
      <c r="E63" s="1006" t="s">
        <v>2629</v>
      </c>
      <c r="G63" s="1003">
        <f>MIN(G60:G61)</f>
        <v>50</v>
      </c>
    </row>
    <row r="64" spans="2:21" ht="15" customHeight="1">
      <c r="E64" s="1006" t="s">
        <v>2617</v>
      </c>
      <c r="F64" s="1002" t="s">
        <v>2618</v>
      </c>
      <c r="G64" s="1013">
        <v>20000</v>
      </c>
    </row>
    <row r="65" spans="2:14" ht="15" customHeight="1">
      <c r="E65" s="1007" t="s">
        <v>2632</v>
      </c>
      <c r="F65" s="936"/>
      <c r="G65" s="1012">
        <f>G63*G64</f>
        <v>1000000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2633</v>
      </c>
      <c r="G69" s="933" t="s">
        <v>848</v>
      </c>
    </row>
    <row r="70" spans="2:14" ht="15" customHeight="1">
      <c r="C70" s="967" t="s">
        <v>2634</v>
      </c>
      <c r="G70" s="971" t="str">
        <f>IF(Application!D211="Large Family","Yes","No")</f>
        <v>Yes</v>
      </c>
    </row>
    <row r="71" spans="2:14" ht="15" customHeight="1" thickBot="1">
      <c r="C71" s="967" t="s">
        <v>2635</v>
      </c>
      <c r="G71" s="933"/>
    </row>
    <row r="72" spans="2:14" ht="15" customHeight="1">
      <c r="C72" s="967" t="s">
        <v>2636</v>
      </c>
      <c r="G72" s="934" t="str">
        <f>Application!T193</f>
        <v>High Resource</v>
      </c>
      <c r="L72" s="2582" t="s">
        <v>882</v>
      </c>
      <c r="M72" s="2583"/>
      <c r="N72" s="1020">
        <v>30000</v>
      </c>
    </row>
    <row r="73" spans="2:14" ht="15" customHeight="1">
      <c r="C73" s="2584" t="s">
        <v>2637</v>
      </c>
      <c r="D73" s="2584"/>
      <c r="E73" s="2584"/>
      <c r="F73" s="2584"/>
      <c r="G73" s="933"/>
      <c r="L73" s="2599" t="s">
        <v>886</v>
      </c>
      <c r="M73" s="2600"/>
      <c r="N73" s="1021">
        <v>20000</v>
      </c>
    </row>
    <row r="74" spans="2:14" ht="15" customHeight="1" thickBot="1">
      <c r="C74" s="2584"/>
      <c r="D74" s="2584"/>
      <c r="E74" s="2584"/>
      <c r="F74" s="2584"/>
      <c r="L74" s="2574" t="s">
        <v>893</v>
      </c>
      <c r="M74" s="2575"/>
      <c r="N74" s="1022">
        <v>10000</v>
      </c>
    </row>
    <row r="75" spans="2:14" ht="15" customHeight="1">
      <c r="C75" s="967"/>
    </row>
    <row r="76" spans="2:14" ht="15" customHeight="1">
      <c r="E76" s="974" t="s">
        <v>2638</v>
      </c>
      <c r="G76" s="969" t="b">
        <f>OR(AND(COUNTIFS(G70:G71,"Yes")&gt;=1,G69="Yes"),G73="Yes")</f>
        <v>1</v>
      </c>
    </row>
    <row r="77" spans="2:14" ht="15" customHeight="1">
      <c r="E77" s="974"/>
      <c r="G77" s="969"/>
    </row>
    <row r="78" spans="2:14" ht="15" customHeight="1">
      <c r="E78" s="974" t="s">
        <v>2617</v>
      </c>
      <c r="G78" s="968">
        <f>IFERROR(IF($G$73="Yes",30000,INDEX(N72:N74,MATCH(LEFT(G72,17),L72:L74,0))),0)</f>
        <v>20000</v>
      </c>
    </row>
    <row r="79" spans="2:14" ht="15" customHeight="1">
      <c r="E79" s="974" t="str">
        <f>E96</f>
        <v>Bedroom-Adjusted Low-Income Units</v>
      </c>
      <c r="F79" s="1002" t="s">
        <v>2618</v>
      </c>
      <c r="G79" s="1003">
        <f>G29</f>
        <v>249</v>
      </c>
    </row>
    <row r="80" spans="2:14" ht="15" customHeight="1">
      <c r="D80" s="936"/>
      <c r="E80" s="1007" t="s">
        <v>2639</v>
      </c>
      <c r="F80" s="936"/>
      <c r="G80" s="1012">
        <f>G79*G78*G76</f>
        <v>4980000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2640</v>
      </c>
      <c r="G84" s="933" t="s">
        <v>695</v>
      </c>
    </row>
    <row r="85" spans="2:9" ht="15" customHeight="1">
      <c r="F85" s="1005"/>
    </row>
    <row r="86" spans="2:9" ht="15" customHeight="1">
      <c r="E86" s="974" t="s">
        <v>2638</v>
      </c>
      <c r="G86" s="969" t="b">
        <f>G84="Yes"</f>
        <v>0</v>
      </c>
    </row>
    <row r="87" spans="2:9" ht="15" customHeight="1"/>
    <row r="88" spans="2:9" ht="15" customHeight="1">
      <c r="E88" s="974" t="str">
        <f>E96</f>
        <v>Bedroom-Adjusted Low-Income Units</v>
      </c>
      <c r="G88" s="1003">
        <f>G29</f>
        <v>249</v>
      </c>
    </row>
    <row r="89" spans="2:9" ht="15" customHeight="1">
      <c r="E89" s="974" t="s">
        <v>2617</v>
      </c>
      <c r="F89" s="1002" t="s">
        <v>2618</v>
      </c>
      <c r="G89" s="940">
        <v>20000</v>
      </c>
    </row>
    <row r="90" spans="2:9" ht="15" customHeight="1">
      <c r="E90" s="1007" t="s">
        <v>2641</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2642</v>
      </c>
      <c r="G94" s="1003">
        <f>VLOOKUP('Points System'!$H$606,'Points System'!$AO$586:$AP$591,2,FALSE)</f>
        <v>6</v>
      </c>
    </row>
    <row r="95" spans="2:9" ht="15" customHeight="1">
      <c r="E95" s="974" t="s">
        <v>2617</v>
      </c>
      <c r="F95" s="1002" t="s">
        <v>2618</v>
      </c>
      <c r="G95" s="966">
        <v>4000</v>
      </c>
    </row>
    <row r="96" spans="2:9" ht="15" customHeight="1" thickBot="1">
      <c r="E96" s="974" t="s">
        <v>2643</v>
      </c>
      <c r="F96" s="1002" t="s">
        <v>2618</v>
      </c>
      <c r="G96" s="1015">
        <f>G29</f>
        <v>249</v>
      </c>
    </row>
    <row r="97" spans="2:14" ht="15" customHeight="1">
      <c r="E97" s="1007" t="s">
        <v>2644</v>
      </c>
      <c r="F97" s="936"/>
      <c r="G97" s="1012">
        <f>G94*G95*G96</f>
        <v>5976000</v>
      </c>
      <c r="L97" s="1016" t="str">
        <f>'Points System'!H638</f>
        <v>(i)</v>
      </c>
      <c r="M97" s="2580" t="s">
        <v>2495</v>
      </c>
      <c r="N97" s="2581"/>
    </row>
    <row r="98" spans="2:14" ht="15" customHeight="1">
      <c r="C98" s="967"/>
      <c r="G98" s="1003"/>
      <c r="L98" s="1017" t="str">
        <f>'Points System'!H650</f>
        <v>(i)</v>
      </c>
      <c r="M98" s="2576" t="s">
        <v>2645</v>
      </c>
      <c r="N98" s="2577"/>
    </row>
    <row r="99" spans="2:14" ht="15" customHeight="1">
      <c r="E99" s="974" t="s">
        <v>2646</v>
      </c>
      <c r="G99" s="1015">
        <f>COUNTIFS(L97:L104,"(i)")</f>
        <v>6</v>
      </c>
      <c r="L99" s="1017" t="str">
        <f>'Points System'!H685</f>
        <v>(i)</v>
      </c>
      <c r="M99" s="2576" t="s">
        <v>2647</v>
      </c>
      <c r="N99" s="2577"/>
    </row>
    <row r="100" spans="2:14" ht="15" customHeight="1">
      <c r="E100" s="974" t="s">
        <v>2617</v>
      </c>
      <c r="F100" s="1002" t="s">
        <v>2618</v>
      </c>
      <c r="G100" s="1013">
        <v>4000</v>
      </c>
      <c r="L100" s="1017" t="str">
        <f>IF(OR('Points System'!H709="(ii)",'Points System'!H709="(i)"),"(i)","N/A")</f>
        <v>(i)</v>
      </c>
      <c r="M100" s="2576" t="s">
        <v>2648</v>
      </c>
      <c r="N100" s="2577"/>
    </row>
    <row r="101" spans="2:14" ht="15" customHeight="1">
      <c r="E101" s="1007" t="s">
        <v>2649</v>
      </c>
      <c r="F101" s="936"/>
      <c r="G101" s="1012">
        <f>G96*G99*G100</f>
        <v>5976000</v>
      </c>
      <c r="L101" s="1018" t="str">
        <f>'Points System'!H723</f>
        <v>N/A</v>
      </c>
      <c r="M101" s="2576" t="s">
        <v>2535</v>
      </c>
      <c r="N101" s="2577"/>
    </row>
    <row r="102" spans="2:14" ht="15" customHeight="1">
      <c r="L102" s="1017" t="str">
        <f>'Points System'!H735</f>
        <v>N/A</v>
      </c>
      <c r="M102" s="2576" t="s">
        <v>2650</v>
      </c>
      <c r="N102" s="2577"/>
    </row>
    <row r="103" spans="2:14" ht="15" customHeight="1">
      <c r="C103" s="970" t="s">
        <v>2651</v>
      </c>
      <c r="L103" s="1017" t="str">
        <f>'Points System'!H751</f>
        <v>(i)</v>
      </c>
      <c r="M103" s="2576" t="s">
        <v>2652</v>
      </c>
      <c r="N103" s="2577"/>
    </row>
    <row r="104" spans="2:14" ht="15" customHeight="1" thickBot="1">
      <c r="C104" s="967" t="s">
        <v>2653</v>
      </c>
      <c r="G104" s="933"/>
      <c r="L104" s="1019" t="str">
        <f>'Points System'!H763</f>
        <v>(i)</v>
      </c>
      <c r="M104" s="2578" t="s">
        <v>2539</v>
      </c>
      <c r="N104" s="2579"/>
    </row>
    <row r="105" spans="2:14" ht="15" customHeight="1">
      <c r="C105" s="967" t="s">
        <v>2654</v>
      </c>
      <c r="G105" s="933"/>
    </row>
    <row r="106" spans="2:14" ht="15" customHeight="1">
      <c r="C106" s="967" t="s">
        <v>2655</v>
      </c>
      <c r="G106" s="933" t="s">
        <v>848</v>
      </c>
    </row>
    <row r="107" spans="2:14" ht="15" customHeight="1">
      <c r="C107" s="967" t="s">
        <v>2656</v>
      </c>
      <c r="G107" s="933" t="s">
        <v>848</v>
      </c>
    </row>
    <row r="108" spans="2:14" ht="15" customHeight="1"/>
    <row r="109" spans="2:14" ht="15" customHeight="1">
      <c r="B109" s="968"/>
      <c r="C109" s="967"/>
      <c r="E109" s="974" t="s">
        <v>2638</v>
      </c>
      <c r="G109" s="969" t="b">
        <f>COUNTIFS(G104:G107,"Yes")&gt;=1</f>
        <v>1</v>
      </c>
    </row>
    <row r="110" spans="2:14" ht="15" customHeight="1">
      <c r="E110" s="967"/>
    </row>
    <row r="111" spans="2:14" ht="15" customHeight="1">
      <c r="E111" s="974" t="s">
        <v>2643</v>
      </c>
      <c r="F111" s="1002" t="s">
        <v>2618</v>
      </c>
      <c r="G111" s="1003">
        <f>G29</f>
        <v>249</v>
      </c>
    </row>
    <row r="112" spans="2:14" ht="15" customHeight="1">
      <c r="E112" s="974" t="s">
        <v>2617</v>
      </c>
      <c r="F112" s="1002" t="s">
        <v>2618</v>
      </c>
      <c r="G112" s="1013">
        <v>25000</v>
      </c>
    </row>
    <row r="113" spans="2:9" ht="15" customHeight="1">
      <c r="E113" s="1007" t="s">
        <v>2657</v>
      </c>
      <c r="F113" s="936"/>
      <c r="G113" s="1012">
        <f>G109*G112*G96</f>
        <v>6225000</v>
      </c>
    </row>
    <row r="114" spans="2:9" ht="15" customHeight="1">
      <c r="C114" s="967"/>
      <c r="E114" s="967"/>
    </row>
    <row r="115" spans="2:9" ht="15" customHeight="1">
      <c r="E115" s="1007" t="s">
        <v>2658</v>
      </c>
      <c r="G115" s="1012">
        <f>G113+G101+G97</f>
        <v>18177000</v>
      </c>
    </row>
    <row r="116" spans="2:9" ht="15" customHeight="1"/>
    <row r="117" spans="2:9" ht="15" customHeight="1">
      <c r="B117" s="956" t="s">
        <v>1777</v>
      </c>
      <c r="C117" s="957"/>
      <c r="D117" s="957"/>
      <c r="E117" s="957"/>
      <c r="F117" s="957"/>
      <c r="G117" s="957"/>
      <c r="H117" s="957"/>
      <c r="I117" s="958"/>
    </row>
    <row r="118" spans="2:9" ht="15" customHeight="1"/>
    <row r="119" spans="2:9" ht="15" customHeight="1">
      <c r="C119" s="2611" t="s">
        <v>2659</v>
      </c>
      <c r="D119" s="2611"/>
      <c r="E119" s="2611"/>
      <c r="F119" s="2611"/>
    </row>
    <row r="120" spans="2:9" ht="15" customHeight="1">
      <c r="C120" s="2611"/>
      <c r="D120" s="2611"/>
      <c r="E120" s="2611"/>
      <c r="F120" s="2611"/>
      <c r="G120" s="933" t="s">
        <v>848</v>
      </c>
    </row>
    <row r="121" spans="2:9" ht="15" customHeight="1"/>
    <row r="122" spans="2:9" ht="15" customHeight="1">
      <c r="C122" s="934" t="s">
        <v>2660</v>
      </c>
      <c r="G122" s="2613" t="s">
        <v>2661</v>
      </c>
      <c r="H122" s="2613"/>
    </row>
    <row r="123" spans="2:9" ht="15" customHeight="1">
      <c r="G123" s="2613"/>
      <c r="H123" s="2613"/>
    </row>
    <row r="124" spans="2:9" ht="15" customHeight="1">
      <c r="G124" s="2614"/>
      <c r="H124" s="2614"/>
    </row>
    <row r="125" spans="2:9" ht="15" customHeight="1">
      <c r="G125" s="1049"/>
      <c r="H125" s="1049"/>
    </row>
    <row r="126" spans="2:9" ht="15" customHeight="1">
      <c r="B126" s="956" t="s">
        <v>2662</v>
      </c>
      <c r="C126" s="957"/>
      <c r="D126" s="957"/>
      <c r="E126" s="957"/>
      <c r="F126" s="957"/>
      <c r="G126" s="957"/>
      <c r="H126" s="957"/>
      <c r="I126" s="958"/>
    </row>
    <row r="128" spans="2:9">
      <c r="E128" s="974" t="s">
        <v>934</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2663</v>
      </c>
      <c r="G131" s="968">
        <f>MEDIAN((Application!CU160:CU217))</f>
        <v>489600</v>
      </c>
    </row>
    <row r="132" spans="2:9">
      <c r="D132" s="936"/>
      <c r="E132" s="1007" t="s">
        <v>2664</v>
      </c>
      <c r="F132" s="1023"/>
      <c r="G132" s="1024">
        <f>((G130-G131)/G131)*0.25</f>
        <v>8.1699346405228761E-4</v>
      </c>
      <c r="H132" s="932"/>
      <c r="I132" s="932"/>
    </row>
    <row r="133" spans="2:9">
      <c r="D133" s="935"/>
      <c r="E133" s="935"/>
    </row>
    <row r="134" spans="2:9">
      <c r="B134" s="956" t="s">
        <v>2665</v>
      </c>
      <c r="C134" s="957"/>
      <c r="D134" s="957"/>
      <c r="E134" s="957"/>
      <c r="F134" s="957"/>
      <c r="G134" s="957"/>
      <c r="H134" s="957"/>
      <c r="I134" s="958"/>
    </row>
    <row r="136" spans="2:9">
      <c r="E136" s="974" t="s">
        <v>2620</v>
      </c>
      <c r="G136" s="934" t="b">
        <f>G37</f>
        <v>0</v>
      </c>
    </row>
    <row r="137" spans="2:9">
      <c r="E137" s="974" t="s">
        <v>2666</v>
      </c>
      <c r="G137" s="934" t="b">
        <f>OR('Points System'!B52="Yes", 'Points System'!B56="Yes",'Points System'!B58="Yes")</f>
        <v>0</v>
      </c>
    </row>
    <row r="138" spans="2:9">
      <c r="C138" s="2608" t="s">
        <v>2667</v>
      </c>
      <c r="D138" s="2608"/>
      <c r="E138" s="2608"/>
      <c r="F138" s="2608"/>
    </row>
    <row r="139" spans="2:9">
      <c r="B139" s="935"/>
      <c r="C139" s="2608"/>
      <c r="D139" s="2608"/>
      <c r="E139" s="2608"/>
      <c r="F139" s="2608"/>
      <c r="G139" s="933"/>
    </row>
    <row r="140" spans="2:9">
      <c r="B140" s="935"/>
      <c r="C140" s="935"/>
      <c r="D140" s="935"/>
      <c r="E140" s="935"/>
      <c r="F140" s="935"/>
    </row>
    <row r="141" spans="2:9" ht="14.25" customHeight="1">
      <c r="E141" s="974" t="s">
        <v>2668</v>
      </c>
      <c r="G141" s="1058"/>
    </row>
    <row r="143" spans="2:9">
      <c r="E143" s="974" t="s">
        <v>2669</v>
      </c>
      <c r="G143" s="1057">
        <f>IF(I9=0,0,G141/I9)</f>
        <v>0</v>
      </c>
    </row>
    <row r="144" spans="2:9">
      <c r="E144" s="974" t="s">
        <v>2670</v>
      </c>
      <c r="G144" s="1055">
        <f>I9*0.15</f>
        <v>12000000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0" sqref="F10"/>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5" t="s">
        <v>2671</v>
      </c>
      <c r="B1" s="2615"/>
      <c r="C1" s="2615"/>
      <c r="D1" s="2615"/>
      <c r="E1" s="2615"/>
      <c r="F1" s="2615"/>
      <c r="G1" s="2615"/>
      <c r="H1" s="2615"/>
      <c r="I1" s="2615"/>
      <c r="J1" s="2615"/>
      <c r="K1" s="136"/>
      <c r="L1" s="136"/>
    </row>
    <row r="2" spans="1:12">
      <c r="A2" s="140"/>
      <c r="B2" s="140"/>
      <c r="C2" s="140"/>
      <c r="D2" s="140"/>
      <c r="E2" s="140"/>
      <c r="F2" s="140"/>
      <c r="G2" s="140"/>
      <c r="H2" s="140"/>
      <c r="I2" s="140"/>
      <c r="J2" s="140"/>
    </row>
    <row r="3" spans="1:12" ht="76">
      <c r="A3" s="329" t="s">
        <v>2672</v>
      </c>
      <c r="B3" s="329" t="s">
        <v>2673</v>
      </c>
      <c r="C3" s="329" t="s">
        <v>2674</v>
      </c>
      <c r="D3" s="1035" t="s">
        <v>2675</v>
      </c>
      <c r="E3" s="136"/>
      <c r="F3" s="1035" t="s">
        <v>2676</v>
      </c>
      <c r="G3" s="329" t="s">
        <v>2677</v>
      </c>
      <c r="H3" s="330"/>
      <c r="I3" s="329" t="s">
        <v>2678</v>
      </c>
      <c r="J3" s="329" t="s">
        <v>2679</v>
      </c>
      <c r="K3" s="136"/>
      <c r="L3" s="212"/>
    </row>
    <row r="4" spans="1:12">
      <c r="A4" s="331" t="str">
        <f>Application!B718</f>
        <v>1 Bedroom</v>
      </c>
      <c r="B4" s="972">
        <f>Application!G718</f>
        <v>5</v>
      </c>
      <c r="C4" s="1051" t="s">
        <v>997</v>
      </c>
      <c r="D4" s="331">
        <f>Application!O718</f>
        <v>829</v>
      </c>
      <c r="E4" s="332"/>
      <c r="F4" s="973">
        <v>2594</v>
      </c>
      <c r="G4" s="331">
        <f>F4*B4</f>
        <v>12970</v>
      </c>
      <c r="H4" s="332"/>
      <c r="I4" s="331">
        <f t="shared" ref="I4:I27" si="0">IF(F4=0,"",(F4-D4))</f>
        <v>1765</v>
      </c>
      <c r="J4" s="331">
        <f t="shared" ref="J4:J27" si="1">IF(F4=0,"",(I4*B4))</f>
        <v>8825</v>
      </c>
      <c r="K4" s="136"/>
      <c r="L4" s="212"/>
    </row>
    <row r="5" spans="1:12">
      <c r="A5" s="331" t="str">
        <f>Application!B719</f>
        <v>1 Bedroom</v>
      </c>
      <c r="B5" s="972">
        <f>Application!G719</f>
        <v>11</v>
      </c>
      <c r="C5" s="1051" t="s">
        <v>997</v>
      </c>
      <c r="D5" s="331">
        <f>Application!O719</f>
        <v>1139</v>
      </c>
      <c r="E5" s="332"/>
      <c r="F5" s="973">
        <v>2839</v>
      </c>
      <c r="G5" s="331">
        <f t="shared" ref="G5:G38" si="2">F5*B5</f>
        <v>31229</v>
      </c>
      <c r="H5" s="332"/>
      <c r="I5" s="331">
        <f t="shared" si="0"/>
        <v>1700</v>
      </c>
      <c r="J5" s="331">
        <f t="shared" si="1"/>
        <v>18700</v>
      </c>
      <c r="K5" s="136"/>
      <c r="L5" s="212"/>
    </row>
    <row r="6" spans="1:12">
      <c r="A6" s="331" t="str">
        <f>Application!B720</f>
        <v>1 Bedroom</v>
      </c>
      <c r="B6" s="972">
        <f>Application!G720</f>
        <v>32</v>
      </c>
      <c r="C6" s="1051"/>
      <c r="D6" s="331">
        <f>Application!O720</f>
        <v>1759</v>
      </c>
      <c r="E6" s="332"/>
      <c r="F6" s="973"/>
      <c r="G6" s="331">
        <f t="shared" si="2"/>
        <v>0</v>
      </c>
      <c r="H6" s="332"/>
      <c r="I6" s="331" t="str">
        <f t="shared" si="0"/>
        <v/>
      </c>
      <c r="J6" s="331" t="str">
        <f t="shared" si="1"/>
        <v/>
      </c>
      <c r="K6" s="136"/>
      <c r="L6" s="212"/>
    </row>
    <row r="7" spans="1:12">
      <c r="A7" s="331" t="str">
        <f>Application!B721</f>
        <v>2 Bedrooms</v>
      </c>
      <c r="B7" s="972">
        <f>Application!G721</f>
        <v>15</v>
      </c>
      <c r="C7" s="1051" t="s">
        <v>997</v>
      </c>
      <c r="D7" s="331">
        <f>Application!O721</f>
        <v>980</v>
      </c>
      <c r="E7" s="332"/>
      <c r="F7" s="973">
        <v>3262</v>
      </c>
      <c r="G7" s="331">
        <f t="shared" si="2"/>
        <v>48930</v>
      </c>
      <c r="H7" s="332"/>
      <c r="I7" s="331">
        <f t="shared" si="0"/>
        <v>2282</v>
      </c>
      <c r="J7" s="331">
        <f t="shared" si="1"/>
        <v>34230</v>
      </c>
      <c r="K7" s="136"/>
      <c r="L7" s="212"/>
    </row>
    <row r="8" spans="1:12">
      <c r="A8" s="331" t="str">
        <f>Application!B722</f>
        <v>2 Bedrooms</v>
      </c>
      <c r="B8" s="972">
        <f>Application!G722</f>
        <v>42</v>
      </c>
      <c r="C8" s="1051"/>
      <c r="D8" s="331">
        <f>Application!O722</f>
        <v>2097</v>
      </c>
      <c r="E8" s="332"/>
      <c r="F8" s="973"/>
      <c r="G8" s="331">
        <f t="shared" si="2"/>
        <v>0</v>
      </c>
      <c r="H8" s="332"/>
      <c r="I8" s="331" t="str">
        <f t="shared" si="0"/>
        <v/>
      </c>
      <c r="J8" s="331" t="str">
        <f t="shared" si="1"/>
        <v/>
      </c>
      <c r="K8" s="136"/>
      <c r="L8" s="212"/>
    </row>
    <row r="9" spans="1:12">
      <c r="A9" s="331" t="str">
        <f>Application!B723</f>
        <v>3 Bedrooms</v>
      </c>
      <c r="B9" s="972">
        <f>Application!G723</f>
        <v>30</v>
      </c>
      <c r="C9" s="1051" t="s">
        <v>997</v>
      </c>
      <c r="D9" s="331">
        <f>Application!O723</f>
        <v>1112</v>
      </c>
      <c r="E9" s="332"/>
      <c r="F9" s="973">
        <v>4409</v>
      </c>
      <c r="G9" s="331">
        <f t="shared" si="2"/>
        <v>132270</v>
      </c>
      <c r="H9" s="332"/>
      <c r="I9" s="331">
        <f t="shared" si="0"/>
        <v>3297</v>
      </c>
      <c r="J9" s="331">
        <f t="shared" si="1"/>
        <v>98910</v>
      </c>
      <c r="K9" s="136"/>
      <c r="L9" s="212"/>
    </row>
    <row r="10" spans="1:12">
      <c r="A10" s="331" t="str">
        <f>Application!B724</f>
        <v>3 Bedrooms</v>
      </c>
      <c r="B10" s="972">
        <f>Application!G724</f>
        <v>3</v>
      </c>
      <c r="C10" s="1051"/>
      <c r="D10" s="331">
        <f>Application!O724</f>
        <v>2402</v>
      </c>
      <c r="E10" s="332"/>
      <c r="F10" s="973"/>
      <c r="G10" s="331">
        <f t="shared" si="2"/>
        <v>0</v>
      </c>
      <c r="H10" s="332"/>
      <c r="I10" s="331" t="str">
        <f t="shared" si="0"/>
        <v/>
      </c>
      <c r="J10" s="331" t="str">
        <f t="shared" si="1"/>
        <v/>
      </c>
      <c r="K10" s="136"/>
      <c r="L10" s="212"/>
    </row>
    <row r="11" spans="1:12">
      <c r="A11" s="331" t="str">
        <f>Application!B725</f>
        <v>3 Bedrooms</v>
      </c>
      <c r="B11" s="972">
        <f>Application!G725</f>
        <v>59</v>
      </c>
      <c r="C11" s="1051"/>
      <c r="D11" s="331">
        <f>Application!O725</f>
        <v>3142</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2680</v>
      </c>
      <c r="B40" s="334"/>
      <c r="C40" s="334"/>
      <c r="D40" s="335">
        <f>Application!O753</f>
        <v>401680</v>
      </c>
      <c r="E40" s="332"/>
      <c r="F40" s="332"/>
      <c r="G40" s="335">
        <f>SUM(G4:G38)*12</f>
        <v>2704788</v>
      </c>
      <c r="H40" s="336"/>
      <c r="I40" s="334"/>
      <c r="J40" s="335">
        <f>SUM(J4:J38)*12</f>
        <v>1927980</v>
      </c>
      <c r="K40" s="136"/>
      <c r="L40" s="213"/>
    </row>
    <row r="41" spans="1:12">
      <c r="A41" s="333"/>
      <c r="B41" s="334"/>
      <c r="C41" s="334"/>
      <c r="D41" s="336"/>
      <c r="E41" s="332"/>
      <c r="F41" s="332"/>
      <c r="G41" s="336"/>
      <c r="H41" s="336"/>
      <c r="I41" s="334"/>
      <c r="J41" s="336"/>
      <c r="K41" s="136"/>
      <c r="L41" s="213"/>
    </row>
    <row r="42" spans="1:12">
      <c r="A42" s="211" t="s">
        <v>2681</v>
      </c>
    </row>
    <row r="43" spans="1:12">
      <c r="A43" s="2616" t="s">
        <v>2682</v>
      </c>
      <c r="B43" s="2616"/>
      <c r="C43" s="2616"/>
      <c r="D43" s="2616"/>
      <c r="E43" s="2616"/>
      <c r="F43" s="2616"/>
      <c r="G43" s="2616"/>
      <c r="H43" s="2616"/>
      <c r="I43" s="2616"/>
      <c r="J43" s="2616"/>
    </row>
    <row r="44" spans="1:12">
      <c r="A44" s="2616"/>
      <c r="B44" s="2616"/>
      <c r="C44" s="2616"/>
      <c r="D44" s="2616"/>
      <c r="E44" s="2616"/>
      <c r="F44" s="2616"/>
      <c r="G44" s="2616"/>
      <c r="H44" s="2616"/>
      <c r="I44" s="2616"/>
      <c r="J44" s="2616"/>
    </row>
    <row r="45" spans="1:12">
      <c r="A45" s="2616" t="s">
        <v>2683</v>
      </c>
      <c r="B45" s="2616"/>
      <c r="C45" s="2616"/>
      <c r="D45" s="2616"/>
      <c r="E45" s="2616"/>
      <c r="F45" s="2616"/>
      <c r="G45" s="2616"/>
      <c r="H45" s="2616"/>
      <c r="I45" s="2616"/>
      <c r="J45" s="2616"/>
    </row>
    <row r="46" spans="1:12">
      <c r="A46" s="2616"/>
      <c r="B46" s="2616"/>
      <c r="C46" s="2616"/>
      <c r="D46" s="2616"/>
      <c r="E46" s="2616"/>
      <c r="F46" s="2616"/>
      <c r="G46" s="2616"/>
      <c r="H46" s="2616"/>
      <c r="I46" s="2616"/>
      <c r="J46" s="261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O55" sqref="O55"/>
    </sheetView>
  </sheetViews>
  <sheetFormatPr baseColWidth="10" defaultColWidth="0" defaultRowHeight="13" zeroHeight="1"/>
  <cols>
    <col min="1" max="1" width="3.6640625" customWidth="1"/>
    <col min="2" max="2" width="30.5" customWidth="1"/>
    <col min="3" max="3" width="14.832031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2684</v>
      </c>
      <c r="B1" s="141"/>
    </row>
    <row r="2" spans="1:34"/>
    <row r="3" spans="1:34" ht="16">
      <c r="A3" s="142" t="s">
        <v>2685</v>
      </c>
      <c r="B3" s="142"/>
      <c r="C3" s="163" t="s">
        <v>2686</v>
      </c>
      <c r="D3" s="12"/>
      <c r="E3" s="164" t="s">
        <v>2687</v>
      </c>
      <c r="F3" s="135"/>
      <c r="G3" s="164" t="s">
        <v>2688</v>
      </c>
      <c r="H3" s="135"/>
      <c r="I3" s="164" t="s">
        <v>2689</v>
      </c>
      <c r="J3" s="135"/>
      <c r="K3" s="164" t="s">
        <v>2690</v>
      </c>
      <c r="L3" s="135"/>
      <c r="M3" s="164" t="s">
        <v>2691</v>
      </c>
      <c r="N3" s="135"/>
      <c r="O3" s="164" t="s">
        <v>2692</v>
      </c>
      <c r="P3" s="135"/>
      <c r="Q3" s="164" t="s">
        <v>2693</v>
      </c>
      <c r="R3" s="135"/>
      <c r="S3" s="164" t="s">
        <v>2694</v>
      </c>
      <c r="T3" s="135"/>
      <c r="U3" s="164" t="s">
        <v>2695</v>
      </c>
      <c r="V3" s="135"/>
      <c r="W3" s="164" t="s">
        <v>2696</v>
      </c>
      <c r="X3" s="135"/>
      <c r="Y3" s="164" t="s">
        <v>2697</v>
      </c>
      <c r="Z3" s="135"/>
      <c r="AA3" s="164" t="s">
        <v>2698</v>
      </c>
      <c r="AB3" s="135"/>
      <c r="AC3" s="164" t="s">
        <v>2699</v>
      </c>
      <c r="AD3" s="135"/>
      <c r="AE3" s="164" t="s">
        <v>2700</v>
      </c>
      <c r="AF3" s="135"/>
      <c r="AG3" s="164" t="s">
        <v>2701</v>
      </c>
      <c r="AH3" s="12"/>
    </row>
    <row r="4" spans="1:34" s="148" customFormat="1" ht="14">
      <c r="A4" s="148" t="s">
        <v>2702</v>
      </c>
      <c r="C4" s="1218">
        <v>1.0249999999999999</v>
      </c>
      <c r="E4" s="148">
        <f>Application!Y801</f>
        <v>4820160</v>
      </c>
      <c r="G4" s="148">
        <f>E4*$C$4</f>
        <v>4940664</v>
      </c>
      <c r="I4" s="148">
        <f>G4*$C$4</f>
        <v>5064180.5999999996</v>
      </c>
      <c r="K4" s="148">
        <f>I4*$C$4</f>
        <v>5190785.1149999993</v>
      </c>
      <c r="M4" s="148">
        <f>K4*$C$4</f>
        <v>5320554.7428749986</v>
      </c>
      <c r="O4" s="148">
        <f>M4*$C$4</f>
        <v>5453568.6114468733</v>
      </c>
      <c r="Q4" s="148">
        <f>O4*$C$4</f>
        <v>5589907.8267330443</v>
      </c>
      <c r="S4" s="148">
        <f>Q4*$C$4</f>
        <v>5729655.5224013701</v>
      </c>
      <c r="U4" s="148">
        <f>S4*$C$4</f>
        <v>5872896.9104614034</v>
      </c>
      <c r="W4" s="148">
        <f>U4*$C$4</f>
        <v>6019719.3332229378</v>
      </c>
      <c r="Y4" s="148">
        <f>W4*$C$4</f>
        <v>6170212.3165535107</v>
      </c>
      <c r="AA4" s="148">
        <f>Y4*$C$4</f>
        <v>6324467.6244673477</v>
      </c>
      <c r="AC4" s="148">
        <f>AA4*$C$4</f>
        <v>6482579.3150790306</v>
      </c>
      <c r="AE4" s="148">
        <f>AC4*$C$4</f>
        <v>6644643.7979560057</v>
      </c>
      <c r="AG4" s="148">
        <f>AE4*$C$4</f>
        <v>6810759.8929049056</v>
      </c>
    </row>
    <row r="5" spans="1:34" s="140" customFormat="1" ht="14">
      <c r="B5" s="140" t="s">
        <v>2269</v>
      </c>
      <c r="C5" s="1219">
        <f>IF(Application!$D$211="Special Needs",(((0.1*Application!$T$212)+(0.05*(1-Application!$T$212)))),0.05)</f>
        <v>0.05</v>
      </c>
      <c r="E5" s="150">
        <f>-E4*$C$5</f>
        <v>-241008</v>
      </c>
      <c r="F5" s="150"/>
      <c r="G5" s="150">
        <f>-G4*$C$5</f>
        <v>-247033.2</v>
      </c>
      <c r="H5" s="150"/>
      <c r="I5" s="150">
        <f>-I4*$C$5</f>
        <v>-253209.03</v>
      </c>
      <c r="J5" s="150"/>
      <c r="K5" s="150">
        <f>-K4*$C$5</f>
        <v>-259539.25574999998</v>
      </c>
      <c r="L5" s="150"/>
      <c r="M5" s="150">
        <f>-M4*$C$5</f>
        <v>-266027.73714374995</v>
      </c>
      <c r="N5" s="150"/>
      <c r="O5" s="150">
        <f>-O4*$C$5</f>
        <v>-272678.4305723437</v>
      </c>
      <c r="P5" s="150"/>
      <c r="Q5" s="150">
        <f>-Q4*$C$5</f>
        <v>-279495.39133665222</v>
      </c>
      <c r="R5" s="150"/>
      <c r="S5" s="150">
        <f>-S4*$C$5</f>
        <v>-286482.77612006851</v>
      </c>
      <c r="T5" s="150"/>
      <c r="U5" s="150">
        <f>-U4*$C$5</f>
        <v>-293644.84552307019</v>
      </c>
      <c r="V5" s="150"/>
      <c r="W5" s="150">
        <f>-W4*$C$5</f>
        <v>-300985.9666611469</v>
      </c>
      <c r="X5" s="150"/>
      <c r="Y5" s="150">
        <f>-Y4*$C$5</f>
        <v>-308510.61582767556</v>
      </c>
      <c r="Z5" s="150"/>
      <c r="AA5" s="150">
        <f>-AA4*$C$5</f>
        <v>-316223.38122336741</v>
      </c>
      <c r="AB5" s="150"/>
      <c r="AC5" s="150">
        <f>-AC4*$C$5</f>
        <v>-324128.96575395158</v>
      </c>
      <c r="AD5" s="150"/>
      <c r="AE5" s="150">
        <f>-AE4*$C$5</f>
        <v>-332232.18989780033</v>
      </c>
      <c r="AF5" s="150"/>
      <c r="AG5" s="150">
        <f>-AG4*$C$5</f>
        <v>-340537.99464524532</v>
      </c>
    </row>
    <row r="6" spans="1:34" s="140" customFormat="1" ht="14">
      <c r="A6" s="140" t="s">
        <v>2703</v>
      </c>
      <c r="C6" s="1218">
        <v>1.0249999999999999</v>
      </c>
      <c r="E6" s="151">
        <f>Application!Z809</f>
        <v>1927980</v>
      </c>
      <c r="F6" s="151"/>
      <c r="G6" s="151">
        <f>E6*$C$6</f>
        <v>1976179.4999999998</v>
      </c>
      <c r="H6" s="151"/>
      <c r="I6" s="151">
        <f>G6*$C$6</f>
        <v>2025583.9874999996</v>
      </c>
      <c r="J6" s="151"/>
      <c r="K6" s="151">
        <f>I6*$C$6</f>
        <v>2076223.5871874995</v>
      </c>
      <c r="L6" s="151"/>
      <c r="M6" s="151">
        <f>K6*$C$6</f>
        <v>2128129.176867187</v>
      </c>
      <c r="N6" s="151"/>
      <c r="O6" s="151">
        <f>M6*$C$6</f>
        <v>2181332.4062888664</v>
      </c>
      <c r="P6" s="151"/>
      <c r="Q6" s="151">
        <f>O6*$C$6</f>
        <v>2235865.7164460877</v>
      </c>
      <c r="R6" s="151"/>
      <c r="S6" s="151">
        <f>Q6*$C$6</f>
        <v>2291762.3593572397</v>
      </c>
      <c r="T6" s="151"/>
      <c r="U6" s="151">
        <f>S6*$C$6</f>
        <v>2349056.4183411705</v>
      </c>
      <c r="V6" s="151"/>
      <c r="W6" s="151">
        <f>U6*$C$6</f>
        <v>2407782.8287996994</v>
      </c>
      <c r="X6" s="151"/>
      <c r="Y6" s="151">
        <f>W6*$C$6</f>
        <v>2467977.3995196917</v>
      </c>
      <c r="Z6" s="151"/>
      <c r="AA6" s="151">
        <f>Y6*$C$6</f>
        <v>2529676.8345076838</v>
      </c>
      <c r="AB6" s="151"/>
      <c r="AC6" s="151">
        <f>AA6*$C$6</f>
        <v>2592918.7553703757</v>
      </c>
      <c r="AD6" s="151"/>
      <c r="AE6" s="151">
        <f>AC6*$C$6</f>
        <v>2657741.7242546347</v>
      </c>
      <c r="AF6" s="151"/>
      <c r="AG6" s="151">
        <f>AE6*$C$6</f>
        <v>2724185.2673610002</v>
      </c>
    </row>
    <row r="7" spans="1:34" s="140" customFormat="1" ht="14">
      <c r="B7" s="140" t="s">
        <v>2269</v>
      </c>
      <c r="C7" s="1219">
        <f>IF(Application!$D$211="Special Needs",(((0.1*Application!$T$212)+(0.05*(1-Application!$T$212)))),0.05)</f>
        <v>0.05</v>
      </c>
      <c r="E7" s="150">
        <f>-E6*$C$7</f>
        <v>-96399</v>
      </c>
      <c r="F7" s="150"/>
      <c r="G7" s="150">
        <f>-G6*$C$7</f>
        <v>-98808.974999999991</v>
      </c>
      <c r="H7" s="150"/>
      <c r="I7" s="150">
        <f>-I6*$C$7</f>
        <v>-101279.19937499998</v>
      </c>
      <c r="J7" s="150"/>
      <c r="K7" s="150">
        <f>-K6*$C$7</f>
        <v>-103811.17935937498</v>
      </c>
      <c r="L7" s="150"/>
      <c r="M7" s="150">
        <f>-M6*$C$7</f>
        <v>-106406.45884335936</v>
      </c>
      <c r="N7" s="150"/>
      <c r="O7" s="150">
        <f>-O6*$C$7</f>
        <v>-109066.62031444332</v>
      </c>
      <c r="P7" s="150"/>
      <c r="Q7" s="150">
        <f>-Q6*$C$7</f>
        <v>-111793.28582230439</v>
      </c>
      <c r="R7" s="150"/>
      <c r="S7" s="150">
        <f>-S6*$C$7</f>
        <v>-114588.117967862</v>
      </c>
      <c r="T7" s="150"/>
      <c r="U7" s="150">
        <f>-U6*$C$7</f>
        <v>-117452.82091705853</v>
      </c>
      <c r="V7" s="150"/>
      <c r="W7" s="150">
        <f>-W6*$C$7</f>
        <v>-120389.14143998497</v>
      </c>
      <c r="X7" s="150"/>
      <c r="Y7" s="150">
        <f>-Y6*$C$7</f>
        <v>-123398.86997598459</v>
      </c>
      <c r="Z7" s="150"/>
      <c r="AA7" s="150">
        <f>-AA6*$C$7</f>
        <v>-126483.84172538419</v>
      </c>
      <c r="AB7" s="150"/>
      <c r="AC7" s="150">
        <f>-AC6*$C$7</f>
        <v>-129645.93776851879</v>
      </c>
      <c r="AD7" s="150"/>
      <c r="AE7" s="150">
        <f>-AE6*$C$7</f>
        <v>-132887.08621273175</v>
      </c>
      <c r="AF7" s="150"/>
      <c r="AG7" s="150">
        <f>-AG6*$C$7</f>
        <v>-136209.26336805001</v>
      </c>
    </row>
    <row r="8" spans="1:34" s="140" customFormat="1" ht="14">
      <c r="A8" s="140" t="s">
        <v>215</v>
      </c>
      <c r="C8" s="1218">
        <v>1.0249999999999999</v>
      </c>
      <c r="E8" s="151">
        <f>Application!Z817</f>
        <v>59750</v>
      </c>
      <c r="F8" s="151"/>
      <c r="G8" s="151">
        <f>E8*$C$8</f>
        <v>61243.749999999993</v>
      </c>
      <c r="H8" s="151"/>
      <c r="I8" s="151">
        <f>G8*$C$8</f>
        <v>62774.843749999985</v>
      </c>
      <c r="J8" s="151"/>
      <c r="K8" s="151">
        <f>I8*$C$8</f>
        <v>64344.214843749978</v>
      </c>
      <c r="L8" s="151"/>
      <c r="M8" s="151">
        <f>K8*$C$8</f>
        <v>65952.820214843727</v>
      </c>
      <c r="N8" s="151"/>
      <c r="O8" s="151">
        <f>M8*$C$8</f>
        <v>67601.640720214811</v>
      </c>
      <c r="P8" s="151"/>
      <c r="Q8" s="151">
        <f>O8*$C$8</f>
        <v>69291.68173822017</v>
      </c>
      <c r="R8" s="151"/>
      <c r="S8" s="151">
        <f>Q8*$C$8</f>
        <v>71023.973781675668</v>
      </c>
      <c r="T8" s="151"/>
      <c r="U8" s="151">
        <f>S8*$C$8</f>
        <v>72799.573126217554</v>
      </c>
      <c r="V8" s="151"/>
      <c r="W8" s="151">
        <f>U8*$C$8</f>
        <v>74619.562454372994</v>
      </c>
      <c r="X8" s="151"/>
      <c r="Y8" s="151">
        <f>W8*$C$8</f>
        <v>76485.05151573231</v>
      </c>
      <c r="Z8" s="151"/>
      <c r="AA8" s="151">
        <f>Y8*$C$8</f>
        <v>78397.177803625615</v>
      </c>
      <c r="AB8" s="151"/>
      <c r="AC8" s="151">
        <f>AA8*$C$8</f>
        <v>80357.107248716246</v>
      </c>
      <c r="AD8" s="151"/>
      <c r="AE8" s="151">
        <f>AC8*$C$8</f>
        <v>82366.034929934147</v>
      </c>
      <c r="AF8" s="151"/>
      <c r="AG8" s="151">
        <f>AE8*$C$8</f>
        <v>84425.185803182496</v>
      </c>
    </row>
    <row r="9" spans="1:34" s="140" customFormat="1" ht="14">
      <c r="B9" s="140" t="s">
        <v>2269</v>
      </c>
      <c r="C9" s="1219">
        <f>IF(Application!$D$211="Special Needs",(((0.1*Application!$T$212)+(0.05*(1-Application!$T$212)))),0.05)</f>
        <v>0.05</v>
      </c>
      <c r="E9" s="150">
        <f>-E8*$C$9</f>
        <v>-2987.5</v>
      </c>
      <c r="F9" s="150"/>
      <c r="G9" s="150">
        <f>-G8*$C$9</f>
        <v>-3062.1875</v>
      </c>
      <c r="H9" s="150"/>
      <c r="I9" s="150">
        <f>-I8*$C$9</f>
        <v>-3138.7421874999995</v>
      </c>
      <c r="J9" s="150"/>
      <c r="K9" s="150">
        <f>-K8*$C$9</f>
        <v>-3217.2107421874989</v>
      </c>
      <c r="L9" s="150"/>
      <c r="M9" s="150">
        <f>-M8*$C$9</f>
        <v>-3297.6410107421866</v>
      </c>
      <c r="N9" s="150"/>
      <c r="O9" s="150">
        <f>-O8*$C$9</f>
        <v>-3380.0820360107409</v>
      </c>
      <c r="P9" s="150"/>
      <c r="Q9" s="150">
        <f>-Q8*$C$9</f>
        <v>-3464.5840869110089</v>
      </c>
      <c r="R9" s="150"/>
      <c r="S9" s="150">
        <f>-S8*$C$9</f>
        <v>-3551.1986890837834</v>
      </c>
      <c r="T9" s="150"/>
      <c r="U9" s="150">
        <f>-U8*$C$9</f>
        <v>-3639.9786563108778</v>
      </c>
      <c r="V9" s="150"/>
      <c r="W9" s="150">
        <f>-W8*$C$9</f>
        <v>-3730.97812271865</v>
      </c>
      <c r="X9" s="150"/>
      <c r="Y9" s="150">
        <f>-Y8*$C$9</f>
        <v>-3824.2525757866156</v>
      </c>
      <c r="Z9" s="150"/>
      <c r="AA9" s="150">
        <f>-AA8*$C$9</f>
        <v>-3919.8588901812809</v>
      </c>
      <c r="AB9" s="150"/>
      <c r="AC9" s="150">
        <f>-AC8*$C$9</f>
        <v>-4017.8553624358124</v>
      </c>
      <c r="AD9" s="150"/>
      <c r="AE9" s="150">
        <f>-AE8*$C$9</f>
        <v>-4118.3017464967079</v>
      </c>
      <c r="AF9" s="150"/>
      <c r="AG9" s="150">
        <f>-AG8*$C$9</f>
        <v>-4221.2592901591252</v>
      </c>
    </row>
    <row r="10" spans="1:34" s="140" customFormat="1" ht="14">
      <c r="A10" s="1032" t="s">
        <v>2704</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2705</v>
      </c>
      <c r="C11" s="145"/>
      <c r="E11" s="152">
        <f>SUM(E4:E10)</f>
        <v>6467495.5</v>
      </c>
      <c r="G11" s="152">
        <f>SUM(G4:G10)</f>
        <v>6629182.8875000002</v>
      </c>
      <c r="I11" s="152">
        <f>SUM(I4:I10)</f>
        <v>6794912.4596874993</v>
      </c>
      <c r="K11" s="152">
        <f>SUM(K4:K10)</f>
        <v>6964785.2711796872</v>
      </c>
      <c r="M11" s="152">
        <f>SUM(M4:M10)</f>
        <v>7138904.9029591763</v>
      </c>
      <c r="O11" s="152">
        <f>SUM(O4:O10)</f>
        <v>7317377.5255331565</v>
      </c>
      <c r="Q11" s="152">
        <f>SUM(Q4:Q10)</f>
        <v>7500311.963671485</v>
      </c>
      <c r="S11" s="152">
        <f>SUM(S4:S10)</f>
        <v>7687819.762763272</v>
      </c>
      <c r="U11" s="152">
        <f>SUM(U4:U10)</f>
        <v>7880015.2568323519</v>
      </c>
      <c r="W11" s="152">
        <f>SUM(W4:W10)</f>
        <v>8077015.6382531598</v>
      </c>
      <c r="Y11" s="152">
        <f>SUM(Y4:Y10)</f>
        <v>8278941.0292094862</v>
      </c>
      <c r="AA11" s="152">
        <f>SUM(AA4:AA10)</f>
        <v>8485914.5549397245</v>
      </c>
      <c r="AC11" s="152">
        <f>SUM(AC4:AC10)</f>
        <v>8698062.4188132156</v>
      </c>
      <c r="AE11" s="152">
        <f>SUM(AE4:AE10)</f>
        <v>8915513.9792835452</v>
      </c>
      <c r="AG11" s="152">
        <f>SUM(AG4:AG10)</f>
        <v>9138401.8287656344</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2706</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2707</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2708</v>
      </c>
      <c r="C15" s="863"/>
      <c r="E15" s="148">
        <f>Application!W847</f>
        <v>52500</v>
      </c>
      <c r="G15" s="148">
        <f>E15*$C$14</f>
        <v>54337.499999999993</v>
      </c>
      <c r="I15" s="148">
        <f>G15*$C$14</f>
        <v>56239.312499999985</v>
      </c>
      <c r="K15" s="148">
        <f>I15*$C$14</f>
        <v>58207.688437499979</v>
      </c>
      <c r="M15" s="148">
        <f>K15*$C$14</f>
        <v>60244.95753281247</v>
      </c>
      <c r="O15" s="148">
        <f>M15*$C$14</f>
        <v>62353.531046460899</v>
      </c>
      <c r="Q15" s="148">
        <f>O15*$C$14</f>
        <v>64535.904633087026</v>
      </c>
      <c r="S15" s="148">
        <f>Q15*$C$14</f>
        <v>66794.661295245067</v>
      </c>
      <c r="U15" s="148">
        <f>S15*$C$14</f>
        <v>69132.474440578633</v>
      </c>
      <c r="W15" s="148">
        <f>U15*$C$14</f>
        <v>71552.111045998885</v>
      </c>
      <c r="Y15" s="148">
        <f>W15*$C$14</f>
        <v>74056.434932608841</v>
      </c>
      <c r="AA15" s="148">
        <f>Y15*$C$14</f>
        <v>76648.410155250138</v>
      </c>
      <c r="AC15" s="148">
        <f>AA15*$C$14</f>
        <v>79331.104510683886</v>
      </c>
      <c r="AE15" s="148">
        <f>AC15*$C$14</f>
        <v>82107.693168557817</v>
      </c>
      <c r="AG15" s="148">
        <f>AE15*$C$14</f>
        <v>84981.46242945733</v>
      </c>
    </row>
    <row r="16" spans="1:34" s="140" customFormat="1" ht="14">
      <c r="A16" s="140" t="s">
        <v>1547</v>
      </c>
      <c r="C16" s="855"/>
      <c r="E16" s="151">
        <f>Application!W849</f>
        <v>141840</v>
      </c>
      <c r="F16" s="151"/>
      <c r="G16" s="151">
        <f t="shared" ref="G16:AG21" si="0">E16*$C$14</f>
        <v>146804.4</v>
      </c>
      <c r="H16" s="151"/>
      <c r="I16" s="151">
        <f t="shared" si="0"/>
        <v>151942.55399999997</v>
      </c>
      <c r="J16" s="151"/>
      <c r="K16" s="151">
        <f t="shared" si="0"/>
        <v>157260.54338999995</v>
      </c>
      <c r="L16" s="151"/>
      <c r="M16" s="151">
        <f t="shared" si="0"/>
        <v>162764.66240864992</v>
      </c>
      <c r="N16" s="151"/>
      <c r="O16" s="151">
        <f t="shared" si="0"/>
        <v>168461.42559295267</v>
      </c>
      <c r="P16" s="151"/>
      <c r="Q16" s="151">
        <f t="shared" si="0"/>
        <v>174357.575488706</v>
      </c>
      <c r="R16" s="151"/>
      <c r="S16" s="151">
        <f t="shared" si="0"/>
        <v>180460.09063081071</v>
      </c>
      <c r="T16" s="151"/>
      <c r="U16" s="151">
        <f t="shared" si="0"/>
        <v>186776.19380288906</v>
      </c>
      <c r="V16" s="151"/>
      <c r="W16" s="151">
        <f t="shared" si="0"/>
        <v>193313.36058599016</v>
      </c>
      <c r="X16" s="151"/>
      <c r="Y16" s="151">
        <f t="shared" si="0"/>
        <v>200079.32820649981</v>
      </c>
      <c r="Z16" s="151"/>
      <c r="AA16" s="151">
        <f t="shared" si="0"/>
        <v>207082.10469372728</v>
      </c>
      <c r="AB16" s="151"/>
      <c r="AC16" s="151">
        <f t="shared" si="0"/>
        <v>214329.97835800771</v>
      </c>
      <c r="AD16" s="151"/>
      <c r="AE16" s="151">
        <f t="shared" si="0"/>
        <v>221831.52760053796</v>
      </c>
      <c r="AF16" s="151"/>
      <c r="AG16" s="151">
        <f t="shared" si="0"/>
        <v>229595.63106655676</v>
      </c>
    </row>
    <row r="17" spans="1:33" s="140" customFormat="1" ht="14">
      <c r="A17" s="140" t="s">
        <v>230</v>
      </c>
      <c r="C17" s="855"/>
      <c r="E17" s="151">
        <f>Application!W855</f>
        <v>377500</v>
      </c>
      <c r="F17" s="151"/>
      <c r="G17" s="151">
        <f t="shared" si="0"/>
        <v>390712.49999999994</v>
      </c>
      <c r="H17" s="151"/>
      <c r="I17" s="151">
        <f t="shared" si="0"/>
        <v>404387.43749999988</v>
      </c>
      <c r="J17" s="151"/>
      <c r="K17" s="151">
        <f t="shared" si="0"/>
        <v>418540.99781249987</v>
      </c>
      <c r="L17" s="151"/>
      <c r="M17" s="151">
        <f t="shared" si="0"/>
        <v>433189.93273593736</v>
      </c>
      <c r="N17" s="151"/>
      <c r="O17" s="151">
        <f t="shared" si="0"/>
        <v>448351.58038169512</v>
      </c>
      <c r="P17" s="151"/>
      <c r="Q17" s="151">
        <f t="shared" si="0"/>
        <v>464043.88569505443</v>
      </c>
      <c r="R17" s="151"/>
      <c r="S17" s="151">
        <f t="shared" si="0"/>
        <v>480285.42169438128</v>
      </c>
      <c r="T17" s="151"/>
      <c r="U17" s="151">
        <f t="shared" si="0"/>
        <v>497095.41145368456</v>
      </c>
      <c r="V17" s="151"/>
      <c r="W17" s="151">
        <f t="shared" si="0"/>
        <v>514493.75085456349</v>
      </c>
      <c r="X17" s="151"/>
      <c r="Y17" s="151">
        <f t="shared" si="0"/>
        <v>532501.03213447321</v>
      </c>
      <c r="Z17" s="151"/>
      <c r="AA17" s="151">
        <f t="shared" si="0"/>
        <v>551138.56825917971</v>
      </c>
      <c r="AB17" s="151"/>
      <c r="AC17" s="151">
        <f t="shared" si="0"/>
        <v>570428.4181482509</v>
      </c>
      <c r="AD17" s="151"/>
      <c r="AE17" s="151">
        <f t="shared" si="0"/>
        <v>590393.41278343962</v>
      </c>
      <c r="AF17" s="151"/>
      <c r="AG17" s="151">
        <f t="shared" si="0"/>
        <v>611057.18223085999</v>
      </c>
    </row>
    <row r="18" spans="1:33" s="140" customFormat="1" ht="14">
      <c r="A18" s="140" t="s">
        <v>2709</v>
      </c>
      <c r="C18" s="855"/>
      <c r="E18" s="151">
        <f>Application!W862</f>
        <v>311295</v>
      </c>
      <c r="F18" s="151"/>
      <c r="G18" s="151">
        <f t="shared" si="0"/>
        <v>322190.32499999995</v>
      </c>
      <c r="H18" s="151"/>
      <c r="I18" s="151">
        <f t="shared" si="0"/>
        <v>333466.98637499992</v>
      </c>
      <c r="J18" s="151"/>
      <c r="K18" s="151">
        <f t="shared" si="0"/>
        <v>345138.3308981249</v>
      </c>
      <c r="L18" s="151"/>
      <c r="M18" s="151">
        <f t="shared" si="0"/>
        <v>357218.17247955926</v>
      </c>
      <c r="N18" s="151"/>
      <c r="O18" s="151">
        <f t="shared" si="0"/>
        <v>369720.80851634382</v>
      </c>
      <c r="P18" s="151"/>
      <c r="Q18" s="151">
        <f t="shared" si="0"/>
        <v>382661.03681441583</v>
      </c>
      <c r="R18" s="151"/>
      <c r="S18" s="151">
        <f t="shared" si="0"/>
        <v>396054.17310292035</v>
      </c>
      <c r="T18" s="151"/>
      <c r="U18" s="151">
        <f t="shared" si="0"/>
        <v>409916.06916152255</v>
      </c>
      <c r="V18" s="151"/>
      <c r="W18" s="151">
        <f t="shared" si="0"/>
        <v>424263.13158217579</v>
      </c>
      <c r="X18" s="151"/>
      <c r="Y18" s="151">
        <f t="shared" si="0"/>
        <v>439112.34118755191</v>
      </c>
      <c r="Z18" s="151"/>
      <c r="AA18" s="151">
        <f t="shared" si="0"/>
        <v>454481.27312911616</v>
      </c>
      <c r="AB18" s="151"/>
      <c r="AC18" s="151">
        <f t="shared" si="0"/>
        <v>470388.11768863519</v>
      </c>
      <c r="AD18" s="151"/>
      <c r="AE18" s="151">
        <f t="shared" si="0"/>
        <v>486851.70180773741</v>
      </c>
      <c r="AF18" s="151"/>
      <c r="AG18" s="151">
        <f t="shared" si="0"/>
        <v>503891.51137100818</v>
      </c>
    </row>
    <row r="19" spans="1:33" s="140" customFormat="1" ht="14">
      <c r="A19" s="140" t="s">
        <v>1798</v>
      </c>
      <c r="C19" s="855"/>
      <c r="E19" s="151">
        <f>Application!W863</f>
        <v>127910</v>
      </c>
      <c r="F19" s="151"/>
      <c r="G19" s="151">
        <f t="shared" si="0"/>
        <v>132386.84999999998</v>
      </c>
      <c r="H19" s="151"/>
      <c r="I19" s="151">
        <f t="shared" si="0"/>
        <v>137020.38974999997</v>
      </c>
      <c r="J19" s="151"/>
      <c r="K19" s="151">
        <f t="shared" si="0"/>
        <v>141816.10339124996</v>
      </c>
      <c r="L19" s="151"/>
      <c r="M19" s="151">
        <f t="shared" si="0"/>
        <v>146779.66700994369</v>
      </c>
      <c r="N19" s="151"/>
      <c r="O19" s="151">
        <f t="shared" si="0"/>
        <v>151916.95535529172</v>
      </c>
      <c r="P19" s="151"/>
      <c r="Q19" s="151">
        <f t="shared" si="0"/>
        <v>157234.04879272691</v>
      </c>
      <c r="R19" s="151"/>
      <c r="S19" s="151">
        <f t="shared" si="0"/>
        <v>162737.24050047234</v>
      </c>
      <c r="T19" s="151"/>
      <c r="U19" s="151">
        <f t="shared" si="0"/>
        <v>168433.04391798886</v>
      </c>
      <c r="V19" s="151"/>
      <c r="W19" s="151">
        <f t="shared" si="0"/>
        <v>174328.20045511847</v>
      </c>
      <c r="X19" s="151"/>
      <c r="Y19" s="151">
        <f t="shared" si="0"/>
        <v>180429.6874710476</v>
      </c>
      <c r="Z19" s="151"/>
      <c r="AA19" s="151">
        <f t="shared" si="0"/>
        <v>186744.72653253426</v>
      </c>
      <c r="AB19" s="151"/>
      <c r="AC19" s="151">
        <f t="shared" si="0"/>
        <v>193280.79196117294</v>
      </c>
      <c r="AD19" s="151"/>
      <c r="AE19" s="151">
        <f t="shared" si="0"/>
        <v>200045.61967981397</v>
      </c>
      <c r="AF19" s="151"/>
      <c r="AG19" s="151">
        <f t="shared" si="0"/>
        <v>207047.21636860745</v>
      </c>
    </row>
    <row r="20" spans="1:33" s="140" customFormat="1" ht="14">
      <c r="A20" s="140" t="s">
        <v>232</v>
      </c>
      <c r="C20" s="855"/>
      <c r="E20" s="151">
        <f>Application!W872</f>
        <v>127235</v>
      </c>
      <c r="F20" s="151"/>
      <c r="G20" s="151">
        <f t="shared" si="0"/>
        <v>131688.22499999998</v>
      </c>
      <c r="H20" s="151"/>
      <c r="I20" s="151">
        <f t="shared" si="0"/>
        <v>136297.31287499997</v>
      </c>
      <c r="J20" s="151"/>
      <c r="K20" s="151">
        <f t="shared" si="0"/>
        <v>141067.71882562496</v>
      </c>
      <c r="L20" s="151"/>
      <c r="M20" s="151">
        <f t="shared" si="0"/>
        <v>146005.08898452183</v>
      </c>
      <c r="N20" s="151"/>
      <c r="O20" s="151">
        <f t="shared" si="0"/>
        <v>151115.26709898008</v>
      </c>
      <c r="P20" s="151"/>
      <c r="Q20" s="151">
        <f t="shared" si="0"/>
        <v>156404.30144744436</v>
      </c>
      <c r="R20" s="151"/>
      <c r="S20" s="151">
        <f t="shared" si="0"/>
        <v>161878.45199810489</v>
      </c>
      <c r="T20" s="151"/>
      <c r="U20" s="151">
        <f t="shared" si="0"/>
        <v>167544.19781803855</v>
      </c>
      <c r="V20" s="151"/>
      <c r="W20" s="151">
        <f t="shared" si="0"/>
        <v>173408.24474166989</v>
      </c>
      <c r="X20" s="151"/>
      <c r="Y20" s="151">
        <f t="shared" si="0"/>
        <v>179477.53330762833</v>
      </c>
      <c r="Z20" s="151"/>
      <c r="AA20" s="151">
        <f t="shared" si="0"/>
        <v>185759.24697339532</v>
      </c>
      <c r="AB20" s="151"/>
      <c r="AC20" s="151">
        <f t="shared" si="0"/>
        <v>192260.82061746414</v>
      </c>
      <c r="AD20" s="151"/>
      <c r="AE20" s="151">
        <f t="shared" si="0"/>
        <v>198989.94933907536</v>
      </c>
      <c r="AF20" s="151"/>
      <c r="AG20" s="151">
        <f t="shared" si="0"/>
        <v>205954.597565943</v>
      </c>
    </row>
    <row r="21" spans="1:33" s="140" customFormat="1" ht="14">
      <c r="A21" s="155" t="s">
        <v>2710</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2711</v>
      </c>
      <c r="C22" s="855"/>
      <c r="E22" s="152">
        <f>SUM(E15:E21)</f>
        <v>1138280</v>
      </c>
      <c r="G22" s="152">
        <f>SUM(G15:G21)</f>
        <v>1178119.7999999998</v>
      </c>
      <c r="I22" s="152">
        <f>SUM(I15:I21)</f>
        <v>1219353.9929999996</v>
      </c>
      <c r="K22" s="152">
        <f>SUM(K15:K21)</f>
        <v>1262031.3827549997</v>
      </c>
      <c r="M22" s="152">
        <f>SUM(M15:M21)</f>
        <v>1306202.4811514243</v>
      </c>
      <c r="O22" s="152">
        <f>SUM(O15:O21)</f>
        <v>1351919.5679917242</v>
      </c>
      <c r="Q22" s="152">
        <f>SUM(Q15:Q21)</f>
        <v>1399236.7528714344</v>
      </c>
      <c r="S22" s="152">
        <f>SUM(S15:S21)</f>
        <v>1448210.0392219345</v>
      </c>
      <c r="U22" s="152">
        <f>SUM(U15:U21)</f>
        <v>1498897.3905947022</v>
      </c>
      <c r="W22" s="152">
        <f>SUM(W15:W21)</f>
        <v>1551358.7992655167</v>
      </c>
      <c r="Y22" s="152">
        <f>SUM(Y15:Y21)</f>
        <v>1605656.3572398096</v>
      </c>
      <c r="AA22" s="152">
        <f>SUM(AA15:AA21)</f>
        <v>1661854.3297432028</v>
      </c>
      <c r="AC22" s="152">
        <f>SUM(AC15:AC21)</f>
        <v>1720019.2312842149</v>
      </c>
      <c r="AE22" s="152">
        <f>SUM(AE15:AE21)</f>
        <v>1780219.904379162</v>
      </c>
      <c r="AG22" s="152">
        <f>SUM(AG15:AG21)</f>
        <v>1842527.6010324326</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2712</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2713</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2320</v>
      </c>
      <c r="C27" s="1218">
        <v>1.0349999999999999</v>
      </c>
      <c r="E27" s="151">
        <f>Application!AC888</f>
        <v>24360</v>
      </c>
      <c r="F27" s="151"/>
      <c r="G27" s="151">
        <f>E27*$C$27</f>
        <v>25212.6</v>
      </c>
      <c r="H27" s="151"/>
      <c r="I27" s="151">
        <f>G27*$C$27</f>
        <v>26095.040999999997</v>
      </c>
      <c r="J27" s="151"/>
      <c r="K27" s="151">
        <f>I27*$C$27</f>
        <v>27008.367434999996</v>
      </c>
      <c r="L27" s="151"/>
      <c r="M27" s="151">
        <f>K27*$C$27</f>
        <v>27953.660295224996</v>
      </c>
      <c r="N27" s="151"/>
      <c r="O27" s="151">
        <f>M27*$C$27</f>
        <v>28932.038405557869</v>
      </c>
      <c r="P27" s="151"/>
      <c r="Q27" s="151">
        <f>O27*$C$27</f>
        <v>29944.659749752391</v>
      </c>
      <c r="R27" s="151"/>
      <c r="S27" s="151">
        <f>Q27*$C$27</f>
        <v>30992.722840993723</v>
      </c>
      <c r="T27" s="151"/>
      <c r="U27" s="151">
        <f>S27*$C$27</f>
        <v>32077.4681404285</v>
      </c>
      <c r="V27" s="151"/>
      <c r="W27" s="151">
        <f>U27*$C$27</f>
        <v>33200.179525343498</v>
      </c>
      <c r="X27" s="151"/>
      <c r="Y27" s="151">
        <f>W27*$C$27</f>
        <v>34362.185808730515</v>
      </c>
      <c r="Z27" s="151"/>
      <c r="AA27" s="151">
        <f>Y27*$C$27</f>
        <v>35564.862312036079</v>
      </c>
      <c r="AB27" s="151"/>
      <c r="AC27" s="151">
        <f>AA27*$C$27</f>
        <v>36809.632492957338</v>
      </c>
      <c r="AD27" s="151"/>
      <c r="AE27" s="151">
        <f>AC27*$C$27</f>
        <v>38097.969630210842</v>
      </c>
      <c r="AF27" s="151"/>
      <c r="AG27" s="151">
        <f>AE27*$C$27</f>
        <v>39431.398567268217</v>
      </c>
    </row>
    <row r="28" spans="1:33" s="140" customFormat="1" ht="14">
      <c r="A28" s="140" t="s">
        <v>2714</v>
      </c>
      <c r="C28" s="1218"/>
      <c r="E28" s="151">
        <f>Application!AC889</f>
        <v>49750</v>
      </c>
      <c r="F28" s="151"/>
      <c r="G28" s="151">
        <f>$E$28</f>
        <v>49750</v>
      </c>
      <c r="H28" s="151"/>
      <c r="I28" s="151">
        <f>$E$28</f>
        <v>49750</v>
      </c>
      <c r="J28" s="151"/>
      <c r="K28" s="151">
        <f>$E$28</f>
        <v>49750</v>
      </c>
      <c r="L28" s="151"/>
      <c r="M28" s="151">
        <f>$E$28</f>
        <v>49750</v>
      </c>
      <c r="N28" s="151"/>
      <c r="O28" s="151">
        <f>$E$28</f>
        <v>49750</v>
      </c>
      <c r="P28" s="151"/>
      <c r="Q28" s="151">
        <f>$E$28</f>
        <v>49750</v>
      </c>
      <c r="R28" s="151"/>
      <c r="S28" s="151">
        <f>$E$28</f>
        <v>49750</v>
      </c>
      <c r="T28" s="151"/>
      <c r="U28" s="151">
        <f>$E$28</f>
        <v>49750</v>
      </c>
      <c r="V28" s="151"/>
      <c r="W28" s="151">
        <f>$E$28</f>
        <v>49750</v>
      </c>
      <c r="X28" s="151"/>
      <c r="Y28" s="151">
        <f>$E$28</f>
        <v>49750</v>
      </c>
      <c r="Z28" s="151"/>
      <c r="AA28" s="151">
        <f>$E$28</f>
        <v>49750</v>
      </c>
      <c r="AB28" s="151"/>
      <c r="AC28" s="151">
        <f>$E$28</f>
        <v>49750</v>
      </c>
      <c r="AD28" s="151"/>
      <c r="AE28" s="151">
        <f>$E$28</f>
        <v>49750</v>
      </c>
      <c r="AF28" s="151"/>
      <c r="AG28" s="151">
        <f>$E$28</f>
        <v>49750</v>
      </c>
    </row>
    <row r="29" spans="1:33" s="140" customFormat="1" ht="14">
      <c r="A29" s="140" t="s">
        <v>2715</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2716</v>
      </c>
      <c r="C30" s="1218">
        <v>1.02</v>
      </c>
      <c r="E30" s="151">
        <f>Application!AC891</f>
        <v>3000</v>
      </c>
      <c r="F30" s="151"/>
      <c r="G30" s="151">
        <f>E30*$C$30</f>
        <v>3060</v>
      </c>
      <c r="H30" s="151"/>
      <c r="I30" s="151">
        <f>G30*$C$30</f>
        <v>3121.2000000000003</v>
      </c>
      <c r="J30" s="151"/>
      <c r="K30" s="151">
        <f>I30*$C$30</f>
        <v>3183.6240000000003</v>
      </c>
      <c r="L30" s="151"/>
      <c r="M30" s="151">
        <f>K30*$C$30</f>
        <v>3247.2964800000004</v>
      </c>
      <c r="N30" s="151"/>
      <c r="O30" s="151">
        <f>M30*$C$30</f>
        <v>3312.2424096000004</v>
      </c>
      <c r="P30" s="151"/>
      <c r="Q30" s="151">
        <f>O30*$C$30</f>
        <v>3378.4872577920005</v>
      </c>
      <c r="R30" s="151"/>
      <c r="S30" s="151">
        <f>Q30*$C$30</f>
        <v>3446.0570029478404</v>
      </c>
      <c r="T30" s="151"/>
      <c r="U30" s="151">
        <f>S30*$C$30</f>
        <v>3514.9781430067974</v>
      </c>
      <c r="V30" s="151"/>
      <c r="W30" s="151">
        <f>U30*$C$30</f>
        <v>3585.2777058669335</v>
      </c>
      <c r="X30" s="151"/>
      <c r="Y30" s="151">
        <f>W30*$C$30</f>
        <v>3656.9832599842721</v>
      </c>
      <c r="Z30" s="151"/>
      <c r="AA30" s="151">
        <f>Y30*$C$30</f>
        <v>3730.1229251839577</v>
      </c>
      <c r="AB30" s="151"/>
      <c r="AC30" s="151">
        <f>AA30*$C$30</f>
        <v>3804.7253836876371</v>
      </c>
      <c r="AD30" s="151"/>
      <c r="AE30" s="151">
        <f>AC30*$C$30</f>
        <v>3880.8198913613901</v>
      </c>
      <c r="AF30" s="151"/>
      <c r="AG30" s="151">
        <f>AE30*$C$30</f>
        <v>3958.436289188618</v>
      </c>
    </row>
    <row r="31" spans="1:33" s="140" customFormat="1" ht="14">
      <c r="A31" s="140" t="s">
        <v>2717</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1572</v>
      </c>
      <c r="C35" s="153"/>
      <c r="E35" s="152">
        <f>SUM(E22:E33)</f>
        <v>1215390</v>
      </c>
      <c r="G35" s="152">
        <f>SUM(G22:G33)</f>
        <v>1256142.3999999999</v>
      </c>
      <c r="I35" s="152">
        <f>SUM(I22:I33)</f>
        <v>1298320.2339999995</v>
      </c>
      <c r="K35" s="152">
        <f>SUM(K22:K33)</f>
        <v>1341973.3741899997</v>
      </c>
      <c r="M35" s="152">
        <f>SUM(M22:M33)</f>
        <v>1387153.4379266493</v>
      </c>
      <c r="O35" s="152">
        <f>SUM(O22:O33)</f>
        <v>1433913.848806882</v>
      </c>
      <c r="Q35" s="152">
        <f>SUM(Q22:Q33)</f>
        <v>1482309.8998789787</v>
      </c>
      <c r="S35" s="152">
        <f>SUM(S22:S33)</f>
        <v>1532398.8190658761</v>
      </c>
      <c r="U35" s="152">
        <f>SUM(U22:U33)</f>
        <v>1584239.8368781374</v>
      </c>
      <c r="W35" s="152">
        <f>SUM(W22:W33)</f>
        <v>1637894.256496727</v>
      </c>
      <c r="Y35" s="152">
        <f>SUM(Y22:Y33)</f>
        <v>1693425.5263085244</v>
      </c>
      <c r="AA35" s="152">
        <f>SUM(AA22:AA33)</f>
        <v>1750899.3149804228</v>
      </c>
      <c r="AC35" s="152">
        <f>SUM(AC22:AC33)</f>
        <v>1810383.5891608598</v>
      </c>
      <c r="AE35" s="152">
        <f>SUM(AE22:AE33)</f>
        <v>1871948.6939007342</v>
      </c>
      <c r="AG35" s="152">
        <f>SUM(AG22:AG33)</f>
        <v>1935667.4358888895</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2718</v>
      </c>
      <c r="C37" s="153"/>
      <c r="E37" s="152">
        <f>E11-E35</f>
        <v>5252105.5</v>
      </c>
      <c r="G37" s="152">
        <f>G11-G35</f>
        <v>5373040.4875000007</v>
      </c>
      <c r="I37" s="152">
        <f>I11-I35</f>
        <v>5496592.2256875001</v>
      </c>
      <c r="K37" s="152">
        <f>K11-K35</f>
        <v>5622811.8969896873</v>
      </c>
      <c r="M37" s="152">
        <f>M11-M35</f>
        <v>5751751.4650325272</v>
      </c>
      <c r="O37" s="152">
        <f>O11-O35</f>
        <v>5883463.6767262742</v>
      </c>
      <c r="Q37" s="152">
        <f>Q11-Q35</f>
        <v>6018002.0637925062</v>
      </c>
      <c r="S37" s="152">
        <f>S11-S35</f>
        <v>6155420.9436973957</v>
      </c>
      <c r="U37" s="152">
        <f>U11-U35</f>
        <v>6295775.4199542142</v>
      </c>
      <c r="W37" s="152">
        <f>W11-W35</f>
        <v>6439121.3817564324</v>
      </c>
      <c r="Y37" s="152">
        <f>Y11-Y35</f>
        <v>6585515.5029009618</v>
      </c>
      <c r="AA37" s="152">
        <f>AA11-AA35</f>
        <v>6735015.2399593014</v>
      </c>
      <c r="AC37" s="152">
        <f>AC11-AC35</f>
        <v>6887678.829652356</v>
      </c>
      <c r="AE37" s="152">
        <f>AE11-AE35</f>
        <v>7043565.285382811</v>
      </c>
      <c r="AG37" s="152">
        <f>AG11-AG35</f>
        <v>7202734.3928767452</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2719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Citi Permanent Loan - Tax</v>
      </c>
      <c r="B40" s="155"/>
      <c r="C40" s="149"/>
      <c r="E40" s="151">
        <f>Application!AF627</f>
        <v>4568342</v>
      </c>
      <c r="F40" s="151"/>
      <c r="G40" s="151">
        <f>$E$40</f>
        <v>4568342</v>
      </c>
      <c r="H40" s="151"/>
      <c r="I40" s="151">
        <f>$E$40</f>
        <v>4568342</v>
      </c>
      <c r="J40" s="151"/>
      <c r="K40" s="151">
        <f>$E$40</f>
        <v>4568342</v>
      </c>
      <c r="L40" s="151"/>
      <c r="M40" s="151">
        <f>$E$40</f>
        <v>4568342</v>
      </c>
      <c r="N40" s="151"/>
      <c r="O40" s="151">
        <f>$E$40</f>
        <v>4568342</v>
      </c>
      <c r="P40" s="151"/>
      <c r="Q40" s="151">
        <f>$E$40</f>
        <v>4568342</v>
      </c>
      <c r="R40" s="151"/>
      <c r="S40" s="151">
        <f>$E$40</f>
        <v>4568342</v>
      </c>
      <c r="T40" s="151"/>
      <c r="U40" s="151">
        <f>$E$40</f>
        <v>4568342</v>
      </c>
      <c r="V40" s="151"/>
      <c r="W40" s="151">
        <f>$E$40</f>
        <v>4568342</v>
      </c>
      <c r="X40" s="151"/>
      <c r="Y40" s="151">
        <f>$E$40</f>
        <v>4568342</v>
      </c>
      <c r="Z40" s="151"/>
      <c r="AA40" s="151">
        <f>$E$40</f>
        <v>4568342</v>
      </c>
      <c r="AB40" s="151"/>
      <c r="AC40" s="151">
        <f>$E$40</f>
        <v>4568342</v>
      </c>
      <c r="AD40" s="151"/>
      <c r="AE40" s="151">
        <f>$E$40</f>
        <v>4568342</v>
      </c>
      <c r="AF40" s="151"/>
      <c r="AG40" s="151">
        <f>$E$40</f>
        <v>4568342</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2720</v>
      </c>
      <c r="C43" s="153"/>
      <c r="E43" s="152">
        <f>SUM(E40:E42)</f>
        <v>4568342</v>
      </c>
      <c r="G43" s="152">
        <f>SUM(G40:G42)</f>
        <v>4568342</v>
      </c>
      <c r="I43" s="152">
        <f>SUM(I40:I42)</f>
        <v>4568342</v>
      </c>
      <c r="K43" s="152">
        <f>SUM(K40:K42)</f>
        <v>4568342</v>
      </c>
      <c r="M43" s="152">
        <f>SUM(M40:M42)</f>
        <v>4568342</v>
      </c>
      <c r="O43" s="152">
        <f>SUM(O40:O42)</f>
        <v>4568342</v>
      </c>
      <c r="Q43" s="152">
        <f>SUM(Q40:Q42)</f>
        <v>4568342</v>
      </c>
      <c r="S43" s="152">
        <f>SUM(S40:S42)</f>
        <v>4568342</v>
      </c>
      <c r="U43" s="152">
        <f>SUM(U40:U42)</f>
        <v>4568342</v>
      </c>
      <c r="W43" s="152">
        <f>SUM(W40:W42)</f>
        <v>4568342</v>
      </c>
      <c r="Y43" s="152">
        <f>SUM(Y40:Y42)</f>
        <v>4568342</v>
      </c>
      <c r="AA43" s="152">
        <f>SUM(AA40:AA42)</f>
        <v>4568342</v>
      </c>
      <c r="AC43" s="152">
        <f>SUM(AC40:AC42)</f>
        <v>4568342</v>
      </c>
      <c r="AE43" s="152">
        <f>SUM(AE40:AE42)</f>
        <v>4568342</v>
      </c>
      <c r="AG43" s="152">
        <f>SUM(AG40:AG42)</f>
        <v>4568342</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2721</v>
      </c>
      <c r="C45" s="153"/>
      <c r="E45" s="152">
        <f>E37-E43</f>
        <v>683763.5</v>
      </c>
      <c r="G45" s="152">
        <f>G37-G43</f>
        <v>804698.48750000075</v>
      </c>
      <c r="I45" s="152">
        <f>I37-I43</f>
        <v>928250.22568750009</v>
      </c>
      <c r="K45" s="152">
        <f>K37-K43</f>
        <v>1054469.8969896873</v>
      </c>
      <c r="M45" s="152">
        <f>M37-M43</f>
        <v>1183409.4650325272</v>
      </c>
      <c r="O45" s="152">
        <f>O37-O43</f>
        <v>1315121.6767262742</v>
      </c>
      <c r="Q45" s="152">
        <f>Q37-Q43</f>
        <v>1449660.0637925062</v>
      </c>
      <c r="S45" s="152">
        <f>S37-S43</f>
        <v>1587078.9436973957</v>
      </c>
      <c r="U45" s="152">
        <f>U37-U43</f>
        <v>1727433.4199542142</v>
      </c>
      <c r="W45" s="152">
        <f>W37-W43</f>
        <v>1870779.3817564324</v>
      </c>
      <c r="Y45" s="152">
        <f>Y37-Y43</f>
        <v>2017173.5029009618</v>
      </c>
      <c r="AA45" s="152">
        <f>AA37-AA43</f>
        <v>2166673.2399593014</v>
      </c>
      <c r="AC45" s="152">
        <f>AC37-AC43</f>
        <v>2319336.829652356</v>
      </c>
      <c r="AE45" s="152">
        <f>AE37-AE43</f>
        <v>2475223.285382811</v>
      </c>
      <c r="AG45" s="152">
        <f>AG37-AG43</f>
        <v>2634392.3928767452</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2722</v>
      </c>
      <c r="C47" s="149"/>
      <c r="E47" s="156">
        <f>E45/(E4+E6+E8)</f>
        <v>0.10043691951544458</v>
      </c>
      <c r="G47" s="156">
        <f>G45/(G4+G6+G8)</f>
        <v>0.11531791716992372</v>
      </c>
      <c r="I47" s="156">
        <f>I45/(I4+I6+I8)</f>
        <v>0.12977911336383591</v>
      </c>
      <c r="K47" s="156">
        <f>K45/(K4+K6+K8)</f>
        <v>0.14383019190633689</v>
      </c>
      <c r="M47" s="156">
        <f>M45/(M4+M6+M8)</f>
        <v>0.15748059500202724</v>
      </c>
      <c r="O47" s="156">
        <f>O45/(O4+O6+O8)</f>
        <v>0.17073952909091286</v>
      </c>
      <c r="Q47" s="156">
        <f>Q45/(Q4+Q6+Q8)</f>
        <v>0.18361597054540885</v>
      </c>
      <c r="S47" s="156">
        <f>S45/(S4+S6+S8)</f>
        <v>0.19611867122787446</v>
      </c>
      <c r="U47" s="156">
        <f>U45/(U4+U6+U8)</f>
        <v>0.20825616391207163</v>
      </c>
      <c r="W47" s="156">
        <f>W45/(W4+W6+W8)</f>
        <v>0.22003676757186272</v>
      </c>
      <c r="Y47" s="156">
        <f>Y45/(Y4+Y6+Y8)</f>
        <v>0.23146859254037863</v>
      </c>
      <c r="AA47" s="156">
        <f>AA45/(AA4+AA6+AA8)</f>
        <v>0.2425595455428147</v>
      </c>
      <c r="AC47" s="156">
        <f>AC45/(AC4+AC6+AC8)</f>
        <v>0.25331733460592609</v>
      </c>
      <c r="AE47" s="156">
        <f>AE45/(AE4+AE6+AE8)</f>
        <v>0.26374947384723124</v>
      </c>
      <c r="AG47" s="156">
        <f>AG45/(AG4+AG6+AG8)</f>
        <v>0.27386328814684607</v>
      </c>
    </row>
    <row r="48" spans="1:33" s="156" customFormat="1" ht="14">
      <c r="A48" s="156" t="s">
        <v>2723</v>
      </c>
      <c r="C48" s="149"/>
      <c r="E48" s="156">
        <f>E45/E43</f>
        <v>0.14967432385753957</v>
      </c>
      <c r="G48" s="156">
        <f>G45/G43</f>
        <v>0.17614672620832694</v>
      </c>
      <c r="I48" s="156">
        <f>I45/I43</f>
        <v>0.20319192952005347</v>
      </c>
      <c r="K48" s="156">
        <f>K45/K43</f>
        <v>0.23082113751327885</v>
      </c>
      <c r="M48" s="156">
        <f>M45/M43</f>
        <v>0.25904572491125383</v>
      </c>
      <c r="O48" s="156">
        <f>O45/O43</f>
        <v>0.28787723789643466</v>
      </c>
      <c r="Q48" s="156">
        <f>Q45/Q43</f>
        <v>0.31732739444474739</v>
      </c>
      <c r="S48" s="156">
        <f>S45/S43</f>
        <v>0.34740808452987881</v>
      </c>
      <c r="U48" s="156">
        <f>U45/U43</f>
        <v>0.37813137018949416</v>
      </c>
      <c r="W48" s="156">
        <f>W45/W43</f>
        <v>0.40950948544492344</v>
      </c>
      <c r="Y48" s="156">
        <f>Y45/Y43</f>
        <v>0.44155483606546136</v>
      </c>
      <c r="AA48" s="156">
        <f>AA45/AA43</f>
        <v>0.47427999916803548</v>
      </c>
      <c r="AC48" s="156">
        <f>AC45/AC43</f>
        <v>0.50769772264255963</v>
      </c>
      <c r="AE48" s="156">
        <f>AE45/AE43</f>
        <v>0.54182092439287843</v>
      </c>
      <c r="AG48" s="156">
        <f>AG45/AG43</f>
        <v>0.57666269138272597</v>
      </c>
    </row>
    <row r="49" spans="1:34" s="157" customFormat="1" ht="14">
      <c r="A49" s="157" t="s">
        <v>2275</v>
      </c>
      <c r="C49" s="158"/>
      <c r="E49" s="157">
        <f>E37/E43</f>
        <v>1.1496743238575395</v>
      </c>
      <c r="G49" s="157">
        <f>G37/G43</f>
        <v>1.1761467262083269</v>
      </c>
      <c r="I49" s="157">
        <f>I37/I43</f>
        <v>1.2031919295200535</v>
      </c>
      <c r="K49" s="157">
        <f>K37/K43</f>
        <v>1.2308211375132789</v>
      </c>
      <c r="M49" s="157">
        <f>M37/M43</f>
        <v>1.2590457249112539</v>
      </c>
      <c r="O49" s="157">
        <f>O37/O43</f>
        <v>1.2878772378964347</v>
      </c>
      <c r="Q49" s="157">
        <f>Q37/Q43</f>
        <v>1.3173273944447474</v>
      </c>
      <c r="S49" s="157">
        <f>S37/S43</f>
        <v>1.3474080845298788</v>
      </c>
      <c r="U49" s="157">
        <f>U37/U43</f>
        <v>1.3781313701894942</v>
      </c>
      <c r="W49" s="157">
        <f>W37/W43</f>
        <v>1.4095094854449235</v>
      </c>
      <c r="Y49" s="157">
        <f>Y37/Y43</f>
        <v>1.4415548360654613</v>
      </c>
      <c r="AA49" s="157">
        <f>AA37/AA43</f>
        <v>1.4742799991680355</v>
      </c>
      <c r="AC49" s="157">
        <f>AC37/AC43</f>
        <v>1.5076977226425596</v>
      </c>
      <c r="AE49" s="157">
        <f>AE37/AE43</f>
        <v>1.5418209243928784</v>
      </c>
      <c r="AG49" s="157">
        <f>AG37/AG43</f>
        <v>1.576662691382726</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2724</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8" t="s">
        <v>1003</v>
      </c>
      <c r="B52" s="2618"/>
      <c r="C52" s="2618"/>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2045</v>
      </c>
      <c r="C53" s="857">
        <v>1.03</v>
      </c>
      <c r="E53" s="858">
        <v>7500</v>
      </c>
      <c r="G53" s="854">
        <f>E53*$C$53</f>
        <v>7725</v>
      </c>
      <c r="I53" s="854">
        <f>G53*$C$53</f>
        <v>7956.75</v>
      </c>
      <c r="K53" s="854">
        <f>I53*$C$53</f>
        <v>8195.4524999999994</v>
      </c>
      <c r="M53" s="854">
        <f>K53*$C$53</f>
        <v>8441.3160749999988</v>
      </c>
      <c r="O53" s="854">
        <f>M53*$C$53</f>
        <v>8694.5555572499998</v>
      </c>
      <c r="Q53" s="854">
        <f>O53*$C$53</f>
        <v>8955.3922239674994</v>
      </c>
      <c r="S53" s="854">
        <f>Q53*$C$53</f>
        <v>9224.0539906865251</v>
      </c>
      <c r="U53" s="854">
        <f>S53*$C$53</f>
        <v>9500.7756104071213</v>
      </c>
      <c r="W53" s="854">
        <f>U53*$C$53</f>
        <v>9785.7988787193353</v>
      </c>
      <c r="Y53" s="854">
        <f>W53*$C$53</f>
        <v>10079.372845080916</v>
      </c>
      <c r="AA53" s="854">
        <f>Y53*$C$53</f>
        <v>10381.754030433343</v>
      </c>
      <c r="AC53" s="854">
        <f>AA53*$C$53</f>
        <v>10693.206651346343</v>
      </c>
      <c r="AE53" s="854">
        <f>AC53*$C$53</f>
        <v>11014.002850886734</v>
      </c>
      <c r="AG53" s="854">
        <f>AE53*$C$53</f>
        <v>11344.422936413337</v>
      </c>
    </row>
    <row r="54" spans="1:34" s="3" customFormat="1">
      <c r="A54" s="3" t="s">
        <v>2725</v>
      </c>
      <c r="C54" s="852"/>
      <c r="E54" s="859">
        <v>25000</v>
      </c>
      <c r="F54" s="854"/>
      <c r="G54" s="854">
        <f t="shared" ref="G54:AG57" si="1">E54*$C$53</f>
        <v>25750</v>
      </c>
      <c r="H54" s="854"/>
      <c r="I54" s="854">
        <f t="shared" si="1"/>
        <v>26522.5</v>
      </c>
      <c r="J54" s="854"/>
      <c r="K54" s="854">
        <f t="shared" si="1"/>
        <v>27318.174999999999</v>
      </c>
      <c r="L54" s="854"/>
      <c r="M54" s="854">
        <f t="shared" si="1"/>
        <v>28137.720249999998</v>
      </c>
      <c r="N54" s="854"/>
      <c r="O54" s="854">
        <f t="shared" si="1"/>
        <v>28981.851857499998</v>
      </c>
      <c r="P54" s="854"/>
      <c r="Q54" s="854">
        <f t="shared" si="1"/>
        <v>29851.307413225</v>
      </c>
      <c r="R54" s="854"/>
      <c r="S54" s="854">
        <f t="shared" si="1"/>
        <v>30746.84663562175</v>
      </c>
      <c r="T54" s="854"/>
      <c r="U54" s="854">
        <f t="shared" si="1"/>
        <v>31669.252034690402</v>
      </c>
      <c r="V54" s="854"/>
      <c r="W54" s="854">
        <f t="shared" si="1"/>
        <v>32619.329595731117</v>
      </c>
      <c r="X54" s="854"/>
      <c r="Y54" s="854">
        <f t="shared" si="1"/>
        <v>33597.909483603049</v>
      </c>
      <c r="Z54" s="854"/>
      <c r="AA54" s="854">
        <f t="shared" si="1"/>
        <v>34605.846768111143</v>
      </c>
      <c r="AB54" s="854"/>
      <c r="AC54" s="854">
        <f t="shared" si="1"/>
        <v>35644.02217115448</v>
      </c>
      <c r="AD54" s="854"/>
      <c r="AE54" s="854">
        <f t="shared" si="1"/>
        <v>36713.342836289114</v>
      </c>
      <c r="AF54" s="854"/>
      <c r="AG54" s="854">
        <f t="shared" si="1"/>
        <v>37814.743121377789</v>
      </c>
      <c r="AH54" s="854"/>
    </row>
    <row r="55" spans="1:34" s="3" customFormat="1">
      <c r="A55" s="3" t="s">
        <v>2726</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2727</v>
      </c>
      <c r="C58" s="855"/>
      <c r="E58" s="854">
        <f>SUM(E53:E57)</f>
        <v>32500</v>
      </c>
      <c r="F58" s="854"/>
      <c r="G58" s="854">
        <f>SUM(G53:G57)</f>
        <v>33475</v>
      </c>
      <c r="H58" s="854"/>
      <c r="I58" s="854">
        <f>SUM(I53:I57)</f>
        <v>34479.25</v>
      </c>
      <c r="J58" s="854"/>
      <c r="K58" s="854">
        <f>SUM(K53:K57)</f>
        <v>35513.627500000002</v>
      </c>
      <c r="L58" s="854"/>
      <c r="M58" s="854">
        <f>SUM(M53:M57)</f>
        <v>36579.036324999994</v>
      </c>
      <c r="N58" s="854"/>
      <c r="O58" s="854">
        <f>SUM(O53:O57)</f>
        <v>37676.40741475</v>
      </c>
      <c r="P58" s="854"/>
      <c r="Q58" s="854">
        <f>SUM(Q53:Q57)</f>
        <v>38806.699637192498</v>
      </c>
      <c r="R58" s="854"/>
      <c r="S58" s="854">
        <f>SUM(S53:S57)</f>
        <v>39970.900626308277</v>
      </c>
      <c r="T58" s="854"/>
      <c r="U58" s="854">
        <f>SUM(U53:U57)</f>
        <v>41170.027645097522</v>
      </c>
      <c r="V58" s="854"/>
      <c r="W58" s="854">
        <f>SUM(W53:W57)</f>
        <v>42405.128474450452</v>
      </c>
      <c r="X58" s="854"/>
      <c r="Y58" s="854">
        <f>SUM(Y53:Y57)</f>
        <v>43677.282328683963</v>
      </c>
      <c r="Z58" s="854"/>
      <c r="AA58" s="854">
        <f>SUM(AA53:AA57)</f>
        <v>44987.600798544488</v>
      </c>
      <c r="AB58" s="854"/>
      <c r="AC58" s="854">
        <f>SUM(AC53:AC57)</f>
        <v>46337.228822500823</v>
      </c>
      <c r="AD58" s="854"/>
      <c r="AE58" s="854">
        <f>SUM(AE53:AE57)</f>
        <v>47727.345687175846</v>
      </c>
      <c r="AF58" s="854"/>
      <c r="AG58" s="854">
        <f>SUM(AG53:AG57)</f>
        <v>49159.166057791124</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2728</v>
      </c>
      <c r="C60" s="863">
        <f>Application!AO629</f>
        <v>18544469</v>
      </c>
      <c r="E60" s="856">
        <f>E45-E58</f>
        <v>651263.5</v>
      </c>
      <c r="G60" s="856">
        <f>G45-G58</f>
        <v>771223.48750000075</v>
      </c>
      <c r="I60" s="856">
        <f>I45-I58</f>
        <v>893770.97568750009</v>
      </c>
      <c r="K60" s="856">
        <f>K45-K58</f>
        <v>1018956.2694896874</v>
      </c>
      <c r="M60" s="856">
        <f>M45-M58</f>
        <v>1146830.4287075272</v>
      </c>
      <c r="O60" s="856">
        <f>O45-O58</f>
        <v>1277445.2693115242</v>
      </c>
      <c r="Q60" s="856">
        <f>Q45-Q58</f>
        <v>1410853.3641553137</v>
      </c>
      <c r="S60" s="856">
        <f>S45-S58</f>
        <v>1547108.0430710874</v>
      </c>
      <c r="U60" s="856">
        <f>U45-U58</f>
        <v>1686263.3923091167</v>
      </c>
      <c r="W60" s="856">
        <f>W45-W58</f>
        <v>1828374.2532819819</v>
      </c>
      <c r="Y60" s="856">
        <f>Y45-Y58</f>
        <v>1973496.2205722779</v>
      </c>
      <c r="AA60" s="856">
        <f>AA45-AA58</f>
        <v>2121685.639160757</v>
      </c>
      <c r="AC60" s="856">
        <f>AC45-AC58</f>
        <v>2272999.6008298551</v>
      </c>
      <c r="AE60" s="856">
        <f>AE45-AE58</f>
        <v>2427495.9396956353</v>
      </c>
      <c r="AG60" s="856">
        <f>AG45-AG58</f>
        <v>2585233.2268189541</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2729</v>
      </c>
      <c r="C62" s="853">
        <v>1</v>
      </c>
      <c r="E62" s="858">
        <f>E60*$C$62</f>
        <v>651263.5</v>
      </c>
      <c r="G62" s="856">
        <f>G60*$C$62</f>
        <v>771223.48750000075</v>
      </c>
      <c r="I62" s="856">
        <f>I60*$C$62</f>
        <v>893770.97568750009</v>
      </c>
      <c r="K62" s="856">
        <f>K60*$C$62</f>
        <v>1018956.2694896874</v>
      </c>
      <c r="M62" s="856">
        <f>M60*$C$62</f>
        <v>1146830.4287075272</v>
      </c>
      <c r="O62" s="856">
        <f>O60*$C$62</f>
        <v>1277445.2693115242</v>
      </c>
      <c r="Q62" s="856">
        <f>Q60*$C$62</f>
        <v>1410853.3641553137</v>
      </c>
      <c r="S62" s="856">
        <f>S60*$C$62</f>
        <v>1547108.0430710874</v>
      </c>
      <c r="U62" s="856">
        <f>U60*$C$62</f>
        <v>1686263.3923091167</v>
      </c>
      <c r="W62" s="856">
        <f>W60*$C$62</f>
        <v>1828374.2532819819</v>
      </c>
      <c r="Y62" s="856">
        <f>Y60*$C$62</f>
        <v>1973496.2205722779</v>
      </c>
      <c r="AA62" s="856">
        <f>AA60*$C$62</f>
        <v>2121685.639160757</v>
      </c>
      <c r="AC62" s="856">
        <f>C60-SUM(E62:AA62)</f>
        <v>2217198.1567532271</v>
      </c>
      <c r="AE62" s="856">
        <v>0</v>
      </c>
      <c r="AG62" s="856">
        <v>0</v>
      </c>
    </row>
    <row r="63" spans="1:34" s="856" customFormat="1">
      <c r="A63" s="2618" t="s">
        <v>1003</v>
      </c>
      <c r="B63" s="2618"/>
      <c r="C63" s="2618"/>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2730</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t="s">
        <v>804</v>
      </c>
      <c r="C66" s="857">
        <v>1</v>
      </c>
      <c r="E66" s="858">
        <f>IF(C62=1,0,$E60*$C$65)</f>
        <v>0</v>
      </c>
      <c r="G66" s="854">
        <f>IF($C$62=1,0,G$60*$C$65)</f>
        <v>0</v>
      </c>
      <c r="I66" s="854">
        <f>IF($C$62=1,0,I$60*$C$65)</f>
        <v>0</v>
      </c>
      <c r="K66" s="854">
        <f>IF($C$62=1,0,K$60*$C$65)</f>
        <v>0</v>
      </c>
      <c r="M66" s="854">
        <f>IF($C$62=1,0,M$60*$C$65)</f>
        <v>0</v>
      </c>
      <c r="O66" s="854">
        <f>IF($C$62=1,0,O$60*$C$65)</f>
        <v>0</v>
      </c>
      <c r="Q66" s="854">
        <f>IF($C$62=1,0,Q$60*$C$65)</f>
        <v>0</v>
      </c>
      <c r="S66" s="854">
        <f>IF($C$62=1,0,S$60*$C$65)</f>
        <v>0</v>
      </c>
      <c r="U66" s="854">
        <f>IF($C$62=1,0,U$60*$C$65)</f>
        <v>0</v>
      </c>
      <c r="W66" s="854">
        <f>IF($C$62=1,0,W$60*$C$65)</f>
        <v>0</v>
      </c>
      <c r="Y66" s="854">
        <f>IF($C$62=1,0,Y$60*$C$65)</f>
        <v>0</v>
      </c>
      <c r="AA66" s="854">
        <f>IF($C$62=1,0,AA$60*$C$65)</f>
        <v>0</v>
      </c>
      <c r="AB66" s="854"/>
      <c r="AC66" s="854">
        <f>(AC60-AC62)*$C$65</f>
        <v>27900.722038313979</v>
      </c>
      <c r="AE66" s="854">
        <f>(AE60-AE62)*$C$65</f>
        <v>1213747.9698478177</v>
      </c>
      <c r="AG66" s="854">
        <f>(AG60-AG62)*$C$65</f>
        <v>1292616.6134094771</v>
      </c>
    </row>
    <row r="67" spans="1:34" s="854" customFormat="1">
      <c r="A67" s="859"/>
      <c r="B67" s="859"/>
      <c r="C67" s="864"/>
      <c r="E67" s="858"/>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2727</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27900.722038313979</v>
      </c>
      <c r="AE70" s="854">
        <f>SUM(AE66:AE69)</f>
        <v>1213747.9698478177</v>
      </c>
      <c r="AG70" s="854">
        <f>SUM(AG66:AG69)</f>
        <v>1292616.6134094771</v>
      </c>
    </row>
    <row r="71" spans="1:34" s="854" customFormat="1">
      <c r="A71" s="856"/>
      <c r="C71" s="864"/>
    </row>
    <row r="72" spans="1:34" s="854" customFormat="1">
      <c r="A72" s="856" t="s">
        <v>2731</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27900.722038313979</v>
      </c>
      <c r="AE72" s="856">
        <f>AE60-AE62-AE70</f>
        <v>1213747.9698478177</v>
      </c>
      <c r="AG72" s="856">
        <f>AG60-AG62-AG70</f>
        <v>1292616.6134094771</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2732</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7" t="s">
        <v>2733</v>
      </c>
      <c r="B77" s="2617"/>
      <c r="C77" s="2617"/>
      <c r="D77" s="2617"/>
      <c r="E77" s="2617"/>
      <c r="F77" s="2617"/>
      <c r="G77" s="2617"/>
      <c r="H77" s="2617"/>
      <c r="I77" s="2617"/>
      <c r="J77" s="2617"/>
      <c r="K77" s="2617"/>
      <c r="L77" s="2617"/>
      <c r="M77" s="2617"/>
      <c r="N77" s="2617"/>
      <c r="O77" s="2617"/>
      <c r="P77" s="2617"/>
      <c r="Q77" s="2617"/>
      <c r="R77" s="2617"/>
      <c r="S77" s="2617"/>
      <c r="T77" s="2617"/>
      <c r="U77" s="2617"/>
      <c r="V77" s="2617"/>
      <c r="W77" s="2617"/>
      <c r="X77" s="2617"/>
      <c r="Y77" s="2617"/>
      <c r="Z77" s="2617"/>
      <c r="AA77" s="2617"/>
      <c r="AB77" s="2617"/>
      <c r="AC77" s="2617"/>
      <c r="AD77" s="2617"/>
      <c r="AE77" s="2617"/>
      <c r="AF77" s="2617"/>
      <c r="AG77" s="2617"/>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2734</v>
      </c>
    </row>
    <row r="2" spans="1:1" ht="16">
      <c r="A2" s="221"/>
    </row>
    <row r="3" spans="1:1" ht="16">
      <c r="A3" s="222" t="s">
        <v>2735</v>
      </c>
    </row>
    <row r="4" spans="1:1" ht="16">
      <c r="A4" s="222" t="s">
        <v>2736</v>
      </c>
    </row>
    <row r="5" spans="1:1" ht="16">
      <c r="A5" s="222" t="s">
        <v>2737</v>
      </c>
    </row>
    <row r="6" spans="1:1" ht="16">
      <c r="A6" s="222" t="s">
        <v>2738</v>
      </c>
    </row>
    <row r="7" spans="1:1" ht="16">
      <c r="A7" s="222" t="s">
        <v>2739</v>
      </c>
    </row>
    <row r="8" spans="1:1" ht="16">
      <c r="A8" s="249" t="s">
        <v>2740</v>
      </c>
    </row>
    <row r="9" spans="1:1" ht="16">
      <c r="A9" s="222" t="s">
        <v>2741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2742</v>
      </c>
      <c r="D1" s="192"/>
    </row>
    <row r="2" spans="1:6" s="187" customFormat="1">
      <c r="A2" s="171" t="s">
        <v>2743</v>
      </c>
      <c r="B2" s="173"/>
      <c r="C2" s="173"/>
      <c r="D2" s="170"/>
      <c r="E2" s="174"/>
      <c r="F2" s="173"/>
    </row>
    <row r="3" spans="1:6" s="254" customFormat="1" ht="80.25" customHeight="1">
      <c r="A3" s="189"/>
      <c r="B3" s="175" t="s">
        <v>2744</v>
      </c>
      <c r="C3" s="175" t="s">
        <v>2745</v>
      </c>
      <c r="D3" s="175" t="s">
        <v>2746</v>
      </c>
      <c r="E3" s="172" t="s">
        <v>2747</v>
      </c>
      <c r="F3" s="172"/>
    </row>
    <row r="4" spans="1:6" s="255" customFormat="1" ht="14">
      <c r="A4" s="176" t="s">
        <v>1759</v>
      </c>
      <c r="B4" s="176"/>
      <c r="C4" s="176"/>
      <c r="D4" s="176"/>
      <c r="E4" s="194"/>
      <c r="F4" s="176"/>
    </row>
    <row r="5" spans="1:6" s="255" customFormat="1">
      <c r="A5" s="267" t="s">
        <v>1760</v>
      </c>
      <c r="B5" s="178">
        <f>'Sources and Uses Budget'!$C4</f>
        <v>7417500</v>
      </c>
      <c r="C5" s="178">
        <f>'Sources and Uses Budget'!$C4</f>
        <v>7417500</v>
      </c>
      <c r="D5" s="182">
        <f>C5-B5</f>
        <v>0</v>
      </c>
      <c r="E5" s="180"/>
      <c r="F5" s="179"/>
    </row>
    <row r="6" spans="1:6" s="255" customFormat="1">
      <c r="A6" s="267" t="s">
        <v>691</v>
      </c>
      <c r="B6" s="178">
        <f>'Sources and Uses Budget'!$C5</f>
        <v>0</v>
      </c>
      <c r="C6" s="178">
        <f>'Sources and Uses Budget'!$C5</f>
        <v>0</v>
      </c>
      <c r="D6" s="182">
        <f t="shared" ref="D6:D77" si="0">C6-B6</f>
        <v>0</v>
      </c>
      <c r="E6" s="180"/>
      <c r="F6" s="179"/>
    </row>
    <row r="7" spans="1:6" s="255" customFormat="1">
      <c r="A7" s="267" t="s">
        <v>1761</v>
      </c>
      <c r="B7" s="178">
        <f>'Sources and Uses Budget'!$C6</f>
        <v>20500</v>
      </c>
      <c r="C7" s="178">
        <f>'Sources and Uses Budget'!$C6</f>
        <v>20500</v>
      </c>
      <c r="D7" s="182">
        <f t="shared" si="0"/>
        <v>0</v>
      </c>
      <c r="E7" s="180"/>
      <c r="F7" s="179"/>
    </row>
    <row r="8" spans="1:6" s="255" customFormat="1">
      <c r="A8" s="267" t="s">
        <v>1762</v>
      </c>
      <c r="B8" s="178">
        <f>'Sources and Uses Budget'!$C7</f>
        <v>0</v>
      </c>
      <c r="C8" s="178">
        <f>'Sources and Uses Budget'!$C7</f>
        <v>0</v>
      </c>
      <c r="D8" s="182">
        <f t="shared" si="0"/>
        <v>0</v>
      </c>
      <c r="E8" s="180"/>
      <c r="F8" s="179"/>
    </row>
    <row r="9" spans="1:6" s="255" customFormat="1">
      <c r="A9" s="268" t="s">
        <v>1763</v>
      </c>
      <c r="B9" s="182">
        <f>SUM(B5:B8)</f>
        <v>7438000</v>
      </c>
      <c r="C9" s="182">
        <f>SUM(C5:C8)</f>
        <v>7438000</v>
      </c>
      <c r="D9" s="182">
        <f t="shared" si="0"/>
        <v>0</v>
      </c>
      <c r="E9" s="180"/>
      <c r="F9" s="179"/>
    </row>
    <row r="10" spans="1:6" s="255" customFormat="1">
      <c r="A10" s="267" t="s">
        <v>1764</v>
      </c>
      <c r="B10" s="178">
        <f>'Sources and Uses Budget'!$C9</f>
        <v>0</v>
      </c>
      <c r="C10" s="178">
        <f>'Sources and Uses Budget'!$C9</f>
        <v>0</v>
      </c>
      <c r="D10" s="182">
        <f t="shared" si="0"/>
        <v>0</v>
      </c>
      <c r="E10" s="180"/>
      <c r="F10" s="179"/>
    </row>
    <row r="11" spans="1:6" s="255" customFormat="1">
      <c r="A11" s="267" t="s">
        <v>1765</v>
      </c>
      <c r="B11" s="178">
        <f>'Sources and Uses Budget'!$C10</f>
        <v>0</v>
      </c>
      <c r="C11" s="178">
        <f>'Sources and Uses Budget'!$C10</f>
        <v>0</v>
      </c>
      <c r="D11" s="182">
        <f t="shared" si="0"/>
        <v>0</v>
      </c>
      <c r="E11" s="180"/>
      <c r="F11" s="179"/>
    </row>
    <row r="12" spans="1:6" s="255" customFormat="1">
      <c r="A12" s="268" t="s">
        <v>1766</v>
      </c>
      <c r="B12" s="182">
        <f>SUM(B10:B11)</f>
        <v>0</v>
      </c>
      <c r="C12" s="182">
        <f>SUM(C10:C11)</f>
        <v>0</v>
      </c>
      <c r="D12" s="182">
        <f t="shared" si="0"/>
        <v>0</v>
      </c>
      <c r="E12" s="180"/>
      <c r="F12" s="179"/>
    </row>
    <row r="13" spans="1:6" s="255" customFormat="1">
      <c r="A13" s="268" t="s">
        <v>1767</v>
      </c>
      <c r="B13" s="182">
        <f>SUM(B9+B12)</f>
        <v>7438000</v>
      </c>
      <c r="C13" s="182">
        <f>SUM(C9+C12)</f>
        <v>7438000</v>
      </c>
      <c r="D13" s="182">
        <f t="shared" si="0"/>
        <v>0</v>
      </c>
      <c r="E13" s="180"/>
      <c r="F13" s="179"/>
    </row>
    <row r="14" spans="1:6" s="255" customFormat="1">
      <c r="A14" s="269" t="s">
        <v>1768</v>
      </c>
      <c r="B14" s="178">
        <f>'Sources and Uses Budget'!$C13</f>
        <v>530496</v>
      </c>
      <c r="C14" s="178">
        <f>'Sources and Uses Budget'!$C13</f>
        <v>530496</v>
      </c>
      <c r="D14" s="182">
        <f t="shared" si="0"/>
        <v>0</v>
      </c>
      <c r="E14" s="180"/>
      <c r="F14" s="179"/>
    </row>
    <row r="15" spans="1:6" s="255" customFormat="1" ht="26">
      <c r="A15" s="267" t="s">
        <v>1885</v>
      </c>
      <c r="B15" s="178">
        <f>'Sources and Uses Budget'!$C14</f>
        <v>0</v>
      </c>
      <c r="C15" s="178">
        <f>'Sources and Uses Budget'!$C14</f>
        <v>0</v>
      </c>
      <c r="D15" s="182">
        <f t="shared" si="0"/>
        <v>0</v>
      </c>
      <c r="E15" s="180"/>
      <c r="F15" s="179"/>
    </row>
    <row r="16" spans="1:6" s="255" customFormat="1">
      <c r="A16" s="267" t="s">
        <v>1770</v>
      </c>
      <c r="B16" s="178">
        <f>'Sources and Uses Budget'!$C15</f>
        <v>0</v>
      </c>
      <c r="C16" s="178">
        <f>'Sources and Uses Budget'!$C15</f>
        <v>0</v>
      </c>
      <c r="D16" s="182">
        <f t="shared" si="0"/>
        <v>0</v>
      </c>
      <c r="E16" s="180"/>
      <c r="F16" s="179"/>
    </row>
    <row r="17" spans="1:6" s="255" customFormat="1" ht="14">
      <c r="A17" s="176" t="s">
        <v>1771</v>
      </c>
      <c r="B17" s="176"/>
      <c r="C17" s="176"/>
      <c r="D17" s="176"/>
      <c r="E17" s="194"/>
      <c r="F17" s="176"/>
    </row>
    <row r="18" spans="1:6" s="255" customFormat="1">
      <c r="A18" s="195" t="s">
        <v>1772</v>
      </c>
      <c r="B18" s="178">
        <f>'Sources and Uses Budget'!$C17</f>
        <v>0</v>
      </c>
      <c r="C18" s="178">
        <f>'Sources and Uses Budget'!$C17</f>
        <v>0</v>
      </c>
      <c r="D18" s="182">
        <f t="shared" si="0"/>
        <v>0</v>
      </c>
      <c r="E18" s="180"/>
      <c r="F18" s="179"/>
    </row>
    <row r="19" spans="1:6" s="255" customFormat="1">
      <c r="A19" s="195" t="s">
        <v>1773</v>
      </c>
      <c r="B19" s="178">
        <f>'Sources and Uses Budget'!$C18</f>
        <v>0</v>
      </c>
      <c r="C19" s="178">
        <f>'Sources and Uses Budget'!$C18</f>
        <v>0</v>
      </c>
      <c r="D19" s="182">
        <f t="shared" si="0"/>
        <v>0</v>
      </c>
      <c r="E19" s="180"/>
      <c r="F19" s="179"/>
    </row>
    <row r="20" spans="1:6" s="255" customFormat="1">
      <c r="A20" s="195" t="s">
        <v>1774</v>
      </c>
      <c r="B20" s="178">
        <f>'Sources and Uses Budget'!$C19</f>
        <v>0</v>
      </c>
      <c r="C20" s="178">
        <f>'Sources and Uses Budget'!$C19</f>
        <v>0</v>
      </c>
      <c r="D20" s="182">
        <f t="shared" si="0"/>
        <v>0</v>
      </c>
      <c r="E20" s="180"/>
      <c r="F20" s="179"/>
    </row>
    <row r="21" spans="1:6" s="255" customFormat="1">
      <c r="A21" s="195" t="s">
        <v>1775</v>
      </c>
      <c r="B21" s="178">
        <f>'Sources and Uses Budget'!$C20</f>
        <v>0</v>
      </c>
      <c r="C21" s="178">
        <f>'Sources and Uses Budget'!$C20</f>
        <v>0</v>
      </c>
      <c r="D21" s="182">
        <f t="shared" si="0"/>
        <v>0</v>
      </c>
      <c r="E21" s="180"/>
      <c r="F21" s="179"/>
    </row>
    <row r="22" spans="1:6" s="255" customFormat="1">
      <c r="A22" s="195" t="s">
        <v>1776</v>
      </c>
      <c r="B22" s="178">
        <f>'Sources and Uses Budget'!$C21</f>
        <v>0</v>
      </c>
      <c r="C22" s="178">
        <f>'Sources and Uses Budget'!$C21</f>
        <v>0</v>
      </c>
      <c r="D22" s="182">
        <f t="shared" si="0"/>
        <v>0</v>
      </c>
      <c r="E22" s="180"/>
      <c r="F22" s="179"/>
    </row>
    <row r="23" spans="1:6" s="255" customFormat="1">
      <c r="A23" s="195" t="s">
        <v>1777</v>
      </c>
      <c r="B23" s="178">
        <f>'Sources and Uses Budget'!$C22</f>
        <v>0</v>
      </c>
      <c r="C23" s="178">
        <f>'Sources and Uses Budget'!$C22</f>
        <v>0</v>
      </c>
      <c r="D23" s="182">
        <f t="shared" si="0"/>
        <v>0</v>
      </c>
      <c r="E23" s="180"/>
      <c r="F23" s="179"/>
    </row>
    <row r="24" spans="1:6" s="255" customFormat="1">
      <c r="A24" s="195" t="s">
        <v>1778</v>
      </c>
      <c r="B24" s="178">
        <f>'Sources and Uses Budget'!$C23</f>
        <v>0</v>
      </c>
      <c r="C24" s="178">
        <f>'Sources and Uses Budget'!$C23</f>
        <v>0</v>
      </c>
      <c r="D24" s="182">
        <f t="shared" si="0"/>
        <v>0</v>
      </c>
      <c r="E24" s="180"/>
      <c r="F24" s="179"/>
    </row>
    <row r="25" spans="1:6" s="255" customFormat="1">
      <c r="A25" s="409" t="s">
        <v>1779</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1781</v>
      </c>
      <c r="B27" s="182">
        <f>SUM(B18:B26)</f>
        <v>0</v>
      </c>
      <c r="C27" s="182">
        <f>SUM(C18:C26)</f>
        <v>0</v>
      </c>
      <c r="D27" s="182">
        <f>SUM(D18:D26)</f>
        <v>0</v>
      </c>
      <c r="E27" s="180"/>
      <c r="F27" s="179"/>
    </row>
    <row r="28" spans="1:6" s="255" customFormat="1" ht="14">
      <c r="A28" s="183" t="s">
        <v>1782</v>
      </c>
      <c r="B28" s="178">
        <f>'Sources and Uses Budget'!$C$27</f>
        <v>0</v>
      </c>
      <c r="C28" s="178">
        <f>'Sources and Uses Budget'!$C$27</f>
        <v>0</v>
      </c>
      <c r="D28" s="182">
        <f t="shared" si="0"/>
        <v>0</v>
      </c>
      <c r="E28" s="180"/>
      <c r="F28" s="179"/>
    </row>
    <row r="29" spans="1:6" s="255" customFormat="1" ht="14">
      <c r="A29" s="176" t="s">
        <v>1783</v>
      </c>
      <c r="B29" s="176"/>
      <c r="C29" s="176"/>
      <c r="D29" s="176"/>
      <c r="E29" s="194"/>
      <c r="F29" s="176"/>
    </row>
    <row r="30" spans="1:6" s="255" customFormat="1">
      <c r="A30" s="195" t="s">
        <v>1772</v>
      </c>
      <c r="B30" s="178">
        <f>'Sources and Uses Budget'!$C29</f>
        <v>10132000</v>
      </c>
      <c r="C30" s="178">
        <f>'Sources and Uses Budget'!$C29</f>
        <v>10132000</v>
      </c>
      <c r="D30" s="182">
        <f t="shared" si="0"/>
        <v>0</v>
      </c>
      <c r="E30" s="180"/>
      <c r="F30" s="179"/>
    </row>
    <row r="31" spans="1:6" s="255" customFormat="1">
      <c r="A31" s="195" t="s">
        <v>1773</v>
      </c>
      <c r="B31" s="178">
        <f>'Sources and Uses Budget'!$C30</f>
        <v>70165473</v>
      </c>
      <c r="C31" s="178">
        <f>'Sources and Uses Budget'!$C30</f>
        <v>70165473</v>
      </c>
      <c r="D31" s="182">
        <f t="shared" si="0"/>
        <v>0</v>
      </c>
      <c r="E31" s="180"/>
      <c r="F31" s="179"/>
    </row>
    <row r="32" spans="1:6" s="255" customFormat="1">
      <c r="A32" s="195" t="s">
        <v>1774</v>
      </c>
      <c r="B32" s="178">
        <f>'Sources and Uses Budget'!$C31</f>
        <v>3250000</v>
      </c>
      <c r="C32" s="178">
        <f>'Sources and Uses Budget'!$C31</f>
        <v>3250000</v>
      </c>
      <c r="D32" s="182">
        <f t="shared" si="0"/>
        <v>0</v>
      </c>
      <c r="E32" s="180"/>
      <c r="F32" s="179"/>
    </row>
    <row r="33" spans="1:6" s="255" customFormat="1">
      <c r="A33" s="195" t="s">
        <v>1775</v>
      </c>
      <c r="B33" s="178">
        <f>'Sources and Uses Budget'!$C32</f>
        <v>2400000</v>
      </c>
      <c r="C33" s="178">
        <f>'Sources and Uses Budget'!$C32</f>
        <v>2400000</v>
      </c>
      <c r="D33" s="182">
        <f t="shared" si="0"/>
        <v>0</v>
      </c>
      <c r="E33" s="180"/>
      <c r="F33" s="179"/>
    </row>
    <row r="34" spans="1:6" s="255" customFormat="1">
      <c r="A34" s="195" t="s">
        <v>1776</v>
      </c>
      <c r="B34" s="178">
        <f>'Sources and Uses Budget'!$C33</f>
        <v>4936920</v>
      </c>
      <c r="C34" s="178">
        <f>'Sources and Uses Budget'!$C33</f>
        <v>4936920</v>
      </c>
      <c r="D34" s="182">
        <f t="shared" si="0"/>
        <v>0</v>
      </c>
      <c r="E34" s="180"/>
      <c r="F34" s="179"/>
    </row>
    <row r="35" spans="1:6" s="255" customFormat="1">
      <c r="A35" s="195" t="s">
        <v>1777</v>
      </c>
      <c r="B35" s="178">
        <f>'Sources and Uses Budget'!$C34</f>
        <v>0</v>
      </c>
      <c r="C35" s="178">
        <f>'Sources and Uses Budget'!$C34</f>
        <v>0</v>
      </c>
      <c r="D35" s="182">
        <f t="shared" si="0"/>
        <v>0</v>
      </c>
      <c r="E35" s="180"/>
      <c r="F35" s="179"/>
    </row>
    <row r="36" spans="1:6" s="255" customFormat="1">
      <c r="A36" s="195" t="s">
        <v>1778</v>
      </c>
      <c r="B36" s="178">
        <f>'Sources and Uses Budget'!$C35</f>
        <v>881080</v>
      </c>
      <c r="C36" s="178">
        <f>'Sources and Uses Budget'!$C35</f>
        <v>881080</v>
      </c>
      <c r="D36" s="182">
        <f t="shared" si="0"/>
        <v>0</v>
      </c>
      <c r="E36" s="180"/>
      <c r="F36" s="179"/>
    </row>
    <row r="37" spans="1:6" s="255" customFormat="1">
      <c r="A37" s="195" t="s">
        <v>1779</v>
      </c>
      <c r="B37" s="178">
        <f>'Sources and Uses Budget'!$C36</f>
        <v>450000</v>
      </c>
      <c r="C37" s="178">
        <f>'Sources and Uses Budget'!$C36</f>
        <v>450000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1784</v>
      </c>
      <c r="B39" s="182">
        <f>SUM(B30:B38)</f>
        <v>92215473</v>
      </c>
      <c r="C39" s="182">
        <f>SUM(C30:C38)</f>
        <v>92215473</v>
      </c>
      <c r="D39" s="182">
        <f t="shared" si="0"/>
        <v>0</v>
      </c>
      <c r="E39" s="180"/>
      <c r="F39" s="179"/>
    </row>
    <row r="40" spans="1:6" s="255" customFormat="1" ht="14">
      <c r="A40" s="176" t="s">
        <v>1785</v>
      </c>
      <c r="B40" s="176"/>
      <c r="C40" s="176"/>
      <c r="D40" s="176"/>
      <c r="E40" s="194"/>
      <c r="F40" s="176"/>
    </row>
    <row r="41" spans="1:6" s="255" customFormat="1" ht="14">
      <c r="A41" s="181" t="s">
        <v>1786</v>
      </c>
      <c r="B41" s="178">
        <f>'Sources and Uses Budget'!$C40</f>
        <v>3046590</v>
      </c>
      <c r="C41" s="178">
        <f>'Sources and Uses Budget'!$C40</f>
        <v>3046590</v>
      </c>
      <c r="D41" s="182">
        <f t="shared" si="0"/>
        <v>0</v>
      </c>
      <c r="E41" s="180"/>
      <c r="F41" s="179"/>
    </row>
    <row r="42" spans="1:6" s="255" customFormat="1" ht="14">
      <c r="A42" s="181" t="s">
        <v>1787</v>
      </c>
      <c r="B42" s="178">
        <f>'Sources and Uses Budget'!$C41</f>
        <v>750000</v>
      </c>
      <c r="C42" s="178">
        <f>'Sources and Uses Budget'!$C41</f>
        <v>750000</v>
      </c>
      <c r="D42" s="182">
        <f t="shared" si="0"/>
        <v>0</v>
      </c>
      <c r="E42" s="180"/>
      <c r="F42" s="179"/>
    </row>
    <row r="43" spans="1:6" s="255" customFormat="1" ht="14">
      <c r="A43" s="183" t="s">
        <v>1788</v>
      </c>
      <c r="B43" s="182">
        <f>SUM(B41:B42)</f>
        <v>3796590</v>
      </c>
      <c r="C43" s="182">
        <f>SUM(C41:C42)</f>
        <v>3796590</v>
      </c>
      <c r="D43" s="182">
        <f t="shared" si="0"/>
        <v>0</v>
      </c>
      <c r="E43" s="180"/>
      <c r="F43" s="179"/>
    </row>
    <row r="44" spans="1:6" s="255" customFormat="1" ht="14">
      <c r="A44" s="183" t="s">
        <v>1789</v>
      </c>
      <c r="B44" s="178">
        <f>'Sources and Uses Budget'!$C43</f>
        <v>1712100</v>
      </c>
      <c r="C44" s="178">
        <f>'Sources and Uses Budget'!$C43</f>
        <v>1712100</v>
      </c>
      <c r="D44" s="182">
        <f t="shared" si="0"/>
        <v>0</v>
      </c>
      <c r="E44" s="180"/>
      <c r="F44" s="179"/>
    </row>
    <row r="45" spans="1:6" s="255" customFormat="1" ht="12" customHeight="1">
      <c r="A45" s="176" t="s">
        <v>1790</v>
      </c>
      <c r="B45" s="176"/>
      <c r="C45" s="176"/>
      <c r="D45" s="176"/>
      <c r="E45" s="194"/>
      <c r="F45" s="176"/>
    </row>
    <row r="46" spans="1:6" s="255" customFormat="1">
      <c r="A46" s="195" t="s">
        <v>1791</v>
      </c>
      <c r="B46" s="178">
        <f>'Sources and Uses Budget'!$C45</f>
        <v>14000000</v>
      </c>
      <c r="C46" s="178">
        <f>'Sources and Uses Budget'!$C45</f>
        <v>14000000</v>
      </c>
      <c r="D46" s="182">
        <f t="shared" si="0"/>
        <v>0</v>
      </c>
      <c r="E46" s="180"/>
      <c r="F46" s="179"/>
    </row>
    <row r="47" spans="1:6" s="255" customFormat="1">
      <c r="A47" s="195" t="s">
        <v>1792</v>
      </c>
      <c r="B47" s="178">
        <f>'Sources and Uses Budget'!$C46</f>
        <v>1060000</v>
      </c>
      <c r="C47" s="178">
        <f>'Sources and Uses Budget'!$C46</f>
        <v>1060000</v>
      </c>
      <c r="D47" s="182">
        <f t="shared" si="0"/>
        <v>0</v>
      </c>
      <c r="E47" s="180"/>
      <c r="F47" s="179"/>
    </row>
    <row r="48" spans="1:6" s="255" customFormat="1" ht="12" customHeight="1">
      <c r="A48" s="1207" t="s">
        <v>1793</v>
      </c>
      <c r="B48" s="178">
        <f>'Sources and Uses Budget'!$C47</f>
        <v>0</v>
      </c>
      <c r="C48" s="178">
        <f>'Sources and Uses Budget'!$C47</f>
        <v>0</v>
      </c>
      <c r="D48" s="182">
        <f t="shared" si="0"/>
        <v>0</v>
      </c>
      <c r="E48" s="180"/>
      <c r="F48" s="179"/>
    </row>
    <row r="49" spans="1:6" s="255" customFormat="1">
      <c r="A49" s="195" t="s">
        <v>1794</v>
      </c>
      <c r="B49" s="178">
        <f>'Sources and Uses Budget'!$C48</f>
        <v>650000</v>
      </c>
      <c r="C49" s="178">
        <f>'Sources and Uses Budget'!$C48</f>
        <v>650000</v>
      </c>
      <c r="D49" s="182">
        <f t="shared" si="0"/>
        <v>0</v>
      </c>
      <c r="E49" s="180"/>
      <c r="F49" s="179"/>
    </row>
    <row r="50" spans="1:6" s="255" customFormat="1">
      <c r="A50" s="195" t="s">
        <v>1795</v>
      </c>
      <c r="B50" s="178">
        <f>'Sources and Uses Budget'!$C49</f>
        <v>540000</v>
      </c>
      <c r="C50" s="178">
        <f>'Sources and Uses Budget'!$C49</f>
        <v>540000</v>
      </c>
      <c r="D50" s="182">
        <f t="shared" si="0"/>
        <v>0</v>
      </c>
      <c r="E50" s="180"/>
      <c r="F50" s="179"/>
    </row>
    <row r="51" spans="1:6" s="255" customFormat="1">
      <c r="A51" s="195" t="s">
        <v>1796</v>
      </c>
      <c r="B51" s="178">
        <f>'Sources and Uses Budget'!$C50</f>
        <v>150000</v>
      </c>
      <c r="C51" s="178">
        <f>'Sources and Uses Budget'!$C50</f>
        <v>150000</v>
      </c>
      <c r="D51" s="182">
        <f t="shared" si="0"/>
        <v>0</v>
      </c>
      <c r="E51" s="180"/>
      <c r="F51" s="179"/>
    </row>
    <row r="52" spans="1:6" s="255" customFormat="1">
      <c r="A52" s="195" t="s">
        <v>1797</v>
      </c>
      <c r="B52" s="178">
        <f>'Sources and Uses Budget'!$C51</f>
        <v>250000</v>
      </c>
      <c r="C52" s="178">
        <f>'Sources and Uses Budget'!$C51</f>
        <v>250000</v>
      </c>
      <c r="D52" s="182">
        <f t="shared" si="0"/>
        <v>0</v>
      </c>
      <c r="E52" s="180"/>
      <c r="F52" s="179"/>
    </row>
    <row r="53" spans="1:6" s="255" customFormat="1">
      <c r="A53" s="195" t="s">
        <v>1798</v>
      </c>
      <c r="B53" s="178">
        <f>'Sources and Uses Budget'!$C52</f>
        <v>1500000</v>
      </c>
      <c r="C53" s="178">
        <f>'Sources and Uses Budget'!$C52</f>
        <v>1500000</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
      <c r="A55" s="183" t="s">
        <v>1799</v>
      </c>
      <c r="B55" s="185">
        <f>SUM(B46:B54)</f>
        <v>18150000</v>
      </c>
      <c r="C55" s="185">
        <f>SUM(C46:C54)</f>
        <v>18150000</v>
      </c>
      <c r="D55" s="182">
        <f t="shared" si="0"/>
        <v>0</v>
      </c>
      <c r="E55" s="180"/>
      <c r="F55" s="179"/>
    </row>
    <row r="56" spans="1:6" s="255" customFormat="1" ht="14">
      <c r="A56" s="176" t="s">
        <v>1350</v>
      </c>
      <c r="B56" s="176"/>
      <c r="C56" s="176"/>
      <c r="D56" s="176"/>
      <c r="E56" s="194"/>
      <c r="F56" s="176"/>
    </row>
    <row r="57" spans="1:6" s="255" customFormat="1" ht="14">
      <c r="A57" s="181" t="s">
        <v>1800</v>
      </c>
      <c r="B57" s="178">
        <f>'Sources and Uses Budget'!$C56</f>
        <v>55000</v>
      </c>
      <c r="C57" s="178">
        <f>'Sources and Uses Budget'!$C56</f>
        <v>55000</v>
      </c>
      <c r="D57" s="182">
        <f t="shared" si="0"/>
        <v>0</v>
      </c>
      <c r="E57" s="180"/>
      <c r="F57" s="179"/>
    </row>
    <row r="58" spans="1:6" s="255" customFormat="1" ht="12" customHeight="1">
      <c r="A58" s="181" t="s">
        <v>1793</v>
      </c>
      <c r="B58" s="178">
        <f>'Sources and Uses Budget'!$C57</f>
        <v>0</v>
      </c>
      <c r="C58" s="178">
        <f>'Sources and Uses Budget'!$C57</f>
        <v>0</v>
      </c>
      <c r="D58" s="182">
        <f t="shared" si="0"/>
        <v>0</v>
      </c>
      <c r="E58" s="180"/>
      <c r="F58" s="179"/>
    </row>
    <row r="59" spans="1:6" s="255" customFormat="1" ht="14">
      <c r="A59" s="181" t="s">
        <v>1796</v>
      </c>
      <c r="B59" s="178">
        <f>'Sources and Uses Budget'!$C58</f>
        <v>50000</v>
      </c>
      <c r="C59" s="178">
        <f>'Sources and Uses Budget'!$C58</f>
        <v>50000</v>
      </c>
      <c r="D59" s="182">
        <f t="shared" si="0"/>
        <v>0</v>
      </c>
      <c r="E59" s="180"/>
      <c r="F59" s="179"/>
    </row>
    <row r="60" spans="1:6" s="255" customFormat="1" ht="14">
      <c r="A60" s="181" t="s">
        <v>1797</v>
      </c>
      <c r="B60" s="178">
        <f>'Sources and Uses Budget'!$C59</f>
        <v>281250</v>
      </c>
      <c r="C60" s="178">
        <f>'Sources and Uses Budget'!$C59</f>
        <v>281250</v>
      </c>
      <c r="D60" s="182">
        <f t="shared" si="0"/>
        <v>0</v>
      </c>
      <c r="E60" s="180"/>
      <c r="F60" s="179"/>
    </row>
    <row r="61" spans="1:6" s="255" customFormat="1" ht="14">
      <c r="A61" s="181" t="s">
        <v>1798</v>
      </c>
      <c r="B61" s="178">
        <f>'Sources and Uses Budget'!$C60</f>
        <v>0</v>
      </c>
      <c r="C61" s="178">
        <f>'Sources and Uses Budget'!$C60</f>
        <v>0</v>
      </c>
      <c r="D61" s="182">
        <f t="shared" si="0"/>
        <v>0</v>
      </c>
      <c r="E61" s="180"/>
      <c r="F61" s="179"/>
    </row>
    <row r="62" spans="1:6" s="255" customFormat="1" ht="14">
      <c r="A62" s="911"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1801</v>
      </c>
      <c r="B63" s="182">
        <f>SUM(B57:B62)</f>
        <v>386250</v>
      </c>
      <c r="C63" s="182">
        <f>SUM(C57:C62)</f>
        <v>386250</v>
      </c>
      <c r="D63" s="182">
        <f t="shared" si="0"/>
        <v>0</v>
      </c>
      <c r="E63" s="180"/>
      <c r="F63" s="179"/>
    </row>
    <row r="64" spans="1:6" s="255" customFormat="1" ht="14">
      <c r="A64" s="186" t="s">
        <v>1802</v>
      </c>
      <c r="B64" s="182">
        <f>SUM(B9+B12+B14+B15+B17+B26+B28+B39+B43+B44+B55+B63)</f>
        <v>124228909</v>
      </c>
      <c r="C64" s="182">
        <f>SUM(C9+C12+C14+C15+C17+C26+C28+C39+C43+C44+C55+C63)</f>
        <v>124228909</v>
      </c>
      <c r="D64" s="182">
        <f t="shared" si="0"/>
        <v>0</v>
      </c>
      <c r="E64" s="180"/>
      <c r="F64" s="179"/>
    </row>
    <row r="65" spans="1:6" s="255" customFormat="1" ht="26">
      <c r="A65" s="104" t="s">
        <v>1803</v>
      </c>
      <c r="B65" s="176"/>
      <c r="C65" s="176"/>
      <c r="D65" s="176"/>
      <c r="E65" s="194"/>
      <c r="F65" s="176"/>
    </row>
    <row r="66" spans="1:6" s="255" customFormat="1">
      <c r="A66" s="195" t="s">
        <v>1804</v>
      </c>
      <c r="B66" s="178">
        <f>'Sources and Uses Budget'!$C65</f>
        <v>100000</v>
      </c>
      <c r="C66" s="178">
        <f>'Sources and Uses Budget'!$C65</f>
        <v>100000</v>
      </c>
      <c r="D66" s="182">
        <f t="shared" si="0"/>
        <v>0</v>
      </c>
      <c r="E66" s="180"/>
      <c r="F66" s="179"/>
    </row>
    <row r="67" spans="1:6" s="255" customFormat="1" ht="26">
      <c r="A67" s="195" t="s">
        <v>1805</v>
      </c>
      <c r="B67" s="178">
        <f>'Sources and Uses Budget'!$C66</f>
        <v>0</v>
      </c>
      <c r="C67" s="178">
        <f>'Sources and Uses Budget'!$C66</f>
        <v>0</v>
      </c>
      <c r="D67" s="182"/>
      <c r="E67" s="180"/>
      <c r="F67" s="179"/>
    </row>
    <row r="68" spans="1:6" s="255" customFormat="1">
      <c r="A68" s="195" t="s">
        <v>1806</v>
      </c>
      <c r="B68" s="178">
        <f>'Sources and Uses Budget'!$C67</f>
        <v>300000</v>
      </c>
      <c r="C68" s="178">
        <f>'Sources and Uses Budget'!$C67</f>
        <v>300000</v>
      </c>
      <c r="D68" s="182"/>
      <c r="E68" s="180"/>
      <c r="F68" s="179"/>
    </row>
    <row r="69" spans="1:6" s="255" customFormat="1">
      <c r="A69" s="195" t="s">
        <v>1807</v>
      </c>
      <c r="B69" s="178">
        <f>'Sources and Uses Budget'!$C68</f>
        <v>0</v>
      </c>
      <c r="C69" s="178">
        <f>'Sources and Uses Budget'!$C68</f>
        <v>0</v>
      </c>
      <c r="D69" s="182"/>
      <c r="E69" s="180"/>
      <c r="F69" s="179"/>
    </row>
    <row r="70" spans="1:6" s="255" customFormat="1">
      <c r="A70" s="409" t="str">
        <f>'Sources and Uses Budget'!A69</f>
        <v>Transaction Legal</v>
      </c>
      <c r="B70" s="178">
        <f>'Sources and Uses Budget'!$C69</f>
        <v>200000</v>
      </c>
      <c r="C70" s="178">
        <f>'Sources and Uses Budget'!$C69</f>
        <v>200000</v>
      </c>
      <c r="D70" s="182">
        <f t="shared" si="0"/>
        <v>0</v>
      </c>
      <c r="E70" s="180"/>
      <c r="F70" s="179"/>
    </row>
    <row r="71" spans="1:6" s="255" customFormat="1">
      <c r="A71" s="106" t="s">
        <v>1809</v>
      </c>
      <c r="B71" s="182">
        <f>SUM(B66:B70)</f>
        <v>600000</v>
      </c>
      <c r="C71" s="182">
        <f>SUM(C66:C70)</f>
        <v>600000</v>
      </c>
      <c r="D71" s="182">
        <f t="shared" si="0"/>
        <v>0</v>
      </c>
      <c r="E71" s="180"/>
      <c r="F71" s="179"/>
    </row>
    <row r="72" spans="1:6" s="255" customFormat="1" ht="14">
      <c r="A72" s="176" t="s">
        <v>1810</v>
      </c>
      <c r="B72" s="176"/>
      <c r="C72" s="176"/>
      <c r="D72" s="176"/>
      <c r="E72" s="194"/>
      <c r="F72" s="176"/>
    </row>
    <row r="73" spans="1:6" s="255" customFormat="1" ht="14">
      <c r="A73" s="181" t="s">
        <v>1811</v>
      </c>
      <c r="B73" s="178">
        <f>'Sources and Uses Budget'!$C72</f>
        <v>0</v>
      </c>
      <c r="C73" s="178">
        <f>'Sources and Uses Budget'!$C72</f>
        <v>0</v>
      </c>
      <c r="D73" s="182">
        <f t="shared" si="0"/>
        <v>0</v>
      </c>
      <c r="E73" s="180"/>
      <c r="F73" s="179"/>
    </row>
    <row r="74" spans="1:6" s="255" customFormat="1" ht="14">
      <c r="A74" s="181" t="s">
        <v>1812</v>
      </c>
      <c r="B74" s="178">
        <f>'Sources and Uses Budget'!$C73</f>
        <v>325000</v>
      </c>
      <c r="C74" s="178">
        <f>'Sources and Uses Budget'!$C73</f>
        <v>325000</v>
      </c>
      <c r="D74" s="182">
        <f t="shared" si="0"/>
        <v>0</v>
      </c>
      <c r="E74" s="180"/>
      <c r="F74" s="179"/>
    </row>
    <row r="75" spans="1:6" s="255" customFormat="1">
      <c r="A75" s="197" t="s">
        <v>1813</v>
      </c>
      <c r="B75" s="178">
        <f>'Sources and Uses Budget'!$C74</f>
        <v>0</v>
      </c>
      <c r="C75" s="178">
        <f>'Sources and Uses Budget'!$C74</f>
        <v>0</v>
      </c>
      <c r="D75" s="182">
        <f t="shared" si="0"/>
        <v>0</v>
      </c>
      <c r="E75" s="180"/>
      <c r="F75" s="179"/>
    </row>
    <row r="76" spans="1:6" s="255" customFormat="1" ht="14">
      <c r="A76" s="181" t="s">
        <v>1814</v>
      </c>
      <c r="B76" s="178">
        <f>'Sources and Uses Budget'!$C75</f>
        <v>1500000</v>
      </c>
      <c r="C76" s="178">
        <f>'Sources and Uses Budget'!$C75</f>
        <v>1500000</v>
      </c>
      <c r="D76" s="182">
        <f t="shared" si="0"/>
        <v>0</v>
      </c>
      <c r="E76" s="180"/>
      <c r="F76" s="179"/>
    </row>
    <row r="77" spans="1:6" s="255" customFormat="1" ht="14">
      <c r="A77" s="184" t="s">
        <v>1780</v>
      </c>
      <c r="B77" s="178">
        <f>'Sources and Uses Budget'!$C76</f>
        <v>500000</v>
      </c>
      <c r="C77" s="178">
        <f>'Sources and Uses Budget'!$C76</f>
        <v>500000</v>
      </c>
      <c r="D77" s="182">
        <f t="shared" si="0"/>
        <v>0</v>
      </c>
      <c r="E77" s="180"/>
      <c r="F77" s="179"/>
    </row>
    <row r="78" spans="1:6" s="255" customFormat="1" ht="14">
      <c r="A78" s="183" t="s">
        <v>1816</v>
      </c>
      <c r="B78" s="182">
        <f>SUM(B73:B77)</f>
        <v>2325000</v>
      </c>
      <c r="C78" s="182">
        <f>SUM(C73:C77)</f>
        <v>2325000</v>
      </c>
      <c r="D78" s="182">
        <f t="shared" ref="D78:D106" si="1">C78-B78</f>
        <v>0</v>
      </c>
      <c r="E78" s="180"/>
      <c r="F78" s="179"/>
    </row>
    <row r="79" spans="1:6" s="255" customFormat="1" ht="14">
      <c r="A79" s="176" t="s">
        <v>1817</v>
      </c>
      <c r="B79" s="176"/>
      <c r="C79" s="176"/>
      <c r="D79" s="176"/>
      <c r="E79" s="194"/>
      <c r="F79" s="176"/>
    </row>
    <row r="80" spans="1:6" s="255" customFormat="1" ht="14">
      <c r="A80" s="410" t="s">
        <v>1818</v>
      </c>
      <c r="B80" s="178">
        <f>'Sources and Uses Budget'!$C79</f>
        <v>9041954</v>
      </c>
      <c r="C80" s="178">
        <f>'Sources and Uses Budget'!$C79</f>
        <v>9041954</v>
      </c>
      <c r="D80" s="182">
        <f t="shared" si="1"/>
        <v>0</v>
      </c>
      <c r="E80" s="180"/>
      <c r="F80" s="179"/>
    </row>
    <row r="81" spans="1:6" s="255" customFormat="1" ht="14">
      <c r="A81" s="410" t="s">
        <v>1819</v>
      </c>
      <c r="B81" s="178">
        <f>'Sources and Uses Budget'!$C80</f>
        <v>1091809</v>
      </c>
      <c r="C81" s="178">
        <f>'Sources and Uses Budget'!$C80</f>
        <v>1091809</v>
      </c>
      <c r="D81" s="182">
        <f>C81-B81</f>
        <v>0</v>
      </c>
      <c r="E81" s="180"/>
      <c r="F81" s="179"/>
    </row>
    <row r="82" spans="1:6" s="255" customFormat="1" ht="14">
      <c r="A82" s="183" t="s">
        <v>1820</v>
      </c>
      <c r="B82" s="182">
        <f>SUM(B80:B81)</f>
        <v>10133763</v>
      </c>
      <c r="C82" s="182">
        <f>SUM(C80:C81)</f>
        <v>10133763</v>
      </c>
      <c r="D82" s="182">
        <f t="shared" si="1"/>
        <v>0</v>
      </c>
      <c r="E82" s="180"/>
      <c r="F82" s="179"/>
    </row>
    <row r="83" spans="1:6" s="255" customFormat="1" ht="14">
      <c r="A83" s="176" t="s">
        <v>1821</v>
      </c>
      <c r="B83" s="176"/>
      <c r="C83" s="176"/>
      <c r="D83" s="176"/>
      <c r="E83" s="194"/>
      <c r="F83" s="176"/>
    </row>
    <row r="84" spans="1:6" s="255" customFormat="1" ht="13.75" customHeight="1">
      <c r="A84" s="181" t="s">
        <v>2748</v>
      </c>
      <c r="B84" s="178">
        <f>'Sources and Uses Budget'!$C83</f>
        <v>75000</v>
      </c>
      <c r="C84" s="178">
        <f>'Sources and Uses Budget'!$C83</f>
        <v>75000</v>
      </c>
      <c r="D84" s="182">
        <f t="shared" si="1"/>
        <v>0</v>
      </c>
      <c r="E84" s="180"/>
      <c r="F84" s="179"/>
    </row>
    <row r="85" spans="1:6" s="255" customFormat="1" ht="14">
      <c r="A85" s="181" t="s">
        <v>1823</v>
      </c>
      <c r="B85" s="178">
        <f>'Sources and Uses Budget'!$C84</f>
        <v>500000</v>
      </c>
      <c r="C85" s="178">
        <f>'Sources and Uses Budget'!$C84</f>
        <v>500000</v>
      </c>
      <c r="D85" s="182">
        <f t="shared" si="1"/>
        <v>0</v>
      </c>
      <c r="E85" s="180"/>
      <c r="F85" s="179"/>
    </row>
    <row r="86" spans="1:6" s="255" customFormat="1" ht="14">
      <c r="A86" s="181" t="s">
        <v>1824</v>
      </c>
      <c r="B86" s="178">
        <f>'Sources and Uses Budget'!$C85</f>
        <v>3161516</v>
      </c>
      <c r="C86" s="178">
        <f>'Sources and Uses Budget'!$C85</f>
        <v>3161516</v>
      </c>
      <c r="D86" s="182">
        <f t="shared" si="1"/>
        <v>0</v>
      </c>
      <c r="E86" s="180"/>
      <c r="F86" s="179"/>
    </row>
    <row r="87" spans="1:6" s="255" customFormat="1" ht="14">
      <c r="A87" s="181" t="s">
        <v>1825</v>
      </c>
      <c r="B87" s="178">
        <f>'Sources and Uses Budget'!$C86</f>
        <v>950000</v>
      </c>
      <c r="C87" s="178">
        <f>'Sources and Uses Budget'!$C86</f>
        <v>950000</v>
      </c>
      <c r="D87" s="182">
        <f t="shared" si="1"/>
        <v>0</v>
      </c>
      <c r="E87" s="180"/>
      <c r="F87" s="179"/>
    </row>
    <row r="88" spans="1:6" s="255" customFormat="1" ht="14">
      <c r="A88" s="181" t="s">
        <v>1826</v>
      </c>
      <c r="B88" s="178">
        <f>'Sources and Uses Budget'!$C87</f>
        <v>0</v>
      </c>
      <c r="C88" s="178">
        <f>'Sources and Uses Budget'!$C87</f>
        <v>0</v>
      </c>
      <c r="D88" s="182">
        <f t="shared" si="1"/>
        <v>0</v>
      </c>
      <c r="E88" s="180"/>
      <c r="F88" s="179"/>
    </row>
    <row r="89" spans="1:6" s="255" customFormat="1" ht="14">
      <c r="A89" s="181" t="s">
        <v>1827</v>
      </c>
      <c r="B89" s="178">
        <f>'Sources and Uses Budget'!$C88</f>
        <v>150000</v>
      </c>
      <c r="C89" s="178">
        <f>'Sources and Uses Budget'!$C88</f>
        <v>150000</v>
      </c>
      <c r="D89" s="182">
        <f t="shared" si="1"/>
        <v>0</v>
      </c>
      <c r="E89" s="180"/>
      <c r="F89" s="179"/>
    </row>
    <row r="90" spans="1:6" s="255" customFormat="1" ht="14">
      <c r="A90" s="181" t="s">
        <v>1828</v>
      </c>
      <c r="B90" s="178">
        <f>'Sources and Uses Budget'!$C89</f>
        <v>350000</v>
      </c>
      <c r="C90" s="178">
        <f>'Sources and Uses Budget'!$C89</f>
        <v>350000</v>
      </c>
      <c r="D90" s="182">
        <f t="shared" si="1"/>
        <v>0</v>
      </c>
      <c r="E90" s="180"/>
      <c r="F90" s="179"/>
    </row>
    <row r="91" spans="1:6" s="255" customFormat="1" ht="14">
      <c r="A91" s="181" t="s">
        <v>1829</v>
      </c>
      <c r="B91" s="178">
        <f>'Sources and Uses Budget'!$C90</f>
        <v>0</v>
      </c>
      <c r="C91" s="178">
        <f>'Sources and Uses Budget'!$C90</f>
        <v>0</v>
      </c>
      <c r="D91" s="182">
        <f t="shared" si="1"/>
        <v>0</v>
      </c>
      <c r="E91" s="180"/>
      <c r="F91" s="179"/>
    </row>
    <row r="92" spans="1:6" s="255" customFormat="1" ht="14">
      <c r="A92" s="181" t="s">
        <v>1830</v>
      </c>
      <c r="B92" s="178">
        <f>'Sources and Uses Budget'!$C91</f>
        <v>20000</v>
      </c>
      <c r="C92" s="178">
        <f>'Sources and Uses Budget'!$C91</f>
        <v>20000</v>
      </c>
      <c r="D92" s="182">
        <f t="shared" si="1"/>
        <v>0</v>
      </c>
      <c r="E92" s="180"/>
      <c r="F92" s="179"/>
    </row>
    <row r="93" spans="1:6" s="255" customFormat="1" ht="14">
      <c r="A93" s="410" t="s">
        <v>1831</v>
      </c>
      <c r="B93" s="178">
        <f>'Sources and Uses Budget'!$C92</f>
        <v>15000</v>
      </c>
      <c r="C93" s="178">
        <f>'Sources and Uses Budget'!$C92</f>
        <v>15000</v>
      </c>
      <c r="D93" s="182">
        <f t="shared" si="1"/>
        <v>0</v>
      </c>
      <c r="E93" s="180"/>
      <c r="F93" s="179"/>
    </row>
    <row r="94" spans="1:6" s="255" customFormat="1" ht="14">
      <c r="A94" s="184" t="s">
        <v>1780</v>
      </c>
      <c r="B94" s="178">
        <f>'Sources and Uses Budget'!$C93</f>
        <v>1099208</v>
      </c>
      <c r="C94" s="178">
        <f>'Sources and Uses Budget'!$C93</f>
        <v>1099208</v>
      </c>
      <c r="D94" s="182">
        <f t="shared" si="1"/>
        <v>0</v>
      </c>
      <c r="E94" s="180"/>
      <c r="F94" s="179"/>
    </row>
    <row r="95" spans="1:6" s="255" customFormat="1" ht="14">
      <c r="A95" s="184" t="s">
        <v>1780</v>
      </c>
      <c r="B95" s="178">
        <f>'Sources and Uses Budget'!$C94</f>
        <v>0</v>
      </c>
      <c r="C95" s="178">
        <f>'Sources and Uses Budget'!$C94</f>
        <v>0</v>
      </c>
      <c r="D95" s="182">
        <f t="shared" si="1"/>
        <v>0</v>
      </c>
      <c r="E95" s="180"/>
      <c r="F95" s="179"/>
    </row>
    <row r="96" spans="1:6" s="255" customFormat="1" ht="14">
      <c r="A96" s="184" t="s">
        <v>1780</v>
      </c>
      <c r="B96" s="178">
        <f>'Sources and Uses Budget'!$C95</f>
        <v>0</v>
      </c>
      <c r="C96" s="178">
        <f>'Sources and Uses Budget'!$C95</f>
        <v>0</v>
      </c>
      <c r="D96" s="182">
        <f t="shared" si="1"/>
        <v>0</v>
      </c>
      <c r="E96" s="180"/>
      <c r="F96" s="179"/>
    </row>
    <row r="97" spans="1:6" s="255" customFormat="1" ht="14">
      <c r="A97" s="183" t="s">
        <v>1833</v>
      </c>
      <c r="B97" s="182">
        <f>SUM(B84:B96)</f>
        <v>6320724</v>
      </c>
      <c r="C97" s="182">
        <f>SUM(C84:C96)</f>
        <v>6320724</v>
      </c>
      <c r="D97" s="182">
        <f t="shared" si="1"/>
        <v>0</v>
      </c>
      <c r="E97" s="180"/>
      <c r="F97" s="179"/>
    </row>
    <row r="98" spans="1:6" s="255" customFormat="1" ht="14">
      <c r="A98" s="183" t="s">
        <v>1834</v>
      </c>
      <c r="B98" s="182">
        <f>SUM(B64+B71+B78+B82+B97)</f>
        <v>143608396</v>
      </c>
      <c r="C98" s="182">
        <f>SUM(C64+C71+C78+C82+C97)</f>
        <v>143608396</v>
      </c>
      <c r="D98" s="182">
        <f t="shared" si="1"/>
        <v>0</v>
      </c>
      <c r="E98" s="180"/>
      <c r="F98" s="179"/>
    </row>
    <row r="99" spans="1:6" s="255" customFormat="1" ht="14">
      <c r="A99" s="176" t="s">
        <v>1835</v>
      </c>
      <c r="B99" s="176"/>
      <c r="C99" s="176"/>
      <c r="D99" s="176"/>
      <c r="E99" s="194"/>
      <c r="F99" s="176"/>
    </row>
    <row r="100" spans="1:6" s="255" customFormat="1">
      <c r="A100" s="195" t="s">
        <v>1836</v>
      </c>
      <c r="B100" s="178">
        <f>'Sources and Uses Budget'!$C99</f>
        <v>19250000</v>
      </c>
      <c r="C100" s="178">
        <f>'Sources and Uses Budget'!$C99</f>
        <v>19250000</v>
      </c>
      <c r="D100" s="182">
        <f t="shared" si="1"/>
        <v>0</v>
      </c>
      <c r="E100" s="180"/>
      <c r="F100" s="179"/>
    </row>
    <row r="101" spans="1:6" s="255" customFormat="1">
      <c r="A101" s="195" t="s">
        <v>1837</v>
      </c>
      <c r="B101" s="178">
        <f>'Sources and Uses Budget'!$C100</f>
        <v>0</v>
      </c>
      <c r="C101" s="178">
        <f>'Sources and Uses Budget'!$C100</f>
        <v>0</v>
      </c>
      <c r="D101" s="182">
        <f t="shared" si="1"/>
        <v>0</v>
      </c>
      <c r="E101" s="180"/>
      <c r="F101" s="179"/>
    </row>
    <row r="102" spans="1:6" s="255" customFormat="1">
      <c r="A102" s="195" t="s">
        <v>1838</v>
      </c>
      <c r="B102" s="178">
        <f>'Sources and Uses Budget'!$C101</f>
        <v>0</v>
      </c>
      <c r="C102" s="178">
        <f>'Sources and Uses Budget'!$C101</f>
        <v>0</v>
      </c>
      <c r="D102" s="182">
        <f t="shared" si="1"/>
        <v>0</v>
      </c>
      <c r="E102" s="180"/>
      <c r="F102" s="179"/>
    </row>
    <row r="103" spans="1:6" s="255" customFormat="1" ht="12" customHeight="1">
      <c r="A103" s="195" t="s">
        <v>1839</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1840</v>
      </c>
      <c r="B105" s="182">
        <f>SUM(B100:B104)</f>
        <v>19250000</v>
      </c>
      <c r="C105" s="182">
        <f>SUM(C100:C104)</f>
        <v>19250000</v>
      </c>
      <c r="D105" s="182">
        <f t="shared" si="1"/>
        <v>0</v>
      </c>
      <c r="E105" s="180"/>
      <c r="F105" s="179"/>
    </row>
    <row r="106" spans="1:6" s="255" customFormat="1" ht="14">
      <c r="A106" s="183" t="s">
        <v>1841</v>
      </c>
      <c r="B106" s="185">
        <f>SUM(B98+B105)</f>
        <v>162858396</v>
      </c>
      <c r="C106" s="185">
        <f>SUM(C98+C105)</f>
        <v>162858396</v>
      </c>
      <c r="D106" s="182">
        <f t="shared" si="1"/>
        <v>0</v>
      </c>
      <c r="E106" s="180"/>
      <c r="F106" s="179"/>
    </row>
    <row r="107" spans="1:6" s="255" customFormat="1">
      <c r="A107" s="189" t="s">
        <v>2749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305" customWidth="1"/>
    <col min="11" max="16384" width="8.83203125" style="305" hidden="1"/>
  </cols>
  <sheetData>
    <row r="1" spans="1:10" ht="16">
      <c r="A1" s="1236" t="s">
        <v>293</v>
      </c>
      <c r="B1" s="1237"/>
      <c r="C1" s="1237"/>
      <c r="D1" s="1237"/>
      <c r="E1" s="1237"/>
      <c r="F1" s="1237"/>
      <c r="G1" s="1237"/>
      <c r="H1" s="1237"/>
      <c r="I1" s="1237"/>
      <c r="J1" s="1237"/>
    </row>
    <row r="2" spans="1:10" ht="16">
      <c r="A2" s="1240" t="s">
        <v>294</v>
      </c>
      <c r="B2" s="1241"/>
      <c r="C2" s="1241"/>
      <c r="D2" s="1241"/>
      <c r="E2" s="1241"/>
      <c r="F2" s="1241"/>
      <c r="G2" s="1241"/>
      <c r="H2" s="1241"/>
      <c r="I2" s="1241"/>
      <c r="J2" s="1241"/>
    </row>
    <row r="3" spans="1:10" ht="13"/>
    <row r="4" spans="1:10" ht="12.75" customHeight="1">
      <c r="A4" s="1238" t="s">
        <v>295</v>
      </c>
      <c r="B4" s="1238"/>
      <c r="C4" s="1238"/>
      <c r="D4" s="1238"/>
      <c r="E4" s="1238"/>
      <c r="F4" s="1238"/>
      <c r="G4" s="1238"/>
      <c r="H4" s="1238"/>
      <c r="I4" s="1238"/>
      <c r="J4" s="1238"/>
    </row>
    <row r="5" spans="1:10" ht="1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2" t="s">
        <v>297</v>
      </c>
      <c r="B10" s="1242"/>
      <c r="C10" s="1242"/>
      <c r="D10" s="1242"/>
      <c r="E10" s="1242"/>
      <c r="F10" s="1242"/>
      <c r="G10" s="1242"/>
      <c r="H10" s="1242"/>
      <c r="I10" s="1242"/>
      <c r="J10" s="1242"/>
    </row>
    <row r="11" spans="1:10" ht="13">
      <c r="A11" s="1242"/>
      <c r="B11" s="1242"/>
      <c r="C11" s="1242"/>
      <c r="D11" s="1242"/>
      <c r="E11" s="1242"/>
      <c r="F11" s="1242"/>
      <c r="G11" s="1242"/>
      <c r="H11" s="1242"/>
      <c r="I11" s="1242"/>
      <c r="J11" s="1242"/>
    </row>
    <row r="12" spans="1:10" ht="13">
      <c r="A12" s="1242"/>
      <c r="B12" s="1242"/>
      <c r="C12" s="1242"/>
      <c r="D12" s="1242"/>
      <c r="E12" s="1242"/>
      <c r="F12" s="1242"/>
      <c r="G12" s="1242"/>
      <c r="H12" s="1242"/>
      <c r="I12" s="1242"/>
      <c r="J12" s="1242"/>
    </row>
    <row r="13" spans="1:10" ht="13">
      <c r="A13" s="1242"/>
      <c r="B13" s="1242"/>
      <c r="C13" s="1242"/>
      <c r="D13" s="1242"/>
      <c r="E13" s="1242"/>
      <c r="F13" s="1242"/>
      <c r="G13" s="1242"/>
      <c r="H13" s="1242"/>
      <c r="I13" s="1242"/>
      <c r="J13" s="1242"/>
    </row>
    <row r="14" spans="1:10" ht="13">
      <c r="A14" s="1242"/>
      <c r="B14" s="1242"/>
      <c r="C14" s="1242"/>
      <c r="D14" s="1242"/>
      <c r="E14" s="1242"/>
      <c r="F14" s="1242"/>
      <c r="G14" s="1242"/>
      <c r="H14" s="1242"/>
      <c r="I14" s="1242"/>
      <c r="J14" s="1242"/>
    </row>
    <row r="15" spans="1:10" ht="13">
      <c r="A15" s="1242"/>
      <c r="B15" s="1242"/>
      <c r="C15" s="1242"/>
      <c r="D15" s="1242"/>
      <c r="E15" s="1242"/>
      <c r="F15" s="1242"/>
      <c r="G15" s="1242"/>
      <c r="H15" s="1242"/>
      <c r="I15" s="1242"/>
      <c r="J15" s="1242"/>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1" t="s">
        <v>299</v>
      </c>
      <c r="B19" s="1241"/>
      <c r="C19" s="1241"/>
      <c r="D19" s="1241"/>
      <c r="E19" s="124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8" t="s">
        <v>300</v>
      </c>
      <c r="B56" s="1238"/>
      <c r="C56" s="1238"/>
      <c r="D56" s="1238"/>
      <c r="E56" s="1238"/>
      <c r="F56" s="1238"/>
      <c r="G56" s="1238"/>
      <c r="H56" s="1238"/>
      <c r="I56" s="1238"/>
      <c r="J56" s="1238"/>
    </row>
    <row r="57" spans="1:10" ht="13">
      <c r="A57" s="1238"/>
      <c r="B57" s="1238"/>
      <c r="C57" s="1238"/>
      <c r="D57" s="1238"/>
      <c r="E57" s="1238"/>
      <c r="F57" s="1238"/>
      <c r="G57" s="1238"/>
      <c r="H57" s="1238"/>
      <c r="I57" s="1238"/>
      <c r="J57" s="1238"/>
    </row>
    <row r="58" spans="1:10" ht="13">
      <c r="A58" s="1238"/>
      <c r="B58" s="1238"/>
      <c r="C58" s="1238"/>
      <c r="D58" s="1238"/>
      <c r="E58" s="1238"/>
      <c r="F58" s="1238"/>
      <c r="G58" s="1238"/>
      <c r="H58" s="1238"/>
      <c r="I58" s="1238"/>
      <c r="J58" s="1238"/>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39" t="s">
        <v>301</v>
      </c>
      <c r="B71" s="1239"/>
      <c r="C71" s="1239"/>
      <c r="D71" s="1239"/>
      <c r="E71" s="1239"/>
      <c r="F71" s="1239"/>
      <c r="G71" s="1239"/>
      <c r="H71" s="1239"/>
      <c r="I71" s="1239"/>
    </row>
    <row r="72" spans="1:9" ht="13">
      <c r="A72" s="1231" t="s">
        <v>14</v>
      </c>
      <c r="B72" s="1231"/>
      <c r="C72" s="1231"/>
      <c r="D72" s="1231"/>
      <c r="E72" s="1231"/>
    </row>
    <row r="73" spans="1:9" ht="13">
      <c r="A73" s="1231" t="s">
        <v>15</v>
      </c>
      <c r="B73" s="1231"/>
      <c r="C73" s="1231"/>
      <c r="D73" s="1231"/>
      <c r="E73" s="1231"/>
    </row>
    <row r="74" spans="1:9" ht="13">
      <c r="A74" s="1231" t="s">
        <v>302</v>
      </c>
      <c r="B74" s="1231"/>
      <c r="C74" s="1231"/>
      <c r="D74" s="1231"/>
      <c r="E74" s="123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83203125" style="305" hidden="1" customWidth="1"/>
    <col min="11" max="16384" width="8.832031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5"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314</v>
      </c>
      <c r="D24" s="1263" t="s">
        <v>315</v>
      </c>
      <c r="E24" s="1263"/>
      <c r="F24" s="1263"/>
      <c r="I24" s="391"/>
    </row>
    <row r="25" spans="1:9">
      <c r="A25" s="385"/>
      <c r="B25" s="385"/>
      <c r="D25" s="1263"/>
      <c r="E25" s="1263"/>
      <c r="F25" s="1263"/>
      <c r="I25" s="391"/>
    </row>
    <row r="26" spans="1:9">
      <c r="I26" s="391"/>
    </row>
    <row r="27" spans="1:9">
      <c r="A27" s="385"/>
      <c r="B27" s="386" t="s">
        <v>309</v>
      </c>
      <c r="D27" s="1263" t="s">
        <v>316</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314</v>
      </c>
      <c r="D33" s="1263" t="s">
        <v>317</v>
      </c>
      <c r="E33" s="1263"/>
      <c r="F33" s="1263"/>
      <c r="I33" s="391"/>
    </row>
    <row r="34" spans="1:9">
      <c r="D34" s="1263"/>
      <c r="E34" s="1263"/>
      <c r="F34" s="1263"/>
      <c r="I34" s="391"/>
    </row>
    <row r="35" spans="1:9">
      <c r="A35" s="385"/>
      <c r="B35" s="385"/>
      <c r="D35" s="349"/>
      <c r="I35" s="391"/>
    </row>
    <row r="36" spans="1:9" ht="14.5" customHeight="1">
      <c r="A36" s="385"/>
      <c r="B36" s="386" t="s">
        <v>314</v>
      </c>
      <c r="D36" s="1263" t="s">
        <v>318</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314</v>
      </c>
      <c r="D41" s="1263" t="s">
        <v>319</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314</v>
      </c>
      <c r="D47" s="1263" t="s">
        <v>320</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5" customHeight="1">
      <c r="A52" s="385"/>
      <c r="B52" s="386" t="s">
        <v>314</v>
      </c>
      <c r="D52" s="1263" t="s">
        <v>321</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322</v>
      </c>
      <c r="E56" s="1286"/>
      <c r="F56" s="1286"/>
      <c r="I56" s="391"/>
    </row>
    <row r="57" spans="1:9">
      <c r="A57" s="385"/>
      <c r="B57" s="385"/>
      <c r="D57" s="1286"/>
      <c r="E57" s="1286"/>
      <c r="F57" s="1286"/>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314</v>
      </c>
      <c r="D61" s="1263" t="s">
        <v>324</v>
      </c>
      <c r="E61" s="1263"/>
      <c r="F61" s="1263"/>
      <c r="I61" s="391"/>
    </row>
    <row r="62" spans="1:9">
      <c r="D62" s="1263"/>
      <c r="E62" s="1263"/>
      <c r="F62" s="1263"/>
      <c r="I62" s="391"/>
    </row>
    <row r="63" spans="1:9">
      <c r="D63" s="1263"/>
      <c r="E63" s="1263"/>
      <c r="F63" s="1263"/>
      <c r="I63" s="391"/>
    </row>
    <row r="64" spans="1:9">
      <c r="I64" s="391"/>
    </row>
    <row r="65" spans="1:9">
      <c r="A65" s="385"/>
      <c r="B65" s="386" t="s">
        <v>314</v>
      </c>
      <c r="D65" s="1263" t="s">
        <v>325</v>
      </c>
      <c r="E65" s="1263"/>
      <c r="F65" s="1263"/>
      <c r="I65" s="391"/>
    </row>
    <row r="66" spans="1:9">
      <c r="D66" s="1263"/>
      <c r="E66" s="1263"/>
      <c r="F66" s="1263"/>
      <c r="I66" s="391"/>
    </row>
    <row r="67" spans="1:9">
      <c r="I67" s="391"/>
    </row>
    <row r="68" spans="1:9">
      <c r="A68" s="385"/>
      <c r="B68" s="386" t="s">
        <v>309</v>
      </c>
      <c r="D68" s="1263" t="s">
        <v>326</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327</v>
      </c>
      <c r="E72" s="1263"/>
      <c r="F72" s="1263"/>
      <c r="I72" s="391"/>
    </row>
    <row r="73" spans="1:9">
      <c r="D73" s="1263"/>
      <c r="E73" s="1263"/>
      <c r="F73" s="1263"/>
      <c r="I73" s="391"/>
    </row>
    <row r="74" spans="1:9">
      <c r="A74" s="385"/>
      <c r="B74" s="385"/>
      <c r="D74" s="348"/>
      <c r="I74" s="391"/>
    </row>
    <row r="75" spans="1:9">
      <c r="A75" s="1270" t="s">
        <v>328</v>
      </c>
      <c r="B75" s="1270"/>
      <c r="C75" s="1270"/>
      <c r="D75" s="1270"/>
      <c r="E75" s="1270"/>
      <c r="F75" s="1270"/>
      <c r="G75" s="1270"/>
      <c r="H75" s="919"/>
      <c r="I75" s="1042"/>
    </row>
    <row r="76" spans="1:9">
      <c r="I76" s="391"/>
    </row>
    <row r="77" spans="1:9">
      <c r="C77" s="387"/>
      <c r="D77" s="1279" t="s">
        <v>329</v>
      </c>
      <c r="E77" s="1279"/>
      <c r="F77" s="1279"/>
      <c r="I77" s="391"/>
    </row>
    <row r="78" spans="1:9">
      <c r="A78" s="348"/>
      <c r="B78" s="348"/>
      <c r="D78" s="1263" t="s">
        <v>330</v>
      </c>
      <c r="E78" s="1263"/>
      <c r="F78" s="1263"/>
      <c r="I78" s="391"/>
    </row>
    <row r="79" spans="1:9">
      <c r="A79" s="348"/>
      <c r="B79" s="348"/>
      <c r="I79" s="391"/>
    </row>
    <row r="80" spans="1:9" ht="13.75" customHeight="1">
      <c r="A80" s="385"/>
      <c r="B80" s="386" t="s">
        <v>309</v>
      </c>
      <c r="D80" s="1263" t="s">
        <v>331</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332</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333</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334</v>
      </c>
      <c r="E96" s="1263"/>
      <c r="F96" s="1263"/>
      <c r="I96" s="391"/>
    </row>
    <row r="97" spans="1:9" s="881" customFormat="1">
      <c r="A97" s="879"/>
      <c r="B97" s="879"/>
      <c r="C97" s="880"/>
      <c r="D97" s="1263"/>
      <c r="E97" s="1263"/>
      <c r="F97" s="1263"/>
      <c r="I97" s="1043"/>
    </row>
    <row r="98" spans="1:9">
      <c r="A98" s="385"/>
      <c r="B98" s="385"/>
      <c r="D98" s="295"/>
      <c r="E98" s="219" t="s">
        <v>335</v>
      </c>
      <c r="F98" s="347"/>
      <c r="I98" s="391"/>
    </row>
    <row r="99" spans="1:9">
      <c r="A99" s="385"/>
      <c r="B99" s="385"/>
      <c r="D99" s="288"/>
      <c r="E99" s="288"/>
      <c r="F99" s="288"/>
      <c r="I99" s="391"/>
    </row>
    <row r="100" spans="1:9">
      <c r="A100" s="385"/>
      <c r="B100" s="386" t="s">
        <v>314</v>
      </c>
      <c r="D100" s="1263" t="s">
        <v>336</v>
      </c>
      <c r="E100" s="1263"/>
      <c r="F100" s="1263"/>
      <c r="I100" s="391"/>
    </row>
    <row r="101" spans="1:9">
      <c r="A101" s="385"/>
      <c r="B101" s="385"/>
      <c r="D101" s="1263"/>
      <c r="E101" s="1263"/>
      <c r="F101" s="1263"/>
      <c r="I101" s="391"/>
    </row>
    <row r="102" spans="1:9">
      <c r="A102" s="385"/>
      <c r="B102" s="385"/>
      <c r="D102" s="347"/>
      <c r="E102" s="347"/>
      <c r="F102" s="347"/>
      <c r="I102" s="391"/>
    </row>
    <row r="103" spans="1:9" ht="14.5" customHeight="1">
      <c r="A103" s="385"/>
      <c r="B103" s="386" t="s">
        <v>314</v>
      </c>
      <c r="D103" s="1263" t="s">
        <v>337</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314</v>
      </c>
      <c r="D119" s="1285" t="s">
        <v>338</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314</v>
      </c>
      <c r="C128" s="305"/>
      <c r="D128" s="1285" t="s">
        <v>339</v>
      </c>
      <c r="E128" s="1285"/>
      <c r="F128" s="1285"/>
      <c r="I128" s="391"/>
    </row>
    <row r="129" spans="1:9">
      <c r="A129" s="385"/>
      <c r="B129" s="385"/>
      <c r="C129" s="305"/>
      <c r="D129" s="1285"/>
      <c r="E129" s="1285"/>
      <c r="F129" s="1285"/>
      <c r="I129" s="391"/>
    </row>
    <row r="130" spans="1:9">
      <c r="I130" s="391"/>
    </row>
    <row r="131" spans="1:9">
      <c r="A131" s="385"/>
      <c r="B131" s="386" t="s">
        <v>314</v>
      </c>
      <c r="D131" s="1263" t="s">
        <v>340</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341</v>
      </c>
      <c r="E137" s="1263"/>
      <c r="F137" s="1263"/>
      <c r="I137" s="391"/>
    </row>
    <row r="138" spans="1:9" s="320" customFormat="1" ht="13.75" customHeight="1">
      <c r="A138" s="389"/>
      <c r="B138" s="389"/>
      <c r="C138" s="389"/>
      <c r="D138" s="1263"/>
      <c r="E138" s="1263"/>
      <c r="F138" s="1263"/>
      <c r="I138" s="1044"/>
    </row>
    <row r="139" spans="1:9" ht="13.75" customHeight="1">
      <c r="D139" s="1263"/>
      <c r="E139" s="1263"/>
      <c r="F139" s="1263"/>
      <c r="I139" s="391"/>
    </row>
    <row r="140" spans="1:9" ht="13.75" customHeight="1">
      <c r="D140" s="1263"/>
      <c r="E140" s="1263"/>
      <c r="F140" s="1263"/>
      <c r="I140" s="391"/>
    </row>
    <row r="141" spans="1:9" ht="13.75" customHeight="1">
      <c r="D141" s="1263"/>
      <c r="E141" s="1263"/>
      <c r="F141" s="1263"/>
      <c r="I141" s="391"/>
    </row>
    <row r="142" spans="1:9" ht="13.75" customHeight="1">
      <c r="A142" s="390"/>
      <c r="B142" s="390"/>
      <c r="D142" s="1263"/>
      <c r="E142" s="1263"/>
      <c r="F142" s="1263"/>
      <c r="I142" s="391"/>
    </row>
    <row r="143" spans="1:9" ht="13.75" customHeight="1">
      <c r="D143" s="1263"/>
      <c r="E143" s="1263"/>
      <c r="F143" s="1263"/>
      <c r="I143" s="391"/>
    </row>
    <row r="144" spans="1:9" ht="13.75" customHeight="1">
      <c r="D144" s="1263"/>
      <c r="E144" s="1263"/>
      <c r="F144" s="1263"/>
      <c r="I144" s="391"/>
    </row>
    <row r="145" spans="2:9" ht="13.75" customHeight="1">
      <c r="D145" s="1263"/>
      <c r="E145" s="1263"/>
      <c r="F145" s="1263"/>
      <c r="I145" s="391"/>
    </row>
    <row r="146" spans="2:9" ht="13.75" customHeight="1">
      <c r="D146" s="1263"/>
      <c r="E146" s="1263"/>
      <c r="F146" s="1263"/>
      <c r="I146" s="391"/>
    </row>
    <row r="147" spans="2:9" ht="13.75" customHeight="1">
      <c r="D147" s="1263"/>
      <c r="E147" s="1263"/>
      <c r="F147" s="1263"/>
      <c r="I147" s="391"/>
    </row>
    <row r="148" spans="2:9" ht="13.75" customHeight="1">
      <c r="D148" s="1263"/>
      <c r="E148" s="1263"/>
      <c r="F148" s="1263"/>
      <c r="I148" s="391"/>
    </row>
    <row r="149" spans="2:9" ht="13.75" customHeight="1">
      <c r="D149" s="1263"/>
      <c r="E149" s="1263"/>
      <c r="F149" s="1263"/>
      <c r="I149" s="391"/>
    </row>
    <row r="150" spans="2:9" ht="13.75" customHeight="1">
      <c r="D150" s="377"/>
      <c r="E150" s="348"/>
      <c r="F150" s="348"/>
      <c r="I150" s="391"/>
    </row>
    <row r="151" spans="2:9" ht="13.75" customHeight="1">
      <c r="B151" s="386" t="s">
        <v>314</v>
      </c>
      <c r="D151" s="1263" t="s">
        <v>342</v>
      </c>
      <c r="E151" s="1263"/>
      <c r="F151" s="1263"/>
      <c r="I151" s="391"/>
    </row>
    <row r="152" spans="2:9" ht="13.75" customHeight="1">
      <c r="D152" s="1263"/>
      <c r="E152" s="1263"/>
      <c r="F152" s="1263"/>
      <c r="I152" s="391"/>
    </row>
    <row r="153" spans="2:9" ht="13.75" customHeight="1">
      <c r="D153" s="1263"/>
      <c r="E153" s="1263"/>
      <c r="F153" s="1263"/>
      <c r="I153" s="391"/>
    </row>
    <row r="154" spans="2:9" ht="13.75" customHeight="1">
      <c r="D154" s="1263"/>
      <c r="E154" s="1263"/>
      <c r="F154" s="1263"/>
      <c r="I154" s="391"/>
    </row>
    <row r="155" spans="2:9" ht="13.75" customHeight="1">
      <c r="D155" s="1263"/>
      <c r="E155" s="1263"/>
      <c r="F155" s="1263"/>
      <c r="I155" s="391"/>
    </row>
    <row r="156" spans="2:9" ht="13.75" customHeight="1">
      <c r="D156" s="1263"/>
      <c r="E156" s="1263"/>
      <c r="F156" s="1263"/>
      <c r="I156" s="391"/>
    </row>
    <row r="157" spans="2:9" ht="13.75" customHeight="1">
      <c r="D157" s="1263"/>
      <c r="E157" s="1263"/>
      <c r="F157" s="1263"/>
      <c r="I157" s="391"/>
    </row>
    <row r="158" spans="2:9" ht="13.75" customHeight="1">
      <c r="D158" s="1263"/>
      <c r="E158" s="1263"/>
      <c r="F158" s="1263"/>
      <c r="I158" s="391"/>
    </row>
    <row r="159" spans="2:9" ht="13.75" customHeight="1">
      <c r="D159" s="1263"/>
      <c r="E159" s="1263"/>
      <c r="F159" s="1263"/>
      <c r="I159" s="391"/>
    </row>
    <row r="160" spans="2:9" ht="13.75" customHeight="1">
      <c r="D160" s="1263"/>
      <c r="E160" s="1263"/>
      <c r="F160" s="1263"/>
      <c r="I160" s="391"/>
    </row>
    <row r="161" spans="1:9" ht="13.75" customHeight="1">
      <c r="D161" s="1263"/>
      <c r="E161" s="1263"/>
      <c r="F161" s="1263"/>
      <c r="I161" s="391"/>
    </row>
    <row r="162" spans="1:9" ht="13.75" customHeight="1">
      <c r="D162" s="1263"/>
      <c r="E162" s="1263"/>
      <c r="F162" s="1263"/>
      <c r="I162" s="391"/>
    </row>
    <row r="163" spans="1:9" ht="13.75" customHeight="1">
      <c r="D163" s="1263"/>
      <c r="E163" s="1263"/>
      <c r="F163" s="1263"/>
      <c r="I163" s="391"/>
    </row>
    <row r="164" spans="1:9" ht="13.75" customHeight="1">
      <c r="D164" s="1263"/>
      <c r="E164" s="1263"/>
      <c r="F164" s="1263"/>
      <c r="I164" s="391"/>
    </row>
    <row r="165" spans="1:9" ht="13.75" customHeight="1">
      <c r="D165" s="1263"/>
      <c r="E165" s="1263"/>
      <c r="F165" s="1263"/>
      <c r="I165" s="391"/>
    </row>
    <row r="166" spans="1:9" ht="13.75" customHeight="1">
      <c r="D166" s="1263"/>
      <c r="E166" s="1263"/>
      <c r="F166" s="1263"/>
      <c r="I166" s="391"/>
    </row>
    <row r="167" spans="1:9" ht="13.75" customHeight="1">
      <c r="D167" s="1263"/>
      <c r="E167" s="1263"/>
      <c r="F167" s="1263"/>
      <c r="I167" s="391"/>
    </row>
    <row r="168" spans="1:9" ht="13.75" customHeight="1">
      <c r="D168" s="1263"/>
      <c r="E168" s="1263"/>
      <c r="F168" s="1263"/>
      <c r="I168" s="391"/>
    </row>
    <row r="169" spans="1:9" ht="13.75" customHeight="1">
      <c r="D169" s="1282" t="s">
        <v>343</v>
      </c>
      <c r="E169" s="1282"/>
      <c r="F169" s="1282"/>
      <c r="G169" s="408"/>
      <c r="I169" s="391"/>
    </row>
    <row r="170" spans="1:9" ht="13.75" customHeight="1">
      <c r="D170" s="1280"/>
      <c r="E170" s="1280"/>
      <c r="F170" s="1280"/>
      <c r="G170" s="1280"/>
      <c r="I170" s="391"/>
    </row>
    <row r="171" spans="1:9" ht="14.5" customHeight="1">
      <c r="A171" s="390"/>
      <c r="B171" s="386" t="s">
        <v>314</v>
      </c>
      <c r="C171" s="377"/>
      <c r="D171" s="1234" t="s">
        <v>344</v>
      </c>
      <c r="E171" s="1234"/>
      <c r="F171" s="1234"/>
      <c r="G171" s="377"/>
      <c r="I171" s="391"/>
    </row>
    <row r="172" spans="1:9" ht="14.5" customHeight="1">
      <c r="A172" s="390"/>
      <c r="B172" s="390"/>
      <c r="C172" s="377"/>
      <c r="D172" s="1234"/>
      <c r="E172" s="1234"/>
      <c r="F172" s="1234"/>
      <c r="G172" s="377"/>
      <c r="I172" s="391"/>
    </row>
    <row r="173" spans="1:9" ht="14.5" customHeight="1">
      <c r="A173" s="390"/>
      <c r="B173" s="390"/>
      <c r="C173" s="377"/>
      <c r="D173" s="1234"/>
      <c r="E173" s="1234"/>
      <c r="F173" s="1234"/>
      <c r="G173" s="377"/>
      <c r="I173" s="391"/>
    </row>
    <row r="174" spans="1:9" ht="14.5" customHeight="1">
      <c r="A174" s="390"/>
      <c r="B174" s="390"/>
      <c r="C174" s="377"/>
      <c r="D174" s="1234"/>
      <c r="E174" s="1234"/>
      <c r="F174" s="1234"/>
      <c r="G174" s="377"/>
      <c r="I174" s="391"/>
    </row>
    <row r="175" spans="1:9" ht="13.75" customHeight="1">
      <c r="A175" s="390"/>
      <c r="B175" s="390"/>
      <c r="C175" s="377"/>
      <c r="D175" s="1234"/>
      <c r="E175" s="1234"/>
      <c r="F175" s="1234"/>
      <c r="G175" s="377"/>
      <c r="I175" s="391"/>
    </row>
    <row r="176" spans="1:9" ht="13.75" customHeight="1">
      <c r="A176" s="390"/>
      <c r="B176" s="390"/>
      <c r="C176" s="377"/>
      <c r="D176" s="377"/>
      <c r="E176" s="377"/>
      <c r="F176" s="377"/>
      <c r="G176" s="377"/>
      <c r="I176" s="391"/>
    </row>
    <row r="177" spans="1:9" ht="13.75" customHeight="1">
      <c r="A177" s="390"/>
      <c r="B177" s="386" t="s">
        <v>314</v>
      </c>
      <c r="C177" s="377"/>
      <c r="D177" s="1234" t="s">
        <v>345</v>
      </c>
      <c r="E177" s="1234"/>
      <c r="F177" s="1234"/>
      <c r="G177" s="377"/>
      <c r="I177" s="391"/>
    </row>
    <row r="178" spans="1:9" ht="13.75" customHeight="1">
      <c r="A178" s="390"/>
      <c r="B178" s="390"/>
      <c r="C178" s="377"/>
      <c r="D178" s="1234"/>
      <c r="E178" s="1234"/>
      <c r="F178" s="1234"/>
      <c r="G178" s="377"/>
      <c r="I178" s="391"/>
    </row>
    <row r="179" spans="1:9" ht="13.75" customHeight="1">
      <c r="A179" s="390"/>
      <c r="B179" s="390"/>
      <c r="C179" s="377"/>
      <c r="D179" s="1234"/>
      <c r="E179" s="1234"/>
      <c r="F179" s="1234"/>
      <c r="G179" s="377"/>
      <c r="I179" s="391"/>
    </row>
    <row r="180" spans="1:9" ht="13.75" customHeight="1">
      <c r="A180" s="390"/>
      <c r="B180" s="390"/>
      <c r="C180" s="377"/>
      <c r="D180" s="1234"/>
      <c r="E180" s="1234"/>
      <c r="F180" s="1234"/>
      <c r="G180" s="377"/>
      <c r="I180" s="391"/>
    </row>
    <row r="181" spans="1:9" ht="13.75" customHeight="1">
      <c r="D181" s="348"/>
      <c r="E181" s="348"/>
      <c r="F181" s="348"/>
      <c r="I181" s="391"/>
    </row>
    <row r="182" spans="1:9" ht="13.75" customHeight="1">
      <c r="B182" s="386" t="s">
        <v>314</v>
      </c>
      <c r="D182" s="1275" t="s">
        <v>346</v>
      </c>
      <c r="E182" s="1275"/>
      <c r="F182" s="1275"/>
      <c r="I182" s="391"/>
    </row>
    <row r="183" spans="1:9" ht="13.75" customHeight="1">
      <c r="D183" s="1275"/>
      <c r="E183" s="1275"/>
      <c r="F183" s="1275"/>
      <c r="I183" s="391"/>
    </row>
    <row r="184" spans="1:9" ht="13.75" customHeight="1">
      <c r="D184" s="1275"/>
      <c r="E184" s="1275"/>
      <c r="F184" s="1275"/>
      <c r="I184" s="391"/>
    </row>
    <row r="185" spans="1:9" ht="13.75" customHeight="1">
      <c r="A185" s="391"/>
      <c r="B185" s="391"/>
      <c r="E185" s="348"/>
      <c r="F185" s="348"/>
      <c r="I185" s="391"/>
    </row>
    <row r="186" spans="1:9">
      <c r="A186" s="1270" t="s">
        <v>347</v>
      </c>
      <c r="B186" s="1270"/>
      <c r="C186" s="1270"/>
      <c r="D186" s="1270"/>
      <c r="E186" s="1270"/>
      <c r="F186" s="1270"/>
      <c r="G186" s="1270"/>
      <c r="H186" s="919"/>
      <c r="I186" s="1042"/>
    </row>
    <row r="187" spans="1:9" ht="12" customHeight="1">
      <c r="D187" s="348"/>
      <c r="E187" s="348"/>
      <c r="F187" s="348"/>
      <c r="I187" s="391"/>
    </row>
    <row r="188" spans="1:9">
      <c r="B188" s="1265" t="s">
        <v>348</v>
      </c>
      <c r="C188" s="1265"/>
      <c r="D188" s="1265"/>
      <c r="E188" s="1265"/>
      <c r="F188" s="1265"/>
      <c r="I188" s="391"/>
    </row>
    <row r="189" spans="1:9">
      <c r="B189" s="295" t="s">
        <v>349</v>
      </c>
      <c r="C189" s="295"/>
      <c r="D189" s="295"/>
      <c r="E189" s="295"/>
      <c r="F189" s="295"/>
      <c r="I189" s="391"/>
    </row>
    <row r="190" spans="1:9" ht="12" customHeight="1">
      <c r="A190" s="383"/>
      <c r="B190" s="383"/>
      <c r="C190" s="383"/>
      <c r="I190" s="391"/>
    </row>
    <row r="191" spans="1:9">
      <c r="A191" s="1270" t="s">
        <v>350</v>
      </c>
      <c r="B191" s="1270"/>
      <c r="C191" s="1270"/>
      <c r="D191" s="1270"/>
      <c r="E191" s="1270"/>
      <c r="F191" s="1270"/>
      <c r="G191" s="1270"/>
      <c r="H191" s="919"/>
      <c r="I191" s="1042"/>
    </row>
    <row r="192" spans="1:9" ht="12" customHeight="1">
      <c r="A192" s="307"/>
      <c r="B192" s="307"/>
      <c r="E192" s="307"/>
      <c r="I192" s="391"/>
    </row>
    <row r="193" spans="1:9" ht="13.75" customHeight="1">
      <c r="A193" s="307"/>
      <c r="B193" s="307"/>
      <c r="D193" s="1279" t="s">
        <v>351</v>
      </c>
      <c r="E193" s="1279"/>
      <c r="F193" s="1279"/>
      <c r="I193" s="391"/>
    </row>
    <row r="194" spans="1:9">
      <c r="A194" s="307"/>
      <c r="B194" s="307"/>
      <c r="D194" s="1279"/>
      <c r="E194" s="1279"/>
      <c r="F194" s="1279"/>
      <c r="I194" s="391"/>
    </row>
    <row r="195" spans="1:9">
      <c r="A195" s="307"/>
      <c r="B195" s="307"/>
      <c r="D195" s="1265" t="s">
        <v>352</v>
      </c>
      <c r="E195" s="1265"/>
      <c r="F195" s="1265"/>
      <c r="I195" s="391"/>
    </row>
    <row r="196" spans="1:9">
      <c r="A196" s="307"/>
      <c r="B196" s="307"/>
      <c r="D196" s="295"/>
      <c r="E196" s="295"/>
      <c r="F196" s="295"/>
      <c r="I196" s="391"/>
    </row>
    <row r="197" spans="1:9">
      <c r="A197" s="307"/>
      <c r="B197" s="386" t="s">
        <v>309</v>
      </c>
      <c r="D197" s="1250" t="s">
        <v>353</v>
      </c>
      <c r="E197" s="1250"/>
      <c r="F197" s="1250"/>
      <c r="I197" s="391"/>
    </row>
    <row r="198" spans="1:9">
      <c r="A198" s="307"/>
      <c r="B198" s="307"/>
      <c r="D198" s="1249" t="s">
        <v>354</v>
      </c>
      <c r="E198" s="1249"/>
      <c r="F198" s="1249"/>
      <c r="I198" s="391"/>
    </row>
    <row r="199" spans="1:9">
      <c r="A199" s="307"/>
      <c r="B199" s="307"/>
      <c r="D199" s="71" t="s">
        <v>355</v>
      </c>
      <c r="E199" s="1287" t="s">
        <v>356</v>
      </c>
      <c r="F199" s="1287"/>
      <c r="I199" s="391"/>
    </row>
    <row r="200" spans="1:9">
      <c r="A200" s="307"/>
      <c r="B200" s="307"/>
      <c r="D200" s="3"/>
      <c r="E200" s="3"/>
      <c r="F200" s="3"/>
      <c r="I200" s="391"/>
    </row>
    <row r="201" spans="1:9">
      <c r="A201" s="307"/>
      <c r="B201" s="386" t="s">
        <v>357</v>
      </c>
      <c r="D201" s="1249" t="s">
        <v>358</v>
      </c>
      <c r="E201" s="1249"/>
      <c r="F201" s="1249"/>
      <c r="I201" s="391"/>
    </row>
    <row r="202" spans="1:9">
      <c r="A202" s="307"/>
      <c r="B202" s="307"/>
      <c r="D202" s="1250" t="s">
        <v>354</v>
      </c>
      <c r="E202" s="1250"/>
      <c r="F202" s="1250"/>
      <c r="I202" s="391"/>
    </row>
    <row r="203" spans="1:9">
      <c r="A203" s="307"/>
      <c r="B203" s="307"/>
      <c r="D203" s="49" t="s">
        <v>359</v>
      </c>
      <c r="E203" s="1287" t="s">
        <v>360</v>
      </c>
      <c r="F203" s="1287"/>
      <c r="I203" s="391"/>
    </row>
    <row r="204" spans="1:9">
      <c r="A204" s="307"/>
      <c r="B204" s="307"/>
      <c r="D204" s="3"/>
      <c r="E204" s="3"/>
      <c r="F204" s="3"/>
      <c r="I204" s="391"/>
    </row>
    <row r="205" spans="1:9">
      <c r="A205" s="307"/>
      <c r="B205" s="386" t="s">
        <v>314</v>
      </c>
      <c r="D205" s="1249" t="s">
        <v>361</v>
      </c>
      <c r="E205" s="1249"/>
      <c r="F205" s="1249"/>
      <c r="I205" s="391"/>
    </row>
    <row r="206" spans="1:9">
      <c r="A206" s="307"/>
      <c r="B206" s="307"/>
      <c r="D206" s="1250" t="s">
        <v>354</v>
      </c>
      <c r="E206" s="1250"/>
      <c r="F206" s="1250"/>
      <c r="I206" s="391"/>
    </row>
    <row r="207" spans="1:9">
      <c r="A207" s="307"/>
      <c r="B207" s="307"/>
      <c r="D207" s="49" t="s">
        <v>355</v>
      </c>
      <c r="E207" s="1287" t="s">
        <v>362</v>
      </c>
      <c r="F207" s="1287"/>
      <c r="I207" s="391"/>
    </row>
    <row r="208" spans="1:9">
      <c r="A208" s="307"/>
      <c r="B208" s="307"/>
      <c r="D208" s="295"/>
      <c r="E208" s="295"/>
      <c r="F208" s="295"/>
      <c r="I208" s="391"/>
    </row>
    <row r="209" spans="1:9" ht="14.25" customHeight="1">
      <c r="A209" s="385"/>
      <c r="B209" s="386" t="s">
        <v>314</v>
      </c>
      <c r="D209" s="289" t="s">
        <v>363</v>
      </c>
      <c r="E209" s="288"/>
      <c r="F209" s="288"/>
      <c r="I209" s="391"/>
    </row>
    <row r="210" spans="1:9">
      <c r="A210" s="385"/>
      <c r="B210" s="385"/>
      <c r="D210" s="1250" t="s">
        <v>354</v>
      </c>
      <c r="E210" s="1250"/>
      <c r="F210" s="1250"/>
      <c r="I210" s="391"/>
    </row>
    <row r="211" spans="1:9">
      <c r="D211" s="288"/>
      <c r="E211" s="1287" t="s">
        <v>364</v>
      </c>
      <c r="F211" s="1287"/>
      <c r="I211" s="391"/>
    </row>
    <row r="212" spans="1:9">
      <c r="D212" s="349"/>
      <c r="I212" s="391"/>
    </row>
    <row r="213" spans="1:9">
      <c r="B213" s="386" t="s">
        <v>314</v>
      </c>
      <c r="D213" s="1249" t="s">
        <v>365</v>
      </c>
      <c r="E213" s="1249"/>
      <c r="F213" s="1249"/>
      <c r="I213" s="391"/>
    </row>
    <row r="214" spans="1:9">
      <c r="D214" s="1250" t="s">
        <v>354</v>
      </c>
      <c r="E214" s="1250"/>
      <c r="F214" s="1250"/>
      <c r="I214" s="391"/>
    </row>
    <row r="215" spans="1:9">
      <c r="D215" s="49" t="s">
        <v>355</v>
      </c>
      <c r="E215" s="1287" t="s">
        <v>366</v>
      </c>
      <c r="F215" s="1287"/>
      <c r="I215" s="391"/>
    </row>
    <row r="216" spans="1:9">
      <c r="D216" s="353"/>
      <c r="E216" s="353"/>
      <c r="F216" s="353"/>
      <c r="I216" s="391"/>
    </row>
    <row r="217" spans="1:9">
      <c r="A217" s="385"/>
      <c r="B217" s="386" t="s">
        <v>314</v>
      </c>
      <c r="D217" s="1263" t="s">
        <v>367</v>
      </c>
      <c r="E217" s="1263"/>
      <c r="F217" s="1263"/>
      <c r="I217" s="391"/>
    </row>
    <row r="218" spans="1:9" ht="14.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368</v>
      </c>
      <c r="B222" s="1270"/>
      <c r="C222" s="1270"/>
      <c r="D222" s="1270"/>
      <c r="E222" s="1270"/>
      <c r="F222" s="1270"/>
      <c r="G222" s="1270"/>
      <c r="H222" s="919"/>
      <c r="I222" s="1042"/>
    </row>
    <row r="223" spans="1:9" ht="12" customHeight="1">
      <c r="D223" s="348"/>
      <c r="E223" s="348"/>
      <c r="F223" s="348"/>
      <c r="I223" s="391"/>
    </row>
    <row r="224" spans="1:9">
      <c r="C224" s="387"/>
      <c r="D224" s="1271" t="s">
        <v>369</v>
      </c>
      <c r="E224" s="1271"/>
      <c r="F224" s="1271"/>
      <c r="I224" s="391"/>
    </row>
    <row r="225" spans="1:9">
      <c r="A225" s="383"/>
      <c r="B225" s="383"/>
      <c r="C225" s="383"/>
      <c r="D225" s="1261" t="s">
        <v>370</v>
      </c>
      <c r="E225" s="1261"/>
      <c r="F225" s="1261"/>
      <c r="I225" s="391"/>
    </row>
    <row r="226" spans="1:9" ht="12" customHeight="1">
      <c r="A226" s="391"/>
      <c r="B226" s="391"/>
      <c r="C226" s="391"/>
      <c r="I226" s="391"/>
    </row>
    <row r="227" spans="1:9" ht="13.75" customHeight="1">
      <c r="A227" s="391"/>
      <c r="C227" s="391"/>
      <c r="D227" s="1271" t="s">
        <v>371</v>
      </c>
      <c r="E227" s="1271"/>
      <c r="F227" s="1271"/>
      <c r="I227" s="391"/>
    </row>
    <row r="228" spans="1:9">
      <c r="A228" s="385"/>
      <c r="B228" s="386" t="s">
        <v>309</v>
      </c>
      <c r="D228" s="1263" t="s">
        <v>372</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373</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374</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375</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376</v>
      </c>
      <c r="I248" s="391"/>
    </row>
    <row r="249" spans="1:9">
      <c r="A249" s="385"/>
      <c r="B249" s="385"/>
      <c r="D249" s="348"/>
      <c r="E249" s="348"/>
      <c r="F249" s="348"/>
      <c r="I249" s="391"/>
    </row>
    <row r="250" spans="1:9" ht="14.5" customHeight="1">
      <c r="A250" s="385"/>
      <c r="B250" s="386" t="s">
        <v>314</v>
      </c>
      <c r="D250" s="1263" t="s">
        <v>377</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378</v>
      </c>
      <c r="E256" s="347"/>
      <c r="F256" s="347"/>
      <c r="I256" s="391"/>
    </row>
    <row r="257" spans="1:9">
      <c r="A257" s="385"/>
      <c r="B257" s="385"/>
      <c r="E257" s="927" t="s">
        <v>379</v>
      </c>
      <c r="I257" s="391"/>
    </row>
    <row r="258" spans="1:9">
      <c r="D258" s="348"/>
      <c r="E258" s="348"/>
      <c r="F258" s="348"/>
      <c r="I258" s="391"/>
    </row>
    <row r="259" spans="1:9">
      <c r="A259" s="385"/>
      <c r="B259" s="386" t="s">
        <v>309</v>
      </c>
      <c r="D259" s="1263" t="s">
        <v>380</v>
      </c>
      <c r="E259" s="1263"/>
      <c r="F259" s="1263"/>
      <c r="I259" s="391"/>
    </row>
    <row r="260" spans="1:9">
      <c r="A260" s="385"/>
      <c r="B260" s="385"/>
      <c r="D260" s="1263"/>
      <c r="E260" s="1263"/>
      <c r="F260" s="1263"/>
      <c r="I260" s="391"/>
    </row>
    <row r="261" spans="1:9">
      <c r="D261" s="392"/>
      <c r="I261" s="391"/>
    </row>
    <row r="262" spans="1:9">
      <c r="A262" s="1270" t="s">
        <v>381</v>
      </c>
      <c r="B262" s="1270"/>
      <c r="C262" s="1270"/>
      <c r="D262" s="1270"/>
      <c r="E262" s="1270"/>
      <c r="F262" s="1270"/>
      <c r="G262" s="1270"/>
      <c r="H262" s="919"/>
      <c r="I262" s="1042"/>
    </row>
    <row r="263" spans="1:9">
      <c r="D263" s="392"/>
      <c r="I263" s="391"/>
    </row>
    <row r="264" spans="1:9">
      <c r="C264" s="387"/>
      <c r="D264" s="1271" t="s">
        <v>382</v>
      </c>
      <c r="E264" s="1271"/>
      <c r="F264" s="1271"/>
      <c r="I264" s="391"/>
    </row>
    <row r="265" spans="1:9">
      <c r="A265" s="383"/>
      <c r="B265" s="383"/>
      <c r="C265" s="383"/>
      <c r="D265" s="348"/>
      <c r="E265" s="348"/>
      <c r="F265" s="348"/>
      <c r="I265" s="391"/>
    </row>
    <row r="266" spans="1:9">
      <c r="A266" s="384"/>
      <c r="B266" s="384"/>
      <c r="C266" s="384"/>
      <c r="D266" s="1271" t="s">
        <v>383</v>
      </c>
      <c r="E266" s="1271"/>
      <c r="F266" s="1271"/>
      <c r="I266" s="391"/>
    </row>
    <row r="267" spans="1:9" ht="14.5" customHeight="1">
      <c r="A267" s="385"/>
      <c r="B267" s="386" t="s">
        <v>309</v>
      </c>
      <c r="D267" s="1263" t="s">
        <v>384</v>
      </c>
      <c r="E267" s="1263"/>
      <c r="F267" s="1263"/>
      <c r="I267" s="391"/>
    </row>
    <row r="268" spans="1:9">
      <c r="D268" s="1263"/>
      <c r="E268" s="1263"/>
      <c r="F268" s="1263"/>
      <c r="I268" s="391"/>
    </row>
    <row r="269" spans="1:9">
      <c r="E269" s="927" t="s">
        <v>385</v>
      </c>
      <c r="I269" s="391"/>
    </row>
    <row r="270" spans="1:9">
      <c r="D270" s="348"/>
      <c r="E270" s="348"/>
      <c r="F270" s="348"/>
      <c r="I270" s="391"/>
    </row>
    <row r="271" spans="1:9" ht="14.5" customHeight="1">
      <c r="A271" s="385"/>
      <c r="B271" s="386" t="s">
        <v>314</v>
      </c>
      <c r="D271" s="1263" t="s">
        <v>386</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314</v>
      </c>
      <c r="D278" s="1263" t="s">
        <v>387</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388</v>
      </c>
      <c r="B282" s="1270"/>
      <c r="C282" s="1270"/>
      <c r="D282" s="1270"/>
      <c r="E282" s="1270"/>
      <c r="F282" s="1270"/>
      <c r="G282" s="1270"/>
      <c r="H282" s="919"/>
      <c r="I282" s="1042"/>
    </row>
    <row r="283" spans="1:9">
      <c r="D283" s="393"/>
      <c r="E283" s="348"/>
      <c r="F283" s="348"/>
      <c r="I283" s="391"/>
    </row>
    <row r="284" spans="1:9">
      <c r="C284" s="383"/>
      <c r="D284" s="1279" t="s">
        <v>389</v>
      </c>
      <c r="E284" s="1279"/>
      <c r="F284" s="1279"/>
      <c r="I284" s="391"/>
    </row>
    <row r="285" spans="1:9">
      <c r="C285" s="383"/>
      <c r="D285" s="1279"/>
      <c r="E285" s="1279"/>
      <c r="F285" s="1279"/>
      <c r="I285" s="391"/>
    </row>
    <row r="286" spans="1:9">
      <c r="A286" s="384"/>
      <c r="B286" s="384"/>
      <c r="C286" s="384"/>
      <c r="D286" s="307"/>
      <c r="I286" s="391"/>
    </row>
    <row r="287" spans="1:9">
      <c r="C287" s="384"/>
      <c r="D287" s="1271" t="s">
        <v>390</v>
      </c>
      <c r="E287" s="1271"/>
      <c r="F287" s="1271"/>
      <c r="I287" s="391"/>
    </row>
    <row r="288" spans="1:9" ht="15.75" customHeight="1">
      <c r="A288" s="385"/>
      <c r="B288" s="385"/>
      <c r="D288" s="1288" t="s">
        <v>391</v>
      </c>
      <c r="E288" s="1288"/>
      <c r="F288" s="1288"/>
      <c r="I288" s="391"/>
    </row>
    <row r="289" spans="1:9">
      <c r="E289" s="348"/>
      <c r="F289" s="348"/>
      <c r="I289" s="391"/>
    </row>
    <row r="290" spans="1:9">
      <c r="A290" s="385"/>
      <c r="B290" s="386" t="s">
        <v>314</v>
      </c>
      <c r="D290" s="1263" t="s">
        <v>392</v>
      </c>
      <c r="E290" s="1263"/>
      <c r="F290" s="1263"/>
      <c r="I290" s="391"/>
    </row>
    <row r="291" spans="1:9">
      <c r="A291" s="385"/>
      <c r="B291" s="385"/>
      <c r="D291" s="1263"/>
      <c r="E291" s="1263"/>
      <c r="F291" s="1263"/>
      <c r="I291" s="391"/>
    </row>
    <row r="292" spans="1:9">
      <c r="D292" s="348"/>
      <c r="E292" s="348"/>
      <c r="F292" s="348"/>
      <c r="I292" s="391"/>
    </row>
    <row r="293" spans="1:9">
      <c r="A293" s="385"/>
      <c r="B293" s="386" t="s">
        <v>314</v>
      </c>
      <c r="D293" s="1263" t="s">
        <v>393</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314</v>
      </c>
      <c r="D297" s="1263" t="s">
        <v>394</v>
      </c>
      <c r="E297" s="1263"/>
      <c r="F297" s="1263"/>
      <c r="I297" s="391"/>
    </row>
    <row r="298" spans="1:9">
      <c r="A298" s="385"/>
      <c r="B298" s="385"/>
      <c r="D298" s="1263"/>
      <c r="E298" s="1263"/>
      <c r="F298" s="1263"/>
      <c r="I298" s="391"/>
    </row>
    <row r="299" spans="1:9">
      <c r="A299" s="391"/>
      <c r="B299" s="391"/>
      <c r="E299" s="348"/>
      <c r="F299" s="348"/>
      <c r="I299" s="391"/>
    </row>
    <row r="300" spans="1:9">
      <c r="A300" s="1270" t="s">
        <v>395</v>
      </c>
      <c r="B300" s="1270"/>
      <c r="C300" s="1270"/>
      <c r="D300" s="1270"/>
      <c r="E300" s="1270"/>
      <c r="F300" s="1270"/>
      <c r="G300" s="1270"/>
      <c r="H300" s="919"/>
      <c r="I300" s="1042"/>
    </row>
    <row r="301" spans="1:9">
      <c r="A301" s="391"/>
      <c r="B301" s="391"/>
      <c r="D301" s="348"/>
      <c r="E301" s="348"/>
      <c r="F301" s="348"/>
      <c r="I301" s="391"/>
    </row>
    <row r="302" spans="1:9">
      <c r="C302" s="391"/>
      <c r="D302" s="1271" t="s">
        <v>396</v>
      </c>
      <c r="E302" s="1271"/>
      <c r="F302" s="1271"/>
      <c r="I302" s="391"/>
    </row>
    <row r="303" spans="1:9">
      <c r="C303" s="391"/>
      <c r="D303" s="1261" t="s">
        <v>397</v>
      </c>
      <c r="E303" s="1261"/>
      <c r="F303" s="1261"/>
      <c r="I303" s="391"/>
    </row>
    <row r="304" spans="1:9">
      <c r="C304" s="391"/>
      <c r="D304" s="394"/>
      <c r="I304" s="391"/>
    </row>
    <row r="305" spans="1:9">
      <c r="B305" s="386" t="s">
        <v>314</v>
      </c>
      <c r="D305" s="1261" t="s">
        <v>398</v>
      </c>
      <c r="E305" s="1261"/>
      <c r="F305" s="1261"/>
      <c r="I305" s="391"/>
    </row>
    <row r="306" spans="1:9">
      <c r="A306" s="385"/>
      <c r="B306" s="385"/>
      <c r="D306" s="395"/>
      <c r="E306" s="396"/>
      <c r="F306" s="396"/>
      <c r="I306" s="391"/>
    </row>
    <row r="307" spans="1:9" ht="13.75" customHeight="1">
      <c r="B307" s="386" t="s">
        <v>314</v>
      </c>
      <c r="D307" s="1272" t="s">
        <v>399</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3.75" customHeight="1">
      <c r="B313" s="386" t="s">
        <v>314</v>
      </c>
      <c r="D313" s="1272" t="s">
        <v>400</v>
      </c>
      <c r="E313" s="1272"/>
      <c r="F313" s="1272"/>
      <c r="I313" s="391"/>
    </row>
    <row r="314" spans="1:9">
      <c r="D314" s="1272"/>
      <c r="E314" s="1272"/>
      <c r="F314" s="1272"/>
      <c r="I314" s="391"/>
    </row>
    <row r="315" spans="1:9">
      <c r="A315" s="385"/>
      <c r="B315" s="385"/>
      <c r="D315" s="395"/>
      <c r="E315" s="396"/>
      <c r="F315" s="396"/>
      <c r="I315" s="391"/>
    </row>
    <row r="316" spans="1:9">
      <c r="B316" s="386" t="s">
        <v>314</v>
      </c>
      <c r="D316" s="1261" t="s">
        <v>401</v>
      </c>
      <c r="E316" s="1261"/>
      <c r="F316" s="1261"/>
      <c r="I316" s="391"/>
    </row>
    <row r="317" spans="1:9">
      <c r="E317" s="348"/>
      <c r="F317" s="348"/>
      <c r="I317" s="391"/>
    </row>
    <row r="318" spans="1:9">
      <c r="A318" s="385"/>
      <c r="B318" s="386" t="s">
        <v>314</v>
      </c>
      <c r="D318" s="1263" t="s">
        <v>402</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314</v>
      </c>
      <c r="D334" s="1263" t="s">
        <v>403</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314</v>
      </c>
      <c r="D344" s="1263" t="s">
        <v>404</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354</v>
      </c>
      <c r="E348" s="288"/>
      <c r="F348" s="288"/>
      <c r="I348" s="391"/>
    </row>
    <row r="349" spans="1:9">
      <c r="D349" s="288"/>
      <c r="E349" s="71" t="s">
        <v>405</v>
      </c>
      <c r="G349" s="71"/>
      <c r="I349" s="391"/>
    </row>
    <row r="350" spans="1:9">
      <c r="D350" s="347"/>
      <c r="E350" s="347"/>
      <c r="F350" s="347"/>
      <c r="I350" s="391"/>
    </row>
    <row r="351" spans="1:9" ht="14" thickBot="1">
      <c r="A351" s="913"/>
      <c r="B351" s="913"/>
      <c r="C351" s="913"/>
      <c r="D351" s="1291" t="s">
        <v>406</v>
      </c>
      <c r="E351" s="1291"/>
      <c r="F351" s="1291"/>
      <c r="G351" s="918"/>
      <c r="H351" s="918"/>
      <c r="I351" s="1045"/>
    </row>
    <row r="352" spans="1:9" ht="14" thickTop="1">
      <c r="D352" s="1290" t="s">
        <v>407</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61" t="s">
        <v>408</v>
      </c>
      <c r="E355" s="1261"/>
      <c r="F355" s="1261"/>
      <c r="I355" s="391"/>
    </row>
    <row r="356" spans="1:9" ht="12.75" customHeight="1">
      <c r="D356" s="928"/>
      <c r="E356" s="71" t="s">
        <v>409</v>
      </c>
      <c r="F356" s="928"/>
      <c r="I356" s="391"/>
    </row>
    <row r="357" spans="1:9">
      <c r="D357" s="1263" t="s">
        <v>410</v>
      </c>
      <c r="E357" s="1263"/>
      <c r="F357" s="1263"/>
      <c r="I357" s="391"/>
    </row>
    <row r="358" spans="1:9">
      <c r="D358" s="1263"/>
      <c r="E358" s="1263"/>
      <c r="F358" s="1263"/>
      <c r="I358" s="391"/>
    </row>
    <row r="359" spans="1:9">
      <c r="D359" s="1263"/>
      <c r="E359" s="1263"/>
      <c r="F359" s="1263"/>
      <c r="I359" s="391"/>
    </row>
    <row r="360" spans="1:9">
      <c r="A360" s="385"/>
      <c r="B360" s="386" t="s">
        <v>314</v>
      </c>
      <c r="C360" s="377"/>
      <c r="D360" s="1280" t="s">
        <v>411</v>
      </c>
      <c r="E360" s="1280"/>
      <c r="F360" s="1280"/>
      <c r="I360" s="381"/>
    </row>
    <row r="361" spans="1:9">
      <c r="A361" s="377"/>
      <c r="B361" s="377"/>
      <c r="C361" s="377"/>
      <c r="D361" s="349"/>
      <c r="E361" s="349"/>
      <c r="F361" s="348"/>
      <c r="I361" s="391"/>
    </row>
    <row r="362" spans="1:9">
      <c r="A362" s="377"/>
      <c r="B362" s="386" t="s">
        <v>314</v>
      </c>
      <c r="C362" s="377"/>
      <c r="D362" s="1234" t="s">
        <v>412</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5" customHeight="1">
      <c r="A375" s="377"/>
      <c r="B375" s="386" t="s">
        <v>314</v>
      </c>
      <c r="C375" s="377"/>
      <c r="D375" s="1242" t="s">
        <v>413</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314</v>
      </c>
      <c r="C387" s="377"/>
      <c r="D387" s="1234" t="s">
        <v>420</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421</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5" customHeight="1">
      <c r="A401" s="377"/>
      <c r="B401" s="377"/>
      <c r="C401" s="377"/>
      <c r="D401" s="1234" t="s">
        <v>422</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314</v>
      </c>
      <c r="C420" s="377"/>
      <c r="D420" s="1234" t="s">
        <v>423</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5" customHeight="1">
      <c r="A423" s="385"/>
      <c r="B423" s="386" t="s">
        <v>314</v>
      </c>
      <c r="D423" s="1234" t="s">
        <v>424</v>
      </c>
      <c r="E423" s="1234"/>
      <c r="F423" s="1234"/>
      <c r="I423" s="391"/>
    </row>
    <row r="424" spans="1:9" ht="14.5" customHeight="1">
      <c r="A424" s="385"/>
      <c r="D424" s="1234"/>
      <c r="E424" s="1234"/>
      <c r="F424" s="1234"/>
      <c r="I424" s="391"/>
    </row>
    <row r="425" spans="1:9" ht="14.5" customHeight="1">
      <c r="A425" s="385"/>
      <c r="D425" s="1234"/>
      <c r="E425" s="1234"/>
      <c r="F425" s="1234"/>
      <c r="I425" s="391"/>
    </row>
    <row r="426" spans="1:9" ht="14.5" customHeight="1">
      <c r="A426" s="385"/>
      <c r="D426" s="1234"/>
      <c r="E426" s="1234"/>
      <c r="F426" s="1234"/>
      <c r="I426" s="391"/>
    </row>
    <row r="427" spans="1:9" ht="14.5" customHeight="1">
      <c r="A427" s="385"/>
      <c r="D427" s="1234"/>
      <c r="E427" s="1234"/>
      <c r="F427" s="1234"/>
      <c r="I427" s="391"/>
    </row>
    <row r="428" spans="1:9" ht="14.5" customHeight="1">
      <c r="A428" s="385"/>
      <c r="D428" s="288"/>
      <c r="E428" s="288"/>
      <c r="F428" s="288"/>
      <c r="I428" s="391"/>
    </row>
    <row r="429" spans="1:9" ht="13.75" customHeight="1">
      <c r="A429" s="385"/>
      <c r="B429" s="386" t="s">
        <v>314</v>
      </c>
      <c r="C429" s="377"/>
      <c r="D429" s="1234" t="s">
        <v>425</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426</v>
      </c>
      <c r="E433" s="1234"/>
      <c r="F433" s="1234"/>
      <c r="I433" s="391"/>
    </row>
    <row r="434" spans="1:9">
      <c r="D434" s="348"/>
      <c r="E434" s="348"/>
      <c r="F434" s="348"/>
      <c r="I434" s="391"/>
    </row>
    <row r="435" spans="1:9">
      <c r="A435" s="385"/>
      <c r="B435" s="386" t="s">
        <v>314</v>
      </c>
      <c r="C435" s="388"/>
      <c r="D435" s="1263" t="s">
        <v>427</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5" customHeight="1">
      <c r="D465" s="1263"/>
      <c r="E465" s="1263"/>
      <c r="F465" s="1263"/>
      <c r="I465" s="391"/>
    </row>
    <row r="466" spans="1:9">
      <c r="D466" s="348"/>
      <c r="E466" s="348"/>
      <c r="F466" s="348"/>
      <c r="I466" s="391"/>
    </row>
    <row r="467" spans="1:9">
      <c r="A467" s="385"/>
      <c r="B467" s="386" t="s">
        <v>314</v>
      </c>
      <c r="C467" s="388"/>
      <c r="D467" s="1263" t="s">
        <v>428</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314</v>
      </c>
      <c r="C471" s="385"/>
      <c r="D471" s="1263" t="s">
        <v>429</v>
      </c>
      <c r="E471" s="1263"/>
      <c r="F471" s="1263"/>
      <c r="I471" s="391"/>
    </row>
    <row r="472" spans="1:9">
      <c r="D472" s="1263"/>
      <c r="E472" s="1263"/>
      <c r="F472" s="1263"/>
      <c r="I472" s="391"/>
    </row>
    <row r="473" spans="1:9">
      <c r="D473" s="348"/>
      <c r="E473" s="348"/>
      <c r="F473" s="348"/>
      <c r="I473" s="391"/>
    </row>
    <row r="474" spans="1:9">
      <c r="B474" s="386" t="s">
        <v>314</v>
      </c>
      <c r="C474" s="385"/>
      <c r="D474" s="1263" t="s">
        <v>430</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314</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314</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314</v>
      </c>
      <c r="C486" s="305"/>
      <c r="D486" s="1263"/>
      <c r="E486" s="1263"/>
      <c r="F486" s="1263"/>
      <c r="I486" s="391"/>
    </row>
    <row r="487" spans="1:9">
      <c r="A487" s="305"/>
      <c r="C487" s="305"/>
      <c r="D487" s="1263"/>
      <c r="E487" s="1263"/>
      <c r="F487" s="1263"/>
      <c r="I487" s="391"/>
    </row>
    <row r="488" spans="1:9">
      <c r="A488" s="305"/>
      <c r="B488" s="386" t="s">
        <v>314</v>
      </c>
      <c r="C488" s="305"/>
      <c r="D488" s="1263" t="s">
        <v>431</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314</v>
      </c>
      <c r="D494" s="1261" t="s">
        <v>432</v>
      </c>
      <c r="E494" s="1261"/>
      <c r="F494" s="1261"/>
      <c r="I494" s="391"/>
    </row>
    <row r="495" spans="1:9">
      <c r="A495" s="348"/>
      <c r="B495" s="348"/>
      <c r="I495" s="391"/>
    </row>
    <row r="496" spans="1:9">
      <c r="A496" s="1270" t="s">
        <v>433</v>
      </c>
      <c r="B496" s="1270"/>
      <c r="C496" s="1270"/>
      <c r="D496" s="1270"/>
      <c r="E496" s="1270"/>
      <c r="F496" s="1270"/>
      <c r="G496" s="1270"/>
      <c r="H496" s="919"/>
      <c r="I496" s="1042"/>
    </row>
    <row r="497" spans="1:9">
      <c r="A497" s="348"/>
      <c r="B497" s="348"/>
      <c r="I497" s="391"/>
    </row>
    <row r="498" spans="1:9">
      <c r="D498" s="1289" t="s">
        <v>434</v>
      </c>
      <c r="E498" s="1289"/>
      <c r="F498" s="1289"/>
      <c r="I498" s="391"/>
    </row>
    <row r="499" spans="1:9">
      <c r="A499" s="385"/>
      <c r="B499" s="385"/>
      <c r="D499" s="1280" t="s">
        <v>435</v>
      </c>
      <c r="E499" s="1280"/>
      <c r="F499" s="1280"/>
      <c r="I499" s="391"/>
    </row>
    <row r="500" spans="1:9">
      <c r="A500" s="385"/>
      <c r="B500" s="385"/>
      <c r="D500" s="349"/>
      <c r="I500" s="391"/>
    </row>
    <row r="501" spans="1:9">
      <c r="A501" s="385"/>
      <c r="B501" s="386" t="s">
        <v>314</v>
      </c>
      <c r="D501" s="1234" t="s">
        <v>436</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314</v>
      </c>
      <c r="D504" s="1275" t="s">
        <v>437</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314</v>
      </c>
      <c r="D509" s="1261" t="s">
        <v>438</v>
      </c>
      <c r="E509" s="1261"/>
      <c r="F509" s="1261"/>
      <c r="I509" s="391"/>
    </row>
    <row r="510" spans="1:9">
      <c r="A510" s="385"/>
      <c r="B510" s="385"/>
      <c r="D510" s="348"/>
      <c r="I510" s="391"/>
    </row>
    <row r="511" spans="1:9">
      <c r="A511" s="385"/>
      <c r="B511" s="386" t="s">
        <v>314</v>
      </c>
      <c r="D511" s="1263" t="s">
        <v>439</v>
      </c>
      <c r="E511" s="1263"/>
      <c r="F511" s="1263"/>
      <c r="I511" s="391"/>
    </row>
    <row r="512" spans="1:9">
      <c r="A512" s="385"/>
      <c r="D512" s="1263"/>
      <c r="E512" s="1263"/>
      <c r="F512" s="1263"/>
      <c r="I512" s="391"/>
    </row>
    <row r="513" spans="1:9">
      <c r="A513" s="391"/>
      <c r="B513" s="391"/>
      <c r="D513" s="349"/>
      <c r="I513" s="391"/>
    </row>
    <row r="514" spans="1:9">
      <c r="A514" s="391"/>
      <c r="B514" s="386" t="s">
        <v>314</v>
      </c>
      <c r="D514" s="1261" t="s">
        <v>440</v>
      </c>
      <c r="E514" s="1261"/>
      <c r="F514" s="1261"/>
      <c r="I514" s="391"/>
    </row>
    <row r="515" spans="1:9">
      <c r="D515" s="348"/>
      <c r="E515" s="348"/>
      <c r="F515" s="348"/>
      <c r="I515" s="391"/>
    </row>
    <row r="516" spans="1:9">
      <c r="B516" s="386" t="s">
        <v>314</v>
      </c>
      <c r="D516" s="1263" t="s">
        <v>441</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442</v>
      </c>
      <c r="B521" s="1270"/>
      <c r="C521" s="1270"/>
      <c r="D521" s="1270"/>
      <c r="E521" s="1270"/>
      <c r="F521" s="1270"/>
      <c r="G521" s="1270"/>
      <c r="H521" s="919"/>
      <c r="I521" s="1042"/>
    </row>
    <row r="522" spans="1:9" ht="12" customHeight="1">
      <c r="A522" s="385"/>
      <c r="B522" s="385"/>
      <c r="D522" s="348"/>
      <c r="I522" s="391"/>
    </row>
    <row r="523" spans="1:9">
      <c r="C523" s="383"/>
      <c r="D523" s="1271" t="s">
        <v>443</v>
      </c>
      <c r="E523" s="1271"/>
      <c r="F523" s="1271"/>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309</v>
      </c>
      <c r="C527" s="384"/>
      <c r="D527" s="1234" t="s">
        <v>446</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447</v>
      </c>
      <c r="E530" s="288"/>
      <c r="F530" s="288"/>
      <c r="I530" s="391"/>
    </row>
    <row r="531" spans="1:9">
      <c r="A531" s="384"/>
      <c r="B531" s="384"/>
      <c r="C531" s="384"/>
      <c r="D531" s="288"/>
      <c r="E531" s="71" t="s">
        <v>448</v>
      </c>
      <c r="I531" s="391"/>
    </row>
    <row r="532" spans="1:9">
      <c r="A532" s="384"/>
      <c r="B532" s="384"/>
      <c r="D532" s="1242" t="s">
        <v>449</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25" customHeight="1">
      <c r="A536" s="384"/>
      <c r="B536" s="386" t="s">
        <v>314</v>
      </c>
      <c r="C536" s="384"/>
      <c r="D536" s="1263" t="s">
        <v>450</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451</v>
      </c>
      <c r="B539" s="1270"/>
      <c r="C539" s="1270"/>
      <c r="D539" s="1270"/>
      <c r="E539" s="1270"/>
      <c r="F539" s="1270"/>
      <c r="G539" s="1270"/>
      <c r="H539" s="919"/>
      <c r="I539" s="1042"/>
    </row>
    <row r="540" spans="1:9">
      <c r="A540" s="348"/>
      <c r="B540" s="348"/>
      <c r="C540" s="388"/>
      <c r="F540" s="350"/>
      <c r="I540" s="391"/>
    </row>
    <row r="541" spans="1:9">
      <c r="B541" s="1265" t="s">
        <v>348</v>
      </c>
      <c r="C541" s="1265"/>
      <c r="D541" s="1265"/>
      <c r="E541" s="1265"/>
      <c r="F541" s="1265"/>
      <c r="I541" s="391"/>
    </row>
    <row r="542" spans="1:9">
      <c r="A542" s="348"/>
      <c r="B542" s="348"/>
      <c r="C542" s="388"/>
      <c r="D542" s="348"/>
      <c r="F542" s="348"/>
      <c r="I542" s="391"/>
    </row>
    <row r="543" spans="1:9">
      <c r="A543" s="1262" t="s">
        <v>452</v>
      </c>
      <c r="B543" s="1262"/>
      <c r="C543" s="1262"/>
      <c r="D543" s="1262"/>
      <c r="E543" s="1262"/>
      <c r="F543" s="1262"/>
      <c r="G543" s="1262"/>
      <c r="H543" s="919"/>
      <c r="I543" s="1042"/>
    </row>
    <row r="544" spans="1:9">
      <c r="A544" s="348"/>
      <c r="B544" s="348"/>
      <c r="C544" s="388"/>
      <c r="D544" s="348"/>
      <c r="F544" s="348"/>
      <c r="I544" s="391"/>
    </row>
    <row r="545" spans="1:9">
      <c r="C545" s="388"/>
      <c r="D545" s="1271" t="s">
        <v>453</v>
      </c>
      <c r="E545" s="1271"/>
      <c r="F545" s="1271"/>
      <c r="I545" s="391"/>
    </row>
    <row r="546" spans="1:9">
      <c r="C546" s="388"/>
      <c r="D546" s="1261" t="s">
        <v>454</v>
      </c>
      <c r="E546" s="1261"/>
      <c r="F546" s="1261"/>
      <c r="I546" s="391"/>
    </row>
    <row r="547" spans="1:9">
      <c r="C547" s="388"/>
      <c r="D547" s="348"/>
      <c r="E547" s="348"/>
      <c r="F547" s="348"/>
      <c r="I547" s="391"/>
    </row>
    <row r="548" spans="1:9" ht="13.75" customHeight="1">
      <c r="A548" s="385"/>
      <c r="B548" s="386" t="s">
        <v>309</v>
      </c>
      <c r="C548" s="388"/>
      <c r="D548" s="1261" t="s">
        <v>455</v>
      </c>
      <c r="E548" s="1261"/>
      <c r="F548" s="1261"/>
      <c r="I548" s="391"/>
    </row>
    <row r="549" spans="1:9" ht="13.75" customHeight="1">
      <c r="A549" s="388"/>
      <c r="B549" s="388"/>
      <c r="C549" s="388"/>
      <c r="D549" s="348"/>
      <c r="I549" s="391"/>
    </row>
    <row r="550" spans="1:9">
      <c r="A550" s="385"/>
      <c r="B550" s="386" t="s">
        <v>309</v>
      </c>
      <c r="C550" s="388"/>
      <c r="D550" s="1263" t="s">
        <v>456</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457</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458</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459</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314</v>
      </c>
      <c r="C563" s="388"/>
      <c r="D563" s="1263" t="s">
        <v>460</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314</v>
      </c>
      <c r="C566" s="388"/>
      <c r="D566" s="1263" t="s">
        <v>461</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462</v>
      </c>
      <c r="E569" s="1261"/>
      <c r="F569" s="1261"/>
      <c r="I569" s="391"/>
    </row>
    <row r="570" spans="1:9">
      <c r="A570" s="391"/>
      <c r="B570" s="391"/>
      <c r="C570" s="388"/>
      <c r="D570" s="1261" t="s">
        <v>463</v>
      </c>
      <c r="E570" s="1261"/>
      <c r="F570" s="1261"/>
      <c r="I570" s="391"/>
    </row>
    <row r="571" spans="1:9">
      <c r="A571" s="391"/>
      <c r="B571" s="391"/>
      <c r="C571" s="388"/>
      <c r="E571" s="71" t="s">
        <v>464</v>
      </c>
      <c r="F571" s="307"/>
      <c r="I571" s="391"/>
    </row>
    <row r="572" spans="1:9">
      <c r="A572" s="385"/>
      <c r="B572" s="385"/>
      <c r="C572" s="388"/>
      <c r="E572" s="348"/>
      <c r="F572" s="348"/>
      <c r="I572" s="391"/>
    </row>
    <row r="573" spans="1:9">
      <c r="A573" s="385"/>
      <c r="B573" s="386" t="s">
        <v>309</v>
      </c>
      <c r="C573" s="388"/>
      <c r="D573" s="1261" t="s">
        <v>465</v>
      </c>
      <c r="E573" s="1261"/>
      <c r="F573" s="1261"/>
      <c r="I573" s="391"/>
    </row>
    <row r="574" spans="1:9">
      <c r="C574" s="388"/>
      <c r="D574" s="1263" t="s">
        <v>466</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467</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468</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469</v>
      </c>
      <c r="E585" s="1279"/>
      <c r="F585" s="1279"/>
      <c r="I585" s="391"/>
    </row>
    <row r="586" spans="1:9">
      <c r="A586" s="384"/>
      <c r="B586" s="384"/>
      <c r="C586" s="384"/>
      <c r="D586" s="1275" t="s">
        <v>470</v>
      </c>
      <c r="E586" s="1275"/>
      <c r="F586" s="1275"/>
      <c r="I586" s="391"/>
    </row>
    <row r="587" spans="1:9">
      <c r="A587" s="305"/>
      <c r="B587" s="305"/>
      <c r="C587" s="384"/>
      <c r="D587" s="400"/>
      <c r="I587" s="391"/>
    </row>
    <row r="588" spans="1:9">
      <c r="A588" s="384"/>
      <c r="B588" s="386" t="s">
        <v>309</v>
      </c>
      <c r="D588" s="1275" t="s">
        <v>471</v>
      </c>
      <c r="E588" s="1275"/>
      <c r="F588" s="1275"/>
      <c r="I588" s="391"/>
    </row>
    <row r="589" spans="1:9">
      <c r="A589" s="391"/>
      <c r="B589" s="391"/>
      <c r="D589" s="377"/>
      <c r="I589" s="391"/>
    </row>
    <row r="590" spans="1:9">
      <c r="A590" s="391"/>
      <c r="B590" s="386" t="s">
        <v>309</v>
      </c>
      <c r="D590" s="1275" t="s">
        <v>472</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314</v>
      </c>
      <c r="D594" s="1275" t="s">
        <v>473</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474</v>
      </c>
      <c r="E599" s="1275"/>
      <c r="F599" s="1275"/>
      <c r="I599" s="391"/>
    </row>
    <row r="600" spans="1:9">
      <c r="A600" s="391"/>
      <c r="B600" s="391"/>
      <c r="D600" s="1275"/>
      <c r="E600" s="1275"/>
      <c r="F600" s="1275"/>
      <c r="I600" s="391"/>
    </row>
    <row r="601" spans="1:9">
      <c r="A601" s="391"/>
      <c r="B601" s="391"/>
      <c r="D601" s="400"/>
      <c r="I601" s="391"/>
    </row>
    <row r="602" spans="1:9">
      <c r="A602" s="391"/>
      <c r="B602" s="386" t="s">
        <v>314</v>
      </c>
      <c r="D602" s="1275" t="s">
        <v>475</v>
      </c>
      <c r="E602" s="1275"/>
      <c r="F602" s="1275"/>
      <c r="I602" s="391"/>
    </row>
    <row r="603" spans="1:9">
      <c r="A603" s="391"/>
      <c r="B603" s="391"/>
      <c r="D603" s="1275"/>
      <c r="E603" s="1275"/>
      <c r="F603" s="1275"/>
      <c r="I603" s="391"/>
    </row>
    <row r="604" spans="1:9">
      <c r="A604" s="385"/>
      <c r="B604" s="385"/>
      <c r="D604" s="400"/>
      <c r="I604" s="391"/>
    </row>
    <row r="605" spans="1:9">
      <c r="A605" s="1270" t="s">
        <v>476</v>
      </c>
      <c r="B605" s="1270"/>
      <c r="C605" s="1270"/>
      <c r="D605" s="1270"/>
      <c r="E605" s="1270"/>
      <c r="F605" s="1270"/>
      <c r="G605" s="1270"/>
      <c r="H605" s="919"/>
      <c r="I605" s="1042"/>
    </row>
    <row r="606" spans="1:9">
      <c r="I606" s="391"/>
    </row>
    <row r="607" spans="1:9">
      <c r="D607" s="1271" t="s">
        <v>477</v>
      </c>
      <c r="E607" s="1271"/>
      <c r="F607" s="1271"/>
      <c r="I607" s="391"/>
    </row>
    <row r="608" spans="1:9">
      <c r="D608" s="1243" t="s">
        <v>478</v>
      </c>
      <c r="E608" s="1243"/>
      <c r="F608" s="1243"/>
      <c r="I608" s="391"/>
    </row>
    <row r="609" spans="1:9">
      <c r="D609" s="346"/>
      <c r="I609" s="391"/>
    </row>
    <row r="610" spans="1:9" ht="14.25" customHeight="1">
      <c r="A610" s="385"/>
      <c r="B610" s="386" t="s">
        <v>309</v>
      </c>
      <c r="D610" s="1276" t="s">
        <v>479</v>
      </c>
      <c r="E610" s="1276"/>
      <c r="F610" s="1276"/>
      <c r="I610" s="391"/>
    </row>
    <row r="611" spans="1:9">
      <c r="D611" s="1276"/>
      <c r="E611" s="1276"/>
      <c r="F611" s="1276"/>
      <c r="I611" s="391"/>
    </row>
    <row r="612" spans="1:9">
      <c r="D612" s="288"/>
      <c r="E612" s="927" t="s">
        <v>480</v>
      </c>
      <c r="F612" s="288"/>
      <c r="I612" s="391"/>
    </row>
    <row r="613" spans="1:9">
      <c r="I613" s="391"/>
    </row>
    <row r="614" spans="1:9">
      <c r="A614" s="1270" t="s">
        <v>481</v>
      </c>
      <c r="B614" s="1270"/>
      <c r="C614" s="1270"/>
      <c r="D614" s="1270"/>
      <c r="E614" s="1270"/>
      <c r="F614" s="1270"/>
      <c r="G614" s="1270"/>
      <c r="H614" s="919"/>
      <c r="I614" s="1042"/>
    </row>
    <row r="615" spans="1:9">
      <c r="A615" s="348"/>
      <c r="B615" s="348"/>
      <c r="I615" s="391"/>
    </row>
    <row r="616" spans="1:9">
      <c r="A616" s="383"/>
      <c r="B616" s="383"/>
      <c r="C616" s="383"/>
      <c r="D616" s="1260" t="s">
        <v>482</v>
      </c>
      <c r="E616" s="1260"/>
      <c r="F616" s="1260"/>
      <c r="I616" s="391"/>
    </row>
    <row r="617" spans="1:9">
      <c r="A617" s="383"/>
      <c r="B617" s="383"/>
      <c r="C617" s="383"/>
      <c r="D617" s="1260"/>
      <c r="E617" s="1260"/>
      <c r="F617" s="1260"/>
      <c r="I617" s="391"/>
    </row>
    <row r="618" spans="1:9">
      <c r="C618" s="384"/>
      <c r="D618" s="1243" t="s">
        <v>483</v>
      </c>
      <c r="E618" s="1243"/>
      <c r="F618" s="1243"/>
      <c r="I618" s="391"/>
    </row>
    <row r="619" spans="1:9">
      <c r="C619" s="384"/>
      <c r="D619" s="346"/>
      <c r="E619" s="346"/>
      <c r="F619" s="346"/>
      <c r="I619" s="391"/>
    </row>
    <row r="620" spans="1:9" ht="12.75" customHeight="1">
      <c r="A620" s="391"/>
      <c r="B620" s="386" t="s">
        <v>309</v>
      </c>
      <c r="D620" s="1269" t="s">
        <v>484</v>
      </c>
      <c r="E620" s="1269"/>
      <c r="F620" s="1269"/>
      <c r="I620" s="391"/>
    </row>
    <row r="621" spans="1:9">
      <c r="D621" s="1269"/>
      <c r="E621" s="1269"/>
      <c r="F621" s="1269"/>
      <c r="I621" s="391"/>
    </row>
    <row r="622" spans="1:9">
      <c r="I622" s="391"/>
    </row>
    <row r="623" spans="1:9">
      <c r="B623" s="386" t="s">
        <v>309</v>
      </c>
      <c r="D623" s="1269" t="s">
        <v>485</v>
      </c>
      <c r="E623" s="1269"/>
      <c r="F623" s="1269"/>
      <c r="I623" s="391"/>
    </row>
    <row r="624" spans="1:9">
      <c r="C624" s="401"/>
      <c r="D624" s="1269"/>
      <c r="E624" s="1269"/>
      <c r="F624" s="1269"/>
      <c r="I624" s="391"/>
    </row>
    <row r="625" spans="1:9">
      <c r="C625" s="401"/>
      <c r="I625" s="391"/>
    </row>
    <row r="626" spans="1:9">
      <c r="B626" s="386" t="s">
        <v>314</v>
      </c>
      <c r="C626" s="401"/>
      <c r="D626" s="1269" t="s">
        <v>486</v>
      </c>
      <c r="E626" s="1269"/>
      <c r="F626" s="1269"/>
      <c r="I626" s="391"/>
    </row>
    <row r="627" spans="1:9">
      <c r="C627" s="401"/>
      <c r="D627" s="1269"/>
      <c r="E627" s="1269"/>
      <c r="F627" s="1269"/>
      <c r="I627" s="401"/>
    </row>
    <row r="628" spans="1:9">
      <c r="C628" s="401"/>
      <c r="I628" s="391"/>
    </row>
    <row r="629" spans="1:9">
      <c r="A629" s="1270" t="s">
        <v>487</v>
      </c>
      <c r="B629" s="1270"/>
      <c r="C629" s="1270"/>
      <c r="D629" s="1270"/>
      <c r="E629" s="1270"/>
      <c r="F629" s="1270"/>
      <c r="G629" s="1270"/>
      <c r="H629" s="919"/>
      <c r="I629" s="1042"/>
    </row>
    <row r="630" spans="1:9">
      <c r="A630" s="383"/>
      <c r="B630" s="383"/>
      <c r="C630" s="383"/>
      <c r="I630" s="391"/>
    </row>
    <row r="631" spans="1:9">
      <c r="C631" s="391"/>
      <c r="D631" s="1271" t="s">
        <v>488</v>
      </c>
      <c r="E631" s="1271"/>
      <c r="F631" s="1271"/>
      <c r="I631" s="391"/>
    </row>
    <row r="632" spans="1:9">
      <c r="A632" s="391"/>
      <c r="B632" s="391"/>
      <c r="D632" s="307"/>
      <c r="I632" s="391"/>
    </row>
    <row r="633" spans="1:9" ht="14.25" customHeight="1">
      <c r="A633" s="385"/>
      <c r="B633" s="386" t="s">
        <v>309</v>
      </c>
      <c r="D633" s="1276" t="s">
        <v>489</v>
      </c>
      <c r="E633" s="1276"/>
      <c r="F633" s="1276"/>
      <c r="I633" s="391"/>
    </row>
    <row r="634" spans="1:9">
      <c r="D634" s="1276"/>
      <c r="E634" s="1276"/>
      <c r="F634" s="1276"/>
      <c r="I634" s="391"/>
    </row>
    <row r="635" spans="1:9">
      <c r="D635" s="288"/>
      <c r="E635" s="927" t="s">
        <v>490</v>
      </c>
      <c r="F635" s="288"/>
      <c r="I635" s="391"/>
    </row>
    <row r="636" spans="1:9">
      <c r="D636" s="1263" t="s">
        <v>491</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314</v>
      </c>
      <c r="D640" s="1263" t="s">
        <v>492</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314</v>
      </c>
      <c r="C643" s="388"/>
      <c r="D643" s="1263" t="s">
        <v>493</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314</v>
      </c>
      <c r="C646" s="388"/>
      <c r="D646" s="1261" t="s">
        <v>494</v>
      </c>
      <c r="E646" s="1261"/>
      <c r="F646" s="1261"/>
      <c r="I646" s="391"/>
    </row>
    <row r="647" spans="1:9">
      <c r="A647" s="388"/>
      <c r="B647" s="388"/>
      <c r="C647" s="388"/>
      <c r="D647" s="348"/>
      <c r="E647" s="348"/>
      <c r="F647" s="348"/>
      <c r="I647" s="391"/>
    </row>
    <row r="648" spans="1:9">
      <c r="A648" s="1270" t="s">
        <v>495</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496</v>
      </c>
      <c r="E650" s="1271"/>
      <c r="F650" s="1271"/>
      <c r="I650" s="391"/>
    </row>
    <row r="651" spans="1:9">
      <c r="A651" s="384"/>
      <c r="B651" s="384"/>
      <c r="C651" s="384"/>
      <c r="D651" s="1261" t="s">
        <v>497</v>
      </c>
      <c r="E651" s="1261"/>
      <c r="F651" s="1261"/>
      <c r="I651" s="391"/>
    </row>
    <row r="652" spans="1:9">
      <c r="A652" s="384"/>
      <c r="B652" s="384"/>
      <c r="C652" s="384"/>
      <c r="D652" s="348"/>
      <c r="E652" s="348"/>
      <c r="F652" s="348"/>
      <c r="I652" s="391"/>
    </row>
    <row r="653" spans="1:9" ht="12.75" customHeight="1">
      <c r="B653" s="386" t="s">
        <v>309</v>
      </c>
      <c r="C653" s="388"/>
      <c r="D653" s="1263" t="s">
        <v>498</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5" customHeight="1">
      <c r="A657" s="385"/>
      <c r="B657" s="385"/>
      <c r="C657" s="388"/>
      <c r="D657" s="288"/>
      <c r="E657" s="288"/>
      <c r="F657" s="288"/>
      <c r="I657" s="391"/>
    </row>
    <row r="658" spans="1:9" ht="12.75" customHeight="1">
      <c r="A658" s="384"/>
      <c r="B658" s="386" t="s">
        <v>309</v>
      </c>
      <c r="C658" s="388"/>
      <c r="D658" s="1263" t="s">
        <v>499</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500</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314</v>
      </c>
      <c r="C669" s="388"/>
      <c r="D669" s="1263" t="s">
        <v>501</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502</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503</v>
      </c>
      <c r="E681" s="1271"/>
      <c r="F681" s="1271"/>
      <c r="H681" s="402"/>
      <c r="I681" s="384"/>
      <c r="J681" s="402"/>
      <c r="K681" s="402"/>
    </row>
    <row r="682" spans="1:11">
      <c r="A682" s="383"/>
      <c r="B682" s="383"/>
      <c r="C682" s="383"/>
      <c r="D682" s="1271" t="s">
        <v>504</v>
      </c>
      <c r="E682" s="1271"/>
      <c r="F682" s="1271"/>
      <c r="H682" s="402"/>
      <c r="I682" s="384"/>
      <c r="J682" s="402"/>
      <c r="K682" s="402"/>
    </row>
    <row r="683" spans="1:11">
      <c r="A683" s="384"/>
      <c r="B683" s="384"/>
      <c r="C683" s="384"/>
      <c r="D683" s="1261" t="s">
        <v>505</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506</v>
      </c>
      <c r="E685" s="1261"/>
      <c r="F685" s="1261"/>
      <c r="H685" s="402"/>
      <c r="I685" s="384"/>
      <c r="J685" s="402"/>
      <c r="K685" s="402"/>
    </row>
    <row r="686" spans="1:11">
      <c r="A686" s="384"/>
      <c r="B686" s="384"/>
      <c r="C686" s="384"/>
      <c r="D686" s="1261" t="s">
        <v>507</v>
      </c>
      <c r="E686" s="1261"/>
      <c r="F686" s="1261"/>
      <c r="H686" s="402"/>
      <c r="I686" s="384"/>
      <c r="J686" s="402"/>
      <c r="K686" s="402"/>
    </row>
    <row r="687" spans="1:11" ht="12.75" customHeight="1">
      <c r="A687" s="384"/>
      <c r="B687" s="384"/>
      <c r="C687" s="384"/>
      <c r="E687" s="927" t="s">
        <v>508</v>
      </c>
      <c r="F687" s="323"/>
      <c r="H687" s="402"/>
      <c r="I687" s="384"/>
      <c r="J687" s="402"/>
      <c r="K687" s="402"/>
    </row>
    <row r="688" spans="1:11">
      <c r="A688" s="384"/>
      <c r="B688" s="384"/>
      <c r="C688" s="384"/>
      <c r="E688" s="402" t="s">
        <v>509</v>
      </c>
      <c r="F688" s="323"/>
      <c r="I688" s="384"/>
      <c r="J688" s="402"/>
      <c r="K688" s="402"/>
    </row>
    <row r="689" spans="1:11">
      <c r="A689" s="384"/>
      <c r="B689" s="384"/>
      <c r="C689" s="384"/>
      <c r="D689" s="403"/>
      <c r="E689" s="348"/>
      <c r="H689" s="402"/>
      <c r="I689" s="384"/>
      <c r="J689" s="402"/>
      <c r="K689" s="402"/>
    </row>
    <row r="690" spans="1:11">
      <c r="A690" s="385"/>
      <c r="B690" s="386" t="s">
        <v>314</v>
      </c>
      <c r="C690" s="384"/>
      <c r="D690" s="1263" t="s">
        <v>510</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511</v>
      </c>
      <c r="E694" s="1261"/>
      <c r="F694" s="1261"/>
      <c r="H694" s="402"/>
      <c r="I694" s="384"/>
      <c r="J694" s="402"/>
      <c r="K694" s="402"/>
    </row>
    <row r="695" spans="1:11">
      <c r="A695" s="385"/>
      <c r="B695" s="385"/>
      <c r="C695" s="384"/>
      <c r="D695" s="1261" t="s">
        <v>507</v>
      </c>
      <c r="E695" s="1261"/>
      <c r="F695" s="1261"/>
      <c r="H695" s="402"/>
      <c r="I695" s="384"/>
      <c r="J695" s="402"/>
      <c r="K695" s="402"/>
    </row>
    <row r="696" spans="1:11">
      <c r="A696" s="384"/>
      <c r="B696" s="384"/>
      <c r="C696" s="384"/>
      <c r="E696" s="927" t="s">
        <v>512</v>
      </c>
      <c r="F696" s="307"/>
      <c r="H696" s="402"/>
      <c r="I696" s="384"/>
      <c r="J696" s="402"/>
      <c r="K696" s="402"/>
    </row>
    <row r="697" spans="1:11">
      <c r="A697" s="384"/>
      <c r="B697" s="384"/>
      <c r="C697" s="384"/>
      <c r="D697" s="307"/>
      <c r="H697" s="402"/>
      <c r="I697" s="384"/>
      <c r="J697" s="402"/>
      <c r="K697" s="402"/>
    </row>
    <row r="698" spans="1:11">
      <c r="A698" s="385"/>
      <c r="B698" s="386" t="s">
        <v>314</v>
      </c>
      <c r="C698" s="384"/>
      <c r="D698" s="1261" t="s">
        <v>513</v>
      </c>
      <c r="E698" s="1261"/>
      <c r="F698" s="1261"/>
      <c r="H698" s="402"/>
      <c r="I698" s="384"/>
      <c r="J698" s="402"/>
      <c r="K698" s="402"/>
    </row>
    <row r="699" spans="1:11">
      <c r="A699" s="385"/>
      <c r="B699" s="385"/>
      <c r="C699" s="384"/>
      <c r="D699" s="1261" t="s">
        <v>507</v>
      </c>
      <c r="E699" s="1261"/>
      <c r="F699" s="1261"/>
      <c r="H699" s="402"/>
      <c r="I699" s="384"/>
      <c r="J699" s="402"/>
      <c r="K699" s="402"/>
    </row>
    <row r="700" spans="1:11">
      <c r="A700" s="384"/>
      <c r="B700" s="384"/>
      <c r="C700" s="384"/>
      <c r="E700" s="927" t="s">
        <v>514</v>
      </c>
      <c r="F700" s="307"/>
      <c r="H700" s="402"/>
      <c r="I700" s="384"/>
      <c r="J700" s="402"/>
      <c r="K700" s="402"/>
    </row>
    <row r="701" spans="1:11">
      <c r="A701" s="384"/>
      <c r="B701" s="384"/>
      <c r="C701" s="384"/>
      <c r="D701" s="307"/>
      <c r="H701" s="402"/>
      <c r="I701" s="384"/>
      <c r="J701" s="402"/>
      <c r="K701" s="402"/>
    </row>
    <row r="702" spans="1:11">
      <c r="A702" s="385"/>
      <c r="B702" s="386" t="s">
        <v>309</v>
      </c>
      <c r="C702" s="384"/>
      <c r="D702" s="1263" t="s">
        <v>515</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3" t="s">
        <v>516</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63" t="s">
        <v>517</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314</v>
      </c>
      <c r="C725" s="384"/>
      <c r="D725" s="1263" t="s">
        <v>518</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3" t="s">
        <v>519</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314</v>
      </c>
      <c r="C733" s="384"/>
      <c r="D733" s="1263" t="s">
        <v>520</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314</v>
      </c>
      <c r="C738" s="384"/>
      <c r="D738" s="1263" t="s">
        <v>521</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309</v>
      </c>
      <c r="C744" s="384"/>
      <c r="D744" s="1263" t="s">
        <v>522</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523</v>
      </c>
      <c r="E751" s="1264"/>
      <c r="F751" s="1264"/>
      <c r="H751" s="402"/>
      <c r="I751" s="384"/>
      <c r="J751" s="402"/>
      <c r="K751" s="402"/>
    </row>
    <row r="752" spans="1:11">
      <c r="A752" s="384"/>
      <c r="B752" s="384"/>
      <c r="C752" s="384"/>
      <c r="D752" s="244"/>
      <c r="H752" s="402"/>
      <c r="I752" s="384"/>
      <c r="J752" s="402"/>
      <c r="K752" s="402"/>
    </row>
    <row r="753" spans="1:11">
      <c r="A753" s="1262" t="s">
        <v>524</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5" customHeight="1">
      <c r="C755" s="384"/>
      <c r="D755" s="1279" t="s">
        <v>525</v>
      </c>
      <c r="E755" s="1279"/>
      <c r="F755" s="1279"/>
      <c r="G755" s="402"/>
      <c r="H755" s="402"/>
      <c r="I755" s="384"/>
      <c r="J755" s="402"/>
      <c r="K755" s="402"/>
    </row>
    <row r="756" spans="1:11">
      <c r="A756" s="384"/>
      <c r="B756" s="384"/>
      <c r="C756" s="384"/>
      <c r="D756" s="1265" t="s">
        <v>526</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527</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314</v>
      </c>
      <c r="C765" s="405"/>
      <c r="D765" s="1263" t="s">
        <v>528</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529</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314</v>
      </c>
      <c r="D774" s="1263" t="s">
        <v>530</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314</v>
      </c>
      <c r="D777" s="1263" t="s">
        <v>531</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532</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533</v>
      </c>
      <c r="E783" s="1277"/>
      <c r="F783" s="1277"/>
      <c r="G783" s="3"/>
      <c r="I783" s="391"/>
    </row>
    <row r="784" spans="1:11">
      <c r="A784" s="49"/>
      <c r="B784" s="49"/>
      <c r="C784" s="257"/>
      <c r="D784" s="1280" t="s">
        <v>534</v>
      </c>
      <c r="E784" s="1280"/>
      <c r="F784" s="1280"/>
      <c r="G784" s="3"/>
      <c r="I784" s="391"/>
    </row>
    <row r="785" spans="1:9">
      <c r="A785" s="49"/>
      <c r="B785" s="49"/>
      <c r="C785" s="257"/>
      <c r="D785" s="349"/>
      <c r="E785" s="349"/>
      <c r="F785" s="349"/>
      <c r="G785" s="3"/>
      <c r="I785" s="391"/>
    </row>
    <row r="786" spans="1:9">
      <c r="A786" s="49"/>
      <c r="B786" s="386" t="s">
        <v>309</v>
      </c>
      <c r="C786" s="257"/>
      <c r="D786" s="1256" t="s">
        <v>535</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314</v>
      </c>
      <c r="C790" s="119"/>
      <c r="D790" s="1256" t="s">
        <v>536</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314</v>
      </c>
      <c r="C794" s="883"/>
      <c r="D794" s="1256" t="s">
        <v>537</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314</v>
      </c>
      <c r="C798" s="883"/>
      <c r="D798" s="1256" t="s">
        <v>538</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539</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314</v>
      </c>
      <c r="C808" s="883"/>
      <c r="D808" s="1256" t="s">
        <v>540</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314</v>
      </c>
      <c r="C815" s="883"/>
      <c r="D815" s="1256" t="s">
        <v>541</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314</v>
      </c>
      <c r="C822" s="883"/>
      <c r="D822" s="1251" t="s">
        <v>542</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543</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544</v>
      </c>
      <c r="E831" s="1267"/>
      <c r="F831" s="1267"/>
      <c r="G831" s="3"/>
      <c r="I831" s="391"/>
    </row>
    <row r="832" spans="1:9" ht="14.25" customHeight="1">
      <c r="A832" s="122"/>
      <c r="B832" s="122"/>
      <c r="C832" s="257"/>
      <c r="D832" s="1224" t="s">
        <v>545</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546</v>
      </c>
      <c r="E834" s="1224"/>
      <c r="F834" s="1224"/>
      <c r="G834" s="3"/>
      <c r="I834" s="391" t="s">
        <v>547</v>
      </c>
    </row>
    <row r="835" spans="1:9" ht="14.25" customHeight="1">
      <c r="A835" s="12"/>
      <c r="B835" s="12"/>
      <c r="C835" s="883"/>
      <c r="E835" s="927" t="s">
        <v>376</v>
      </c>
      <c r="F835" s="929"/>
      <c r="G835" s="3"/>
      <c r="I835" s="391"/>
    </row>
    <row r="836" spans="1:9" ht="12.75" customHeight="1">
      <c r="A836" s="12"/>
      <c r="B836" s="12"/>
      <c r="C836" s="883"/>
      <c r="D836" s="885"/>
      <c r="E836" s="3"/>
      <c r="F836" s="3"/>
      <c r="G836" s="3"/>
      <c r="I836" s="391"/>
    </row>
    <row r="837" spans="1:9" ht="14.25" hidden="1" customHeight="1">
      <c r="A837" s="12"/>
      <c r="B837" s="386" t="s">
        <v>548</v>
      </c>
      <c r="C837" s="883"/>
      <c r="D837" s="1268" t="s">
        <v>549</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550</v>
      </c>
      <c r="E848" s="1224"/>
      <c r="F848" s="1224"/>
      <c r="G848" s="3"/>
      <c r="I848" s="391" t="s">
        <v>551</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314</v>
      </c>
      <c r="C852" s="883"/>
      <c r="D852" s="1267" t="s">
        <v>552</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553</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314</v>
      </c>
      <c r="C861" s="883"/>
      <c r="D861" s="1224" t="s">
        <v>554</v>
      </c>
      <c r="E861" s="1224"/>
      <c r="F861" s="1224"/>
      <c r="G861" s="3"/>
      <c r="I861" s="391" t="s">
        <v>555</v>
      </c>
    </row>
    <row r="862" spans="1:9" ht="12.75" customHeight="1">
      <c r="A862" s="122"/>
      <c r="B862" s="122"/>
      <c r="C862" s="883"/>
      <c r="D862" s="1224" t="s">
        <v>556</v>
      </c>
      <c r="E862" s="1224"/>
      <c r="F862" s="1224"/>
      <c r="G862" s="3"/>
      <c r="I862" s="391"/>
    </row>
    <row r="863" spans="1:9" ht="12.75" customHeight="1">
      <c r="A863" s="122"/>
      <c r="B863" s="122"/>
      <c r="C863" s="883"/>
      <c r="E863" s="927" t="s">
        <v>385</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4" t="s">
        <v>557</v>
      </c>
      <c r="E865" s="1224"/>
      <c r="F865" s="1224"/>
      <c r="G865" s="3"/>
      <c r="I865" s="391" t="s">
        <v>558</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559</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560</v>
      </c>
      <c r="E872" s="1257"/>
      <c r="F872" s="1257"/>
      <c r="G872" s="882"/>
      <c r="I872" s="391"/>
    </row>
    <row r="873" spans="1:9" ht="12.75" customHeight="1">
      <c r="A873" s="257"/>
      <c r="B873" s="257"/>
      <c r="C873" s="121"/>
      <c r="D873" s="1266" t="s">
        <v>561</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562</v>
      </c>
      <c r="E875" s="1250"/>
      <c r="F875" s="1250"/>
      <c r="G875" s="882"/>
      <c r="I875" s="391" t="s">
        <v>555</v>
      </c>
    </row>
    <row r="876" spans="1:9" ht="12.75" customHeight="1">
      <c r="A876" s="257"/>
      <c r="B876" s="257"/>
      <c r="C876" s="257"/>
      <c r="D876" s="2" t="s">
        <v>355</v>
      </c>
      <c r="E876" s="927" t="s">
        <v>385</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563</v>
      </c>
      <c r="E878" s="1273"/>
      <c r="F878" s="1273"/>
      <c r="G878" s="3"/>
      <c r="I878" s="391" t="s">
        <v>558</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564</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553</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314</v>
      </c>
      <c r="C890" s="257"/>
      <c r="D890" s="1249" t="s">
        <v>554</v>
      </c>
      <c r="E890" s="1249"/>
      <c r="F890" s="1249"/>
      <c r="G890" s="882"/>
      <c r="I890" s="391"/>
    </row>
    <row r="891" spans="1:9" ht="12.75" customHeight="1">
      <c r="A891" s="122"/>
      <c r="B891" s="122"/>
      <c r="C891" s="257"/>
      <c r="D891" s="1249" t="s">
        <v>556</v>
      </c>
      <c r="E891" s="1249"/>
      <c r="F891" s="1249"/>
      <c r="G891" s="882"/>
      <c r="I891" s="391"/>
    </row>
    <row r="892" spans="1:9" ht="12.75" customHeight="1">
      <c r="A892" s="122"/>
      <c r="B892" s="122"/>
      <c r="C892" s="257"/>
      <c r="D892" s="2" t="s">
        <v>565</v>
      </c>
      <c r="E892" s="927" t="s">
        <v>385</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4" t="s">
        <v>557</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566</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567</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568</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569</v>
      </c>
      <c r="E905" s="1245"/>
      <c r="F905" s="1245"/>
      <c r="G905" s="882"/>
      <c r="I905" s="391"/>
    </row>
    <row r="906" spans="1:9" ht="12.75" customHeight="1">
      <c r="A906" s="119"/>
      <c r="B906" s="119"/>
      <c r="C906" s="119"/>
      <c r="D906" s="1250" t="s">
        <v>570</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571</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572</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573</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314</v>
      </c>
      <c r="C922" s="883"/>
      <c r="D922" s="1224" t="s">
        <v>574</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575</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50" t="s">
        <v>576</v>
      </c>
      <c r="E930" s="1250"/>
      <c r="F930" s="1250"/>
      <c r="G930" s="882"/>
      <c r="I930" s="391"/>
    </row>
    <row r="931" spans="1:9" ht="12.75" customHeight="1">
      <c r="A931" s="883"/>
      <c r="B931" s="883"/>
      <c r="C931" s="883"/>
      <c r="D931" s="84"/>
      <c r="E931" s="882"/>
      <c r="F931" s="882"/>
      <c r="G931" s="882"/>
      <c r="I931" s="391"/>
    </row>
    <row r="932" spans="1:9" ht="12.75" customHeight="1">
      <c r="A932" s="883"/>
      <c r="B932" s="386" t="s">
        <v>314</v>
      </c>
      <c r="C932" s="883"/>
      <c r="D932" s="1250" t="s">
        <v>577</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578</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579</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580</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581</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5" t="s">
        <v>582</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583</v>
      </c>
      <c r="E969" s="1257"/>
      <c r="F969" s="1257"/>
      <c r="G969" s="3"/>
      <c r="I969" s="391"/>
    </row>
    <row r="970" spans="1:9" ht="12.75" customHeight="1">
      <c r="A970" s="122"/>
      <c r="B970" s="386" t="s">
        <v>314</v>
      </c>
      <c r="C970" s="257"/>
      <c r="D970" s="1250" t="s">
        <v>584</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585</v>
      </c>
      <c r="E972" s="1257"/>
      <c r="F972" s="1257"/>
      <c r="G972"/>
      <c r="I972" s="391"/>
    </row>
    <row r="973" spans="1:9" ht="12.75" customHeight="1">
      <c r="A973" s="122"/>
      <c r="B973" s="386" t="s">
        <v>309</v>
      </c>
      <c r="C973" s="257"/>
      <c r="D973" s="1224" t="s">
        <v>586</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587</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588</v>
      </c>
      <c r="E991" s="1257"/>
      <c r="F991" s="1257"/>
      <c r="G991" s="3"/>
      <c r="I991" s="391"/>
    </row>
    <row r="992" spans="1:9" ht="12.75" customHeight="1">
      <c r="A992" s="119"/>
      <c r="B992" s="119"/>
      <c r="C992" s="119"/>
      <c r="D992" s="1250" t="s">
        <v>589</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590</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591</v>
      </c>
      <c r="F996" s="929"/>
      <c r="G996"/>
      <c r="I996" s="391"/>
    </row>
    <row r="997" spans="1:9" ht="12.75" customHeight="1">
      <c r="A997" s="257"/>
      <c r="B997" s="257"/>
      <c r="C997" s="257"/>
      <c r="D997" s="1229" t="s">
        <v>592</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4" t="s">
        <v>593</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4" t="s">
        <v>594</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50" t="s">
        <v>595</v>
      </c>
      <c r="E1010" s="1250"/>
      <c r="F1010" s="1250"/>
      <c r="G1010"/>
      <c r="I1010" s="391"/>
    </row>
    <row r="1011" spans="1:9" ht="12.75" customHeight="1">
      <c r="A1011" s="257"/>
      <c r="B1011" s="257"/>
      <c r="C1011" s="257"/>
      <c r="D1011" s="3"/>
      <c r="E1011" s="3"/>
      <c r="F1011" s="3"/>
      <c r="G1011"/>
      <c r="I1011" s="391"/>
    </row>
    <row r="1012" spans="1:9" ht="12.75" customHeight="1">
      <c r="A1012" s="122"/>
      <c r="B1012" s="386" t="s">
        <v>314</v>
      </c>
      <c r="C1012" s="257"/>
      <c r="D1012" s="1250" t="s">
        <v>596</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597</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598</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6" t="s">
        <v>599</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46" t="s">
        <v>600</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50" t="s">
        <v>601</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4" t="s">
        <v>602</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603</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604</v>
      </c>
      <c r="E1031" s="1245"/>
      <c r="F1031" s="1245"/>
      <c r="G1031" s="3"/>
      <c r="I1031" s="391"/>
    </row>
    <row r="1032" spans="1:9" ht="12.75" customHeight="1">
      <c r="A1032" s="257"/>
      <c r="B1032" s="257"/>
      <c r="C1032" s="257"/>
      <c r="D1032" s="1246" t="s">
        <v>605</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606</v>
      </c>
      <c r="E1034" s="1245"/>
      <c r="F1034" s="1245"/>
      <c r="G1034" s="3"/>
      <c r="I1034" s="391"/>
    </row>
    <row r="1035" spans="1:9" ht="12.75" customHeight="1">
      <c r="A1035" s="257"/>
      <c r="B1035" s="386" t="s">
        <v>309</v>
      </c>
      <c r="C1035" s="257"/>
      <c r="D1035" s="1246" t="s">
        <v>607</v>
      </c>
      <c r="E1035" s="1246"/>
      <c r="F1035" s="1246"/>
      <c r="G1035" s="3"/>
      <c r="I1035" s="391"/>
    </row>
    <row r="1036" spans="1:9" ht="12.75" customHeight="1">
      <c r="A1036" s="257"/>
      <c r="B1036" s="122"/>
      <c r="C1036" s="257"/>
      <c r="D1036" s="1246" t="s">
        <v>608</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609</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610</v>
      </c>
      <c r="E1040" s="1244"/>
      <c r="F1040" s="1244"/>
      <c r="G1040" s="3"/>
      <c r="I1040" s="391"/>
    </row>
    <row r="1041" spans="1:9" ht="12.75" hidden="1" customHeight="1">
      <c r="A1041" s="84"/>
      <c r="B1041" s="386" t="s">
        <v>548</v>
      </c>
      <c r="D1041" s="1243" t="s">
        <v>607</v>
      </c>
      <c r="E1041" s="1243"/>
      <c r="F1041" s="1243"/>
      <c r="G1041" s="3"/>
      <c r="I1041" s="391"/>
    </row>
    <row r="1042" spans="1:9" ht="12.75" hidden="1" customHeight="1">
      <c r="A1042" s="84"/>
      <c r="B1042" s="305"/>
      <c r="D1042" s="1243" t="s">
        <v>611</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612</v>
      </c>
      <c r="E1044" s="1248"/>
      <c r="F1044" s="1248"/>
      <c r="G1044" s="3"/>
      <c r="I1044" s="391"/>
    </row>
    <row r="1045" spans="1:9" ht="12.75" customHeight="1">
      <c r="A1045" s="224"/>
      <c r="B1045" s="224"/>
      <c r="C1045" s="224"/>
      <c r="D1045" s="1249" t="s">
        <v>613</v>
      </c>
      <c r="E1045" s="1249"/>
      <c r="F1045" s="1249"/>
      <c r="G1045" s="73"/>
      <c r="I1045" s="391"/>
    </row>
    <row r="1046" spans="1:9" ht="12.75" customHeight="1">
      <c r="A1046" s="122"/>
      <c r="B1046" s="386" t="s">
        <v>314</v>
      </c>
      <c r="C1046" s="257"/>
      <c r="D1046" s="1249" t="s">
        <v>614</v>
      </c>
      <c r="E1046" s="1249"/>
      <c r="F1046" s="1249"/>
      <c r="G1046" s="3"/>
      <c r="I1046" s="391"/>
    </row>
    <row r="1047" spans="1:9" ht="12.75" customHeight="1">
      <c r="A1047" s="257"/>
      <c r="B1047" s="257"/>
      <c r="C1047" s="257"/>
      <c r="D1047" s="927" t="s">
        <v>615</v>
      </c>
      <c r="E1047" s="71"/>
      <c r="F1047" s="71"/>
      <c r="G1047" s="3"/>
      <c r="I1047" s="391"/>
    </row>
    <row r="1048" spans="1:9">
      <c r="A1048" s="305"/>
      <c r="B1048" s="305"/>
      <c r="C1048" s="305"/>
      <c r="I1048" s="391"/>
    </row>
    <row r="1049" spans="1:9">
      <c r="A1049" s="1247" t="s">
        <v>616</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617</v>
      </c>
      <c r="I1051" s="391"/>
    </row>
    <row r="1052" spans="1:9">
      <c r="A1052" s="305"/>
      <c r="B1052" s="305"/>
      <c r="C1052" s="305"/>
      <c r="D1052" s="305" t="s">
        <v>618</v>
      </c>
      <c r="I1052" s="391"/>
    </row>
    <row r="1053" spans="1:9">
      <c r="A1053" s="305"/>
      <c r="B1053" s="305"/>
      <c r="C1053" s="305"/>
      <c r="D1053" s="307"/>
      <c r="I1053" s="391"/>
    </row>
    <row r="1054" spans="1:9">
      <c r="A1054" s="305"/>
      <c r="B1054" s="386" t="s">
        <v>314</v>
      </c>
      <c r="C1054" s="305"/>
      <c r="D1054" s="1253" t="s">
        <v>619</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620</v>
      </c>
      <c r="I1059" s="391"/>
    </row>
    <row r="1060" spans="1:9">
      <c r="A1060" s="305"/>
      <c r="B1060" s="305"/>
      <c r="C1060" s="305"/>
      <c r="D1060" s="305" t="s">
        <v>621</v>
      </c>
      <c r="I1060" s="391"/>
    </row>
    <row r="1061" spans="1:9">
      <c r="A1061" s="305"/>
      <c r="B1061" s="305"/>
      <c r="C1061" s="305"/>
      <c r="I1061" s="391"/>
    </row>
    <row r="1062" spans="1:9">
      <c r="A1062" s="305"/>
      <c r="B1062" s="386" t="s">
        <v>309</v>
      </c>
      <c r="C1062" s="305"/>
      <c r="D1062" s="305" t="s">
        <v>568</v>
      </c>
      <c r="I1062" s="391"/>
    </row>
    <row r="1063" spans="1:9">
      <c r="A1063" s="305"/>
      <c r="B1063" s="305"/>
      <c r="C1063" s="305"/>
      <c r="I1063" s="391"/>
    </row>
    <row r="1064" spans="1:9">
      <c r="A1064" s="305"/>
      <c r="B1064" s="386" t="s">
        <v>309</v>
      </c>
      <c r="C1064" s="305"/>
      <c r="D1064" s="1253" t="s">
        <v>622</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623</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624</v>
      </c>
      <c r="I1073" s="391"/>
    </row>
    <row r="1074" spans="1:9">
      <c r="A1074" s="305"/>
      <c r="B1074" s="305"/>
      <c r="C1074" s="305"/>
      <c r="D1074" s="427" t="s">
        <v>625</v>
      </c>
      <c r="I1074" s="391"/>
    </row>
    <row r="1075" spans="1:9">
      <c r="A1075" s="305"/>
      <c r="B1075" s="305"/>
      <c r="C1075" s="305"/>
      <c r="D1075" s="427"/>
      <c r="I1075" s="391"/>
    </row>
    <row r="1076" spans="1:9">
      <c r="A1076" s="305"/>
      <c r="B1076" s="386" t="s">
        <v>314</v>
      </c>
      <c r="C1076" s="305"/>
      <c r="D1076" s="427" t="s">
        <v>626</v>
      </c>
      <c r="I1076" s="391"/>
    </row>
    <row r="1077" spans="1:9">
      <c r="A1077" s="305"/>
      <c r="B1077" s="305"/>
      <c r="C1077" s="305"/>
      <c r="D1077" s="427" t="s">
        <v>627</v>
      </c>
      <c r="I1077" s="391"/>
    </row>
    <row r="1078" spans="1:9">
      <c r="A1078" s="305"/>
      <c r="B1078" s="305"/>
      <c r="C1078" s="305"/>
      <c r="D1078" s="427"/>
      <c r="I1078" s="391"/>
    </row>
    <row r="1079" spans="1:9">
      <c r="A1079" s="305"/>
      <c r="B1079" s="386" t="s">
        <v>314</v>
      </c>
      <c r="C1079" s="305"/>
      <c r="D1079" s="85" t="s">
        <v>628</v>
      </c>
      <c r="I1079" s="391"/>
    </row>
    <row r="1080" spans="1:9">
      <c r="A1080" s="305"/>
      <c r="B1080" s="305"/>
      <c r="C1080" s="305"/>
      <c r="D1080" s="1224" t="s">
        <v>629</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630</v>
      </c>
      <c r="I1084" s="391"/>
    </row>
    <row r="1085" spans="1:9">
      <c r="A1085" s="305"/>
      <c r="B1085" s="305"/>
      <c r="C1085" s="305"/>
      <c r="D1085" s="85"/>
      <c r="I1085" s="391"/>
    </row>
    <row r="1086" spans="1:9">
      <c r="A1086" s="305"/>
      <c r="B1086" s="305"/>
      <c r="C1086" s="305"/>
      <c r="D1086" s="427" t="s">
        <v>631</v>
      </c>
      <c r="I1086" s="391"/>
    </row>
    <row r="1087" spans="1:9">
      <c r="A1087" s="305"/>
      <c r="B1087" s="386" t="s">
        <v>314</v>
      </c>
      <c r="C1087" s="305"/>
      <c r="D1087" s="1252" t="s">
        <v>632</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633</v>
      </c>
      <c r="I1092" s="391"/>
    </row>
    <row r="1093" spans="1:9">
      <c r="A1093" s="305"/>
      <c r="B1093" s="305"/>
      <c r="C1093" s="305"/>
      <c r="I1093" s="391"/>
    </row>
    <row r="1094" spans="1:9">
      <c r="A1094" s="305"/>
      <c r="B1094" s="386" t="s">
        <v>314</v>
      </c>
      <c r="C1094" s="305"/>
      <c r="D1094" s="1238" t="s">
        <v>634</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635</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54" t="s">
        <v>636</v>
      </c>
      <c r="E1101" s="1254"/>
      <c r="F1101" s="1254"/>
      <c r="I1101" s="391"/>
    </row>
    <row r="1102" spans="1:9">
      <c r="A1102" s="305"/>
      <c r="B1102" s="305"/>
      <c r="C1102" s="305"/>
      <c r="D1102" s="1254"/>
      <c r="E1102" s="1254"/>
      <c r="F1102" s="1254"/>
      <c r="I1102" s="391"/>
    </row>
    <row r="1103" spans="1:9">
      <c r="A1103" s="305"/>
      <c r="B1103" s="305"/>
      <c r="C1103" s="305"/>
      <c r="D1103" s="1255" t="s">
        <v>637</v>
      </c>
      <c r="E1103" s="1224"/>
      <c r="F1103" s="1224"/>
      <c r="I1103" s="391"/>
    </row>
    <row r="1104" spans="1:9">
      <c r="A1104" s="305"/>
      <c r="B1104" s="305"/>
      <c r="C1104" s="305"/>
      <c r="D1104" s="427"/>
      <c r="I1104" s="391"/>
    </row>
    <row r="1105" spans="1:9">
      <c r="A1105" s="305"/>
      <c r="B1105" s="386" t="s">
        <v>314</v>
      </c>
      <c r="C1105" s="305"/>
      <c r="D1105" s="1252" t="s">
        <v>638</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314</v>
      </c>
      <c r="C1108" s="305"/>
      <c r="D1108" s="1252" t="s">
        <v>639</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314</v>
      </c>
      <c r="C1115" s="305"/>
      <c r="D1115" s="1252" t="s">
        <v>640</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641</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4" t="s">
        <v>642</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fitToWidth="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S489" sqref="S489:AK490"/>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75"/>
      <c r="AS1" s="922">
        <v>4</v>
      </c>
      <c r="BD1" s="3" t="s">
        <v>643</v>
      </c>
      <c r="BE1" s="3"/>
      <c r="BF1" s="3"/>
    </row>
    <row r="2" spans="1:58" ht="13" customHeight="1">
      <c r="BD2" s="3" t="s">
        <v>644</v>
      </c>
      <c r="BE2" s="3" t="s">
        <v>645</v>
      </c>
      <c r="BF2" s="3" t="s">
        <v>646</v>
      </c>
    </row>
    <row r="3" spans="1:58" ht="13" customHeight="1">
      <c r="BD3" s="3" t="s">
        <v>647</v>
      </c>
      <c r="BE3" t="str">
        <f>AC220</f>
        <v xml:space="preserve">Coastal (Monterey, Napa, Orange, San Benito, San Diego, San Luis Obispo, Santa Barbara, Sonoma, and Ventura Counties) </v>
      </c>
    </row>
    <row r="4" spans="1:58" ht="13" customHeight="1">
      <c r="BD4" s="3" t="s">
        <v>648</v>
      </c>
      <c r="BE4" s="1135"/>
    </row>
    <row r="5" spans="1:58" ht="13" customHeight="1">
      <c r="BD5" s="3" t="s">
        <v>649</v>
      </c>
      <c r="BE5">
        <f>SUMIF($AC$718:$AC$752,"&lt;=20%",$G$718:G$752)</f>
        <v>0</v>
      </c>
      <c r="BF5" s="3" t="s">
        <v>650</v>
      </c>
    </row>
    <row r="6" spans="1:58" ht="13" customHeight="1">
      <c r="BD6" s="3" t="s">
        <v>651</v>
      </c>
      <c r="BE6" s="1138">
        <f>SUMIF($AC$718:$AC$752,"&lt;=25%",$G$718:G$752)-SUM($BE$5:BE5)</f>
        <v>0</v>
      </c>
    </row>
    <row r="7" spans="1:58" ht="13" customHeight="1">
      <c r="BD7" s="1136" t="s">
        <v>652</v>
      </c>
      <c r="BE7" s="1138">
        <f>SUMIF($AC$718:$AC$752,"&lt;=30%",$G$718:G$752)-SUM($BE$5:BE6)</f>
        <v>50</v>
      </c>
    </row>
    <row r="8" spans="1:58" ht="26.25" customHeight="1">
      <c r="A8" s="1372" t="s">
        <v>653</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654</v>
      </c>
      <c r="BE8" s="1138">
        <f>SUMIF($AC$718:$AC$752,"&lt;=35%",$G$718:G$752)-SUM($BE$5:BE7)</f>
        <v>0</v>
      </c>
    </row>
    <row r="9" spans="1:58" ht="13" customHeight="1">
      <c r="A9" s="1334" t="s">
        <v>655</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656</v>
      </c>
      <c r="BE9" s="1138">
        <f>SUMIF($AC$718:$AC$752,"&lt;=40%",$G$718:G$752)-SUM($BE$5:BE8)</f>
        <v>11</v>
      </c>
    </row>
    <row r="10" spans="1:58" ht="13" customHeight="1">
      <c r="A10" s="1334" t="s">
        <v>657</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658</v>
      </c>
      <c r="BE10" s="1138">
        <f>SUMIF($AC$718:$AC$752,"&lt;=45%",$G$718:G$752)-SUM($BE$5:BE9)</f>
        <v>0</v>
      </c>
    </row>
    <row r="11" spans="1:58" ht="13" customHeight="1">
      <c r="A11" s="1334" t="s">
        <v>659</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660</v>
      </c>
      <c r="BE11" s="1138">
        <f>SUMIF($AC$718:$AC$752,"&lt;=50%",$G$718:G$752)-SUM($BE$5:BE10)</f>
        <v>0</v>
      </c>
    </row>
    <row r="12" spans="1:58" ht="13" customHeight="1">
      <c r="A12" s="1373" t="s">
        <v>661</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662</v>
      </c>
      <c r="BE12" s="1138">
        <f>SUMIF($AC$718:$AC$752,"&lt;=55%",$G$718:G$752)-SUM($BE$5:BE11)</f>
        <v>0</v>
      </c>
    </row>
    <row r="13" spans="1:58" ht="13" customHeight="1">
      <c r="A13" s="1222" t="s">
        <v>663</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664</v>
      </c>
      <c r="BE13" s="1138">
        <f>SUMIF($AC$718:$AC$752,"&lt;=60%",$G$718:G$752)-SUM($BE$5:BE12)</f>
        <v>77</v>
      </c>
    </row>
    <row r="14" spans="1:58"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665</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666</v>
      </c>
      <c r="BE15" s="1138">
        <f>SUMIF($AC$718:$AC$752,"&lt;=80%",$G$718:G$752)-SUM($BE$5:BE14)</f>
        <v>59</v>
      </c>
    </row>
    <row r="16" spans="1:58" ht="13" customHeight="1">
      <c r="A16" s="49" t="s">
        <v>667</v>
      </c>
      <c r="C16" s="3"/>
      <c r="D16" s="3"/>
      <c r="E16" s="3"/>
      <c r="F16" s="3"/>
      <c r="G16" s="3"/>
      <c r="H16" s="1379" t="s">
        <v>668</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Olive Park Apartments</v>
      </c>
    </row>
    <row r="17" spans="1:58" ht="13" customHeight="1">
      <c r="BD17" s="1136" t="s">
        <v>669</v>
      </c>
      <c r="BE17" s="1138">
        <f>Application!AA934</f>
        <v>0</v>
      </c>
    </row>
    <row r="18" spans="1:58" ht="13" customHeight="1">
      <c r="A18" s="49" t="s">
        <v>670</v>
      </c>
      <c r="C18" s="3"/>
      <c r="D18" s="3"/>
      <c r="E18" s="3"/>
      <c r="F18" s="3"/>
      <c r="G18" s="3"/>
      <c r="H18" s="1377" t="s">
        <v>671</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672</v>
      </c>
      <c r="BE18" s="1138">
        <f>'CalHFA Addendum'!N11</f>
        <v>0</v>
      </c>
    </row>
    <row r="19" spans="1:58" ht="13" customHeight="1">
      <c r="BD19" s="1136" t="s">
        <v>673</v>
      </c>
      <c r="BE19" s="1138">
        <f>Application!M26</f>
        <v>7680389</v>
      </c>
    </row>
    <row r="20" spans="1:58" ht="13" customHeight="1">
      <c r="A20" s="1374" t="s">
        <v>674</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675</v>
      </c>
      <c r="BE20" s="1138">
        <f>Application!M27</f>
        <v>0</v>
      </c>
    </row>
    <row r="21" spans="1:58" ht="13" customHeight="1">
      <c r="A21" s="1380" t="s">
        <v>676</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677</v>
      </c>
      <c r="BE21" s="1138">
        <f>Application!AM554</f>
        <v>80000000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678</v>
      </c>
      <c r="BE22" s="1138">
        <f>'Sources and Uses Budget'!B105</f>
        <v>162858396</v>
      </c>
      <c r="BF22" s="3" t="s">
        <v>679</v>
      </c>
    </row>
    <row r="23" spans="1:58" ht="13" customHeight="1">
      <c r="A23" s="1254" t="s">
        <v>680</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681</v>
      </c>
      <c r="BE23" s="1138">
        <f>'Sources and Uses Budget'!B4</f>
        <v>7417500</v>
      </c>
    </row>
    <row r="24" spans="1:58" ht="13"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682</v>
      </c>
      <c r="BE24" s="1138">
        <f>Application!AG450</f>
        <v>265102</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683</v>
      </c>
      <c r="BE25" s="1138" t="str">
        <f>Application!D208</f>
        <v>40%/60% Average Income</v>
      </c>
    </row>
    <row r="26" spans="1:58" ht="13" customHeight="1">
      <c r="A26" s="3"/>
      <c r="C26" s="3"/>
      <c r="D26" s="3"/>
      <c r="E26" s="3"/>
      <c r="F26" s="3"/>
      <c r="G26" s="3"/>
      <c r="H26" s="3"/>
      <c r="I26" s="3"/>
      <c r="J26" s="3"/>
      <c r="K26" s="3"/>
      <c r="L26" s="3"/>
      <c r="M26" s="1378">
        <f>'Basis &amp; Credits'!AB56</f>
        <v>7680389</v>
      </c>
      <c r="N26" s="1378"/>
      <c r="O26" s="1378"/>
      <c r="P26" s="1378"/>
      <c r="Q26" s="1378"/>
      <c r="R26" s="3" t="s">
        <v>684</v>
      </c>
      <c r="S26" s="3"/>
      <c r="T26" s="3"/>
      <c r="U26" s="3"/>
      <c r="V26" s="3"/>
      <c r="W26" s="3"/>
      <c r="X26" s="3"/>
      <c r="Y26" s="3"/>
      <c r="Z26" s="3"/>
      <c r="AF26" s="3"/>
      <c r="AG26" s="3"/>
      <c r="AH26" s="3"/>
      <c r="AI26" s="3"/>
      <c r="AJ26" s="3"/>
      <c r="AK26" s="3"/>
      <c r="BD26" s="1137" t="s">
        <v>685</v>
      </c>
      <c r="BE26" s="1138" t="b">
        <f>Application!M356="Yes"</f>
        <v>0</v>
      </c>
    </row>
    <row r="27" spans="1:58" ht="13" customHeight="1">
      <c r="A27" s="3"/>
      <c r="C27" s="3"/>
      <c r="D27" s="3"/>
      <c r="E27" s="3"/>
      <c r="F27" s="3"/>
      <c r="G27" s="3"/>
      <c r="H27" s="3"/>
      <c r="I27" s="3"/>
      <c r="J27" s="3"/>
      <c r="K27" s="3"/>
      <c r="L27" s="3"/>
      <c r="M27" s="1315">
        <f>'Basis &amp; Credits'!AB78</f>
        <v>0</v>
      </c>
      <c r="N27" s="1315"/>
      <c r="O27" s="1315"/>
      <c r="P27" s="1315"/>
      <c r="Q27" s="1315"/>
      <c r="R27" s="3" t="s">
        <v>686</v>
      </c>
      <c r="S27" s="3"/>
      <c r="T27" s="3"/>
      <c r="U27" s="3"/>
      <c r="V27" s="3"/>
      <c r="W27" s="3"/>
      <c r="X27" s="3"/>
      <c r="Y27" s="3"/>
      <c r="Z27" s="3"/>
      <c r="AF27" s="3"/>
      <c r="AG27" s="3"/>
      <c r="AH27" s="3"/>
      <c r="AI27" s="3"/>
      <c r="AJ27" s="3"/>
      <c r="AK27" s="3"/>
      <c r="BD27" s="1136" t="s">
        <v>687</v>
      </c>
      <c r="BE27" s="1138"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688</v>
      </c>
      <c r="BE28" s="1138" t="b">
        <f>Application!M357="Yes"</f>
        <v>0</v>
      </c>
    </row>
    <row r="29" spans="1:58" ht="13" customHeight="1">
      <c r="A29" s="1375" t="s">
        <v>689</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690</v>
      </c>
      <c r="BE29" s="1138" t="b">
        <f>Application!M358="Yes"</f>
        <v>0</v>
      </c>
    </row>
    <row r="30" spans="1:58" ht="13"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691</v>
      </c>
      <c r="BE30" s="1138" t="b">
        <f>Application!AJ355="Yes"</f>
        <v>0</v>
      </c>
    </row>
    <row r="31" spans="1:58" ht="13"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692</v>
      </c>
      <c r="BE31" s="1138"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693</v>
      </c>
      <c r="BE32" s="1138">
        <f>IF(ISNUMBER(Application!W465),W465,0)</f>
        <v>0</v>
      </c>
    </row>
    <row r="33" spans="1:57" ht="13" customHeight="1">
      <c r="A33" s="419" t="s">
        <v>694</v>
      </c>
      <c r="C33" s="419"/>
      <c r="D33" s="419"/>
      <c r="E33" s="419"/>
      <c r="F33" s="419"/>
      <c r="G33" s="419"/>
      <c r="H33" s="419"/>
      <c r="I33" s="419"/>
      <c r="J33" s="419"/>
      <c r="K33" s="419"/>
      <c r="L33" s="419"/>
      <c r="M33" s="419"/>
      <c r="N33" s="419"/>
      <c r="O33" s="1295" t="s">
        <v>695</v>
      </c>
      <c r="P33" s="1295"/>
      <c r="Q33" s="1376" t="s">
        <v>696</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697</v>
      </c>
      <c r="BE33" s="1138" t="str">
        <f>Application!D220</f>
        <v>San Diego County</v>
      </c>
    </row>
    <row r="34" spans="1:57" ht="13" customHeight="1">
      <c r="A34" s="1375" t="s">
        <v>698</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699</v>
      </c>
      <c r="BE34" s="1138">
        <f>Application!I185</f>
        <v>0</v>
      </c>
    </row>
    <row r="35" spans="1:57" ht="13"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700</v>
      </c>
      <c r="BE35" s="1138" t="str">
        <f>IF(Application!E187="","",Application!E187)</f>
        <v>Western terminus of Olive Drive, approx. 1,000' west of College Boulevard</v>
      </c>
    </row>
    <row r="36" spans="1:57" ht="13"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701</v>
      </c>
      <c r="BE36" s="1138" t="str">
        <f>Application!I189</f>
        <v>Oceanside</v>
      </c>
    </row>
    <row r="37" spans="1:57" ht="13"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702</v>
      </c>
      <c r="BE37" s="1138" t="str">
        <f>Application!T189</f>
        <v>San Diego</v>
      </c>
    </row>
    <row r="38" spans="1:57" ht="13" customHeight="1">
      <c r="A38" s="3"/>
      <c r="AZ38" s="17"/>
      <c r="BD38" s="1137" t="s">
        <v>703</v>
      </c>
      <c r="BE38" s="1138">
        <f>Application!I190</f>
        <v>92056</v>
      </c>
    </row>
    <row r="39" spans="1:57" ht="13" customHeight="1">
      <c r="A39" s="1224" t="s">
        <v>704</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705</v>
      </c>
      <c r="BE39" s="1138">
        <f>Application!AG437</f>
        <v>199</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197</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706</v>
      </c>
      <c r="BE42" s="1140">
        <f>Application!AC753</f>
        <v>0.57258883248730963</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707</v>
      </c>
      <c r="BE43" s="1140">
        <f>Application!AH753</f>
        <v>0.56428491275763293</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708</v>
      </c>
      <c r="BE44" s="1138">
        <f>Application!AC454</f>
        <v>818383.89949748747</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709</v>
      </c>
      <c r="BE45" s="1138">
        <f>Application!AE424</f>
        <v>2</v>
      </c>
    </row>
    <row r="46" spans="1:57" ht="13" customHeight="1">
      <c r="A46" s="1254" t="s">
        <v>710</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711</v>
      </c>
      <c r="BE46" s="1138" t="b">
        <f>Application!T195="Yes"</f>
        <v>1</v>
      </c>
    </row>
    <row r="47" spans="1:57" ht="13"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712</v>
      </c>
      <c r="BE47" s="1138" t="b">
        <f>Application!T196="Yes"</f>
        <v>0</v>
      </c>
    </row>
    <row r="48" spans="1:57" ht="13"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713</v>
      </c>
      <c r="BE48" s="1138" t="str">
        <f>Application!M243</f>
        <v>CE Olive Park Apartments I, LLC</v>
      </c>
    </row>
    <row r="49" spans="1:57" ht="13"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714</v>
      </c>
      <c r="BE49" s="1138" t="str">
        <f>Application!M246</f>
        <v>Brian Mikail</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715</v>
      </c>
      <c r="BE50" s="1138" t="str">
        <f>Application!AA249</f>
        <v>Capstone Equities, LLC</v>
      </c>
    </row>
    <row r="51" spans="1:57" ht="13" customHeight="1">
      <c r="A51" s="1224" t="s">
        <v>716</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717</v>
      </c>
      <c r="BE51" s="1138" t="str">
        <f>Application!M251</f>
        <v xml:space="preserve">Las Palmas Foundation </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718</v>
      </c>
      <c r="BE52" s="1138" t="str">
        <f>Application!M254</f>
        <v>Noami Pines</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719</v>
      </c>
      <c r="BE53" s="1138">
        <f>Application!AA257</f>
        <v>0</v>
      </c>
    </row>
    <row r="54" spans="1:57" ht="13" customHeight="1">
      <c r="A54" s="1224" t="s">
        <v>720</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721</v>
      </c>
      <c r="BE54" s="1138">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722</v>
      </c>
      <c r="BE55" s="1138">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723</v>
      </c>
      <c r="BE56" s="1138">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724</v>
      </c>
      <c r="BE57" s="1138" t="str">
        <f>Application!H287</f>
        <v>Capstone Equities, LLC</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725</v>
      </c>
      <c r="BE58" s="1138" t="str">
        <f>Application!H288</f>
        <v>5455 Wilshire Boulevard #1012</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726</v>
      </c>
      <c r="BE59" s="1138" t="str">
        <f>Application!H289</f>
        <v>Los Angeles, CA 90036</v>
      </c>
    </row>
    <row r="60" spans="1:57" ht="13" customHeight="1">
      <c r="A60" s="1224" t="s">
        <v>727</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728</v>
      </c>
      <c r="BE60" s="1138" t="str">
        <f>Application!H290</f>
        <v>Brian Mikail</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729</v>
      </c>
      <c r="BE61" s="1138" t="str">
        <f>Application!H293</f>
        <v>bmikail@capstoneequities.com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730</v>
      </c>
      <c r="BE62" s="1141">
        <f>'Basis &amp; Credits'!AB50</f>
        <v>0.90000004</v>
      </c>
    </row>
    <row r="63" spans="1:57" ht="13" customHeight="1">
      <c r="A63" s="419" t="s">
        <v>731</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732</v>
      </c>
      <c r="BE63" s="1141">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733</v>
      </c>
      <c r="BE64" s="1138">
        <f>Application!X180</f>
        <v>0</v>
      </c>
    </row>
    <row r="65" spans="1:57" ht="13" customHeight="1">
      <c r="A65" s="1224" t="s">
        <v>734</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735</v>
      </c>
      <c r="BE65" s="1138" t="str">
        <f>Z205</f>
        <v>(select)</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736</v>
      </c>
      <c r="BE66" s="1138"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737</v>
      </c>
      <c r="BE67" s="1138"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738</v>
      </c>
      <c r="BE68" s="1138">
        <f>'Sources and Uses Budget'!D105</f>
        <v>0</v>
      </c>
    </row>
    <row r="69" spans="1:57" ht="13" customHeight="1">
      <c r="A69" s="1224" t="s">
        <v>739</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740</v>
      </c>
      <c r="BE69" s="1138" t="str">
        <f>Application!W700</f>
        <v xml:space="preserve">California Municipal Finance Authority </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741</v>
      </c>
      <c r="BE70" s="1138">
        <f ca="1">'Points System'!AF821</f>
        <v>120</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742</v>
      </c>
      <c r="BE71" s="1138">
        <f>'Points System'!AF804</f>
        <v>0</v>
      </c>
    </row>
    <row r="72" spans="1:57" ht="13" customHeight="1">
      <c r="A72" s="1375" t="s">
        <v>743</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744</v>
      </c>
      <c r="BE72" s="1138">
        <f>'Points System'!AF805</f>
        <v>10</v>
      </c>
    </row>
    <row r="73" spans="1:57" ht="13"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745</v>
      </c>
      <c r="BE73" s="1138">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746</v>
      </c>
      <c r="BE74" s="1138">
        <f>'Points System'!AF807</f>
        <v>10</v>
      </c>
    </row>
    <row r="75" spans="1:57" ht="13" customHeight="1">
      <c r="A75" s="1724" t="s">
        <v>747</v>
      </c>
      <c r="B75" s="1724"/>
      <c r="C75" s="1724"/>
      <c r="D75" s="1724"/>
      <c r="E75" s="1724"/>
      <c r="F75" s="1724"/>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4"/>
      <c r="AH75" s="1724"/>
      <c r="AI75" s="1724"/>
      <c r="AJ75" s="1724"/>
      <c r="AK75" s="1724"/>
      <c r="AL75" s="1724"/>
      <c r="AM75" s="1724"/>
      <c r="AN75" s="1724"/>
      <c r="AO75" s="1724"/>
      <c r="AP75" s="1724"/>
      <c r="AQ75" s="1724"/>
      <c r="AR75" s="1724"/>
      <c r="AS75" s="1724"/>
      <c r="AT75" s="1724"/>
      <c r="AU75" s="17"/>
      <c r="AV75" s="17"/>
      <c r="AW75" s="17"/>
      <c r="AX75" s="17"/>
      <c r="AY75" s="17"/>
      <c r="AZ75" s="17"/>
      <c r="BD75" s="1136" t="s">
        <v>748</v>
      </c>
      <c r="BE75" s="1138">
        <f>'Points System'!AF808</f>
        <v>10</v>
      </c>
    </row>
    <row r="76" spans="1:57" ht="13" customHeight="1">
      <c r="A76" s="1724"/>
      <c r="B76" s="1724"/>
      <c r="C76" s="1724"/>
      <c r="D76" s="1724"/>
      <c r="E76" s="1724"/>
      <c r="F76" s="1724"/>
      <c r="G76" s="1724"/>
      <c r="H76" s="1724"/>
      <c r="I76" s="1724"/>
      <c r="J76" s="1724"/>
      <c r="K76" s="1724"/>
      <c r="L76" s="1724"/>
      <c r="M76" s="1724"/>
      <c r="N76" s="1724"/>
      <c r="O76" s="1724"/>
      <c r="P76" s="1724"/>
      <c r="Q76" s="1724"/>
      <c r="R76" s="1724"/>
      <c r="S76" s="1724"/>
      <c r="T76" s="1724"/>
      <c r="U76" s="1724"/>
      <c r="V76" s="1724"/>
      <c r="W76" s="1724"/>
      <c r="X76" s="1724"/>
      <c r="Y76" s="1724"/>
      <c r="Z76" s="1724"/>
      <c r="AA76" s="1724"/>
      <c r="AB76" s="1724"/>
      <c r="AC76" s="1724"/>
      <c r="AD76" s="1724"/>
      <c r="AE76" s="1724"/>
      <c r="AF76" s="1724"/>
      <c r="AG76" s="1724"/>
      <c r="AH76" s="1724"/>
      <c r="AI76" s="1724"/>
      <c r="AJ76" s="1724"/>
      <c r="AK76" s="1724"/>
      <c r="AL76" s="1724"/>
      <c r="AM76" s="1724"/>
      <c r="AN76" s="1724"/>
      <c r="AO76" s="1724"/>
      <c r="AP76" s="1724"/>
      <c r="AQ76" s="1724"/>
      <c r="AR76" s="1724"/>
      <c r="AS76" s="1724"/>
      <c r="AT76" s="1724"/>
      <c r="AU76" s="17"/>
      <c r="AV76" s="17"/>
      <c r="AW76" s="17"/>
      <c r="AX76" s="17"/>
      <c r="AY76" s="17"/>
      <c r="AZ76" s="15"/>
      <c r="BD76" s="1137" t="s">
        <v>749</v>
      </c>
      <c r="BE76" s="1138">
        <f>'Points System'!AF811</f>
        <v>10</v>
      </c>
    </row>
    <row r="77" spans="1:57" ht="13" customHeight="1">
      <c r="A77" s="1724"/>
      <c r="B77" s="1724"/>
      <c r="C77" s="1724"/>
      <c r="D77" s="1724"/>
      <c r="E77" s="1724"/>
      <c r="F77" s="1724"/>
      <c r="G77" s="1724"/>
      <c r="H77" s="1724"/>
      <c r="I77" s="1724"/>
      <c r="J77" s="1724"/>
      <c r="K77" s="1724"/>
      <c r="L77" s="1724"/>
      <c r="M77" s="1724"/>
      <c r="N77" s="1724"/>
      <c r="O77" s="1724"/>
      <c r="P77" s="1724"/>
      <c r="Q77" s="1724"/>
      <c r="R77" s="1724"/>
      <c r="S77" s="1724"/>
      <c r="T77" s="1724"/>
      <c r="U77" s="1724"/>
      <c r="V77" s="1724"/>
      <c r="W77" s="1724"/>
      <c r="X77" s="1724"/>
      <c r="Y77" s="1724"/>
      <c r="Z77" s="1724"/>
      <c r="AA77" s="1724"/>
      <c r="AB77" s="1724"/>
      <c r="AC77" s="1724"/>
      <c r="AD77" s="1724"/>
      <c r="AE77" s="1724"/>
      <c r="AF77" s="1724"/>
      <c r="AG77" s="1724"/>
      <c r="AH77" s="1724"/>
      <c r="AI77" s="1724"/>
      <c r="AJ77" s="1724"/>
      <c r="AK77" s="1724"/>
      <c r="AL77" s="1724"/>
      <c r="AM77" s="1724"/>
      <c r="AN77" s="1724"/>
      <c r="AO77" s="1724"/>
      <c r="AP77" s="1724"/>
      <c r="AQ77" s="1724"/>
      <c r="AR77" s="1724"/>
      <c r="AS77" s="1724"/>
      <c r="AT77" s="1724"/>
      <c r="AU77" s="17"/>
      <c r="AV77" s="17"/>
      <c r="AW77" s="17"/>
      <c r="AX77" s="17"/>
      <c r="AY77" s="17"/>
      <c r="AZ77" s="15"/>
      <c r="BD77" s="1136" t="s">
        <v>750</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751</v>
      </c>
      <c r="BE78" s="1138">
        <f>'Points System'!AF814</f>
        <v>10</v>
      </c>
    </row>
    <row r="79" spans="1:57" ht="13" customHeight="1">
      <c r="A79" s="1224" t="s">
        <v>752</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753</v>
      </c>
      <c r="BE79" s="1138">
        <f>'Points System'!AF815</f>
        <v>10</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754</v>
      </c>
      <c r="BE80" s="1138">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755</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756</v>
      </c>
      <c r="BE82" s="1138">
        <f>'Points System'!AF819</f>
        <v>10</v>
      </c>
    </row>
    <row r="83" spans="1:57" ht="13" customHeight="1">
      <c r="A83" s="1224" t="s">
        <v>757</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758</v>
      </c>
      <c r="BE83" s="1142">
        <f>'Tie Breaker'!H5</f>
        <v>1.124387146186874</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759</v>
      </c>
      <c r="BE84" s="1138" t="str">
        <f>Application!O153</f>
        <v>City of Oceanside</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760</v>
      </c>
      <c r="BE85" s="1138" t="str">
        <f>Application!O154</f>
        <v>Sergio Madera</v>
      </c>
    </row>
    <row r="86" spans="1:57" ht="13" customHeight="1">
      <c r="A86" s="1224" t="s">
        <v>761</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762</v>
      </c>
      <c r="BE86" s="1138" t="str">
        <f>Application!O155</f>
        <v>City Manager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763</v>
      </c>
      <c r="BE87" s="1138" t="str">
        <f>Application!O156</f>
        <v>300 N Coast Hwy Nevada Street Annex</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764</v>
      </c>
      <c r="BE88" s="1138" t="str">
        <f>Application!O157</f>
        <v>Oceanside</v>
      </c>
    </row>
    <row r="89" spans="1:57" ht="13" customHeight="1">
      <c r="A89" s="1723" t="s">
        <v>765</v>
      </c>
      <c r="B89" s="1723"/>
      <c r="C89" s="1723"/>
      <c r="D89" s="1723"/>
      <c r="E89" s="1723"/>
      <c r="F89" s="1723"/>
      <c r="G89" s="1723"/>
      <c r="H89" s="1723"/>
      <c r="I89" s="1723"/>
      <c r="J89" s="1723"/>
      <c r="K89" s="1723"/>
      <c r="L89" s="1723"/>
      <c r="M89" s="1723"/>
      <c r="N89" s="1723"/>
      <c r="O89" s="1723"/>
      <c r="P89" s="1723"/>
      <c r="Q89" s="1723"/>
      <c r="R89" s="1723"/>
      <c r="S89" s="1723"/>
      <c r="T89" s="1723"/>
      <c r="U89" s="1723"/>
      <c r="V89" s="1723"/>
      <c r="W89" s="1723"/>
      <c r="X89" s="1723"/>
      <c r="Y89" s="1723"/>
      <c r="Z89" s="1723"/>
      <c r="AA89" s="1723"/>
      <c r="AB89" s="1723"/>
      <c r="AC89" s="1723"/>
      <c r="AD89" s="1723"/>
      <c r="AE89" s="1723"/>
      <c r="AF89" s="1723"/>
      <c r="AG89" s="1723"/>
      <c r="AH89" s="1723"/>
      <c r="AI89" s="1723"/>
      <c r="AJ89" s="1723"/>
      <c r="AK89" s="1723"/>
      <c r="AL89" s="1723"/>
      <c r="AM89" s="1723"/>
      <c r="AN89" s="1723"/>
      <c r="AO89" s="1723"/>
      <c r="AP89" s="1723"/>
      <c r="AQ89" s="1723"/>
      <c r="AR89" s="1723"/>
      <c r="AS89" s="1723"/>
      <c r="AT89" s="1723"/>
      <c r="AU89" s="15"/>
      <c r="AV89" s="15"/>
      <c r="AW89" s="15"/>
      <c r="AX89" s="15"/>
      <c r="AY89" s="15"/>
      <c r="AZ89" s="17"/>
      <c r="BD89" s="1136" t="s">
        <v>766</v>
      </c>
      <c r="BE89" s="1138">
        <f>Application!O158</f>
        <v>92054</v>
      </c>
    </row>
    <row r="90" spans="1:57" ht="13" customHeight="1">
      <c r="A90" s="1723"/>
      <c r="B90" s="1723"/>
      <c r="C90" s="1723"/>
      <c r="D90" s="1723"/>
      <c r="E90" s="1723"/>
      <c r="F90" s="1723"/>
      <c r="G90" s="1723"/>
      <c r="H90" s="1723"/>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3"/>
      <c r="AH90" s="1723"/>
      <c r="AI90" s="1723"/>
      <c r="AJ90" s="1723"/>
      <c r="AK90" s="1723"/>
      <c r="AL90" s="1723"/>
      <c r="AM90" s="1723"/>
      <c r="AN90" s="1723"/>
      <c r="AO90" s="1723"/>
      <c r="AP90" s="1723"/>
      <c r="AQ90" s="1723"/>
      <c r="AR90" s="1723"/>
      <c r="AS90" s="1723"/>
      <c r="AT90" s="1723"/>
      <c r="AU90" s="15"/>
      <c r="AV90" s="15"/>
      <c r="AW90" s="15"/>
      <c r="AX90" s="15"/>
      <c r="AY90" s="15"/>
      <c r="AZ90" s="17"/>
      <c r="BD90" s="1137" t="s">
        <v>767</v>
      </c>
      <c r="BE90" s="1138" t="str">
        <f>Application!H16</f>
        <v>Capstone Equities,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768</v>
      </c>
      <c r="BE91" s="1138" t="str">
        <f>Application!M233</f>
        <v>5455 Wilshire Boulevard, Ste. 1020</v>
      </c>
    </row>
    <row r="92" spans="1:57" ht="13" customHeight="1">
      <c r="A92" s="1724" t="s">
        <v>769</v>
      </c>
      <c r="B92" s="1724"/>
      <c r="C92" s="1724"/>
      <c r="D92" s="1724"/>
      <c r="E92" s="1724"/>
      <c r="F92" s="1724"/>
      <c r="G92" s="1724"/>
      <c r="H92" s="1724"/>
      <c r="I92" s="1724"/>
      <c r="J92" s="1724"/>
      <c r="K92" s="1724"/>
      <c r="L92" s="1724"/>
      <c r="M92" s="1724"/>
      <c r="N92" s="1724"/>
      <c r="O92" s="1724"/>
      <c r="P92" s="1724"/>
      <c r="Q92" s="1724"/>
      <c r="R92" s="1724"/>
      <c r="S92" s="1724"/>
      <c r="T92" s="1724"/>
      <c r="U92" s="1724"/>
      <c r="V92" s="1724"/>
      <c r="W92" s="1724"/>
      <c r="X92" s="1724"/>
      <c r="Y92" s="1724"/>
      <c r="Z92" s="1724"/>
      <c r="AA92" s="1724"/>
      <c r="AB92" s="1724"/>
      <c r="AC92" s="1724"/>
      <c r="AD92" s="1724"/>
      <c r="AE92" s="1724"/>
      <c r="AF92" s="1724"/>
      <c r="AG92" s="1724"/>
      <c r="AH92" s="1724"/>
      <c r="AI92" s="1724"/>
      <c r="AJ92" s="1724"/>
      <c r="AK92" s="1724"/>
      <c r="AL92" s="1724"/>
      <c r="AM92" s="1724"/>
      <c r="AN92" s="1724"/>
      <c r="AO92" s="1724"/>
      <c r="AP92" s="1724"/>
      <c r="AQ92" s="1724"/>
      <c r="AR92" s="1724"/>
      <c r="AS92" s="1724"/>
      <c r="AT92" s="1724"/>
      <c r="AU92" s="17"/>
      <c r="AV92" s="17"/>
      <c r="AW92" s="17"/>
      <c r="AX92" s="17"/>
      <c r="AY92" s="17"/>
      <c r="AZ92" s="17"/>
      <c r="BD92" s="1137" t="s">
        <v>770</v>
      </c>
      <c r="BE92" s="1138" t="str">
        <f>Application!M234</f>
        <v>Los Angeles</v>
      </c>
    </row>
    <row r="93" spans="1:57" ht="13" customHeight="1">
      <c r="A93" s="1724"/>
      <c r="B93" s="1724"/>
      <c r="C93" s="1724"/>
      <c r="D93" s="1724"/>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c r="AA93" s="1724"/>
      <c r="AB93" s="1724"/>
      <c r="AC93" s="1724"/>
      <c r="AD93" s="1724"/>
      <c r="AE93" s="1724"/>
      <c r="AF93" s="1724"/>
      <c r="AG93" s="1724"/>
      <c r="AH93" s="1724"/>
      <c r="AI93" s="1724"/>
      <c r="AJ93" s="1724"/>
      <c r="AK93" s="1724"/>
      <c r="AL93" s="1724"/>
      <c r="AM93" s="1724"/>
      <c r="AN93" s="1724"/>
      <c r="AO93" s="1724"/>
      <c r="AP93" s="1724"/>
      <c r="AQ93" s="1724"/>
      <c r="AR93" s="1724"/>
      <c r="AS93" s="1724"/>
      <c r="AT93" s="1724"/>
      <c r="AU93" s="17"/>
      <c r="AV93" s="17"/>
      <c r="AW93" s="17"/>
      <c r="AX93" s="17"/>
      <c r="AY93" s="17"/>
      <c r="AZ93" s="17"/>
      <c r="BD93" s="1136" t="s">
        <v>771</v>
      </c>
      <c r="BE93" s="1138" t="str">
        <f>Application!W234</f>
        <v>CA</v>
      </c>
    </row>
    <row r="94" spans="1:57" ht="13" customHeight="1">
      <c r="A94" s="1724"/>
      <c r="B94" s="1724"/>
      <c r="C94" s="1724"/>
      <c r="D94" s="1724"/>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c r="AA94" s="1724"/>
      <c r="AB94" s="1724"/>
      <c r="AC94" s="1724"/>
      <c r="AD94" s="1724"/>
      <c r="AE94" s="1724"/>
      <c r="AF94" s="1724"/>
      <c r="AG94" s="1724"/>
      <c r="AH94" s="1724"/>
      <c r="AI94" s="1724"/>
      <c r="AJ94" s="1724"/>
      <c r="AK94" s="1724"/>
      <c r="AL94" s="1724"/>
      <c r="AM94" s="1724"/>
      <c r="AN94" s="1724"/>
      <c r="AO94" s="1724"/>
      <c r="AP94" s="1724"/>
      <c r="AQ94" s="1724"/>
      <c r="AR94" s="1724"/>
      <c r="AS94" s="1724"/>
      <c r="AT94" s="1724"/>
      <c r="AU94" s="17"/>
      <c r="AV94" s="17"/>
      <c r="AW94" s="17"/>
      <c r="AX94" s="17"/>
      <c r="AY94" s="17"/>
      <c r="AZ94" s="17"/>
      <c r="BD94" s="1137" t="s">
        <v>772</v>
      </c>
      <c r="BE94" s="1138">
        <f>Application!AC234</f>
        <v>90036</v>
      </c>
    </row>
    <row r="95" spans="1:57" ht="13" customHeight="1">
      <c r="A95" s="1724"/>
      <c r="B95" s="1724"/>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c r="Z95" s="1724"/>
      <c r="AA95" s="1724"/>
      <c r="AB95" s="1724"/>
      <c r="AC95" s="1724"/>
      <c r="AD95" s="1724"/>
      <c r="AE95" s="1724"/>
      <c r="AF95" s="1724"/>
      <c r="AG95" s="1724"/>
      <c r="AH95" s="1724"/>
      <c r="AI95" s="1724"/>
      <c r="AJ95" s="1724"/>
      <c r="AK95" s="1724"/>
      <c r="AL95" s="1724"/>
      <c r="AM95" s="1724"/>
      <c r="AN95" s="1724"/>
      <c r="AO95" s="1724"/>
      <c r="AP95" s="1724"/>
      <c r="AQ95" s="1724"/>
      <c r="AR95" s="1724"/>
      <c r="AS95" s="1724"/>
      <c r="AT95" s="1724"/>
      <c r="AU95" s="17"/>
      <c r="AV95" s="17"/>
      <c r="AW95" s="17"/>
      <c r="AX95" s="17"/>
      <c r="AY95" s="17"/>
      <c r="AZ95" s="17"/>
      <c r="BD95" s="1136" t="s">
        <v>773</v>
      </c>
      <c r="BE95" s="1138" t="str">
        <f>Application!M235</f>
        <v>Brian Mikail</v>
      </c>
    </row>
    <row r="96" spans="1:57" ht="13" customHeight="1">
      <c r="A96" s="1724"/>
      <c r="B96" s="1724"/>
      <c r="C96" s="1724"/>
      <c r="D96" s="1724"/>
      <c r="E96" s="1724"/>
      <c r="F96" s="1724"/>
      <c r="G96" s="1724"/>
      <c r="H96" s="1724"/>
      <c r="I96" s="1724"/>
      <c r="J96" s="1724"/>
      <c r="K96" s="1724"/>
      <c r="L96" s="1724"/>
      <c r="M96" s="1724"/>
      <c r="N96" s="1724"/>
      <c r="O96" s="1724"/>
      <c r="P96" s="1724"/>
      <c r="Q96" s="1724"/>
      <c r="R96" s="1724"/>
      <c r="S96" s="1724"/>
      <c r="T96" s="1724"/>
      <c r="U96" s="1724"/>
      <c r="V96" s="1724"/>
      <c r="W96" s="1724"/>
      <c r="X96" s="1724"/>
      <c r="Y96" s="1724"/>
      <c r="Z96" s="1724"/>
      <c r="AA96" s="1724"/>
      <c r="AB96" s="1724"/>
      <c r="AC96" s="1724"/>
      <c r="AD96" s="1724"/>
      <c r="AE96" s="1724"/>
      <c r="AF96" s="1724"/>
      <c r="AG96" s="1724"/>
      <c r="AH96" s="1724"/>
      <c r="AI96" s="1724"/>
      <c r="AJ96" s="1724"/>
      <c r="AK96" s="1724"/>
      <c r="AL96" s="1724"/>
      <c r="AM96" s="1724"/>
      <c r="AN96" s="1724"/>
      <c r="AO96" s="1724"/>
      <c r="AP96" s="1724"/>
      <c r="AQ96" s="1724"/>
      <c r="AR96" s="1724"/>
      <c r="AS96" s="1724"/>
      <c r="AT96" s="1724"/>
      <c r="AU96" s="17"/>
      <c r="AV96" s="17"/>
      <c r="AW96" s="17"/>
      <c r="AX96" s="17"/>
      <c r="AY96" s="17"/>
      <c r="AZ96" s="17"/>
      <c r="BD96" s="1137" t="s">
        <v>774</v>
      </c>
      <c r="BE96" s="1138" t="str">
        <f>Application!M237</f>
        <v>bmikail@capstoneequities.com</v>
      </c>
    </row>
    <row r="97" spans="1:57" ht="13" customHeight="1">
      <c r="A97" s="1724"/>
      <c r="B97" s="1724"/>
      <c r="C97" s="1724"/>
      <c r="D97" s="1724"/>
      <c r="E97" s="1724"/>
      <c r="F97" s="1724"/>
      <c r="G97" s="1724"/>
      <c r="H97" s="1724"/>
      <c r="I97" s="1724"/>
      <c r="J97" s="1724"/>
      <c r="K97" s="1724"/>
      <c r="L97" s="1724"/>
      <c r="M97" s="1724"/>
      <c r="N97" s="1724"/>
      <c r="O97" s="1724"/>
      <c r="P97" s="1724"/>
      <c r="Q97" s="1724"/>
      <c r="R97" s="1724"/>
      <c r="S97" s="1724"/>
      <c r="T97" s="1724"/>
      <c r="U97" s="1724"/>
      <c r="V97" s="1724"/>
      <c r="W97" s="1724"/>
      <c r="X97" s="1724"/>
      <c r="Y97" s="1724"/>
      <c r="Z97" s="1724"/>
      <c r="AA97" s="1724"/>
      <c r="AB97" s="1724"/>
      <c r="AC97" s="1724"/>
      <c r="AD97" s="1724"/>
      <c r="AE97" s="1724"/>
      <c r="AF97" s="1724"/>
      <c r="AG97" s="1724"/>
      <c r="AH97" s="1724"/>
      <c r="AI97" s="1724"/>
      <c r="AJ97" s="1724"/>
      <c r="AK97" s="1724"/>
      <c r="AL97" s="1724"/>
      <c r="AM97" s="1724"/>
      <c r="AN97" s="1724"/>
      <c r="AO97" s="1724"/>
      <c r="AP97" s="1724"/>
      <c r="AQ97" s="1724"/>
      <c r="AR97" s="1724"/>
      <c r="AS97" s="1724"/>
      <c r="AT97" s="1724"/>
      <c r="AU97" s="17"/>
      <c r="AV97" s="17"/>
      <c r="AW97" s="17"/>
      <c r="AX97" s="17"/>
      <c r="AY97" s="17"/>
      <c r="AZ97" s="17"/>
      <c r="BD97" s="1136" t="s">
        <v>775</v>
      </c>
      <c r="BE97" s="1138" t="str">
        <f>Application!M248</f>
        <v>bmikail@capstoneequities.com</v>
      </c>
    </row>
    <row r="98" spans="1:57" ht="13" customHeight="1">
      <c r="A98" s="1724"/>
      <c r="B98" s="1724"/>
      <c r="C98" s="1724"/>
      <c r="D98" s="1724"/>
      <c r="E98" s="1724"/>
      <c r="F98" s="1724"/>
      <c r="G98" s="1724"/>
      <c r="H98" s="1724"/>
      <c r="I98" s="1724"/>
      <c r="J98" s="1724"/>
      <c r="K98" s="1724"/>
      <c r="L98" s="1724"/>
      <c r="M98" s="1724"/>
      <c r="N98" s="1724"/>
      <c r="O98" s="1724"/>
      <c r="P98" s="1724"/>
      <c r="Q98" s="1724"/>
      <c r="R98" s="1724"/>
      <c r="S98" s="1724"/>
      <c r="T98" s="1724"/>
      <c r="U98" s="1724"/>
      <c r="V98" s="1724"/>
      <c r="W98" s="1724"/>
      <c r="X98" s="1724"/>
      <c r="Y98" s="1724"/>
      <c r="Z98" s="1724"/>
      <c r="AA98" s="1724"/>
      <c r="AB98" s="1724"/>
      <c r="AC98" s="1724"/>
      <c r="AD98" s="1724"/>
      <c r="AE98" s="1724"/>
      <c r="AF98" s="1724"/>
      <c r="AG98" s="1724"/>
      <c r="AH98" s="1724"/>
      <c r="AI98" s="1724"/>
      <c r="AJ98" s="1724"/>
      <c r="AK98" s="1724"/>
      <c r="AL98" s="1724"/>
      <c r="AM98" s="1724"/>
      <c r="AN98" s="1724"/>
      <c r="AO98" s="1724"/>
      <c r="AP98" s="1724"/>
      <c r="AQ98" s="1724"/>
      <c r="AR98" s="1724"/>
      <c r="AS98" s="1724"/>
      <c r="AT98" s="1724"/>
      <c r="AU98" s="17"/>
      <c r="AV98" s="17"/>
      <c r="AW98" s="17"/>
      <c r="AX98" s="17"/>
      <c r="AY98" s="17"/>
      <c r="AZ98" s="17"/>
      <c r="BD98" s="1137" t="s">
        <v>776</v>
      </c>
      <c r="BE98" s="1138" t="str">
        <f>Application!M256</f>
        <v>npines@laspalmashousing.com</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777</v>
      </c>
      <c r="BE99" s="1138">
        <f>Application!M264</f>
        <v>0</v>
      </c>
    </row>
    <row r="100" spans="1:57" ht="13" customHeight="1">
      <c r="A100" s="1725" t="s">
        <v>778</v>
      </c>
      <c r="B100" s="1725"/>
      <c r="C100" s="1725"/>
      <c r="D100" s="1725"/>
      <c r="E100" s="1725"/>
      <c r="F100" s="1725"/>
      <c r="G100" s="1725"/>
      <c r="H100" s="1725"/>
      <c r="I100" s="1725"/>
      <c r="J100" s="1725"/>
      <c r="K100" s="1725"/>
      <c r="L100" s="1725"/>
      <c r="M100" s="1725"/>
      <c r="N100" s="1725"/>
      <c r="O100" s="1725"/>
      <c r="P100" s="1725"/>
      <c r="Q100" s="1725"/>
      <c r="R100" s="1725"/>
      <c r="S100" s="1725"/>
      <c r="T100" s="1725"/>
      <c r="U100" s="1725"/>
      <c r="V100" s="1725"/>
      <c r="W100" s="1725"/>
      <c r="X100" s="1725"/>
      <c r="Y100" s="1725"/>
      <c r="Z100" s="1725"/>
      <c r="AA100" s="1725"/>
      <c r="AB100" s="1725"/>
      <c r="AC100" s="1725"/>
      <c r="AD100" s="1725"/>
      <c r="AE100" s="1725"/>
      <c r="AF100" s="1725"/>
      <c r="AG100" s="1725"/>
      <c r="AH100" s="1725"/>
      <c r="AI100" s="1725"/>
      <c r="AJ100" s="1725"/>
      <c r="AK100" s="1725"/>
      <c r="AL100" s="1725"/>
      <c r="AM100" s="1725"/>
      <c r="AN100" s="1725"/>
      <c r="AO100" s="1725"/>
      <c r="AP100" s="1725"/>
      <c r="AQ100" s="1725"/>
      <c r="AR100" s="1725"/>
      <c r="AS100" s="1725"/>
      <c r="AT100" s="1725"/>
      <c r="AU100" s="17"/>
      <c r="AV100" s="17"/>
      <c r="AW100" s="17"/>
      <c r="AX100" s="17"/>
      <c r="AY100" s="17"/>
      <c r="AZ100" s="17"/>
      <c r="BD100" s="1137" t="s">
        <v>779</v>
      </c>
      <c r="BE100" s="1138" t="str">
        <f>Application!L279</f>
        <v xml:space="preserve">sstrain@sabelhauslaw.com </v>
      </c>
    </row>
    <row r="101" spans="1:57" ht="13" customHeight="1">
      <c r="A101" s="1725"/>
      <c r="B101" s="1725"/>
      <c r="C101" s="1725"/>
      <c r="D101" s="1725"/>
      <c r="E101" s="1725"/>
      <c r="F101" s="1725"/>
      <c r="G101" s="1725"/>
      <c r="H101" s="1725"/>
      <c r="I101" s="1725"/>
      <c r="J101" s="1725"/>
      <c r="K101" s="1725"/>
      <c r="L101" s="1725"/>
      <c r="M101" s="1725"/>
      <c r="N101" s="1725"/>
      <c r="O101" s="1725"/>
      <c r="P101" s="1725"/>
      <c r="Q101" s="1725"/>
      <c r="R101" s="1725"/>
      <c r="S101" s="1725"/>
      <c r="T101" s="1725"/>
      <c r="U101" s="1725"/>
      <c r="V101" s="1725"/>
      <c r="W101" s="1725"/>
      <c r="X101" s="1725"/>
      <c r="Y101" s="1725"/>
      <c r="Z101" s="1725"/>
      <c r="AA101" s="1725"/>
      <c r="AB101" s="1725"/>
      <c r="AC101" s="1725"/>
      <c r="AD101" s="1725"/>
      <c r="AE101" s="1725"/>
      <c r="AF101" s="1725"/>
      <c r="AG101" s="1725"/>
      <c r="AH101" s="1725"/>
      <c r="AI101" s="1725"/>
      <c r="AJ101" s="1725"/>
      <c r="AK101" s="1725"/>
      <c r="AL101" s="1725"/>
      <c r="AM101" s="1725"/>
      <c r="AN101" s="1725"/>
      <c r="AO101" s="1725"/>
      <c r="AP101" s="1725"/>
      <c r="AQ101" s="1725"/>
      <c r="AR101" s="1725"/>
      <c r="AS101" s="1725"/>
      <c r="AT101" s="1725"/>
      <c r="AU101" s="17"/>
      <c r="AV101" s="17"/>
      <c r="AW101" s="17"/>
      <c r="AX101" s="17"/>
      <c r="AY101" s="17"/>
      <c r="AZ101" s="17"/>
      <c r="BD101" s="3" t="s">
        <v>780</v>
      </c>
      <c r="BE101">
        <f>'Sources and Uses Budget'!C105</f>
        <v>162858396</v>
      </c>
    </row>
    <row r="102" spans="1:57" ht="13" customHeight="1">
      <c r="A102" s="1725"/>
      <c r="B102" s="1725"/>
      <c r="C102" s="1725"/>
      <c r="D102" s="1725"/>
      <c r="E102" s="1725"/>
      <c r="F102" s="1725"/>
      <c r="G102" s="1725"/>
      <c r="H102" s="1725"/>
      <c r="I102" s="1725"/>
      <c r="J102" s="1725"/>
      <c r="K102" s="1725"/>
      <c r="L102" s="1725"/>
      <c r="M102" s="1725"/>
      <c r="N102" s="1725"/>
      <c r="O102" s="1725"/>
      <c r="P102" s="1725"/>
      <c r="Q102" s="1725"/>
      <c r="R102" s="1725"/>
      <c r="S102" s="1725"/>
      <c r="T102" s="1725"/>
      <c r="U102" s="1725"/>
      <c r="V102" s="1725"/>
      <c r="W102" s="1725"/>
      <c r="X102" s="1725"/>
      <c r="Y102" s="1725"/>
      <c r="Z102" s="1725"/>
      <c r="AA102" s="1725"/>
      <c r="AB102" s="1725"/>
      <c r="AC102" s="1725"/>
      <c r="AD102" s="1725"/>
      <c r="AE102" s="1725"/>
      <c r="AF102" s="1725"/>
      <c r="AG102" s="1725"/>
      <c r="AH102" s="1725"/>
      <c r="AI102" s="1725"/>
      <c r="AJ102" s="1725"/>
      <c r="AK102" s="1725"/>
      <c r="AL102" s="1725"/>
      <c r="AM102" s="1725"/>
      <c r="AN102" s="1725"/>
      <c r="AO102" s="1725"/>
      <c r="AP102" s="1725"/>
      <c r="AQ102" s="1725"/>
      <c r="AR102" s="1725"/>
      <c r="AS102" s="1725"/>
      <c r="AT102" s="1725"/>
      <c r="AU102" s="17"/>
      <c r="AV102" s="17"/>
      <c r="AW102" s="17"/>
      <c r="AX102" s="17"/>
      <c r="AY102" s="17"/>
      <c r="AZ102" s="17"/>
      <c r="BD102" s="3" t="s">
        <v>781</v>
      </c>
      <c r="BE102" t="b">
        <f>T197="Yes"</f>
        <v>0</v>
      </c>
    </row>
    <row r="103" spans="1:57" ht="13" customHeight="1">
      <c r="A103" s="1725"/>
      <c r="B103" s="1725"/>
      <c r="C103" s="1725"/>
      <c r="D103" s="1725"/>
      <c r="E103" s="1725"/>
      <c r="F103" s="1725"/>
      <c r="G103" s="1725"/>
      <c r="H103" s="1725"/>
      <c r="I103" s="1725"/>
      <c r="J103" s="1725"/>
      <c r="K103" s="1725"/>
      <c r="L103" s="1725"/>
      <c r="M103" s="1725"/>
      <c r="N103" s="1725"/>
      <c r="O103" s="1725"/>
      <c r="P103" s="1725"/>
      <c r="Q103" s="1725"/>
      <c r="R103" s="1725"/>
      <c r="S103" s="1725"/>
      <c r="T103" s="1725"/>
      <c r="U103" s="1725"/>
      <c r="V103" s="1725"/>
      <c r="W103" s="1725"/>
      <c r="X103" s="1725"/>
      <c r="Y103" s="1725"/>
      <c r="Z103" s="1725"/>
      <c r="AA103" s="1725"/>
      <c r="AB103" s="1725"/>
      <c r="AC103" s="1725"/>
      <c r="AD103" s="1725"/>
      <c r="AE103" s="1725"/>
      <c r="AF103" s="1725"/>
      <c r="AG103" s="1725"/>
      <c r="AH103" s="1725"/>
      <c r="AI103" s="1725"/>
      <c r="AJ103" s="1725"/>
      <c r="AK103" s="1725"/>
      <c r="AL103" s="1725"/>
      <c r="AM103" s="1725"/>
      <c r="AN103" s="1725"/>
      <c r="AO103" s="1725"/>
      <c r="AP103" s="1725"/>
      <c r="AQ103" s="1725"/>
      <c r="AR103" s="1725"/>
      <c r="AS103" s="1725"/>
      <c r="AT103" s="1725"/>
      <c r="AU103" s="17"/>
      <c r="AV103" s="17"/>
      <c r="AW103" s="17"/>
      <c r="AX103" s="17"/>
      <c r="AY103" s="17"/>
      <c r="BD103" t="s">
        <v>782</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25" t="s">
        <v>783</v>
      </c>
      <c r="B105" s="1725"/>
      <c r="C105" s="1725"/>
      <c r="D105" s="1725"/>
      <c r="E105" s="1725"/>
      <c r="F105" s="1725"/>
      <c r="G105" s="1725"/>
      <c r="H105" s="1725"/>
      <c r="I105" s="1725"/>
      <c r="J105" s="1725"/>
      <c r="K105" s="1725"/>
      <c r="L105" s="1725"/>
      <c r="M105" s="1725"/>
      <c r="N105" s="1725"/>
      <c r="O105" s="1725"/>
      <c r="P105" s="1725"/>
      <c r="Q105" s="1725"/>
      <c r="R105" s="1725"/>
      <c r="S105" s="1725"/>
      <c r="T105" s="1725"/>
      <c r="U105" s="1725"/>
      <c r="V105" s="1725"/>
      <c r="W105" s="1725"/>
      <c r="X105" s="1725"/>
      <c r="Y105" s="1725"/>
      <c r="Z105" s="1725"/>
      <c r="AA105" s="1725"/>
      <c r="AB105" s="1725"/>
      <c r="AC105" s="1725"/>
      <c r="AD105" s="1725"/>
      <c r="AE105" s="1725"/>
      <c r="AF105" s="1725"/>
      <c r="AG105" s="1725"/>
      <c r="AH105" s="1725"/>
      <c r="AI105" s="1725"/>
      <c r="AJ105" s="1725"/>
      <c r="AK105" s="1725"/>
      <c r="AL105" s="1725"/>
      <c r="AM105" s="1725"/>
      <c r="AN105" s="1725"/>
      <c r="AO105" s="1725"/>
      <c r="AP105" s="1725"/>
      <c r="AQ105" s="1725"/>
      <c r="AR105" s="1725"/>
      <c r="AS105" s="1725"/>
      <c r="AT105" s="1725"/>
      <c r="AU105" s="17"/>
      <c r="AV105" s="17"/>
      <c r="AW105" s="17"/>
      <c r="AX105" s="17"/>
      <c r="AY105" s="17"/>
    </row>
    <row r="106" spans="1:57" ht="13" customHeight="1">
      <c r="A106" s="1725"/>
      <c r="B106" s="1725"/>
      <c r="C106" s="1725"/>
      <c r="D106" s="1725"/>
      <c r="E106" s="1725"/>
      <c r="F106" s="1725"/>
      <c r="G106" s="1725"/>
      <c r="H106" s="1725"/>
      <c r="I106" s="1725"/>
      <c r="J106" s="1725"/>
      <c r="K106" s="1725"/>
      <c r="L106" s="1725"/>
      <c r="M106" s="1725"/>
      <c r="N106" s="1725"/>
      <c r="O106" s="1725"/>
      <c r="P106" s="1725"/>
      <c r="Q106" s="1725"/>
      <c r="R106" s="1725"/>
      <c r="S106" s="1725"/>
      <c r="T106" s="1725"/>
      <c r="U106" s="1725"/>
      <c r="V106" s="1725"/>
      <c r="W106" s="1725"/>
      <c r="X106" s="1725"/>
      <c r="Y106" s="1725"/>
      <c r="Z106" s="1725"/>
      <c r="AA106" s="1725"/>
      <c r="AB106" s="1725"/>
      <c r="AC106" s="1725"/>
      <c r="AD106" s="1725"/>
      <c r="AE106" s="1725"/>
      <c r="AF106" s="1725"/>
      <c r="AG106" s="1725"/>
      <c r="AH106" s="1725"/>
      <c r="AI106" s="1725"/>
      <c r="AJ106" s="1725"/>
      <c r="AK106" s="1725"/>
      <c r="AL106" s="1725"/>
      <c r="AM106" s="1725"/>
      <c r="AN106" s="1725"/>
      <c r="AO106" s="1725"/>
      <c r="AP106" s="1725"/>
      <c r="AQ106" s="1725"/>
      <c r="AR106" s="1725"/>
      <c r="AS106" s="1725"/>
      <c r="AT106" s="1725"/>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785</v>
      </c>
      <c r="G113" s="1726">
        <v>8</v>
      </c>
      <c r="H113" s="1726"/>
      <c r="I113" s="3" t="s">
        <v>786</v>
      </c>
      <c r="L113" s="1726" t="s">
        <v>787</v>
      </c>
      <c r="M113" s="1726"/>
      <c r="N113" s="1726"/>
      <c r="O113" s="1726"/>
      <c r="P113" s="1732" t="s">
        <v>788</v>
      </c>
      <c r="Q113" s="1732"/>
      <c r="R113" s="1732"/>
      <c r="S113" s="173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7" t="s">
        <v>789</v>
      </c>
      <c r="D115" s="1737"/>
      <c r="E115" s="1737"/>
      <c r="F115" s="1737"/>
      <c r="G115" s="1737"/>
      <c r="H115" s="1737"/>
      <c r="I115" s="1737"/>
      <c r="J115" s="1737"/>
      <c r="K115" s="1737"/>
      <c r="L115" s="134" t="s">
        <v>790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791</v>
      </c>
      <c r="Y117" s="1726"/>
      <c r="Z117" s="1726"/>
      <c r="AA117" s="1726"/>
      <c r="AB117" s="1726"/>
      <c r="AC117" s="1726"/>
      <c r="AD117" s="1726"/>
      <c r="AE117" s="1726"/>
      <c r="AF117" s="1726"/>
      <c r="AG117" s="1726"/>
      <c r="AH117" s="1726"/>
      <c r="AI117" s="1726"/>
      <c r="AJ117" s="1726"/>
      <c r="AK117" s="1726"/>
    </row>
    <row r="118" spans="1:117" ht="13" customHeight="1">
      <c r="X118" s="3"/>
      <c r="Y118" s="3"/>
      <c r="Z118" s="3" t="s">
        <v>792</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6" t="s">
        <v>1070</v>
      </c>
      <c r="Z120" s="1726"/>
      <c r="AA120" s="1726"/>
      <c r="AB120" s="1726"/>
      <c r="AC120" s="1726"/>
      <c r="AD120" s="1726"/>
      <c r="AE120" s="1726"/>
      <c r="AF120" s="1726"/>
      <c r="AG120" s="1726"/>
      <c r="AH120" s="1726"/>
      <c r="AI120" s="1726"/>
      <c r="AJ120" s="1726"/>
      <c r="AK120" s="172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795</v>
      </c>
      <c r="CR122" s="13"/>
      <c r="CS122" s="13"/>
      <c r="CT122" s="13"/>
      <c r="CU122" s="1602" t="s">
        <v>796</v>
      </c>
      <c r="CV122" s="1603"/>
      <c r="CW122" s="13"/>
      <c r="CX122" s="13" t="s">
        <v>797</v>
      </c>
      <c r="CY122" s="13"/>
      <c r="CZ122" s="13"/>
      <c r="DA122" s="13"/>
      <c r="DB122" s="13"/>
      <c r="DC122" s="13"/>
      <c r="DD122" s="13"/>
      <c r="DE122" s="13"/>
      <c r="DF122" s="13"/>
      <c r="DG122" s="1599" t="str">
        <f>T189</f>
        <v>San Diego</v>
      </c>
      <c r="DH122" s="1600"/>
      <c r="DI122" s="1600"/>
      <c r="DJ122" s="1600"/>
      <c r="DK122" s="1600"/>
      <c r="DL122" s="1600"/>
      <c r="DM122" s="1601"/>
    </row>
    <row r="123" spans="1:117" ht="13" customHeight="1">
      <c r="A123" s="3"/>
      <c r="B123" s="3"/>
      <c r="T123" s="3"/>
      <c r="U123" s="3"/>
      <c r="V123" s="3"/>
      <c r="W123" s="3"/>
      <c r="X123" s="3"/>
      <c r="Y123" s="1726" t="s">
        <v>2750</v>
      </c>
      <c r="Z123" s="1726"/>
      <c r="AA123" s="1726"/>
      <c r="AB123" s="1726"/>
      <c r="AC123" s="1726"/>
      <c r="AD123" s="1726"/>
      <c r="AE123" s="1726"/>
      <c r="AF123" s="1726"/>
      <c r="AG123" s="1726"/>
      <c r="AH123" s="1726"/>
      <c r="AI123" s="1726"/>
      <c r="AJ123" s="1726"/>
      <c r="AK123" s="172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796</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799</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796</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548</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3"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3" customHeight="1">
      <c r="BM152">
        <v>4</v>
      </c>
      <c r="BN152" s="3" t="s">
        <v>802</v>
      </c>
    </row>
    <row r="153" spans="1:108" ht="13" customHeight="1">
      <c r="D153" t="s">
        <v>803</v>
      </c>
      <c r="O153" s="1377" t="s">
        <v>804</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805</v>
      </c>
      <c r="CR153" s="26" t="s">
        <v>806</v>
      </c>
      <c r="CS153" s="27"/>
      <c r="CT153" s="27"/>
      <c r="CU153" s="27"/>
      <c r="CV153" s="27"/>
      <c r="CW153" s="27"/>
      <c r="CX153" s="13"/>
      <c r="CY153" s="26" t="s">
        <v>807</v>
      </c>
      <c r="CZ153" s="13"/>
      <c r="DA153" s="13"/>
      <c r="DB153" s="13"/>
      <c r="DC153" s="13"/>
      <c r="DD153" s="13"/>
    </row>
    <row r="154" spans="1:108" ht="13" customHeight="1">
      <c r="D154" s="210" t="s">
        <v>808</v>
      </c>
      <c r="O154" s="1395" t="s">
        <v>809</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810</v>
      </c>
      <c r="CR154" s="26"/>
      <c r="CS154" s="27"/>
      <c r="CT154" s="27"/>
      <c r="CU154" s="27"/>
      <c r="CV154" s="27"/>
      <c r="CW154" s="27"/>
      <c r="CX154" s="13"/>
      <c r="CY154" s="26"/>
      <c r="CZ154" s="13"/>
      <c r="DA154" s="13"/>
      <c r="DB154" s="13"/>
      <c r="DC154" s="13"/>
      <c r="DD154" s="13"/>
    </row>
    <row r="155" spans="1:108" ht="13" customHeight="1">
      <c r="D155" s="7" t="s">
        <v>811</v>
      </c>
      <c r="F155" s="7"/>
      <c r="G155" s="7"/>
      <c r="H155" s="7"/>
      <c r="I155" s="7"/>
      <c r="J155" s="7"/>
      <c r="K155" s="7"/>
      <c r="L155" s="7"/>
      <c r="M155" s="7"/>
      <c r="N155" s="7"/>
      <c r="O155" s="1744" t="s">
        <v>812</v>
      </c>
      <c r="P155" s="1744"/>
      <c r="Q155" s="1744"/>
      <c r="R155" s="1744"/>
      <c r="S155" s="1744"/>
      <c r="T155" s="1744"/>
      <c r="U155" s="1744"/>
      <c r="V155" s="1744"/>
      <c r="W155" s="1744"/>
      <c r="X155" s="1744"/>
      <c r="Y155" s="1744"/>
      <c r="Z155" s="1744"/>
      <c r="AA155" s="1744"/>
      <c r="AB155" s="1744"/>
      <c r="AC155" s="1744"/>
      <c r="AD155" s="1744"/>
      <c r="AE155" s="1744"/>
      <c r="AF155" s="1744"/>
      <c r="AG155" s="1744"/>
      <c r="AH155" s="1744"/>
      <c r="BM155">
        <v>7</v>
      </c>
      <c r="BN155" s="3" t="s">
        <v>813</v>
      </c>
      <c r="CR155" s="26"/>
      <c r="CS155" s="27"/>
      <c r="CT155" s="27"/>
      <c r="CU155" s="27"/>
      <c r="CV155" s="27"/>
      <c r="CW155" s="27"/>
      <c r="CX155" s="13"/>
      <c r="CY155" s="26"/>
      <c r="CZ155" s="13"/>
      <c r="DA155" s="13"/>
      <c r="DB155" s="13"/>
      <c r="DC155" s="13"/>
      <c r="DD155" s="13"/>
    </row>
    <row r="156" spans="1:108" ht="13" customHeight="1">
      <c r="D156" t="s">
        <v>814</v>
      </c>
      <c r="O156" s="1333" t="s">
        <v>815</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548</v>
      </c>
      <c r="CB156" s="131" t="s">
        <v>816</v>
      </c>
      <c r="CC156" s="132"/>
      <c r="CD156" s="132"/>
      <c r="CE156" s="132"/>
      <c r="CF156" s="132"/>
      <c r="CG156" s="132"/>
      <c r="CH156" s="132"/>
      <c r="CI156" s="3"/>
      <c r="CJ156" s="131" t="s">
        <v>817</v>
      </c>
      <c r="CK156" s="3"/>
      <c r="CL156" s="3"/>
      <c r="CM156" s="3"/>
      <c r="CN156" s="3"/>
      <c r="CR156" s="26"/>
      <c r="CS156" s="27"/>
      <c r="CT156" s="27"/>
      <c r="CU156" s="27"/>
      <c r="CV156" s="27"/>
      <c r="CW156" s="27"/>
      <c r="CX156" s="13"/>
      <c r="CY156" s="26"/>
      <c r="CZ156" s="13"/>
      <c r="DA156" s="13"/>
      <c r="DB156" s="13"/>
      <c r="DC156" s="13"/>
      <c r="DD156" s="13"/>
    </row>
    <row r="157" spans="1:108" ht="13" customHeight="1">
      <c r="D157" t="s">
        <v>818</v>
      </c>
      <c r="O157" s="1377" t="s">
        <v>789</v>
      </c>
      <c r="P157" s="1377"/>
      <c r="Q157" s="1377"/>
      <c r="R157" s="1377"/>
      <c r="S157" s="1377"/>
      <c r="T157" s="1377"/>
      <c r="U157" s="1377"/>
      <c r="V157" s="1377"/>
      <c r="W157" s="1377"/>
      <c r="X157" s="1377"/>
      <c r="Y157" s="7"/>
      <c r="Z157" s="7"/>
      <c r="AA157" s="7"/>
      <c r="AB157" s="7"/>
      <c r="AC157" s="7"/>
      <c r="AD157" s="7"/>
      <c r="AE157" s="7"/>
      <c r="AF157" s="7"/>
      <c r="BN157" s="133" t="s">
        <v>819</v>
      </c>
      <c r="BS157">
        <v>2</v>
      </c>
      <c r="BT157" t="s">
        <v>820</v>
      </c>
      <c r="CB157" s="196" t="s">
        <v>821</v>
      </c>
      <c r="CC157" s="132"/>
      <c r="CD157" s="132"/>
      <c r="CE157" s="132"/>
      <c r="CF157" s="132"/>
      <c r="CG157" s="132"/>
      <c r="CH157" s="132"/>
      <c r="CI157" s="3"/>
      <c r="CJ157" s="196" t="s">
        <v>822</v>
      </c>
      <c r="CK157" s="3"/>
      <c r="CL157" s="3"/>
      <c r="CM157" s="3"/>
      <c r="CN157" s="3"/>
      <c r="CR157" s="13"/>
      <c r="CS157" s="27"/>
      <c r="CT157" s="27"/>
      <c r="CU157" s="27"/>
      <c r="CV157" s="27"/>
      <c r="CW157" s="27"/>
      <c r="CX157" s="13"/>
      <c r="CY157" s="13"/>
      <c r="CZ157" s="13"/>
      <c r="DA157" s="13"/>
      <c r="DB157" s="13"/>
      <c r="DC157" s="13"/>
      <c r="DD157" s="13"/>
    </row>
    <row r="158" spans="1:108" ht="13" customHeight="1">
      <c r="D158" t="s">
        <v>823</v>
      </c>
      <c r="O158" s="1728">
        <v>92054</v>
      </c>
      <c r="P158" s="1728"/>
      <c r="Q158" s="1728"/>
      <c r="R158" s="1728"/>
      <c r="S158" s="8"/>
      <c r="T158" s="8"/>
      <c r="U158" s="8"/>
      <c r="V158" s="8"/>
      <c r="W158" s="8"/>
      <c r="X158" s="8"/>
      <c r="Y158" s="8"/>
      <c r="Z158" s="8"/>
      <c r="AA158" s="8"/>
      <c r="AB158" s="8"/>
      <c r="AC158" s="8"/>
      <c r="AD158" s="8"/>
      <c r="AE158" s="8"/>
      <c r="AF158" s="8"/>
      <c r="BN158" s="133" t="s">
        <v>824</v>
      </c>
      <c r="BS158">
        <v>7</v>
      </c>
      <c r="BT158" t="s">
        <v>825</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826</v>
      </c>
      <c r="O159" s="1718" t="s">
        <v>827</v>
      </c>
      <c r="P159" s="1718"/>
      <c r="Q159" s="1718"/>
      <c r="R159" s="1718"/>
      <c r="S159" s="1718"/>
      <c r="T159" s="1718"/>
      <c r="V159" s="72" t="s">
        <v>828</v>
      </c>
      <c r="W159" s="1729"/>
      <c r="X159" s="1729"/>
      <c r="Y159" s="9"/>
      <c r="Z159" s="9"/>
      <c r="AA159" s="9"/>
      <c r="AB159" s="9"/>
      <c r="AC159" s="9"/>
      <c r="AD159" s="9"/>
      <c r="AE159" s="9"/>
      <c r="AF159" s="9"/>
      <c r="BN159" s="133" t="s">
        <v>829</v>
      </c>
      <c r="BS159">
        <v>7</v>
      </c>
      <c r="BT159" t="s">
        <v>830</v>
      </c>
      <c r="CB159" s="250" t="s">
        <v>831</v>
      </c>
      <c r="CC159" s="251" t="s">
        <v>832</v>
      </c>
      <c r="CD159" s="251" t="s">
        <v>833</v>
      </c>
      <c r="CE159" s="251" t="s">
        <v>834</v>
      </c>
      <c r="CF159" s="251" t="s">
        <v>835</v>
      </c>
      <c r="CG159" s="251" t="s">
        <v>836</v>
      </c>
      <c r="CH159" s="251" t="s">
        <v>837</v>
      </c>
      <c r="CI159" s="3"/>
      <c r="CJ159" s="251" t="s">
        <v>832</v>
      </c>
      <c r="CK159" s="251" t="s">
        <v>833</v>
      </c>
      <c r="CL159" s="251" t="s">
        <v>834</v>
      </c>
      <c r="CM159" s="251" t="s">
        <v>835</v>
      </c>
      <c r="CN159" s="251" t="s">
        <v>836</v>
      </c>
      <c r="CR159" s="13"/>
      <c r="CS159" s="1157" t="s">
        <v>838</v>
      </c>
      <c r="CT159" s="1158" t="s">
        <v>833</v>
      </c>
      <c r="CU159" s="1158" t="s">
        <v>834</v>
      </c>
      <c r="CV159" s="1158" t="s">
        <v>835</v>
      </c>
      <c r="CW159" s="1158" t="s">
        <v>839</v>
      </c>
      <c r="CX159" s="13"/>
      <c r="CY159" s="13"/>
      <c r="CZ159" s="1157" t="s">
        <v>838</v>
      </c>
      <c r="DA159" s="1158" t="s">
        <v>833</v>
      </c>
      <c r="DB159" s="1158" t="s">
        <v>834</v>
      </c>
      <c r="DC159" s="1158" t="s">
        <v>835</v>
      </c>
      <c r="DD159" s="1158" t="s">
        <v>839</v>
      </c>
    </row>
    <row r="160" spans="1:108" ht="13" customHeight="1">
      <c r="D160" t="s">
        <v>840</v>
      </c>
      <c r="O160" s="1718" t="s">
        <v>841</v>
      </c>
      <c r="P160" s="1718"/>
      <c r="Q160" s="1718"/>
      <c r="R160" s="1718"/>
      <c r="S160" s="1718"/>
      <c r="T160" s="1718"/>
      <c r="U160" s="9"/>
      <c r="V160" s="9"/>
      <c r="W160" s="9"/>
      <c r="X160" s="9"/>
      <c r="Y160" s="9"/>
      <c r="Z160" s="9"/>
      <c r="AA160" s="9"/>
      <c r="AB160" s="9"/>
      <c r="AC160" s="9"/>
      <c r="AD160" s="9"/>
      <c r="AE160" s="9"/>
      <c r="AF160" s="9"/>
      <c r="BN160" s="133" t="s">
        <v>842</v>
      </c>
      <c r="BS160">
        <v>6</v>
      </c>
      <c r="BT160" t="s">
        <v>843</v>
      </c>
      <c r="CB160" s="252" t="s">
        <v>820</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819</v>
      </c>
      <c r="CS160" s="228">
        <v>473390</v>
      </c>
      <c r="CT160" s="228">
        <v>545814</v>
      </c>
      <c r="CU160" s="228">
        <v>658400</v>
      </c>
      <c r="CV160" s="228">
        <v>842752</v>
      </c>
      <c r="CW160" s="228">
        <v>938878</v>
      </c>
      <c r="CX160" s="13"/>
      <c r="CY160" s="133" t="s">
        <v>819</v>
      </c>
      <c r="CZ160" s="228">
        <v>473390</v>
      </c>
      <c r="DA160" s="228">
        <v>545814</v>
      </c>
      <c r="DB160" s="228">
        <v>658400</v>
      </c>
      <c r="DC160" s="228">
        <v>842752</v>
      </c>
      <c r="DD160" s="228">
        <v>938878</v>
      </c>
    </row>
    <row r="161" spans="1:108" ht="13" customHeight="1">
      <c r="D161" t="s">
        <v>844</v>
      </c>
      <c r="O161" s="1722" t="s">
        <v>845</v>
      </c>
      <c r="P161" s="1722"/>
      <c r="Q161" s="1722"/>
      <c r="R161" s="1722"/>
      <c r="S161" s="1722"/>
      <c r="T161" s="1722"/>
      <c r="U161" s="1722"/>
      <c r="V161" s="1722"/>
      <c r="W161" s="1722"/>
      <c r="X161" s="1722"/>
      <c r="Y161" s="1722"/>
      <c r="Z161" s="1722"/>
      <c r="AA161" s="1722"/>
      <c r="AB161" s="1722"/>
      <c r="AC161" s="1722"/>
      <c r="AD161" s="1722"/>
      <c r="AE161" s="1722"/>
      <c r="AF161" s="1722"/>
      <c r="AG161" s="1722"/>
      <c r="AH161" s="1722"/>
      <c r="BJ161" t="s">
        <v>695</v>
      </c>
      <c r="BN161" s="133" t="s">
        <v>846</v>
      </c>
      <c r="BS161">
        <v>7</v>
      </c>
      <c r="BT161" t="s">
        <v>847</v>
      </c>
      <c r="CB161" s="253" t="s">
        <v>825</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824</v>
      </c>
      <c r="CS161" s="226">
        <v>352022</v>
      </c>
      <c r="CT161" s="226">
        <v>405878</v>
      </c>
      <c r="CU161" s="226">
        <v>489600</v>
      </c>
      <c r="CV161" s="226">
        <v>626688</v>
      </c>
      <c r="CW161" s="226">
        <v>698170</v>
      </c>
      <c r="CX161" s="13"/>
      <c r="CY161" s="133" t="s">
        <v>824</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848</v>
      </c>
      <c r="BN162" s="133" t="s">
        <v>849</v>
      </c>
      <c r="BS162">
        <v>7</v>
      </c>
      <c r="BT162" t="s">
        <v>850</v>
      </c>
      <c r="CB162" s="253" t="s">
        <v>830</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829</v>
      </c>
      <c r="CS162" s="228">
        <v>352022</v>
      </c>
      <c r="CT162" s="228">
        <v>405878</v>
      </c>
      <c r="CU162" s="228">
        <v>489600</v>
      </c>
      <c r="CV162" s="228">
        <v>626688</v>
      </c>
      <c r="CW162" s="228">
        <v>698170</v>
      </c>
      <c r="CX162" s="13"/>
      <c r="CY162" s="133" t="s">
        <v>829</v>
      </c>
      <c r="CZ162" s="228">
        <v>352022</v>
      </c>
      <c r="DA162" s="228">
        <v>405878</v>
      </c>
      <c r="DB162" s="228">
        <v>489600</v>
      </c>
      <c r="DC162" s="228">
        <v>626688</v>
      </c>
      <c r="DD162" s="228">
        <v>698170</v>
      </c>
    </row>
    <row r="163" spans="1:108" ht="13" customHeight="1">
      <c r="C163" s="23" t="s">
        <v>851</v>
      </c>
      <c r="D163" s="3" t="s">
        <v>852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853</v>
      </c>
      <c r="BS163">
        <v>2</v>
      </c>
      <c r="BT163" t="s">
        <v>854</v>
      </c>
      <c r="CB163" s="253" t="s">
        <v>843</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842</v>
      </c>
      <c r="CS163" s="226">
        <v>319236</v>
      </c>
      <c r="CT163" s="226">
        <v>368076</v>
      </c>
      <c r="CU163" s="226">
        <v>444000</v>
      </c>
      <c r="CV163" s="226">
        <v>568320</v>
      </c>
      <c r="CW163" s="226">
        <v>633144</v>
      </c>
      <c r="CX163" s="13"/>
      <c r="CY163" s="133" t="s">
        <v>842</v>
      </c>
      <c r="CZ163" s="226">
        <v>319236</v>
      </c>
      <c r="DA163" s="226">
        <v>368076</v>
      </c>
      <c r="DB163" s="226">
        <v>444000</v>
      </c>
      <c r="DC163" s="226">
        <v>568320</v>
      </c>
      <c r="DD163" s="226">
        <v>633144</v>
      </c>
    </row>
    <row r="164" spans="1:108" ht="13" customHeight="1">
      <c r="C164" s="23"/>
      <c r="D164" s="1738" t="s">
        <v>855</v>
      </c>
      <c r="E164" s="1738"/>
      <c r="F164" s="1738"/>
      <c r="G164" s="1738"/>
      <c r="H164" s="1738"/>
      <c r="I164" s="1738"/>
      <c r="J164" s="1738"/>
      <c r="K164" s="1738"/>
      <c r="L164" s="1738"/>
      <c r="M164" s="1738"/>
      <c r="N164" s="1738"/>
      <c r="O164" s="1738"/>
      <c r="P164" s="1738"/>
      <c r="Q164" s="1738"/>
      <c r="R164" s="1738"/>
      <c r="S164" s="1738"/>
      <c r="T164" s="1738"/>
      <c r="U164" s="1738"/>
      <c r="V164" s="1738"/>
      <c r="W164" s="1738"/>
      <c r="X164" s="1738"/>
      <c r="Y164" s="1738"/>
      <c r="Z164" s="1738"/>
      <c r="AA164" s="1738"/>
      <c r="AB164" s="1738"/>
      <c r="AC164" s="1738"/>
      <c r="AD164" s="1738"/>
      <c r="AE164" s="1738"/>
      <c r="AF164" s="1738"/>
      <c r="AG164" s="1738"/>
      <c r="AH164" s="1738"/>
      <c r="BN164" s="133" t="s">
        <v>856</v>
      </c>
      <c r="BS164">
        <v>7</v>
      </c>
      <c r="BT164" t="s">
        <v>857</v>
      </c>
      <c r="CB164" s="253" t="s">
        <v>847</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846</v>
      </c>
      <c r="CS164" s="228">
        <v>352022</v>
      </c>
      <c r="CT164" s="228">
        <v>405878</v>
      </c>
      <c r="CU164" s="228">
        <v>489600</v>
      </c>
      <c r="CV164" s="228">
        <v>626688</v>
      </c>
      <c r="CW164" s="228">
        <v>698170</v>
      </c>
      <c r="CX164" s="13"/>
      <c r="CY164" s="133" t="s">
        <v>846</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858</v>
      </c>
      <c r="BS165">
        <v>6</v>
      </c>
      <c r="BT165" t="s">
        <v>859</v>
      </c>
      <c r="CB165" s="253" t="s">
        <v>850</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849</v>
      </c>
      <c r="CS165" s="226">
        <v>352022</v>
      </c>
      <c r="CT165" s="226">
        <v>405878</v>
      </c>
      <c r="CU165" s="226">
        <v>489600</v>
      </c>
      <c r="CV165" s="226">
        <v>626688</v>
      </c>
      <c r="CW165" s="226">
        <v>698170</v>
      </c>
      <c r="CX165" s="13"/>
      <c r="CY165" s="133" t="s">
        <v>849</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860</v>
      </c>
      <c r="BS166">
        <v>5</v>
      </c>
      <c r="BT166" t="s">
        <v>861</v>
      </c>
      <c r="CB166" s="253" t="s">
        <v>854</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853</v>
      </c>
      <c r="CS166" s="228">
        <v>473390</v>
      </c>
      <c r="CT166" s="228">
        <v>545814</v>
      </c>
      <c r="CU166" s="228">
        <v>658400</v>
      </c>
      <c r="CV166" s="228">
        <v>842752</v>
      </c>
      <c r="CW166" s="228">
        <v>938878</v>
      </c>
      <c r="CX166" s="13"/>
      <c r="CY166" s="133" t="s">
        <v>853</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862</v>
      </c>
      <c r="BS167">
        <v>7</v>
      </c>
      <c r="BT167" t="s">
        <v>863</v>
      </c>
      <c r="CB167" s="253" t="s">
        <v>857</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856</v>
      </c>
      <c r="CS167" s="226">
        <v>352022</v>
      </c>
      <c r="CT167" s="226">
        <v>405878</v>
      </c>
      <c r="CU167" s="226">
        <v>489600</v>
      </c>
      <c r="CV167" s="226">
        <v>626688</v>
      </c>
      <c r="CW167" s="226">
        <v>698170</v>
      </c>
      <c r="CX167" s="13"/>
      <c r="CY167" s="133" t="s">
        <v>856</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864</v>
      </c>
      <c r="BS168">
        <v>7</v>
      </c>
      <c r="BT168" t="s">
        <v>865</v>
      </c>
      <c r="CB168" s="253" t="s">
        <v>859</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858</v>
      </c>
      <c r="CS168" s="228">
        <v>331890</v>
      </c>
      <c r="CT168" s="228">
        <v>382666</v>
      </c>
      <c r="CU168" s="228">
        <v>461600</v>
      </c>
      <c r="CV168" s="228">
        <v>590848</v>
      </c>
      <c r="CW168" s="228">
        <v>658242</v>
      </c>
      <c r="CX168" s="13"/>
      <c r="CY168" s="133" t="s">
        <v>858</v>
      </c>
      <c r="CZ168" s="228">
        <v>331890</v>
      </c>
      <c r="DA168" s="228">
        <v>382666</v>
      </c>
      <c r="DB168" s="228">
        <v>461600</v>
      </c>
      <c r="DC168" s="228">
        <v>590848</v>
      </c>
      <c r="DD168" s="228">
        <v>658242</v>
      </c>
    </row>
    <row r="169" spans="1:108" ht="13" customHeight="1">
      <c r="A169" s="1381" t="s">
        <v>866</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867</v>
      </c>
      <c r="BS169">
        <v>5</v>
      </c>
      <c r="BT169" t="s">
        <v>868</v>
      </c>
      <c r="CB169" s="253" t="s">
        <v>861</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860</v>
      </c>
      <c r="CS169" s="226">
        <v>307732</v>
      </c>
      <c r="CT169" s="226">
        <v>354812</v>
      </c>
      <c r="CU169" s="226">
        <v>428000</v>
      </c>
      <c r="CV169" s="226">
        <v>547840</v>
      </c>
      <c r="CW169" s="226">
        <v>610328</v>
      </c>
      <c r="CX169" s="13"/>
      <c r="CY169" s="133" t="s">
        <v>860</v>
      </c>
      <c r="CZ169" s="226">
        <v>307732</v>
      </c>
      <c r="DA169" s="226">
        <v>354812</v>
      </c>
      <c r="DB169" s="226">
        <v>428000</v>
      </c>
      <c r="DC169" s="226">
        <v>547840</v>
      </c>
      <c r="DD169" s="226">
        <v>610328</v>
      </c>
    </row>
    <row r="170" spans="1:108" ht="13"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869</v>
      </c>
      <c r="BS170">
        <v>7</v>
      </c>
      <c r="BT170" t="s">
        <v>870</v>
      </c>
      <c r="CB170" s="253" t="s">
        <v>863</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862</v>
      </c>
      <c r="CS170" s="228">
        <v>352022</v>
      </c>
      <c r="CT170" s="228">
        <v>405878</v>
      </c>
      <c r="CU170" s="228">
        <v>489600</v>
      </c>
      <c r="CV170" s="228">
        <v>626688</v>
      </c>
      <c r="CW170" s="228">
        <v>698170</v>
      </c>
      <c r="CX170" s="13"/>
      <c r="CY170" s="133" t="s">
        <v>862</v>
      </c>
      <c r="CZ170" s="228">
        <v>352022</v>
      </c>
      <c r="DA170" s="228">
        <v>405878</v>
      </c>
      <c r="DB170" s="228">
        <v>489600</v>
      </c>
      <c r="DC170" s="228">
        <v>626688</v>
      </c>
      <c r="DD170" s="228">
        <v>698170</v>
      </c>
    </row>
    <row r="171" spans="1:108" ht="13" customHeight="1">
      <c r="BN171" s="133" t="s">
        <v>871</v>
      </c>
      <c r="BS171">
        <v>5</v>
      </c>
      <c r="BT171" t="s">
        <v>872</v>
      </c>
      <c r="CB171" s="253" t="s">
        <v>865</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864</v>
      </c>
      <c r="CS171" s="226">
        <v>352022</v>
      </c>
      <c r="CT171" s="226">
        <v>405878</v>
      </c>
      <c r="CU171" s="226">
        <v>489600</v>
      </c>
      <c r="CV171" s="226">
        <v>626688</v>
      </c>
      <c r="CW171" s="226">
        <v>698170</v>
      </c>
      <c r="CX171" s="13"/>
      <c r="CY171" s="133" t="s">
        <v>864</v>
      </c>
      <c r="CZ171" s="226">
        <v>352022</v>
      </c>
      <c r="DA171" s="226">
        <v>405878</v>
      </c>
      <c r="DB171" s="226">
        <v>489600</v>
      </c>
      <c r="DC171" s="226">
        <v>626688</v>
      </c>
      <c r="DD171" s="226">
        <v>698170</v>
      </c>
    </row>
    <row r="172" spans="1:108" ht="13" customHeight="1">
      <c r="A172" s="2" t="s">
        <v>873</v>
      </c>
      <c r="C172" s="2" t="s">
        <v>91</v>
      </c>
      <c r="BN172" s="133" t="s">
        <v>874</v>
      </c>
      <c r="BS172">
        <v>5</v>
      </c>
      <c r="BT172" t="s">
        <v>875</v>
      </c>
      <c r="CB172" s="253" t="s">
        <v>868</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867</v>
      </c>
      <c r="CS172" s="228">
        <v>324988</v>
      </c>
      <c r="CT172" s="228">
        <v>374708</v>
      </c>
      <c r="CU172" s="228">
        <v>452000</v>
      </c>
      <c r="CV172" s="228">
        <v>578560</v>
      </c>
      <c r="CW172" s="228">
        <v>644552</v>
      </c>
      <c r="CX172" s="13"/>
      <c r="CY172" s="133" t="s">
        <v>867</v>
      </c>
      <c r="CZ172" s="228">
        <v>324988</v>
      </c>
      <c r="DA172" s="228">
        <v>374708</v>
      </c>
      <c r="DB172" s="228">
        <v>452000</v>
      </c>
      <c r="DC172" s="228">
        <v>578560</v>
      </c>
      <c r="DD172" s="228">
        <v>644552</v>
      </c>
    </row>
    <row r="173" spans="1:108" ht="13" customHeight="1">
      <c r="C173" s="20"/>
      <c r="D173" t="s">
        <v>876</v>
      </c>
      <c r="J173" s="1743" t="s">
        <v>877</v>
      </c>
      <c r="K173" s="1743"/>
      <c r="L173" s="1743"/>
      <c r="M173" s="1743"/>
      <c r="N173" s="1743"/>
      <c r="O173" s="1743"/>
      <c r="P173" s="1743"/>
      <c r="Q173" s="1743"/>
      <c r="R173" s="1743"/>
      <c r="S173" s="1743"/>
      <c r="U173" s="21"/>
      <c r="X173" s="21"/>
      <c r="BB173" s="3" t="s">
        <v>548</v>
      </c>
      <c r="BN173" s="133" t="s">
        <v>878</v>
      </c>
      <c r="BS173">
        <v>7</v>
      </c>
      <c r="BT173" t="s">
        <v>879</v>
      </c>
      <c r="CB173" s="253" t="s">
        <v>870</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869</v>
      </c>
      <c r="CS173" s="226">
        <v>352022</v>
      </c>
      <c r="CT173" s="226">
        <v>405878</v>
      </c>
      <c r="CU173" s="226">
        <v>489600</v>
      </c>
      <c r="CV173" s="226">
        <v>626688</v>
      </c>
      <c r="CW173" s="226">
        <v>698170</v>
      </c>
      <c r="CX173" s="13"/>
      <c r="CY173" s="133" t="s">
        <v>869</v>
      </c>
      <c r="CZ173" s="226">
        <v>352022</v>
      </c>
      <c r="DA173" s="226">
        <v>405878</v>
      </c>
      <c r="DB173" s="226">
        <v>489600</v>
      </c>
      <c r="DC173" s="226">
        <v>626688</v>
      </c>
      <c r="DD173" s="226">
        <v>698170</v>
      </c>
    </row>
    <row r="174" spans="1:108" ht="13" customHeight="1">
      <c r="C174" s="20"/>
      <c r="D174" s="3" t="s">
        <v>880</v>
      </c>
      <c r="J174" s="1333" t="s">
        <v>881</v>
      </c>
      <c r="K174" s="1333"/>
      <c r="L174" s="1333"/>
      <c r="M174" s="1333"/>
      <c r="N174" s="1333"/>
      <c r="O174" s="1333"/>
      <c r="P174" s="1333"/>
      <c r="Q174" s="1333"/>
      <c r="R174" s="1333"/>
      <c r="S174" s="1333"/>
      <c r="T174" s="1333"/>
      <c r="U174" s="1333"/>
      <c r="V174" s="1333"/>
      <c r="W174" s="1333"/>
      <c r="X174" s="1333"/>
      <c r="Y174" s="1333"/>
      <c r="Z174" s="1333"/>
      <c r="AA174" s="1333"/>
      <c r="AB174" s="1333"/>
      <c r="BB174" t="s">
        <v>882</v>
      </c>
      <c r="BN174" s="133" t="s">
        <v>883</v>
      </c>
      <c r="BS174">
        <v>7</v>
      </c>
      <c r="BT174" t="s">
        <v>884</v>
      </c>
      <c r="CB174" s="253" t="s">
        <v>872</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871</v>
      </c>
      <c r="CS174" s="228">
        <v>307732</v>
      </c>
      <c r="CT174" s="228">
        <v>354812</v>
      </c>
      <c r="CU174" s="228">
        <v>428000</v>
      </c>
      <c r="CV174" s="228">
        <v>547840</v>
      </c>
      <c r="CW174" s="228">
        <v>610328</v>
      </c>
      <c r="CX174" s="13"/>
      <c r="CY174" s="133" t="s">
        <v>871</v>
      </c>
      <c r="CZ174" s="228">
        <v>307732</v>
      </c>
      <c r="DA174" s="228">
        <v>354812</v>
      </c>
      <c r="DB174" s="228">
        <v>428000</v>
      </c>
      <c r="DC174" s="228">
        <v>547840</v>
      </c>
      <c r="DD174" s="228">
        <v>610328</v>
      </c>
    </row>
    <row r="175" spans="1:108" ht="13" customHeight="1">
      <c r="C175" s="7"/>
      <c r="D175" s="3" t="s">
        <v>885</v>
      </c>
      <c r="O175" s="23"/>
      <c r="U175" s="1295" t="s">
        <v>848</v>
      </c>
      <c r="V175" s="1295"/>
      <c r="BB175" t="s">
        <v>886</v>
      </c>
      <c r="BN175" s="133" t="s">
        <v>887</v>
      </c>
      <c r="BS175">
        <v>1</v>
      </c>
      <c r="BT175" t="s">
        <v>888</v>
      </c>
      <c r="CB175" s="253" t="s">
        <v>875</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874</v>
      </c>
      <c r="CS175" s="226">
        <v>307732</v>
      </c>
      <c r="CT175" s="226">
        <v>354812</v>
      </c>
      <c r="CU175" s="226">
        <v>428000</v>
      </c>
      <c r="CV175" s="226">
        <v>547840</v>
      </c>
      <c r="CW175" s="226">
        <v>610328</v>
      </c>
      <c r="CX175" s="13"/>
      <c r="CY175" s="133" t="s">
        <v>874</v>
      </c>
      <c r="CZ175" s="226">
        <v>307732</v>
      </c>
      <c r="DA175" s="226">
        <v>354812</v>
      </c>
      <c r="DB175" s="226">
        <v>428000</v>
      </c>
      <c r="DC175" s="226">
        <v>547840</v>
      </c>
      <c r="DD175" s="226">
        <v>610328</v>
      </c>
    </row>
    <row r="176" spans="1:108" ht="13" customHeight="1">
      <c r="C176" s="7"/>
      <c r="D176" s="22"/>
      <c r="E176" t="s">
        <v>889</v>
      </c>
      <c r="O176" s="23"/>
      <c r="P176" t="s">
        <v>890</v>
      </c>
      <c r="T176" s="23" t="s">
        <v>891</v>
      </c>
      <c r="U176" s="1384">
        <v>25</v>
      </c>
      <c r="V176" s="1384"/>
      <c r="W176" s="1" t="s">
        <v>892</v>
      </c>
      <c r="X176" s="1721">
        <v>461</v>
      </c>
      <c r="Y176" s="1721"/>
      <c r="BB176" t="s">
        <v>893</v>
      </c>
      <c r="BN176" s="133" t="s">
        <v>894</v>
      </c>
      <c r="BS176">
        <v>5</v>
      </c>
      <c r="BT176" t="s">
        <v>895</v>
      </c>
      <c r="CB176" s="253" t="s">
        <v>879</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878</v>
      </c>
      <c r="CS176" s="228">
        <v>352022</v>
      </c>
      <c r="CT176" s="228">
        <v>405878</v>
      </c>
      <c r="CU176" s="228">
        <v>489600</v>
      </c>
      <c r="CV176" s="228">
        <v>626688</v>
      </c>
      <c r="CW176" s="228">
        <v>698170</v>
      </c>
      <c r="CX176" s="13"/>
      <c r="CY176" s="133" t="s">
        <v>878</v>
      </c>
      <c r="CZ176" s="228">
        <v>352022</v>
      </c>
      <c r="DA176" s="228">
        <v>405878</v>
      </c>
      <c r="DB176" s="228">
        <v>489600</v>
      </c>
      <c r="DC176" s="228">
        <v>626688</v>
      </c>
      <c r="DD176" s="228">
        <v>698170</v>
      </c>
    </row>
    <row r="177" spans="1:108" ht="13" customHeight="1">
      <c r="C177" s="20"/>
      <c r="D177" t="s">
        <v>896</v>
      </c>
      <c r="R177" s="1295" t="s">
        <v>695</v>
      </c>
      <c r="S177" s="1295"/>
      <c r="BB177" t="s">
        <v>897</v>
      </c>
      <c r="BN177" s="133" t="s">
        <v>898</v>
      </c>
      <c r="BS177">
        <v>2</v>
      </c>
      <c r="BT177" t="s">
        <v>899</v>
      </c>
      <c r="CB177" s="253" t="s">
        <v>884</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883</v>
      </c>
      <c r="CS177" s="226">
        <v>352022</v>
      </c>
      <c r="CT177" s="226">
        <v>405878</v>
      </c>
      <c r="CU177" s="226">
        <v>489600</v>
      </c>
      <c r="CV177" s="226">
        <v>626688</v>
      </c>
      <c r="CW177" s="226">
        <v>698170</v>
      </c>
      <c r="CX177" s="13"/>
      <c r="CY177" s="133" t="s">
        <v>883</v>
      </c>
      <c r="CZ177" s="226">
        <v>352022</v>
      </c>
      <c r="DA177" s="226">
        <v>405878</v>
      </c>
      <c r="DB177" s="226">
        <v>489600</v>
      </c>
      <c r="DC177" s="226">
        <v>626688</v>
      </c>
      <c r="DD177" s="226">
        <v>698170</v>
      </c>
    </row>
    <row r="178" spans="1:108" ht="13" customHeight="1">
      <c r="C178" s="20"/>
      <c r="D178" s="3" t="s">
        <v>900</v>
      </c>
      <c r="AA178" t="s">
        <v>890</v>
      </c>
      <c r="AE178" s="23" t="s">
        <v>891</v>
      </c>
      <c r="AF178" s="1720"/>
      <c r="AG178" s="1720"/>
      <c r="AH178" s="1" t="s">
        <v>892</v>
      </c>
      <c r="AI178" s="1740"/>
      <c r="AJ178" s="1740"/>
      <c r="AK178" s="1740"/>
      <c r="BB178" t="s">
        <v>901</v>
      </c>
      <c r="BN178" s="133" t="s">
        <v>902</v>
      </c>
      <c r="BS178">
        <v>7</v>
      </c>
      <c r="BT178" t="s">
        <v>903</v>
      </c>
      <c r="CB178" s="253" t="s">
        <v>888</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887</v>
      </c>
      <c r="CS178" s="228">
        <v>437727</v>
      </c>
      <c r="CT178" s="228">
        <v>504695</v>
      </c>
      <c r="CU178" s="228">
        <v>608800</v>
      </c>
      <c r="CV178" s="228">
        <v>779264</v>
      </c>
      <c r="CW178" s="228">
        <v>868149</v>
      </c>
      <c r="CX178" s="13"/>
      <c r="CY178" s="133" t="s">
        <v>887</v>
      </c>
      <c r="CZ178" s="228">
        <v>437727</v>
      </c>
      <c r="DA178" s="228">
        <v>504695</v>
      </c>
      <c r="DB178" s="228">
        <v>608800</v>
      </c>
      <c r="DC178" s="228">
        <v>779264</v>
      </c>
      <c r="DD178" s="228">
        <v>868149</v>
      </c>
    </row>
    <row r="179" spans="1:108" ht="13" customHeight="1">
      <c r="C179" s="20"/>
      <c r="BN179" s="133" t="s">
        <v>904</v>
      </c>
      <c r="BS179">
        <v>7</v>
      </c>
      <c r="BT179" t="s">
        <v>905</v>
      </c>
      <c r="CB179" s="253" t="s">
        <v>895</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894</v>
      </c>
      <c r="CS179" s="226">
        <v>307732</v>
      </c>
      <c r="CT179" s="226">
        <v>354812</v>
      </c>
      <c r="CU179" s="226">
        <v>428000</v>
      </c>
      <c r="CV179" s="226">
        <v>547840</v>
      </c>
      <c r="CW179" s="226">
        <v>610328</v>
      </c>
      <c r="CX179" s="13"/>
      <c r="CY179" s="133" t="s">
        <v>894</v>
      </c>
      <c r="CZ179" s="226">
        <v>307732</v>
      </c>
      <c r="DA179" s="226">
        <v>354812</v>
      </c>
      <c r="DB179" s="226">
        <v>428000</v>
      </c>
      <c r="DC179" s="226">
        <v>547840</v>
      </c>
      <c r="DD179" s="226">
        <v>610328</v>
      </c>
    </row>
    <row r="180" spans="1:108" ht="13" customHeight="1">
      <c r="C180" s="20"/>
      <c r="D180" t="s">
        <v>906</v>
      </c>
      <c r="X180" s="1295"/>
      <c r="Y180" s="1295"/>
      <c r="BN180" s="133" t="s">
        <v>907</v>
      </c>
      <c r="BS180">
        <v>5</v>
      </c>
      <c r="BT180" t="s">
        <v>908</v>
      </c>
      <c r="CB180" s="253" t="s">
        <v>899</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898</v>
      </c>
      <c r="CS180" s="228">
        <v>384234</v>
      </c>
      <c r="CT180" s="228">
        <v>443018</v>
      </c>
      <c r="CU180" s="228">
        <v>534400</v>
      </c>
      <c r="CV180" s="228">
        <v>684032</v>
      </c>
      <c r="CW180" s="228">
        <v>762054</v>
      </c>
      <c r="CX180" s="13"/>
      <c r="CY180" s="133" t="s">
        <v>898</v>
      </c>
      <c r="CZ180" s="228">
        <v>384234</v>
      </c>
      <c r="DA180" s="228">
        <v>443018</v>
      </c>
      <c r="DB180" s="228">
        <v>534400</v>
      </c>
      <c r="DC180" s="228">
        <v>684032</v>
      </c>
      <c r="DD180" s="228">
        <v>762054</v>
      </c>
    </row>
    <row r="181" spans="1:108" ht="13" customHeight="1">
      <c r="C181" s="7"/>
      <c r="E181" s="3" t="s">
        <v>909</v>
      </c>
      <c r="BN181" s="133" t="s">
        <v>910</v>
      </c>
      <c r="BS181">
        <v>7</v>
      </c>
      <c r="BT181" t="s">
        <v>911</v>
      </c>
      <c r="CB181" s="253" t="s">
        <v>903</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902</v>
      </c>
      <c r="CS181" s="226">
        <v>352022</v>
      </c>
      <c r="CT181" s="226">
        <v>405878</v>
      </c>
      <c r="CU181" s="226">
        <v>489600</v>
      </c>
      <c r="CV181" s="226">
        <v>626688</v>
      </c>
      <c r="CW181" s="226">
        <v>698170</v>
      </c>
      <c r="CX181" s="13"/>
      <c r="CY181" s="133" t="s">
        <v>902</v>
      </c>
      <c r="CZ181" s="226">
        <v>352022</v>
      </c>
      <c r="DA181" s="226">
        <v>405878</v>
      </c>
      <c r="DB181" s="226">
        <v>489600</v>
      </c>
      <c r="DC181" s="226">
        <v>626688</v>
      </c>
      <c r="DD181" s="226">
        <v>698170</v>
      </c>
    </row>
    <row r="182" spans="1:108" ht="13" customHeight="1">
      <c r="C182" s="430"/>
      <c r="BN182" s="133" t="s">
        <v>912</v>
      </c>
      <c r="BS182">
        <v>7</v>
      </c>
      <c r="BT182" t="s">
        <v>913</v>
      </c>
      <c r="CB182" s="253" t="s">
        <v>905</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904</v>
      </c>
      <c r="CS182" s="228">
        <v>352022</v>
      </c>
      <c r="CT182" s="228">
        <v>405878</v>
      </c>
      <c r="CU182" s="228">
        <v>489600</v>
      </c>
      <c r="CV182" s="228">
        <v>626688</v>
      </c>
      <c r="CW182" s="228">
        <v>698170</v>
      </c>
      <c r="CX182" s="13"/>
      <c r="CY182" s="133" t="s">
        <v>904</v>
      </c>
      <c r="CZ182" s="228">
        <v>352022</v>
      </c>
      <c r="DA182" s="228">
        <v>405878</v>
      </c>
      <c r="DB182" s="228">
        <v>489600</v>
      </c>
      <c r="DC182" s="228">
        <v>626688</v>
      </c>
      <c r="DD182" s="228">
        <v>698170</v>
      </c>
    </row>
    <row r="183" spans="1:108" ht="13" customHeight="1">
      <c r="A183" s="2" t="s">
        <v>914</v>
      </c>
      <c r="C183" s="2" t="s">
        <v>93</v>
      </c>
      <c r="BN183" s="133" t="s">
        <v>915</v>
      </c>
      <c r="BS183">
        <v>4</v>
      </c>
      <c r="BT183" t="s">
        <v>916</v>
      </c>
      <c r="CB183" s="253" t="s">
        <v>908</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907</v>
      </c>
      <c r="CS183" s="226">
        <v>307732</v>
      </c>
      <c r="CT183" s="226">
        <v>354812</v>
      </c>
      <c r="CU183" s="226">
        <v>428000</v>
      </c>
      <c r="CV183" s="226">
        <v>547840</v>
      </c>
      <c r="CW183" s="226">
        <v>610328</v>
      </c>
      <c r="CX183" s="13"/>
      <c r="CY183" s="133" t="s">
        <v>907</v>
      </c>
      <c r="CZ183" s="226">
        <v>307732</v>
      </c>
      <c r="DA183" s="226">
        <v>354812</v>
      </c>
      <c r="DB183" s="226">
        <v>428000</v>
      </c>
      <c r="DC183" s="226">
        <v>547840</v>
      </c>
      <c r="DD183" s="226">
        <v>610328</v>
      </c>
    </row>
    <row r="184" spans="1:108" ht="13" customHeight="1">
      <c r="C184" s="18"/>
      <c r="D184" t="s">
        <v>917</v>
      </c>
      <c r="I184" s="1320" t="str">
        <f>H18</f>
        <v>Olive Park Apartments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918</v>
      </c>
      <c r="BN184" s="133" t="s">
        <v>919</v>
      </c>
      <c r="BS184">
        <v>4</v>
      </c>
      <c r="BT184" t="s">
        <v>920</v>
      </c>
      <c r="CB184" s="253" t="s">
        <v>911</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910</v>
      </c>
      <c r="CS184" s="228">
        <v>352022</v>
      </c>
      <c r="CT184" s="228">
        <v>405878</v>
      </c>
      <c r="CU184" s="228">
        <v>489600</v>
      </c>
      <c r="CV184" s="228">
        <v>626688</v>
      </c>
      <c r="CW184" s="228">
        <v>698170</v>
      </c>
      <c r="CX184" s="13"/>
      <c r="CY184" s="133" t="s">
        <v>910</v>
      </c>
      <c r="CZ184" s="228">
        <v>352022</v>
      </c>
      <c r="DA184" s="228">
        <v>405878</v>
      </c>
      <c r="DB184" s="228">
        <v>489600</v>
      </c>
      <c r="DC184" s="228">
        <v>626688</v>
      </c>
      <c r="DD184" s="228">
        <v>698170</v>
      </c>
    </row>
    <row r="185" spans="1:108" ht="13" customHeight="1">
      <c r="C185" s="18"/>
      <c r="D185" t="s">
        <v>921</v>
      </c>
      <c r="I185" s="1294"/>
      <c r="J185" s="1294"/>
      <c r="K185" s="1294"/>
      <c r="L185" s="1294"/>
      <c r="M185" s="1294"/>
      <c r="N185" s="1294"/>
      <c r="O185" s="1294"/>
      <c r="P185" s="1294"/>
      <c r="Q185" s="1294"/>
      <c r="R185" s="1294"/>
      <c r="S185" s="1294"/>
      <c r="T185" s="1294"/>
      <c r="U185" s="1294"/>
      <c r="V185" s="1294"/>
      <c r="W185" s="1294"/>
      <c r="X185" s="1294"/>
      <c r="Y185" s="1294"/>
      <c r="Z185" s="1294"/>
      <c r="AA185" s="1294"/>
      <c r="AB185" s="1294"/>
      <c r="AC185" s="1294"/>
      <c r="AD185" s="1294"/>
      <c r="AE185" s="1294"/>
      <c r="BC185" t="s">
        <v>922</v>
      </c>
      <c r="BN185" s="133" t="s">
        <v>923</v>
      </c>
      <c r="BS185">
        <v>7</v>
      </c>
      <c r="BT185" t="s">
        <v>924</v>
      </c>
      <c r="CB185" s="253" t="s">
        <v>913</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912</v>
      </c>
      <c r="CS185" s="226">
        <v>352022</v>
      </c>
      <c r="CT185" s="226">
        <v>405878</v>
      </c>
      <c r="CU185" s="226">
        <v>489600</v>
      </c>
      <c r="CV185" s="226">
        <v>626688</v>
      </c>
      <c r="CW185" s="226">
        <v>698170</v>
      </c>
      <c r="CX185" s="13"/>
      <c r="CY185" s="133" t="s">
        <v>912</v>
      </c>
      <c r="CZ185" s="226">
        <v>352022</v>
      </c>
      <c r="DA185" s="226">
        <v>405878</v>
      </c>
      <c r="DB185" s="226">
        <v>489600</v>
      </c>
      <c r="DC185" s="226">
        <v>626688</v>
      </c>
      <c r="DD185" s="226">
        <v>698170</v>
      </c>
    </row>
    <row r="186" spans="1:108" ht="13" customHeight="1">
      <c r="C186" s="18"/>
      <c r="E186" t="s">
        <v>925</v>
      </c>
      <c r="BN186" s="133" t="s">
        <v>926</v>
      </c>
      <c r="BS186">
        <v>4</v>
      </c>
      <c r="BT186" t="s">
        <v>927</v>
      </c>
      <c r="CB186" s="253" t="s">
        <v>916</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915</v>
      </c>
      <c r="CS186" s="228">
        <v>404366</v>
      </c>
      <c r="CT186" s="228">
        <v>466230</v>
      </c>
      <c r="CU186" s="228">
        <v>562400</v>
      </c>
      <c r="CV186" s="228">
        <v>719872</v>
      </c>
      <c r="CW186" s="228">
        <v>801982</v>
      </c>
      <c r="CX186" s="13"/>
      <c r="CY186" s="133" t="s">
        <v>915</v>
      </c>
      <c r="CZ186" s="228">
        <v>404366</v>
      </c>
      <c r="DA186" s="228">
        <v>466230</v>
      </c>
      <c r="DB186" s="228">
        <v>562400</v>
      </c>
      <c r="DC186" s="228">
        <v>719872</v>
      </c>
      <c r="DD186" s="228">
        <v>801982</v>
      </c>
    </row>
    <row r="187" spans="1:108" ht="13" customHeight="1">
      <c r="C187" s="18"/>
      <c r="E187" s="1739" t="s">
        <v>928</v>
      </c>
      <c r="F187" s="1739"/>
      <c r="G187" s="1739"/>
      <c r="H187" s="1739"/>
      <c r="I187" s="1739"/>
      <c r="J187" s="1739"/>
      <c r="K187" s="1739"/>
      <c r="L187" s="1739"/>
      <c r="M187" s="1739"/>
      <c r="N187" s="1739"/>
      <c r="O187" s="1739"/>
      <c r="P187" s="1739"/>
      <c r="Q187" s="1739"/>
      <c r="R187" s="1739"/>
      <c r="S187" s="1739"/>
      <c r="T187" s="1739"/>
      <c r="U187" s="1739"/>
      <c r="V187" s="1739"/>
      <c r="W187" s="1739"/>
      <c r="X187" s="1739"/>
      <c r="Y187" s="1739"/>
      <c r="Z187" s="1739"/>
      <c r="AA187" s="1739"/>
      <c r="AB187" s="1739"/>
      <c r="AC187" s="1739"/>
      <c r="AD187" s="1739"/>
      <c r="AE187" s="1739"/>
      <c r="BN187" s="133" t="s">
        <v>929</v>
      </c>
      <c r="BS187">
        <v>6</v>
      </c>
      <c r="BT187" t="s">
        <v>930</v>
      </c>
      <c r="CB187" s="253" t="s">
        <v>920</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919</v>
      </c>
      <c r="CS187" s="226">
        <v>384234</v>
      </c>
      <c r="CT187" s="226">
        <v>443018</v>
      </c>
      <c r="CU187" s="226">
        <v>534400</v>
      </c>
      <c r="CV187" s="226">
        <v>684032</v>
      </c>
      <c r="CW187" s="226">
        <v>762054</v>
      </c>
      <c r="CX187" s="13"/>
      <c r="CY187" s="133" t="s">
        <v>919</v>
      </c>
      <c r="CZ187" s="226">
        <v>384234</v>
      </c>
      <c r="DA187" s="226">
        <v>443018</v>
      </c>
      <c r="DB187" s="226">
        <v>534400</v>
      </c>
      <c r="DC187" s="226">
        <v>684032</v>
      </c>
      <c r="DD187" s="226">
        <v>762054</v>
      </c>
    </row>
    <row r="188" spans="1:108" ht="13" customHeight="1">
      <c r="C188" s="18"/>
      <c r="E188" s="1712"/>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c r="Z188" s="1712"/>
      <c r="AA188" s="1712"/>
      <c r="AB188" s="1712"/>
      <c r="AC188" s="1712"/>
      <c r="AD188" s="1712"/>
      <c r="AE188" s="1712"/>
      <c r="BN188" s="133" t="s">
        <v>931</v>
      </c>
      <c r="BS188">
        <v>7</v>
      </c>
      <c r="BT188" t="s">
        <v>932</v>
      </c>
      <c r="CB188" s="253" t="s">
        <v>924</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923</v>
      </c>
      <c r="CS188" s="228">
        <v>352022</v>
      </c>
      <c r="CT188" s="228">
        <v>405878</v>
      </c>
      <c r="CU188" s="228">
        <v>489600</v>
      </c>
      <c r="CV188" s="228">
        <v>626688</v>
      </c>
      <c r="CW188" s="228">
        <v>698170</v>
      </c>
      <c r="CX188" s="13"/>
      <c r="CY188" s="133" t="s">
        <v>923</v>
      </c>
      <c r="CZ188" s="228">
        <v>352022</v>
      </c>
      <c r="DA188" s="228">
        <v>405878</v>
      </c>
      <c r="DB188" s="228">
        <v>489600</v>
      </c>
      <c r="DC188" s="228">
        <v>626688</v>
      </c>
      <c r="DD188" s="228">
        <v>698170</v>
      </c>
    </row>
    <row r="189" spans="1:108" ht="13" customHeight="1">
      <c r="C189" s="18"/>
      <c r="D189" t="s">
        <v>933</v>
      </c>
      <c r="I189" s="1377" t="s">
        <v>789</v>
      </c>
      <c r="J189" s="1333"/>
      <c r="K189" s="1333"/>
      <c r="L189" s="1333"/>
      <c r="M189" s="1333"/>
      <c r="N189" s="1333"/>
      <c r="O189" s="1333"/>
      <c r="P189" s="1333"/>
      <c r="Q189" t="s">
        <v>934</v>
      </c>
      <c r="T189" s="1333" t="s">
        <v>935</v>
      </c>
      <c r="U189" s="1333"/>
      <c r="V189" s="1333"/>
      <c r="W189" s="1333"/>
      <c r="X189" s="1333"/>
      <c r="Y189" s="1333"/>
      <c r="Z189" s="1333"/>
      <c r="AA189" s="1333"/>
      <c r="AB189" s="1333"/>
      <c r="AC189" s="1333"/>
      <c r="AD189" s="1333"/>
      <c r="AE189" s="1333"/>
      <c r="BC189" t="s">
        <v>548</v>
      </c>
      <c r="BH189" s="3" t="s">
        <v>813</v>
      </c>
      <c r="BN189" s="133" t="s">
        <v>936</v>
      </c>
      <c r="BS189">
        <v>5</v>
      </c>
      <c r="BT189" t="s">
        <v>937</v>
      </c>
      <c r="CB189" s="253" t="s">
        <v>927</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926</v>
      </c>
      <c r="CS189" s="226">
        <v>396888</v>
      </c>
      <c r="CT189" s="226">
        <v>457608</v>
      </c>
      <c r="CU189" s="226">
        <v>552000</v>
      </c>
      <c r="CV189" s="226">
        <v>706560</v>
      </c>
      <c r="CW189" s="226">
        <v>787152</v>
      </c>
      <c r="CX189" s="13"/>
      <c r="CY189" s="133" t="s">
        <v>926</v>
      </c>
      <c r="CZ189" s="226">
        <v>396888</v>
      </c>
      <c r="DA189" s="226">
        <v>457608</v>
      </c>
      <c r="DB189" s="226">
        <v>552000</v>
      </c>
      <c r="DC189" s="226">
        <v>706560</v>
      </c>
      <c r="DD189" s="226">
        <v>787152</v>
      </c>
    </row>
    <row r="190" spans="1:108" ht="13" customHeight="1">
      <c r="C190" s="18"/>
      <c r="D190" t="s">
        <v>938</v>
      </c>
      <c r="I190" s="1294">
        <v>92056</v>
      </c>
      <c r="J190" s="1294"/>
      <c r="K190" s="1294"/>
      <c r="L190" s="1294"/>
      <c r="M190" s="1294"/>
      <c r="N190" s="1294"/>
      <c r="O190" t="s">
        <v>939</v>
      </c>
      <c r="T190" s="1727">
        <v>185.16</v>
      </c>
      <c r="U190" s="1727"/>
      <c r="V190" s="1727"/>
      <c r="W190" s="1727"/>
      <c r="X190" s="1727"/>
      <c r="Y190" s="1727"/>
      <c r="Z190" s="1727"/>
      <c r="AA190" s="1727"/>
      <c r="AB190" s="1727"/>
      <c r="AC190" s="1727"/>
      <c r="AD190" s="1727"/>
      <c r="AE190" s="1727"/>
      <c r="BC190" t="s">
        <v>940</v>
      </c>
      <c r="BH190" t="s">
        <v>940</v>
      </c>
      <c r="BN190" s="133" t="s">
        <v>941</v>
      </c>
      <c r="BS190">
        <v>6</v>
      </c>
      <c r="BT190" t="s">
        <v>942</v>
      </c>
      <c r="CB190" s="253" t="s">
        <v>930</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929</v>
      </c>
      <c r="CS190" s="228">
        <v>331890</v>
      </c>
      <c r="CT190" s="228">
        <v>382666</v>
      </c>
      <c r="CU190" s="228">
        <v>461600</v>
      </c>
      <c r="CV190" s="228">
        <v>590848</v>
      </c>
      <c r="CW190" s="228">
        <v>658242</v>
      </c>
      <c r="CX190" s="13"/>
      <c r="CY190" s="133" t="s">
        <v>929</v>
      </c>
      <c r="CZ190" s="228">
        <v>331890</v>
      </c>
      <c r="DA190" s="228">
        <v>382666</v>
      </c>
      <c r="DB190" s="228">
        <v>461600</v>
      </c>
      <c r="DC190" s="228">
        <v>590848</v>
      </c>
      <c r="DD190" s="228">
        <v>658242</v>
      </c>
    </row>
    <row r="191" spans="1:108" ht="13" customHeight="1">
      <c r="C191" s="18"/>
      <c r="D191" t="s">
        <v>943</v>
      </c>
      <c r="N191" s="1739" t="s">
        <v>944</v>
      </c>
      <c r="O191" s="1739"/>
      <c r="P191" s="1739"/>
      <c r="Q191" s="1739"/>
      <c r="R191" s="1739"/>
      <c r="S191" s="1739"/>
      <c r="T191" s="1739"/>
      <c r="U191" s="1739"/>
      <c r="V191" s="1739"/>
      <c r="W191" s="1739"/>
      <c r="X191" s="1739"/>
      <c r="Y191" s="1739"/>
      <c r="Z191" s="1739"/>
      <c r="AA191" s="1739"/>
      <c r="AB191" s="1739"/>
      <c r="AC191" s="1739"/>
      <c r="AD191" s="1739"/>
      <c r="AE191" s="1739"/>
      <c r="BC191" t="s">
        <v>945</v>
      </c>
      <c r="BH191" t="s">
        <v>945</v>
      </c>
      <c r="BN191" s="133" t="s">
        <v>946</v>
      </c>
      <c r="BS191">
        <v>4</v>
      </c>
      <c r="BT191" t="s">
        <v>947</v>
      </c>
      <c r="CB191" s="253" t="s">
        <v>932</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931</v>
      </c>
      <c r="CS191" s="226">
        <v>352022</v>
      </c>
      <c r="CT191" s="226">
        <v>405878</v>
      </c>
      <c r="CU191" s="226">
        <v>489600</v>
      </c>
      <c r="CV191" s="226">
        <v>626688</v>
      </c>
      <c r="CW191" s="226">
        <v>698170</v>
      </c>
      <c r="CX191" s="13"/>
      <c r="CY191" s="133" t="s">
        <v>931</v>
      </c>
      <c r="CZ191" s="226">
        <v>352022</v>
      </c>
      <c r="DA191" s="226">
        <v>405878</v>
      </c>
      <c r="DB191" s="226">
        <v>489600</v>
      </c>
      <c r="DC191" s="226">
        <v>626688</v>
      </c>
      <c r="DD191" s="226">
        <v>698170</v>
      </c>
    </row>
    <row r="192" spans="1:108" ht="13" customHeight="1">
      <c r="C192" s="18"/>
      <c r="M192" s="32"/>
      <c r="N192" s="1712"/>
      <c r="O192" s="1712"/>
      <c r="P192" s="1712"/>
      <c r="Q192" s="1712"/>
      <c r="R192" s="1712"/>
      <c r="S192" s="1712"/>
      <c r="T192" s="1712"/>
      <c r="U192" s="1712"/>
      <c r="V192" s="1712"/>
      <c r="W192" s="1712"/>
      <c r="X192" s="1712"/>
      <c r="Y192" s="1712"/>
      <c r="Z192" s="1712"/>
      <c r="AA192" s="1712"/>
      <c r="AB192" s="1712"/>
      <c r="AC192" s="1712"/>
      <c r="AD192" s="1712"/>
      <c r="AE192" s="1712"/>
      <c r="BC192" t="s">
        <v>948</v>
      </c>
      <c r="BH192" s="3" t="s">
        <v>949</v>
      </c>
      <c r="BN192" s="133" t="s">
        <v>950</v>
      </c>
      <c r="BS192">
        <v>5</v>
      </c>
      <c r="BT192" t="s">
        <v>951</v>
      </c>
      <c r="CB192" s="253" t="s">
        <v>937</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936</v>
      </c>
      <c r="CS192" s="228">
        <v>324988</v>
      </c>
      <c r="CT192" s="228">
        <v>374708</v>
      </c>
      <c r="CU192" s="228">
        <v>452000</v>
      </c>
      <c r="CV192" s="228">
        <v>578560</v>
      </c>
      <c r="CW192" s="228">
        <v>644552</v>
      </c>
      <c r="CX192" s="13"/>
      <c r="CY192" s="133" t="s">
        <v>936</v>
      </c>
      <c r="CZ192" s="228">
        <v>324988</v>
      </c>
      <c r="DA192" s="228">
        <v>374708</v>
      </c>
      <c r="DB192" s="228">
        <v>452000</v>
      </c>
      <c r="DC192" s="228">
        <v>578560</v>
      </c>
      <c r="DD192" s="228">
        <v>644552</v>
      </c>
    </row>
    <row r="193" spans="1:108" ht="13" customHeight="1">
      <c r="C193" s="18"/>
      <c r="D193" t="s">
        <v>952</v>
      </c>
      <c r="M193" s="32"/>
      <c r="N193" s="790"/>
      <c r="O193" s="790"/>
      <c r="P193" s="790"/>
      <c r="Q193" s="790"/>
      <c r="R193" s="790"/>
      <c r="S193" s="790"/>
      <c r="T193" s="1730" t="s">
        <v>886</v>
      </c>
      <c r="U193" s="1730"/>
      <c r="V193" s="1730"/>
      <c r="W193" s="1730"/>
      <c r="X193" s="1730"/>
      <c r="Y193" s="1730"/>
      <c r="Z193" s="1730"/>
      <c r="AA193" s="1730"/>
      <c r="AB193" s="1730"/>
      <c r="AC193" s="1730"/>
      <c r="AD193" s="1730"/>
      <c r="AE193" s="1730"/>
      <c r="AF193" s="1730"/>
      <c r="AG193" s="1730"/>
      <c r="AH193" s="1730"/>
      <c r="AI193" s="1730"/>
      <c r="BC193" t="s">
        <v>953</v>
      </c>
      <c r="BH193" s="3" t="s">
        <v>954</v>
      </c>
      <c r="BN193" s="133" t="s">
        <v>955</v>
      </c>
      <c r="BS193">
        <v>4</v>
      </c>
      <c r="BT193" t="s">
        <v>935</v>
      </c>
      <c r="CB193" s="253" t="s">
        <v>942</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941</v>
      </c>
      <c r="CS193" s="226">
        <v>331890</v>
      </c>
      <c r="CT193" s="226">
        <v>382666</v>
      </c>
      <c r="CU193" s="226">
        <v>461600</v>
      </c>
      <c r="CV193" s="226">
        <v>590848</v>
      </c>
      <c r="CW193" s="226">
        <v>658242</v>
      </c>
      <c r="CX193" s="13"/>
      <c r="CY193" s="133" t="s">
        <v>941</v>
      </c>
      <c r="CZ193" s="226">
        <v>331890</v>
      </c>
      <c r="DA193" s="226">
        <v>382666</v>
      </c>
      <c r="DB193" s="226">
        <v>461600</v>
      </c>
      <c r="DC193" s="226">
        <v>590848</v>
      </c>
      <c r="DD193" s="226">
        <v>658242</v>
      </c>
    </row>
    <row r="194" spans="1:108" ht="13" customHeight="1">
      <c r="C194" s="18"/>
      <c r="D194" s="3" t="s">
        <v>956</v>
      </c>
      <c r="M194" s="32"/>
      <c r="N194" s="790"/>
      <c r="O194" s="790"/>
      <c r="P194" s="790"/>
      <c r="Q194" s="790"/>
      <c r="R194" s="790"/>
      <c r="S194" s="790"/>
      <c r="AH194" s="1295" t="s">
        <v>695</v>
      </c>
      <c r="AI194" s="1295"/>
      <c r="BC194" t="s">
        <v>949</v>
      </c>
      <c r="BN194" s="133" t="s">
        <v>957</v>
      </c>
      <c r="BS194">
        <v>2</v>
      </c>
      <c r="BT194" t="s">
        <v>958</v>
      </c>
      <c r="CB194" s="253" t="s">
        <v>947</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946</v>
      </c>
      <c r="CS194" s="228">
        <v>352022</v>
      </c>
      <c r="CT194" s="228">
        <v>405878</v>
      </c>
      <c r="CU194" s="228">
        <v>489600</v>
      </c>
      <c r="CV194" s="228">
        <v>626688</v>
      </c>
      <c r="CW194" s="228">
        <v>698170</v>
      </c>
      <c r="CX194" s="13"/>
      <c r="CY194" s="133" t="s">
        <v>946</v>
      </c>
      <c r="CZ194" s="228">
        <v>352022</v>
      </c>
      <c r="DA194" s="228">
        <v>405878</v>
      </c>
      <c r="DB194" s="228">
        <v>489600</v>
      </c>
      <c r="DC194" s="228">
        <v>626688</v>
      </c>
      <c r="DD194" s="228">
        <v>698170</v>
      </c>
    </row>
    <row r="195" spans="1:108" ht="13" customHeight="1">
      <c r="C195" s="18"/>
      <c r="D195" t="s">
        <v>959</v>
      </c>
      <c r="T195" s="1295" t="s">
        <v>848</v>
      </c>
      <c r="U195" s="1295"/>
      <c r="W195" t="s">
        <v>960</v>
      </c>
      <c r="AH195" s="1295">
        <v>49</v>
      </c>
      <c r="AI195" s="1295"/>
      <c r="BC195" t="s">
        <v>961</v>
      </c>
      <c r="BN195" s="133" t="s">
        <v>962</v>
      </c>
      <c r="BS195">
        <v>6</v>
      </c>
      <c r="BT195" t="s">
        <v>963</v>
      </c>
      <c r="CB195" s="253" t="s">
        <v>951</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950</v>
      </c>
      <c r="CS195" s="226">
        <v>324988</v>
      </c>
      <c r="CT195" s="226">
        <v>374708</v>
      </c>
      <c r="CU195" s="226">
        <v>452000</v>
      </c>
      <c r="CV195" s="226">
        <v>578560</v>
      </c>
      <c r="CW195" s="226">
        <v>644552</v>
      </c>
      <c r="CX195" s="13"/>
      <c r="CY195" s="133" t="s">
        <v>950</v>
      </c>
      <c r="CZ195" s="226">
        <v>324988</v>
      </c>
      <c r="DA195" s="226">
        <v>374708</v>
      </c>
      <c r="DB195" s="226">
        <v>452000</v>
      </c>
      <c r="DC195" s="226">
        <v>578560</v>
      </c>
      <c r="DD195" s="226">
        <v>644552</v>
      </c>
    </row>
    <row r="196" spans="1:108" ht="13" customHeight="1">
      <c r="C196" s="18"/>
      <c r="D196" t="s">
        <v>964</v>
      </c>
      <c r="T196" s="1364" t="s">
        <v>695</v>
      </c>
      <c r="U196" s="1364"/>
      <c r="W196" t="s">
        <v>965</v>
      </c>
      <c r="AH196" s="1295">
        <v>74</v>
      </c>
      <c r="AI196" s="1295"/>
      <c r="BN196" s="133" t="s">
        <v>966</v>
      </c>
      <c r="BS196">
        <v>4</v>
      </c>
      <c r="BT196" t="s">
        <v>967</v>
      </c>
      <c r="CB196" s="253" t="s">
        <v>935</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955</v>
      </c>
      <c r="CS196" s="228">
        <v>353173</v>
      </c>
      <c r="CT196" s="228">
        <v>407205</v>
      </c>
      <c r="CU196" s="228">
        <v>491200</v>
      </c>
      <c r="CV196" s="228">
        <v>628736</v>
      </c>
      <c r="CW196" s="228">
        <v>700451</v>
      </c>
      <c r="CX196" s="13"/>
      <c r="CY196" s="133" t="s">
        <v>955</v>
      </c>
      <c r="CZ196" s="228">
        <v>353173</v>
      </c>
      <c r="DA196" s="228">
        <v>407205</v>
      </c>
      <c r="DB196" s="228">
        <v>491200</v>
      </c>
      <c r="DC196" s="228">
        <v>628736</v>
      </c>
      <c r="DD196" s="228">
        <v>700451</v>
      </c>
    </row>
    <row r="197" spans="1:108" ht="13" customHeight="1">
      <c r="C197" s="18"/>
      <c r="D197" s="3" t="s">
        <v>968</v>
      </c>
      <c r="T197" s="1364" t="s">
        <v>695</v>
      </c>
      <c r="U197" s="1364"/>
      <c r="W197" t="s">
        <v>969</v>
      </c>
      <c r="AH197" s="1295">
        <v>38</v>
      </c>
      <c r="AI197" s="1295"/>
      <c r="BC197" t="s">
        <v>548</v>
      </c>
      <c r="BN197" s="133" t="s">
        <v>970</v>
      </c>
      <c r="BS197">
        <v>2</v>
      </c>
      <c r="BT197" t="s">
        <v>971</v>
      </c>
      <c r="CB197" s="253" t="s">
        <v>958</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957</v>
      </c>
      <c r="CS197" s="226">
        <v>689665</v>
      </c>
      <c r="CT197" s="226">
        <v>795177</v>
      </c>
      <c r="CU197" s="226">
        <v>959200</v>
      </c>
      <c r="CV197" s="226">
        <v>1227776</v>
      </c>
      <c r="CW197" s="226">
        <v>1367819</v>
      </c>
      <c r="CX197" s="13"/>
      <c r="CY197" s="133" t="s">
        <v>957</v>
      </c>
      <c r="CZ197" s="226">
        <v>689665</v>
      </c>
      <c r="DA197" s="226">
        <v>795177</v>
      </c>
      <c r="DB197" s="226">
        <v>959200</v>
      </c>
      <c r="DC197" s="226">
        <v>1227776</v>
      </c>
      <c r="DD197" s="226">
        <v>1367819</v>
      </c>
    </row>
    <row r="198" spans="1:108" s="13" customFormat="1" ht="13" customHeight="1">
      <c r="A198"/>
      <c r="B198"/>
      <c r="C198" s="18"/>
      <c r="D198" s="3" t="s">
        <v>972</v>
      </c>
      <c r="E198"/>
      <c r="F198"/>
      <c r="G198"/>
      <c r="H198"/>
      <c r="I198"/>
      <c r="J198"/>
      <c r="K198"/>
      <c r="L198"/>
      <c r="M198"/>
      <c r="N198"/>
      <c r="O198"/>
      <c r="P198"/>
      <c r="Q198"/>
      <c r="R198"/>
      <c r="S198"/>
      <c r="T198" s="1364"/>
      <c r="U198" s="1364"/>
      <c r="V198"/>
      <c r="X198" s="1375" t="s">
        <v>973</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813</v>
      </c>
      <c r="BD198"/>
      <c r="BN198" s="133" t="s">
        <v>974</v>
      </c>
      <c r="BO198"/>
      <c r="BP198"/>
      <c r="BQ198"/>
      <c r="BR198"/>
      <c r="BS198">
        <v>4</v>
      </c>
      <c r="BT198" t="s">
        <v>975</v>
      </c>
      <c r="BU198"/>
      <c r="BV198" s="26"/>
      <c r="CB198" s="253" t="s">
        <v>963</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962</v>
      </c>
      <c r="CS198" s="228">
        <v>307732</v>
      </c>
      <c r="CT198" s="228">
        <v>354812</v>
      </c>
      <c r="CU198" s="228">
        <v>428000</v>
      </c>
      <c r="CV198" s="228">
        <v>547840</v>
      </c>
      <c r="CW198" s="228">
        <v>610328</v>
      </c>
      <c r="CY198" s="133" t="s">
        <v>962</v>
      </c>
      <c r="CZ198" s="228">
        <v>307732</v>
      </c>
      <c r="DA198" s="228">
        <v>354812</v>
      </c>
      <c r="DB198" s="228">
        <v>428000</v>
      </c>
      <c r="DC198" s="228">
        <v>547840</v>
      </c>
      <c r="DD198" s="228">
        <v>610328</v>
      </c>
    </row>
    <row r="199" spans="1:108" s="13" customFormat="1" ht="13" customHeight="1">
      <c r="A199"/>
      <c r="B199"/>
      <c r="C199" s="18"/>
      <c r="D199" s="84" t="s">
        <v>976</v>
      </c>
      <c r="E199"/>
      <c r="F199"/>
      <c r="G199"/>
      <c r="H199"/>
      <c r="I199"/>
      <c r="J199"/>
      <c r="K199"/>
      <c r="L199"/>
      <c r="M199"/>
      <c r="N199"/>
      <c r="O199"/>
      <c r="P199"/>
      <c r="Q199"/>
      <c r="R199"/>
      <c r="S199"/>
      <c r="T199" s="1295" t="s">
        <v>695</v>
      </c>
      <c r="U199" s="1295"/>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800</v>
      </c>
      <c r="BD199"/>
      <c r="BN199" s="133" t="s">
        <v>977</v>
      </c>
      <c r="BO199"/>
      <c r="BP199"/>
      <c r="BQ199"/>
      <c r="BR199"/>
      <c r="BS199">
        <v>2</v>
      </c>
      <c r="BT199" s="27" t="s">
        <v>978</v>
      </c>
      <c r="BU199"/>
      <c r="BV199" s="26"/>
      <c r="CB199" s="253" t="s">
        <v>967</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966</v>
      </c>
      <c r="CS199" s="226">
        <v>404366</v>
      </c>
      <c r="CT199" s="226">
        <v>466230</v>
      </c>
      <c r="CU199" s="226">
        <v>562400</v>
      </c>
      <c r="CV199" s="226">
        <v>719872</v>
      </c>
      <c r="CW199" s="226">
        <v>801982</v>
      </c>
      <c r="CY199" s="133" t="s">
        <v>966</v>
      </c>
      <c r="CZ199" s="226">
        <v>404366</v>
      </c>
      <c r="DA199" s="226">
        <v>466230</v>
      </c>
      <c r="DB199" s="226">
        <v>562400</v>
      </c>
      <c r="DC199" s="226">
        <v>719872</v>
      </c>
      <c r="DD199" s="226">
        <v>801982</v>
      </c>
    </row>
    <row r="200" spans="1:108" s="13" customFormat="1" ht="13" customHeight="1">
      <c r="A200"/>
      <c r="B200"/>
      <c r="C200" s="18"/>
      <c r="D200" s="13" t="s">
        <v>979</v>
      </c>
      <c r="T200" s="1295" t="s">
        <v>695</v>
      </c>
      <c r="U200" s="1295"/>
      <c r="V200"/>
      <c r="W200"/>
      <c r="X200"/>
      <c r="Y200"/>
      <c r="AA200"/>
      <c r="AB200" s="1139" t="s">
        <v>980</v>
      </c>
      <c r="AC200"/>
      <c r="AF200"/>
      <c r="AG200"/>
      <c r="AH200" s="1"/>
      <c r="AJ200"/>
      <c r="AK200"/>
      <c r="AL200"/>
      <c r="AM200"/>
      <c r="AN200"/>
      <c r="AO200"/>
      <c r="AP200"/>
      <c r="AQ200"/>
      <c r="AR200"/>
      <c r="AS200"/>
      <c r="AU200"/>
      <c r="AV200"/>
      <c r="AW200"/>
      <c r="AX200"/>
      <c r="AY200"/>
      <c r="AZ200" s="25"/>
      <c r="BA200" s="25"/>
      <c r="BC200" s="3" t="s">
        <v>981</v>
      </c>
      <c r="BD200" s="339"/>
      <c r="BN200" s="133" t="s">
        <v>982</v>
      </c>
      <c r="BO200"/>
      <c r="BP200"/>
      <c r="BQ200"/>
      <c r="BR200"/>
      <c r="BS200">
        <v>2</v>
      </c>
      <c r="BT200" s="27" t="s">
        <v>983</v>
      </c>
      <c r="BU200"/>
      <c r="CB200" s="253" t="s">
        <v>971</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970</v>
      </c>
      <c r="CS200" s="227">
        <v>532060</v>
      </c>
      <c r="CT200" s="227">
        <v>613460</v>
      </c>
      <c r="CU200" s="228">
        <v>740000</v>
      </c>
      <c r="CV200" s="227">
        <v>947200</v>
      </c>
      <c r="CW200" s="227">
        <v>1055240</v>
      </c>
      <c r="CY200" s="133" t="s">
        <v>970</v>
      </c>
      <c r="CZ200" s="227">
        <v>532060</v>
      </c>
      <c r="DA200" s="227">
        <v>613460</v>
      </c>
      <c r="DB200" s="227">
        <v>740000</v>
      </c>
      <c r="DC200" s="227">
        <v>947200</v>
      </c>
      <c r="DD200" s="227">
        <v>1055240</v>
      </c>
    </row>
    <row r="201" spans="1:108" s="13" customFormat="1" ht="13" customHeight="1">
      <c r="A201"/>
      <c r="B201"/>
      <c r="C201" s="18"/>
      <c r="E201" s="3" t="s">
        <v>984</v>
      </c>
      <c r="V201"/>
      <c r="X201"/>
      <c r="Y201"/>
      <c r="Z201"/>
      <c r="AB201" s="1139" t="s">
        <v>985</v>
      </c>
      <c r="AC201"/>
      <c r="AH201" s="1"/>
      <c r="AJ201"/>
      <c r="AK201"/>
      <c r="AL201"/>
      <c r="AM201"/>
      <c r="AN201"/>
      <c r="AO201"/>
      <c r="AP201"/>
      <c r="AQ201"/>
      <c r="AR201"/>
      <c r="AS201"/>
      <c r="AU201"/>
      <c r="AV201"/>
      <c r="AW201"/>
      <c r="AX201"/>
      <c r="AY201"/>
      <c r="AZ201" s="25"/>
      <c r="BA201" s="25"/>
      <c r="BC201" s="3" t="s">
        <v>986</v>
      </c>
      <c r="BD201" s="339"/>
      <c r="BN201" s="133" t="s">
        <v>987</v>
      </c>
      <c r="BO201" s="26"/>
      <c r="BP201" s="27"/>
      <c r="BQ201" s="27"/>
      <c r="BR201" s="27"/>
      <c r="BS201">
        <v>6</v>
      </c>
      <c r="BT201" s="27" t="s">
        <v>988</v>
      </c>
      <c r="BU201"/>
      <c r="CB201" s="253" t="s">
        <v>975</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974</v>
      </c>
      <c r="CS201" s="226">
        <v>404366</v>
      </c>
      <c r="CT201" s="226">
        <v>466230</v>
      </c>
      <c r="CU201" s="226">
        <v>562400</v>
      </c>
      <c r="CV201" s="226">
        <v>719872</v>
      </c>
      <c r="CW201" s="226">
        <v>801982</v>
      </c>
      <c r="CY201" s="133" t="s">
        <v>974</v>
      </c>
      <c r="CZ201" s="226">
        <v>404366</v>
      </c>
      <c r="DA201" s="226">
        <v>466230</v>
      </c>
      <c r="DB201" s="226">
        <v>562400</v>
      </c>
      <c r="DC201" s="226">
        <v>719872</v>
      </c>
      <c r="DD201" s="226">
        <v>801982</v>
      </c>
    </row>
    <row r="202" spans="1:108" ht="13" customHeight="1">
      <c r="C202" s="18"/>
      <c r="AE202" s="7"/>
      <c r="BC202" t="s">
        <v>989</v>
      </c>
      <c r="BD202" s="339"/>
      <c r="BN202" s="133" t="s">
        <v>990</v>
      </c>
      <c r="BO202" s="13"/>
      <c r="BP202" s="27"/>
      <c r="BQ202" s="27"/>
      <c r="BR202" s="27"/>
      <c r="BS202">
        <v>7</v>
      </c>
      <c r="BT202" s="27" t="s">
        <v>991</v>
      </c>
      <c r="CB202" s="253" t="s">
        <v>978</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977</v>
      </c>
      <c r="CS202" s="227">
        <v>532060</v>
      </c>
      <c r="CT202" s="227">
        <v>613460</v>
      </c>
      <c r="CU202" s="227">
        <v>740000</v>
      </c>
      <c r="CV202" s="227">
        <v>947200</v>
      </c>
      <c r="CW202" s="227">
        <v>1055240</v>
      </c>
      <c r="CX202" s="13"/>
      <c r="CY202" s="133" t="s">
        <v>977</v>
      </c>
      <c r="CZ202" s="227">
        <v>532060</v>
      </c>
      <c r="DA202" s="227">
        <v>613460</v>
      </c>
      <c r="DB202" s="227">
        <v>740000</v>
      </c>
      <c r="DC202" s="227">
        <v>947200</v>
      </c>
      <c r="DD202" s="227">
        <v>1055240</v>
      </c>
    </row>
    <row r="203" spans="1:108" ht="13" customHeight="1">
      <c r="A203" s="2" t="s">
        <v>992</v>
      </c>
      <c r="C203" s="2" t="s">
        <v>993</v>
      </c>
      <c r="BC203" t="s">
        <v>994</v>
      </c>
      <c r="BN203" s="133" t="s">
        <v>995</v>
      </c>
      <c r="BO203" s="13"/>
      <c r="BP203" s="27"/>
      <c r="BQ203" s="27"/>
      <c r="BR203" s="27"/>
      <c r="BS203">
        <v>7</v>
      </c>
      <c r="BT203" s="27" t="s">
        <v>996</v>
      </c>
      <c r="CB203" s="253" t="s">
        <v>983</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982</v>
      </c>
      <c r="CS203" s="226">
        <v>404366</v>
      </c>
      <c r="CT203" s="226">
        <v>466230</v>
      </c>
      <c r="CU203" s="226">
        <v>562400</v>
      </c>
      <c r="CV203" s="226">
        <v>719872</v>
      </c>
      <c r="CW203" s="226">
        <v>801982</v>
      </c>
      <c r="CX203" s="13"/>
      <c r="CY203" s="133" t="s">
        <v>982</v>
      </c>
      <c r="CZ203" s="226">
        <v>404366</v>
      </c>
      <c r="DA203" s="226">
        <v>466230</v>
      </c>
      <c r="DB203" s="226">
        <v>562400</v>
      </c>
      <c r="DC203" s="226">
        <v>719872</v>
      </c>
      <c r="DD203" s="226">
        <v>801982</v>
      </c>
    </row>
    <row r="204" spans="1:108" ht="13" customHeight="1">
      <c r="D204" s="1320" t="s">
        <v>997</v>
      </c>
      <c r="E204" s="1320"/>
      <c r="F204" s="1320"/>
      <c r="G204" s="1320"/>
      <c r="H204" s="1320"/>
      <c r="I204" s="1320"/>
      <c r="J204" s="1320"/>
      <c r="K204" s="1320"/>
      <c r="L204" s="1320"/>
      <c r="M204" s="1320"/>
      <c r="P204" s="1378">
        <f>M26</f>
        <v>7680389</v>
      </c>
      <c r="Q204" s="1719"/>
      <c r="R204" s="1719"/>
      <c r="S204" s="1719"/>
      <c r="T204" s="1719"/>
      <c r="U204" s="1719"/>
      <c r="BC204" t="s">
        <v>998</v>
      </c>
      <c r="BN204" s="133" t="s">
        <v>999</v>
      </c>
      <c r="BS204">
        <v>6</v>
      </c>
      <c r="BT204" s="27" t="s">
        <v>1000</v>
      </c>
      <c r="BU204" s="13"/>
      <c r="CB204" s="253" t="s">
        <v>988</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987</v>
      </c>
      <c r="CS204" s="228">
        <v>319236</v>
      </c>
      <c r="CT204" s="228">
        <v>368076</v>
      </c>
      <c r="CU204" s="228">
        <v>444000</v>
      </c>
      <c r="CV204" s="228">
        <v>568320</v>
      </c>
      <c r="CW204" s="228">
        <v>633144</v>
      </c>
      <c r="CX204" s="13"/>
      <c r="CY204" s="133" t="s">
        <v>987</v>
      </c>
      <c r="CZ204" s="228">
        <v>319236</v>
      </c>
      <c r="DA204" s="228">
        <v>368076</v>
      </c>
      <c r="DB204" s="228">
        <v>444000</v>
      </c>
      <c r="DC204" s="228">
        <v>568320</v>
      </c>
      <c r="DD204" s="228">
        <v>633144</v>
      </c>
    </row>
    <row r="205" spans="1:108" ht="13" customHeight="1">
      <c r="C205" s="18"/>
      <c r="D205" s="1717" t="s">
        <v>1001</v>
      </c>
      <c r="E205" s="1320"/>
      <c r="F205" s="1320"/>
      <c r="G205" s="1320"/>
      <c r="H205" s="1320"/>
      <c r="I205" s="1320"/>
      <c r="J205" s="1320"/>
      <c r="K205" s="1320"/>
      <c r="L205" s="1320"/>
      <c r="M205" s="1320"/>
      <c r="P205" s="1719">
        <f>M27</f>
        <v>0</v>
      </c>
      <c r="Q205" s="1719"/>
      <c r="R205" s="1719"/>
      <c r="S205" s="1719"/>
      <c r="T205" s="1719"/>
      <c r="U205" s="1719"/>
      <c r="V205" s="19"/>
      <c r="W205" s="3" t="s">
        <v>1002</v>
      </c>
      <c r="Z205" s="1745" t="s">
        <v>1003</v>
      </c>
      <c r="AA205" s="1745"/>
      <c r="AB205" s="1745"/>
      <c r="AC205" s="1745"/>
      <c r="AD205" s="1745"/>
      <c r="AE205" s="1745"/>
      <c r="AF205" s="1745"/>
      <c r="AG205" s="1745"/>
      <c r="AH205" s="1745"/>
      <c r="AI205" s="1745"/>
      <c r="AJ205" s="1745"/>
      <c r="AK205" s="1745"/>
      <c r="AL205" s="1745"/>
      <c r="AM205" s="1745"/>
      <c r="AN205" s="1745"/>
      <c r="AP205" s="1298"/>
      <c r="AQ205" s="1298"/>
      <c r="BC205" t="s">
        <v>1004</v>
      </c>
      <c r="BN205" s="133" t="s">
        <v>1005</v>
      </c>
      <c r="BS205">
        <v>4</v>
      </c>
      <c r="BT205" s="27" t="s">
        <v>1006</v>
      </c>
      <c r="BU205" s="13"/>
      <c r="CB205" s="253" t="s">
        <v>991</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990</v>
      </c>
      <c r="CS205" s="226">
        <v>352022</v>
      </c>
      <c r="CT205" s="226">
        <v>405878</v>
      </c>
      <c r="CU205" s="226">
        <v>489600</v>
      </c>
      <c r="CV205" s="226">
        <v>626688</v>
      </c>
      <c r="CW205" s="226">
        <v>698170</v>
      </c>
      <c r="CX205" s="13"/>
      <c r="CY205" s="133" t="s">
        <v>990</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1007</v>
      </c>
      <c r="BN206" s="133" t="s">
        <v>1008</v>
      </c>
      <c r="BS206">
        <v>5</v>
      </c>
      <c r="BT206" s="27" t="s">
        <v>1009</v>
      </c>
      <c r="BU206" s="13"/>
      <c r="CB206" s="253" t="s">
        <v>996</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995</v>
      </c>
      <c r="CS206" s="228">
        <v>352022</v>
      </c>
      <c r="CT206" s="228">
        <v>405878</v>
      </c>
      <c r="CU206" s="228">
        <v>489600</v>
      </c>
      <c r="CV206" s="228">
        <v>626688</v>
      </c>
      <c r="CW206" s="228">
        <v>698170</v>
      </c>
      <c r="CX206" s="13"/>
      <c r="CY206" s="133" t="s">
        <v>995</v>
      </c>
      <c r="CZ206" s="228">
        <v>352022</v>
      </c>
      <c r="DA206" s="228">
        <v>405878</v>
      </c>
      <c r="DB206" s="228">
        <v>489600</v>
      </c>
      <c r="DC206" s="228">
        <v>626688</v>
      </c>
      <c r="DD206" s="228">
        <v>698170</v>
      </c>
    </row>
    <row r="207" spans="1:108" ht="13" customHeight="1">
      <c r="A207" s="2" t="s">
        <v>1010</v>
      </c>
      <c r="C207" s="2" t="s">
        <v>1011</v>
      </c>
      <c r="BC207" s="340" t="s">
        <v>1012</v>
      </c>
      <c r="BN207" s="133" t="s">
        <v>1013</v>
      </c>
      <c r="BS207">
        <v>6</v>
      </c>
      <c r="BT207" s="27" t="s">
        <v>1014</v>
      </c>
      <c r="CB207" s="253" t="s">
        <v>1000</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999</v>
      </c>
      <c r="CS207" s="226">
        <v>384234</v>
      </c>
      <c r="CT207" s="226">
        <v>443018</v>
      </c>
      <c r="CU207" s="226">
        <v>534400</v>
      </c>
      <c r="CV207" s="226">
        <v>684032</v>
      </c>
      <c r="CW207" s="226">
        <v>762054</v>
      </c>
      <c r="CX207" s="13"/>
      <c r="CY207" s="133" t="s">
        <v>999</v>
      </c>
      <c r="CZ207" s="226">
        <v>384234</v>
      </c>
      <c r="DA207" s="226">
        <v>443018</v>
      </c>
      <c r="DB207" s="226">
        <v>534400</v>
      </c>
      <c r="DC207" s="226">
        <v>684032</v>
      </c>
      <c r="DD207" s="226">
        <v>762054</v>
      </c>
    </row>
    <row r="208" spans="1:108" ht="13" customHeight="1">
      <c r="C208" s="18"/>
      <c r="D208" s="1377" t="s">
        <v>1015</v>
      </c>
      <c r="E208" s="1377"/>
      <c r="F208" s="1377"/>
      <c r="G208" s="1377"/>
      <c r="H208" s="1377"/>
      <c r="I208" s="1377"/>
      <c r="J208" s="1377"/>
      <c r="K208" s="1377"/>
      <c r="L208" s="1377"/>
      <c r="M208" s="1377"/>
      <c r="BC208" s="3" t="s">
        <v>1016</v>
      </c>
      <c r="BN208" s="133" t="s">
        <v>1017</v>
      </c>
      <c r="BS208">
        <v>7</v>
      </c>
      <c r="BT208" s="27" t="s">
        <v>1018</v>
      </c>
      <c r="CB208" s="253" t="s">
        <v>1006</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1005</v>
      </c>
      <c r="CS208" s="228">
        <v>384234</v>
      </c>
      <c r="CT208" s="228">
        <v>443018</v>
      </c>
      <c r="CU208" s="228">
        <v>534400</v>
      </c>
      <c r="CV208" s="228">
        <v>684032</v>
      </c>
      <c r="CW208" s="228">
        <v>762054</v>
      </c>
      <c r="CX208" s="13"/>
      <c r="CY208" s="133" t="s">
        <v>1005</v>
      </c>
      <c r="CZ208" s="228">
        <v>384234</v>
      </c>
      <c r="DA208" s="228">
        <v>443018</v>
      </c>
      <c r="DB208" s="228">
        <v>534400</v>
      </c>
      <c r="DC208" s="228">
        <v>684032</v>
      </c>
      <c r="DD208" s="228">
        <v>762054</v>
      </c>
    </row>
    <row r="209" spans="1:108" ht="13" customHeight="1">
      <c r="BC209" t="s">
        <v>1019</v>
      </c>
      <c r="BN209" s="133" t="s">
        <v>1020</v>
      </c>
      <c r="BS209">
        <v>7</v>
      </c>
      <c r="BT209" s="27" t="s">
        <v>1021</v>
      </c>
      <c r="CB209" s="253" t="s">
        <v>1009</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1008</v>
      </c>
      <c r="CS209" s="226">
        <v>307732</v>
      </c>
      <c r="CT209" s="226">
        <v>354812</v>
      </c>
      <c r="CU209" s="226">
        <v>428000</v>
      </c>
      <c r="CV209" s="226">
        <v>547840</v>
      </c>
      <c r="CW209" s="226">
        <v>610328</v>
      </c>
      <c r="CX209" s="13"/>
      <c r="CY209" s="133" t="s">
        <v>1008</v>
      </c>
      <c r="CZ209" s="226">
        <v>307732</v>
      </c>
      <c r="DA209" s="226">
        <v>354812</v>
      </c>
      <c r="DB209" s="226">
        <v>428000</v>
      </c>
      <c r="DC209" s="226">
        <v>547840</v>
      </c>
      <c r="DD209" s="226">
        <v>610328</v>
      </c>
    </row>
    <row r="210" spans="1:108" ht="13" customHeight="1">
      <c r="A210" s="2" t="s">
        <v>1022</v>
      </c>
      <c r="C210" s="2" t="s">
        <v>1023</v>
      </c>
      <c r="BC210" t="s">
        <v>1024</v>
      </c>
      <c r="BN210" s="133" t="s">
        <v>1025</v>
      </c>
      <c r="BS210">
        <v>5</v>
      </c>
      <c r="BT210" s="27" t="s">
        <v>1026</v>
      </c>
      <c r="CB210" s="253" t="s">
        <v>1014</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1013</v>
      </c>
      <c r="CS210" s="228">
        <v>331890</v>
      </c>
      <c r="CT210" s="228">
        <v>382666</v>
      </c>
      <c r="CU210" s="228">
        <v>461600</v>
      </c>
      <c r="CV210" s="228">
        <v>590848</v>
      </c>
      <c r="CW210" s="228">
        <v>658242</v>
      </c>
      <c r="CX210" s="13"/>
      <c r="CY210" s="133" t="s">
        <v>1013</v>
      </c>
      <c r="CZ210" s="228">
        <v>331890</v>
      </c>
      <c r="DA210" s="228">
        <v>382666</v>
      </c>
      <c r="DB210" s="228">
        <v>461600</v>
      </c>
      <c r="DC210" s="228">
        <v>590848</v>
      </c>
      <c r="DD210" s="228">
        <v>658242</v>
      </c>
    </row>
    <row r="211" spans="1:108" ht="13" customHeight="1">
      <c r="C211" s="18"/>
      <c r="D211" s="1377" t="s">
        <v>940</v>
      </c>
      <c r="E211" s="1377"/>
      <c r="F211" s="1377"/>
      <c r="G211" s="1377"/>
      <c r="H211" s="1377"/>
      <c r="I211" s="1377"/>
      <c r="J211" s="1377"/>
      <c r="K211" s="1377"/>
      <c r="L211" s="1377"/>
      <c r="M211" s="1377"/>
      <c r="BN211" s="133" t="s">
        <v>1027</v>
      </c>
      <c r="BS211">
        <v>7</v>
      </c>
      <c r="BT211" s="27" t="s">
        <v>1028</v>
      </c>
      <c r="CB211" s="253" t="s">
        <v>1018</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1017</v>
      </c>
      <c r="CS211" s="226">
        <v>352022</v>
      </c>
      <c r="CT211" s="226">
        <v>405878</v>
      </c>
      <c r="CU211" s="226">
        <v>489600</v>
      </c>
      <c r="CV211" s="226">
        <v>626688</v>
      </c>
      <c r="CW211" s="226">
        <v>698170</v>
      </c>
      <c r="CX211" s="13"/>
      <c r="CY211" s="133" t="s">
        <v>1017</v>
      </c>
      <c r="CZ211" s="226">
        <v>352022</v>
      </c>
      <c r="DA211" s="226">
        <v>405878</v>
      </c>
      <c r="DB211" s="226">
        <v>489600</v>
      </c>
      <c r="DC211" s="226">
        <v>626688</v>
      </c>
      <c r="DD211" s="226">
        <v>698170</v>
      </c>
    </row>
    <row r="212" spans="1:108" ht="13" customHeight="1">
      <c r="C212" s="18"/>
      <c r="D212" s="3" t="s">
        <v>1029</v>
      </c>
      <c r="Q212" s="1295">
        <v>0</v>
      </c>
      <c r="R212" s="1295"/>
      <c r="T212" s="1733">
        <f>IFERROR(Q212/AG440,0)</f>
        <v>0</v>
      </c>
      <c r="U212" s="1734"/>
      <c r="BC212" t="s">
        <v>548</v>
      </c>
      <c r="BI212" t="s">
        <v>1003</v>
      </c>
      <c r="BN212" s="133" t="s">
        <v>1030</v>
      </c>
      <c r="BS212">
        <v>4</v>
      </c>
      <c r="BT212" s="27" t="s">
        <v>1031</v>
      </c>
      <c r="CB212" s="253" t="s">
        <v>1021</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1020</v>
      </c>
      <c r="CS212" s="228">
        <v>352022</v>
      </c>
      <c r="CT212" s="228">
        <v>405878</v>
      </c>
      <c r="CU212" s="228">
        <v>489600</v>
      </c>
      <c r="CV212" s="228">
        <v>626688</v>
      </c>
      <c r="CW212" s="228">
        <v>698170</v>
      </c>
      <c r="CX212" s="13"/>
      <c r="CY212" s="133" t="s">
        <v>1020</v>
      </c>
      <c r="CZ212" s="228">
        <v>352022</v>
      </c>
      <c r="DA212" s="228">
        <v>405878</v>
      </c>
      <c r="DB212" s="228">
        <v>489600</v>
      </c>
      <c r="DC212" s="228">
        <v>626688</v>
      </c>
      <c r="DD212" s="228">
        <v>698170</v>
      </c>
    </row>
    <row r="213" spans="1:108" ht="13" customHeight="1">
      <c r="D213" s="1034" t="s">
        <v>1032</v>
      </c>
      <c r="BC213" t="s">
        <v>1033</v>
      </c>
      <c r="BI213" s="3" t="s">
        <v>1034</v>
      </c>
      <c r="BN213" s="133" t="s">
        <v>1035</v>
      </c>
      <c r="BS213">
        <v>6</v>
      </c>
      <c r="BT213" s="27" t="s">
        <v>1036</v>
      </c>
      <c r="CB213" s="253" t="s">
        <v>1026</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1025</v>
      </c>
      <c r="CS213" s="226">
        <v>307732</v>
      </c>
      <c r="CT213" s="226">
        <v>354812</v>
      </c>
      <c r="CU213" s="226">
        <v>428000</v>
      </c>
      <c r="CV213" s="226">
        <v>547840</v>
      </c>
      <c r="CW213" s="226">
        <v>610328</v>
      </c>
      <c r="CX213" s="13"/>
      <c r="CY213" s="133" t="s">
        <v>1025</v>
      </c>
      <c r="CZ213" s="226">
        <v>307732</v>
      </c>
      <c r="DA213" s="226">
        <v>354812</v>
      </c>
      <c r="DB213" s="226">
        <v>428000</v>
      </c>
      <c r="DC213" s="226">
        <v>547840</v>
      </c>
      <c r="DD213" s="226">
        <v>610328</v>
      </c>
    </row>
    <row r="214" spans="1:108" ht="13" customHeight="1">
      <c r="D214" s="1736" t="s">
        <v>813</v>
      </c>
      <c r="E214" s="1736"/>
      <c r="F214" s="1736"/>
      <c r="G214" s="1736"/>
      <c r="H214" s="1736"/>
      <c r="I214" s="1736"/>
      <c r="J214" s="1736"/>
      <c r="K214" s="1736"/>
      <c r="L214" s="1736"/>
      <c r="M214" s="1736"/>
      <c r="N214" s="1736"/>
      <c r="O214" s="1736"/>
      <c r="P214" s="1736"/>
      <c r="Q214" s="1736"/>
      <c r="R214" s="1736"/>
      <c r="S214" s="1736"/>
      <c r="T214" s="1736"/>
      <c r="U214" s="1736"/>
      <c r="V214" s="1736"/>
      <c r="W214" s="1736"/>
      <c r="X214" s="1736"/>
      <c r="Y214" s="1736"/>
      <c r="Z214" s="1736"/>
      <c r="AU214" s="18"/>
      <c r="AV214" s="18"/>
      <c r="AW214" s="18"/>
      <c r="AX214" s="18"/>
      <c r="AY214" s="18"/>
      <c r="BC214" t="s">
        <v>1037</v>
      </c>
      <c r="BI214" s="3" t="s">
        <v>1038</v>
      </c>
      <c r="BN214" s="133" t="s">
        <v>1039</v>
      </c>
      <c r="BS214">
        <v>6</v>
      </c>
      <c r="BT214" s="27" t="s">
        <v>1040</v>
      </c>
      <c r="CB214" s="253" t="s">
        <v>1028</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1027</v>
      </c>
      <c r="CS214" s="228">
        <v>352022</v>
      </c>
      <c r="CT214" s="228">
        <v>405878</v>
      </c>
      <c r="CU214" s="228">
        <v>489600</v>
      </c>
      <c r="CV214" s="228">
        <v>626688</v>
      </c>
      <c r="CW214" s="228">
        <v>698170</v>
      </c>
      <c r="CX214" s="13"/>
      <c r="CY214" s="133" t="s">
        <v>1027</v>
      </c>
      <c r="CZ214" s="228">
        <v>352022</v>
      </c>
      <c r="DA214" s="228">
        <v>405878</v>
      </c>
      <c r="DB214" s="228">
        <v>489600</v>
      </c>
      <c r="DC214" s="228">
        <v>626688</v>
      </c>
      <c r="DD214" s="228">
        <v>698170</v>
      </c>
    </row>
    <row r="215" spans="1:108" ht="13" customHeight="1">
      <c r="D215" s="3" t="s">
        <v>1041</v>
      </c>
      <c r="Z215" s="32"/>
      <c r="AB215" s="1735"/>
      <c r="AC215" s="1735"/>
      <c r="AD215" s="1735"/>
      <c r="AE215" s="1735"/>
      <c r="AF215" s="1735"/>
      <c r="AG215" s="1735"/>
      <c r="AH215" s="1735"/>
      <c r="AI215" s="1735"/>
      <c r="AJ215" s="1735"/>
      <c r="AK215" s="1735"/>
      <c r="AL215" s="1735"/>
      <c r="AM215" s="18"/>
      <c r="AN215" s="18"/>
      <c r="AO215" s="18"/>
      <c r="AP215" s="18"/>
      <c r="AQ215" s="18"/>
      <c r="AR215" s="18"/>
      <c r="AS215" s="18"/>
      <c r="AT215" s="18"/>
      <c r="AU215" s="18"/>
      <c r="AV215" s="18"/>
      <c r="AW215" s="18"/>
      <c r="AX215" s="18"/>
      <c r="AY215" s="18"/>
      <c r="BC215" t="s">
        <v>1042</v>
      </c>
      <c r="BI215" s="3" t="s">
        <v>1043</v>
      </c>
      <c r="CB215" s="253" t="s">
        <v>1031</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1030</v>
      </c>
      <c r="CS215" s="226">
        <v>404366</v>
      </c>
      <c r="CT215" s="226">
        <v>466230</v>
      </c>
      <c r="CU215" s="226">
        <v>562400</v>
      </c>
      <c r="CV215" s="226">
        <v>719872</v>
      </c>
      <c r="CW215" s="226">
        <v>801982</v>
      </c>
      <c r="CX215" s="13"/>
      <c r="CY215" s="133" t="s">
        <v>1030</v>
      </c>
      <c r="CZ215" s="226">
        <v>404366</v>
      </c>
      <c r="DA215" s="226">
        <v>466230</v>
      </c>
      <c r="DB215" s="226">
        <v>562400</v>
      </c>
      <c r="DC215" s="226">
        <v>719872</v>
      </c>
      <c r="DD215" s="226">
        <v>801982</v>
      </c>
    </row>
    <row r="216" spans="1:108" ht="13" customHeight="1">
      <c r="D216" s="3" t="s">
        <v>1044</v>
      </c>
      <c r="Z216" s="32"/>
      <c r="AB216" s="1735"/>
      <c r="AC216" s="1735"/>
      <c r="AD216" s="1735"/>
      <c r="AE216" s="1735"/>
      <c r="AF216" s="1735"/>
      <c r="AG216" s="1735"/>
      <c r="AH216" s="1735"/>
      <c r="AI216" s="1735"/>
      <c r="AJ216" s="1735"/>
      <c r="AK216" s="1735"/>
      <c r="AL216" s="1735"/>
      <c r="AM216" s="18"/>
      <c r="AN216" s="18"/>
      <c r="AO216" s="18"/>
      <c r="AP216" s="18"/>
      <c r="AQ216" s="18"/>
      <c r="AR216" s="18"/>
      <c r="AS216" s="18"/>
      <c r="AT216" s="18"/>
      <c r="AU216" s="18"/>
      <c r="AV216" s="18"/>
      <c r="AW216" s="18"/>
      <c r="AX216" s="18"/>
      <c r="AY216" s="18"/>
      <c r="BC216" t="s">
        <v>1045</v>
      </c>
      <c r="BI216" t="s">
        <v>1046</v>
      </c>
      <c r="CB216" s="253" t="s">
        <v>1036</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1035</v>
      </c>
      <c r="CS216" s="228">
        <v>331890</v>
      </c>
      <c r="CT216" s="228">
        <v>382666</v>
      </c>
      <c r="CU216" s="228">
        <v>461600</v>
      </c>
      <c r="CV216" s="228">
        <v>590848</v>
      </c>
      <c r="CW216" s="228">
        <v>658242</v>
      </c>
      <c r="CX216" s="13"/>
      <c r="CY216" s="133" t="s">
        <v>1035</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1047</v>
      </c>
      <c r="BI217" t="s">
        <v>1048</v>
      </c>
      <c r="CB217" s="253" t="s">
        <v>1040</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1039</v>
      </c>
      <c r="CS217" s="226">
        <v>331890</v>
      </c>
      <c r="CT217" s="226">
        <v>382666</v>
      </c>
      <c r="CU217" s="226">
        <v>461600</v>
      </c>
      <c r="CV217" s="226">
        <v>590848</v>
      </c>
      <c r="CW217" s="226">
        <v>658242</v>
      </c>
      <c r="CX217" s="13"/>
      <c r="CY217" s="133" t="s">
        <v>1039</v>
      </c>
      <c r="CZ217" s="226">
        <v>331890</v>
      </c>
      <c r="DA217" s="226">
        <v>382666</v>
      </c>
      <c r="DB217" s="226">
        <v>461600</v>
      </c>
      <c r="DC217" s="226">
        <v>590848</v>
      </c>
      <c r="DD217" s="226">
        <v>658242</v>
      </c>
    </row>
    <row r="218" spans="1:108" ht="13" customHeight="1">
      <c r="A218" s="2" t="s">
        <v>1049</v>
      </c>
      <c r="C218" s="2" t="s">
        <v>1050</v>
      </c>
      <c r="D218" s="19"/>
      <c r="AC218" s="2" t="s">
        <v>1051</v>
      </c>
      <c r="BC218" t="s">
        <v>1052</v>
      </c>
    </row>
    <row r="219" spans="1:108" ht="13" customHeight="1">
      <c r="A219" s="2"/>
      <c r="C219" s="2"/>
      <c r="D219" s="3" t="s">
        <v>1053</v>
      </c>
      <c r="AZ219" s="3"/>
      <c r="BA219" s="3"/>
      <c r="BC219" t="s">
        <v>1054</v>
      </c>
    </row>
    <row r="220" spans="1:108" ht="13" customHeight="1">
      <c r="A220" s="2"/>
      <c r="C220" s="2"/>
      <c r="D220" s="1377" t="s">
        <v>989</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0" t="s">
        <v>802</v>
      </c>
      <c r="AD220" s="1690"/>
      <c r="AE220" s="1690"/>
      <c r="AF220" s="1690"/>
      <c r="AG220" s="1690"/>
      <c r="AH220" s="1690"/>
      <c r="AI220" s="1690"/>
      <c r="AJ220" s="1690"/>
      <c r="AK220" s="1690"/>
      <c r="AL220" s="1690"/>
      <c r="AM220" s="1690"/>
      <c r="AN220" s="1690"/>
      <c r="AO220" s="1690"/>
      <c r="AP220" s="1690"/>
      <c r="AQ220" s="1690"/>
      <c r="BA220" s="3"/>
      <c r="BC220" t="s">
        <v>1055</v>
      </c>
    </row>
    <row r="221" spans="1:108" ht="13" customHeight="1">
      <c r="A221" s="2"/>
      <c r="B221" s="13"/>
      <c r="C221" s="2"/>
      <c r="BA221" s="3"/>
    </row>
    <row r="222" spans="1:108" ht="13" customHeight="1">
      <c r="A222" s="1381" t="s">
        <v>1056</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 customHeight="1">
      <c r="AZ224" s="3"/>
      <c r="BA224" s="3"/>
      <c r="BB224" s="3"/>
      <c r="BQ224" s="3"/>
    </row>
    <row r="225" spans="1:59" ht="13" customHeight="1">
      <c r="A225" s="2" t="s">
        <v>873</v>
      </c>
      <c r="B225" s="2"/>
      <c r="C225" s="2" t="s">
        <v>1057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5" t="s">
        <v>813</v>
      </c>
      <c r="AJ226" s="1295"/>
      <c r="AL226" s="3"/>
      <c r="AM226" s="3"/>
      <c r="AN226" s="3"/>
      <c r="AO226" s="3"/>
      <c r="AP226" s="3"/>
      <c r="AQ226" s="3"/>
      <c r="AR226" s="3"/>
      <c r="AS226" s="3"/>
      <c r="AT226" s="3"/>
      <c r="AU226" s="3"/>
      <c r="AV226" s="3"/>
      <c r="AW226" s="3"/>
      <c r="AX226" s="3"/>
      <c r="AY226" s="3"/>
      <c r="AZ226" s="3"/>
      <c r="BB226" s="136" t="s">
        <v>1059</v>
      </c>
      <c r="BG226" s="166">
        <f>IF(AND(AND($M$249="for profit",$M$257="for profit",$M$265="nonprofit")),2,0)</f>
        <v>0</v>
      </c>
    </row>
    <row r="227" spans="1:59" ht="13" customHeight="1">
      <c r="B227" s="3"/>
      <c r="D227" s="3" t="s">
        <v>1060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5" t="s">
        <v>848</v>
      </c>
      <c r="AJ227" s="1295"/>
      <c r="AL227" s="3"/>
      <c r="AM227" s="3"/>
      <c r="AN227" s="3"/>
      <c r="AO227" s="3"/>
      <c r="AP227" s="3"/>
      <c r="AQ227" s="3"/>
      <c r="AR227" s="3"/>
      <c r="AS227" s="3"/>
      <c r="AT227" s="3"/>
      <c r="AU227" s="3"/>
      <c r="AV227" s="3"/>
      <c r="AW227" s="3"/>
      <c r="AX227" s="3"/>
      <c r="AY227" s="3"/>
      <c r="BA227" s="3"/>
      <c r="BB227" s="136" t="s">
        <v>1059</v>
      </c>
      <c r="BG227" s="166">
        <f>IF(AND(AND($M$249="for profit",$M$257="nonprofit",$M$265="for profit")),2,0)</f>
        <v>0</v>
      </c>
    </row>
    <row r="228" spans="1:59" ht="13" customHeight="1">
      <c r="B228" s="3"/>
      <c r="D228" s="3" t="s">
        <v>1061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5" t="s">
        <v>848</v>
      </c>
      <c r="AJ228" s="1295"/>
      <c r="AL228" s="3"/>
      <c r="AM228" s="3"/>
      <c r="AN228" s="3"/>
      <c r="AO228" s="3"/>
      <c r="AP228" s="3"/>
      <c r="AQ228" s="3"/>
      <c r="AR228" s="3"/>
      <c r="AS228" s="3"/>
      <c r="AT228" s="3"/>
      <c r="AU228" s="3"/>
      <c r="AV228" s="3"/>
      <c r="AW228" s="3"/>
      <c r="AX228" s="3"/>
      <c r="AY228" s="3"/>
      <c r="AZ228" s="3"/>
      <c r="BA228" s="3"/>
      <c r="BB228" s="136" t="s">
        <v>1059</v>
      </c>
      <c r="BG228" s="166">
        <f>IF(AND(AND($M$249="nonprofit",$M$257="for profit",$M$265="for profit")),2,0)</f>
        <v>0</v>
      </c>
    </row>
    <row r="229" spans="1:59" ht="13" customHeight="1">
      <c r="B229" s="3"/>
      <c r="D229" s="3" t="s">
        <v>1062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5" t="s">
        <v>813</v>
      </c>
      <c r="AJ229" s="1295"/>
      <c r="AL229" s="3"/>
      <c r="AM229" s="3"/>
      <c r="AN229" s="3"/>
      <c r="AO229" s="3"/>
      <c r="AP229" s="3"/>
      <c r="AQ229" s="3"/>
      <c r="AR229" s="3"/>
      <c r="AS229" s="3"/>
      <c r="AT229" s="3"/>
      <c r="AU229" s="3"/>
      <c r="AV229" s="3"/>
      <c r="AW229" s="3"/>
      <c r="AX229" s="3"/>
      <c r="AY229" s="3"/>
      <c r="BA229" s="3"/>
      <c r="BB229" s="136" t="s">
        <v>1059</v>
      </c>
      <c r="BG229" s="166">
        <f>IF(AND(AND($M$249="for profit",$M$257="nonprofit",$M$265="(select one)")),2,0)</f>
        <v>2</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1059</v>
      </c>
      <c r="BG230" s="165">
        <f>IF(AND(AND($M$249="nonprofit",$M$257="for profit",$M$265="(select one)")),2,0)</f>
        <v>0</v>
      </c>
    </row>
    <row r="231" spans="1:59" ht="13" customHeight="1">
      <c r="A231" s="2" t="s">
        <v>914</v>
      </c>
      <c r="B231" s="3"/>
      <c r="C231" s="2" t="s">
        <v>1063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1064</v>
      </c>
      <c r="E232" s="3"/>
      <c r="F232" s="3"/>
      <c r="G232" s="3"/>
      <c r="H232" s="3"/>
      <c r="I232" s="3"/>
      <c r="J232" s="3"/>
      <c r="K232" s="3"/>
      <c r="M232" s="1471" t="str">
        <f>H16</f>
        <v>Capstone Equities, LLC</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1059</v>
      </c>
      <c r="BG232" s="166">
        <f>IF(AND(AND($M$249="nonprofit",$M$257="nonprofit",$M$265="for profit")),2,0)</f>
        <v>0</v>
      </c>
    </row>
    <row r="233" spans="1:59" ht="13" customHeight="1">
      <c r="D233" s="3" t="s">
        <v>1065</v>
      </c>
      <c r="E233" s="3"/>
      <c r="F233" s="3"/>
      <c r="G233" s="3"/>
      <c r="H233" s="3"/>
      <c r="I233" s="3"/>
      <c r="J233" s="3"/>
      <c r="K233" s="3"/>
      <c r="M233" s="1377" t="s">
        <v>1066</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1059</v>
      </c>
      <c r="BG233" s="166">
        <f>IF(AND(AND($M$249="nonprofit",$M$257="for profit",$M$265="nonprofit")),2,0)</f>
        <v>0</v>
      </c>
    </row>
    <row r="234" spans="1:59" ht="13" customHeight="1">
      <c r="D234" s="3" t="s">
        <v>933</v>
      </c>
      <c r="E234" s="3"/>
      <c r="M234" s="1377" t="s">
        <v>888</v>
      </c>
      <c r="N234" s="1377"/>
      <c r="O234" s="1377"/>
      <c r="P234" s="1377"/>
      <c r="Q234" s="1377"/>
      <c r="R234" s="1377"/>
      <c r="S234" s="1377"/>
      <c r="T234" s="1377"/>
      <c r="V234" s="923" t="s">
        <v>1067</v>
      </c>
      <c r="W234" s="1395" t="s">
        <v>1068</v>
      </c>
      <c r="X234" s="1395"/>
      <c r="Y234" s="3" t="s">
        <v>938</v>
      </c>
      <c r="AC234" s="1377">
        <v>90036</v>
      </c>
      <c r="AD234" s="1377"/>
      <c r="AE234" s="1377"/>
      <c r="AU234" s="3"/>
      <c r="AV234" s="3"/>
      <c r="AW234" s="3"/>
      <c r="AX234" s="3"/>
      <c r="AY234" s="3"/>
      <c r="AZ234" s="3"/>
      <c r="BB234" s="137" t="s">
        <v>1059</v>
      </c>
      <c r="BG234" s="165">
        <f>IF(AND(AND($M$249="for profit",$M$257="nonprofit",$M$265="nonprofit")),2,0)</f>
        <v>0</v>
      </c>
    </row>
    <row r="235" spans="1:59" ht="13" customHeight="1">
      <c r="D235" s="3" t="s">
        <v>1069</v>
      </c>
      <c r="E235" s="3"/>
      <c r="F235" s="3"/>
      <c r="G235" s="3"/>
      <c r="H235" s="3"/>
      <c r="I235" s="3"/>
      <c r="J235" s="3"/>
      <c r="K235" s="1160"/>
      <c r="M235" s="1377" t="s">
        <v>1070</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 customHeight="1">
      <c r="D236" s="3" t="s">
        <v>1071</v>
      </c>
      <c r="E236" s="3"/>
      <c r="F236" s="3"/>
      <c r="M236" s="1309" t="s">
        <v>1072</v>
      </c>
      <c r="N236" s="1309"/>
      <c r="O236" s="1309"/>
      <c r="P236" s="1309"/>
      <c r="Q236" s="1309"/>
      <c r="R236" s="1309"/>
      <c r="S236" s="3" t="s">
        <v>1073</v>
      </c>
      <c r="T236" s="3"/>
      <c r="U236" s="1395"/>
      <c r="V236" s="1395"/>
      <c r="W236" s="1395"/>
      <c r="X236" s="3" t="s">
        <v>1074</v>
      </c>
      <c r="Z236" s="1309"/>
      <c r="AA236" s="1309"/>
      <c r="AB236" s="1309"/>
      <c r="AC236" s="1309"/>
      <c r="AD236" s="1309"/>
      <c r="AE236" s="1309"/>
      <c r="AU236" s="3"/>
      <c r="AV236" s="3"/>
      <c r="AW236" s="3"/>
      <c r="AX236" s="3"/>
      <c r="AY236" s="3"/>
      <c r="AZ236" s="3"/>
      <c r="BB236" s="136" t="s">
        <v>1075</v>
      </c>
      <c r="BG236" s="166">
        <f>IF(AND(AND($M$249="nonprofit",$M$257="nonprofit",$M$265="(select one)")),1,0)</f>
        <v>0</v>
      </c>
    </row>
    <row r="237" spans="1:59" ht="13" customHeight="1">
      <c r="D237" s="3" t="s">
        <v>1076</v>
      </c>
      <c r="E237" s="3"/>
      <c r="F237" s="3"/>
      <c r="M237" s="1722" t="s">
        <v>1077</v>
      </c>
      <c r="N237" s="1722"/>
      <c r="O237" s="1722"/>
      <c r="P237" s="1722"/>
      <c r="Q237" s="1722"/>
      <c r="R237" s="1722"/>
      <c r="S237" s="1722"/>
      <c r="T237" s="1722"/>
      <c r="U237" s="1722"/>
      <c r="V237" s="1722"/>
      <c r="W237" s="1722"/>
      <c r="X237" s="1722"/>
      <c r="Y237" s="1722"/>
      <c r="Z237" s="1722"/>
      <c r="AA237" s="1722"/>
      <c r="AB237" s="1722"/>
      <c r="AC237" s="1722"/>
      <c r="AD237" s="1722"/>
      <c r="AE237" s="1722"/>
      <c r="AF237" s="3"/>
      <c r="AG237" s="3"/>
      <c r="AH237" s="3"/>
      <c r="AI237" s="3"/>
      <c r="AJ237" s="3"/>
      <c r="AK237" s="3"/>
      <c r="AL237" s="3"/>
      <c r="AM237" s="3"/>
      <c r="AN237" s="3"/>
      <c r="AO237" s="3"/>
      <c r="AP237" s="3"/>
      <c r="AQ237" s="3"/>
      <c r="AR237" s="3"/>
      <c r="AS237" s="3"/>
      <c r="AT237" s="3"/>
      <c r="AU237" s="3"/>
      <c r="AV237" s="3"/>
      <c r="AW237" s="3"/>
      <c r="AX237" s="3"/>
      <c r="AY237" s="3"/>
      <c r="BB237" s="136" t="s">
        <v>1075</v>
      </c>
      <c r="BG237" s="166">
        <f>IF(AND(AND($M$249="nonprofit",$M$257="nonprofit",$M$265="nonprofit")),1,0)</f>
        <v>0</v>
      </c>
    </row>
    <row r="238" spans="1:59" ht="13" customHeight="1">
      <c r="A238" s="2" t="s">
        <v>992</v>
      </c>
      <c r="C238" s="2" t="s">
        <v>1078</v>
      </c>
      <c r="M238" s="1294" t="s">
        <v>1055</v>
      </c>
      <c r="N238" s="1294"/>
      <c r="O238" s="1294"/>
      <c r="P238" s="1294"/>
      <c r="Q238" s="1294"/>
      <c r="R238" s="1294"/>
      <c r="S238" s="1294"/>
      <c r="T238" s="1294"/>
      <c r="U238" s="136" t="s">
        <v>1079</v>
      </c>
      <c r="V238" s="136"/>
      <c r="W238" s="136"/>
      <c r="X238" s="136"/>
      <c r="Y238" s="136"/>
      <c r="Z238" s="136"/>
      <c r="AA238" s="1714"/>
      <c r="AB238" s="1714"/>
      <c r="AC238" s="1714"/>
      <c r="AD238" s="1714"/>
      <c r="AE238" s="1714"/>
      <c r="AF238" s="1714"/>
      <c r="AG238" s="1714"/>
      <c r="AH238" s="1714"/>
      <c r="AI238" s="1714"/>
      <c r="AJ238" s="1714"/>
      <c r="AK238" s="1714"/>
      <c r="AL238" s="3"/>
      <c r="AM238" s="3"/>
      <c r="AN238" s="3"/>
      <c r="AO238" s="3"/>
      <c r="AP238" s="3"/>
      <c r="AQ238" s="3"/>
      <c r="AR238" s="3"/>
      <c r="AS238" s="3"/>
      <c r="AT238" s="3"/>
      <c r="AU238" s="3"/>
      <c r="AV238" s="3"/>
      <c r="AW238" s="3"/>
      <c r="AX238" s="3"/>
      <c r="AY238" s="3"/>
      <c r="BB238" s="136" t="s">
        <v>1075</v>
      </c>
      <c r="BG238" s="166">
        <f>IF(AND(AND($M$249="nonprofit",$M$257="(select one)",$M$265="(select one)")),1,0)</f>
        <v>0</v>
      </c>
    </row>
    <row r="239" spans="1:59" ht="13" customHeight="1">
      <c r="D239" t="s">
        <v>1080</v>
      </c>
      <c r="M239" s="1333" t="s">
        <v>1081</v>
      </c>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1082</v>
      </c>
      <c r="BG239" s="166">
        <f>IF(AND(AND($M$249="for profit",$M$257="for profit",$M$265="(select one)")),3,0)</f>
        <v>0</v>
      </c>
    </row>
    <row r="240" spans="1:59" ht="13" customHeight="1">
      <c r="D240" s="3"/>
      <c r="BB240" s="136" t="s">
        <v>1082</v>
      </c>
      <c r="BG240" s="166">
        <f>IF(AND(AND($M$249="for profit",$M$257="for profit",$M$265="for profit")),3,0)</f>
        <v>0</v>
      </c>
    </row>
    <row r="241" spans="1:67" ht="13" customHeight="1">
      <c r="A241" s="2" t="s">
        <v>1010</v>
      </c>
      <c r="C241" s="2" t="s">
        <v>1083</v>
      </c>
      <c r="D241" s="3"/>
      <c r="L241" s="7"/>
      <c r="M241" s="7"/>
      <c r="N241" s="7"/>
      <c r="AU241" s="3"/>
      <c r="AV241" s="3"/>
      <c r="AW241" s="3"/>
      <c r="AX241" s="3"/>
      <c r="AY241" s="3"/>
      <c r="BB241" s="136" t="s">
        <v>1082</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1084</v>
      </c>
      <c r="D243" s="3" t="s">
        <v>1085</v>
      </c>
      <c r="E243" s="3"/>
      <c r="F243" s="3"/>
      <c r="G243" s="3"/>
      <c r="H243" s="3"/>
      <c r="I243" s="3"/>
      <c r="J243" s="3"/>
      <c r="K243" s="3"/>
      <c r="L243" s="3"/>
      <c r="M243" s="1379" t="s">
        <v>1086</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1087</v>
      </c>
      <c r="AG243" s="1379"/>
      <c r="AH243" s="1379"/>
      <c r="AI243" s="1379"/>
      <c r="AJ243" s="1379"/>
      <c r="AK243" s="1379"/>
      <c r="AU243" s="3"/>
      <c r="AV243" s="3"/>
      <c r="AW243" s="3"/>
      <c r="AX243" s="3"/>
      <c r="AY243" s="3"/>
      <c r="BG243">
        <f>SUM(BG226:BG241)</f>
        <v>2</v>
      </c>
    </row>
    <row r="244" spans="1:67" ht="13" customHeight="1">
      <c r="A244" s="1160"/>
      <c r="B244" s="3"/>
      <c r="C244" s="3"/>
      <c r="D244" s="3" t="s">
        <v>1065</v>
      </c>
      <c r="E244" s="3"/>
      <c r="F244" s="3"/>
      <c r="G244" s="3"/>
      <c r="H244" s="3"/>
      <c r="I244" s="3"/>
      <c r="J244" s="3"/>
      <c r="K244" s="3"/>
      <c r="L244" s="3"/>
      <c r="M244" s="1377" t="s">
        <v>1088</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1089</v>
      </c>
      <c r="AL244" s="3"/>
      <c r="AM244" s="3"/>
      <c r="AN244" s="3"/>
      <c r="AO244" s="3"/>
      <c r="AP244" s="3"/>
      <c r="AQ244" s="3"/>
      <c r="AR244" s="3"/>
      <c r="AS244" s="3"/>
      <c r="AT244" s="3"/>
      <c r="BB244" t="s">
        <v>548</v>
      </c>
      <c r="BG244">
        <v>1</v>
      </c>
      <c r="BH244" t="s">
        <v>1090</v>
      </c>
    </row>
    <row r="245" spans="1:67" ht="13" customHeight="1">
      <c r="A245" s="1160"/>
      <c r="B245" s="3"/>
      <c r="C245" s="3"/>
      <c r="D245" s="3" t="s">
        <v>933</v>
      </c>
      <c r="E245" s="3"/>
      <c r="M245" s="1377" t="s">
        <v>888</v>
      </c>
      <c r="N245" s="1377"/>
      <c r="O245" s="1377"/>
      <c r="P245" s="1377"/>
      <c r="Q245" s="1377"/>
      <c r="R245" s="1377"/>
      <c r="S245" s="1377"/>
      <c r="T245" s="1377"/>
      <c r="V245" s="923" t="s">
        <v>1067</v>
      </c>
      <c r="W245" s="1395" t="s">
        <v>1068</v>
      </c>
      <c r="X245" s="1395"/>
      <c r="Y245" s="3" t="s">
        <v>938</v>
      </c>
      <c r="AC245" s="1377">
        <v>90036</v>
      </c>
      <c r="AD245" s="1377"/>
      <c r="AE245" s="1377"/>
      <c r="AF245" s="3" t="s">
        <v>1091</v>
      </c>
      <c r="AU245" s="3"/>
      <c r="AV245" s="3"/>
      <c r="AW245" s="3"/>
      <c r="AX245" s="3"/>
      <c r="AY245" s="3"/>
      <c r="BB245" s="3" t="s">
        <v>1092</v>
      </c>
      <c r="BG245">
        <v>2</v>
      </c>
      <c r="BH245" t="s">
        <v>1045</v>
      </c>
      <c r="BO245" s="1161" t="str">
        <f>VLOOKUP(BG243,BG244:BH247,2,FALSE)</f>
        <v>Joint Venture</v>
      </c>
    </row>
    <row r="246" spans="1:67" ht="13" customHeight="1">
      <c r="A246" s="1160"/>
      <c r="B246" s="3"/>
      <c r="C246" s="3"/>
      <c r="D246" s="3" t="s">
        <v>1069</v>
      </c>
      <c r="E246" s="3"/>
      <c r="F246" s="3"/>
      <c r="G246" s="3"/>
      <c r="H246" s="3"/>
      <c r="I246" s="3"/>
      <c r="J246" s="3"/>
      <c r="K246" s="3"/>
      <c r="L246" s="1160"/>
      <c r="M246" s="1377" t="s">
        <v>1070</v>
      </c>
      <c r="N246" s="1377"/>
      <c r="O246" s="1377"/>
      <c r="P246" s="1377"/>
      <c r="Q246" s="1377"/>
      <c r="R246" s="1377"/>
      <c r="S246" s="1377"/>
      <c r="T246" s="1377"/>
      <c r="U246" s="1377"/>
      <c r="V246" s="1377"/>
      <c r="W246" s="1377"/>
      <c r="X246" s="1377"/>
      <c r="Y246" s="1377"/>
      <c r="Z246" s="1377"/>
      <c r="AA246" s="1377"/>
      <c r="AB246" s="1377"/>
      <c r="AC246" s="1377"/>
      <c r="AD246" s="1377"/>
      <c r="AE246" s="1377"/>
      <c r="AH246" s="1716">
        <v>8.9999999999999993E-3</v>
      </c>
      <c r="AI246" s="1716"/>
      <c r="AJ246" s="1716"/>
      <c r="AK246" s="1716"/>
      <c r="AL246" s="3"/>
      <c r="AM246" s="3"/>
      <c r="AN246" s="3"/>
      <c r="AO246" s="3"/>
      <c r="AP246" s="3"/>
      <c r="AQ246" s="3"/>
      <c r="AR246" s="3"/>
      <c r="AS246" s="3"/>
      <c r="AT246" s="3"/>
      <c r="BB246" s="3" t="s">
        <v>1093</v>
      </c>
      <c r="BG246">
        <v>3</v>
      </c>
      <c r="BH246" t="s">
        <v>1094</v>
      </c>
      <c r="BN246" s="3"/>
    </row>
    <row r="247" spans="1:67" ht="13" customHeight="1">
      <c r="A247" s="1160"/>
      <c r="B247" s="3"/>
      <c r="C247" s="3"/>
      <c r="D247" s="3" t="s">
        <v>1071</v>
      </c>
      <c r="E247" s="3"/>
      <c r="F247" s="3"/>
      <c r="M247" s="1309" t="s">
        <v>1072</v>
      </c>
      <c r="N247" s="1309"/>
      <c r="O247" s="1309"/>
      <c r="P247" s="1309"/>
      <c r="Q247" s="1309"/>
      <c r="R247" s="1309"/>
      <c r="S247" s="3" t="s">
        <v>1073</v>
      </c>
      <c r="T247" s="3"/>
      <c r="U247" s="1395"/>
      <c r="V247" s="1395"/>
      <c r="W247" s="1395"/>
      <c r="X247" s="3" t="s">
        <v>1074</v>
      </c>
      <c r="Z247" s="1309"/>
      <c r="AA247" s="1309"/>
      <c r="AB247" s="1309"/>
      <c r="AC247" s="1309"/>
      <c r="AD247" s="1309"/>
      <c r="AE247" s="1309"/>
      <c r="AU247" s="3"/>
      <c r="AV247" s="3"/>
      <c r="AW247" s="3"/>
      <c r="AX247" s="3"/>
      <c r="AY247" s="3"/>
      <c r="BG247">
        <v>0</v>
      </c>
      <c r="BH247" s="3" t="str">
        <f>""</f>
        <v/>
      </c>
      <c r="BN247" s="3"/>
    </row>
    <row r="248" spans="1:67" ht="13" customHeight="1">
      <c r="A248" s="1160"/>
      <c r="B248" s="3"/>
      <c r="C248" s="3"/>
      <c r="D248" s="3" t="s">
        <v>1076</v>
      </c>
      <c r="E248" s="3"/>
      <c r="F248" s="3"/>
      <c r="M248" s="1722" t="s">
        <v>1077</v>
      </c>
      <c r="N248" s="1722"/>
      <c r="O248" s="1722"/>
      <c r="P248" s="1722"/>
      <c r="Q248" s="1722"/>
      <c r="R248" s="1722"/>
      <c r="S248" s="1722"/>
      <c r="T248" s="1722"/>
      <c r="U248" s="1722"/>
      <c r="V248" s="1722"/>
      <c r="W248" s="1722"/>
      <c r="X248" s="1722"/>
      <c r="Y248" s="1722"/>
      <c r="Z248" s="1722"/>
      <c r="AA248" s="1722"/>
      <c r="AB248" s="1722"/>
      <c r="AC248" s="1722"/>
      <c r="AD248" s="1722"/>
      <c r="AE248" s="1722"/>
      <c r="AG248" s="3"/>
      <c r="AH248" s="3"/>
      <c r="AI248" s="3"/>
      <c r="AJ248" s="3"/>
      <c r="AK248" s="3"/>
      <c r="AL248" s="3"/>
      <c r="AM248" s="3"/>
      <c r="AN248" s="3"/>
      <c r="AO248" s="3"/>
      <c r="AP248" s="3"/>
      <c r="AQ248" s="3"/>
      <c r="AR248" s="3"/>
      <c r="AS248" s="3"/>
      <c r="AT248" s="3"/>
      <c r="BN248" s="3"/>
    </row>
    <row r="249" spans="1:67" ht="13" customHeight="1">
      <c r="A249" s="12"/>
      <c r="B249" s="3"/>
      <c r="C249" s="48"/>
      <c r="D249" s="3" t="s">
        <v>1095</v>
      </c>
      <c r="E249" s="3"/>
      <c r="F249" s="3"/>
      <c r="G249" s="3"/>
      <c r="H249" s="3"/>
      <c r="I249" s="3"/>
      <c r="J249" s="3"/>
      <c r="K249" s="3"/>
      <c r="L249" s="3"/>
      <c r="M249" s="1294" t="s">
        <v>1094</v>
      </c>
      <c r="N249" s="1294"/>
      <c r="O249" s="1294"/>
      <c r="P249" s="1294"/>
      <c r="Q249" s="1294"/>
      <c r="R249" s="1294"/>
      <c r="S249" s="1294"/>
      <c r="T249" s="1294"/>
      <c r="U249" s="136" t="s">
        <v>1079</v>
      </c>
      <c r="V249" s="136"/>
      <c r="W249" s="136"/>
      <c r="X249" s="136"/>
      <c r="Y249" s="136"/>
      <c r="Z249" s="136"/>
      <c r="AA249" s="1731" t="s">
        <v>668</v>
      </c>
      <c r="AB249" s="1714"/>
      <c r="AC249" s="1714"/>
      <c r="AD249" s="1714"/>
      <c r="AE249" s="1714"/>
      <c r="AF249" s="1714"/>
      <c r="AG249" s="1714"/>
      <c r="AH249" s="1714"/>
      <c r="AI249" s="1714"/>
      <c r="AJ249" s="1714"/>
      <c r="AK249" s="1714"/>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1096</v>
      </c>
      <c r="D251" s="3" t="s">
        <v>1097</v>
      </c>
      <c r="E251" s="3"/>
      <c r="F251" s="3"/>
      <c r="G251" s="3"/>
      <c r="H251" s="3"/>
      <c r="I251" s="3"/>
      <c r="J251" s="3"/>
      <c r="K251" s="3"/>
      <c r="L251" s="3"/>
      <c r="M251" s="1379" t="s">
        <v>1098</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1099</v>
      </c>
      <c r="AG251" s="1379"/>
      <c r="AH251" s="1379"/>
      <c r="AI251" s="1379"/>
      <c r="AJ251" s="1379"/>
      <c r="AK251" s="1379"/>
      <c r="AU251" s="3"/>
      <c r="AV251" s="3"/>
      <c r="AW251" s="3"/>
      <c r="AX251" s="3"/>
      <c r="AY251" s="3"/>
      <c r="BN251" s="3"/>
    </row>
    <row r="252" spans="1:67" ht="13" customHeight="1">
      <c r="A252" s="1160"/>
      <c r="B252" s="3"/>
      <c r="C252" s="3"/>
      <c r="D252" s="3" t="s">
        <v>1065</v>
      </c>
      <c r="E252" s="3"/>
      <c r="F252" s="3"/>
      <c r="G252" s="3"/>
      <c r="H252" s="3"/>
      <c r="I252" s="3"/>
      <c r="J252" s="3"/>
      <c r="K252" s="3"/>
      <c r="L252" s="3"/>
      <c r="M252" s="1377" t="s">
        <v>1100</v>
      </c>
      <c r="N252" s="1377"/>
      <c r="O252" s="1377"/>
      <c r="P252" s="1377"/>
      <c r="Q252" s="1377"/>
      <c r="R252" s="1377"/>
      <c r="S252" s="1377"/>
      <c r="T252" s="1377"/>
      <c r="U252" s="1377"/>
      <c r="V252" s="1377"/>
      <c r="W252" s="1377"/>
      <c r="X252" s="1377"/>
      <c r="Y252" s="1377"/>
      <c r="Z252" s="1377"/>
      <c r="AA252" s="1377"/>
      <c r="AB252" s="1377"/>
      <c r="AC252" s="1377"/>
      <c r="AD252" s="1377"/>
      <c r="AE252" s="1377"/>
      <c r="AF252" s="3" t="s">
        <v>1089</v>
      </c>
      <c r="AL252" s="3"/>
      <c r="AM252" s="3"/>
      <c r="AN252" s="3"/>
      <c r="AO252" s="3"/>
      <c r="AP252" s="3"/>
      <c r="AQ252" s="3"/>
      <c r="AR252" s="3"/>
      <c r="AS252" s="3"/>
      <c r="AT252" s="3"/>
      <c r="BN252" s="3"/>
    </row>
    <row r="253" spans="1:67" ht="13" customHeight="1">
      <c r="A253" s="1160"/>
      <c r="B253" s="3"/>
      <c r="C253" s="3"/>
      <c r="D253" s="3" t="s">
        <v>933</v>
      </c>
      <c r="E253" s="3"/>
      <c r="M253" s="1377" t="s">
        <v>1101</v>
      </c>
      <c r="N253" s="1377"/>
      <c r="O253" s="1377"/>
      <c r="P253" s="1377"/>
      <c r="Q253" s="1377"/>
      <c r="R253" s="1377"/>
      <c r="S253" s="1377"/>
      <c r="T253" s="1377"/>
      <c r="V253" s="923" t="s">
        <v>1067</v>
      </c>
      <c r="W253" s="1395" t="s">
        <v>1068</v>
      </c>
      <c r="X253" s="1395"/>
      <c r="Y253" s="3" t="s">
        <v>938</v>
      </c>
      <c r="AC253" s="1377">
        <v>92024</v>
      </c>
      <c r="AD253" s="1377"/>
      <c r="AE253" s="1377"/>
      <c r="AF253" s="3" t="s">
        <v>1091</v>
      </c>
      <c r="AU253" s="3"/>
      <c r="AV253" s="3"/>
      <c r="AW253" s="3"/>
      <c r="AX253" s="3"/>
      <c r="AY253" s="3"/>
      <c r="BN253" s="3"/>
    </row>
    <row r="254" spans="1:67" ht="13" customHeight="1">
      <c r="A254" s="1160"/>
      <c r="B254" s="3"/>
      <c r="C254" s="3"/>
      <c r="D254" s="3" t="s">
        <v>1069</v>
      </c>
      <c r="E254" s="3"/>
      <c r="F254" s="3"/>
      <c r="G254" s="3"/>
      <c r="H254" s="3"/>
      <c r="I254" s="3"/>
      <c r="J254" s="3"/>
      <c r="K254" s="3"/>
      <c r="L254" s="1160"/>
      <c r="M254" s="1377" t="s">
        <v>793</v>
      </c>
      <c r="N254" s="1377"/>
      <c r="O254" s="1377"/>
      <c r="P254" s="1377"/>
      <c r="Q254" s="1377"/>
      <c r="R254" s="1377"/>
      <c r="S254" s="1377"/>
      <c r="T254" s="1377"/>
      <c r="U254" s="1377"/>
      <c r="V254" s="1377"/>
      <c r="W254" s="1377"/>
      <c r="X254" s="1377"/>
      <c r="Y254" s="1377"/>
      <c r="Z254" s="1377"/>
      <c r="AA254" s="1377"/>
      <c r="AB254" s="1377"/>
      <c r="AC254" s="1377"/>
      <c r="AD254" s="1377"/>
      <c r="AE254" s="1377"/>
      <c r="AH254" s="1716">
        <v>1E-3</v>
      </c>
      <c r="AI254" s="1716"/>
      <c r="AJ254" s="1716"/>
      <c r="AK254" s="1716"/>
      <c r="AL254" s="3"/>
      <c r="AM254" s="3"/>
      <c r="AN254" s="3"/>
      <c r="AO254" s="3"/>
      <c r="AP254" s="3"/>
      <c r="AQ254" s="3"/>
      <c r="AR254" s="3"/>
      <c r="AS254" s="3"/>
      <c r="AT254" s="3"/>
    </row>
    <row r="255" spans="1:67" ht="13" customHeight="1">
      <c r="A255" s="1160"/>
      <c r="B255" s="3"/>
      <c r="C255" s="3"/>
      <c r="D255" s="3" t="s">
        <v>1071</v>
      </c>
      <c r="E255" s="3"/>
      <c r="F255" s="3"/>
      <c r="M255" s="1309" t="s">
        <v>1102</v>
      </c>
      <c r="N255" s="1309"/>
      <c r="O255" s="1309"/>
      <c r="P255" s="1309"/>
      <c r="Q255" s="1309"/>
      <c r="R255" s="1309"/>
      <c r="S255" s="3" t="s">
        <v>1073</v>
      </c>
      <c r="T255" s="3"/>
      <c r="U255" s="1395"/>
      <c r="V255" s="1395"/>
      <c r="W255" s="1395"/>
      <c r="X255" s="3" t="s">
        <v>1074</v>
      </c>
      <c r="Z255" s="1309"/>
      <c r="AA255" s="1309"/>
      <c r="AB255" s="1309"/>
      <c r="AC255" s="1309"/>
      <c r="AD255" s="1309"/>
      <c r="AE255" s="1309"/>
      <c r="AU255" s="3"/>
      <c r="AV255" s="3"/>
      <c r="AW255" s="3"/>
      <c r="AX255" s="3"/>
      <c r="AY255" s="3"/>
      <c r="BN255" s="3"/>
    </row>
    <row r="256" spans="1:67" ht="13" customHeight="1">
      <c r="A256" s="1160"/>
      <c r="B256" s="3"/>
      <c r="C256" s="3"/>
      <c r="D256" s="3" t="s">
        <v>1076</v>
      </c>
      <c r="E256" s="3"/>
      <c r="F256" s="3"/>
      <c r="M256" s="1722" t="s">
        <v>1103</v>
      </c>
      <c r="N256" s="1722"/>
      <c r="O256" s="1722"/>
      <c r="P256" s="1722"/>
      <c r="Q256" s="1722"/>
      <c r="R256" s="1722"/>
      <c r="S256" s="1722"/>
      <c r="T256" s="1722"/>
      <c r="U256" s="1722"/>
      <c r="V256" s="1722"/>
      <c r="W256" s="1722"/>
      <c r="X256" s="1722"/>
      <c r="Y256" s="1722"/>
      <c r="Z256" s="1722"/>
      <c r="AA256" s="1722"/>
      <c r="AB256" s="1722"/>
      <c r="AC256" s="1722"/>
      <c r="AD256" s="1722"/>
      <c r="AE256" s="1722"/>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1095</v>
      </c>
      <c r="E257" s="3"/>
      <c r="F257" s="3"/>
      <c r="G257" s="3"/>
      <c r="H257" s="3"/>
      <c r="I257" s="3"/>
      <c r="J257" s="3"/>
      <c r="K257" s="3"/>
      <c r="L257" s="3"/>
      <c r="M257" s="1294" t="s">
        <v>1090</v>
      </c>
      <c r="N257" s="1294"/>
      <c r="O257" s="1294"/>
      <c r="P257" s="1294"/>
      <c r="Q257" s="1294"/>
      <c r="R257" s="1294"/>
      <c r="S257" s="1294"/>
      <c r="T257" s="1294"/>
      <c r="U257" s="136" t="s">
        <v>1079</v>
      </c>
      <c r="V257" s="136"/>
      <c r="W257" s="136"/>
      <c r="X257" s="136"/>
      <c r="Y257" s="136"/>
      <c r="Z257" s="136"/>
      <c r="AA257" s="1714"/>
      <c r="AB257" s="1714"/>
      <c r="AC257" s="1714"/>
      <c r="AD257" s="1714"/>
      <c r="AE257" s="1714"/>
      <c r="AF257" s="1714"/>
      <c r="AG257" s="1714"/>
      <c r="AH257" s="1714"/>
      <c r="AI257" s="1714"/>
      <c r="AJ257" s="1714"/>
      <c r="AK257" s="1714"/>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1104</v>
      </c>
      <c r="D259" s="3" t="s">
        <v>1085</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548</v>
      </c>
      <c r="AG259" s="1379"/>
      <c r="AH259" s="1379"/>
      <c r="AI259" s="1379"/>
      <c r="AJ259" s="1379"/>
      <c r="AK259" s="1379"/>
      <c r="AL259" s="3"/>
      <c r="AM259" s="3"/>
      <c r="AN259" s="3"/>
      <c r="AO259" s="3"/>
      <c r="AP259" s="3"/>
      <c r="AQ259" s="3"/>
      <c r="AR259" s="3"/>
      <c r="AS259" s="3"/>
      <c r="AT259" s="3"/>
      <c r="AU259" s="3"/>
      <c r="AV259" s="3"/>
      <c r="AW259" s="3"/>
      <c r="AX259" s="3"/>
      <c r="AY259" s="3"/>
    </row>
    <row r="260" spans="1:51" ht="13" customHeight="1">
      <c r="A260" s="12"/>
      <c r="B260" s="3"/>
      <c r="C260" s="3"/>
      <c r="D260" s="3" t="s">
        <v>1065</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1089</v>
      </c>
      <c r="AL260" s="3"/>
      <c r="AM260" s="3"/>
      <c r="AN260" s="3"/>
      <c r="AO260" s="3"/>
      <c r="AP260" s="3"/>
      <c r="AQ260" s="3"/>
      <c r="AR260" s="3"/>
      <c r="AS260" s="3"/>
      <c r="AT260" s="3"/>
      <c r="AU260" s="3"/>
      <c r="AV260" s="3"/>
      <c r="AW260" s="3"/>
      <c r="AX260" s="3"/>
      <c r="AY260" s="3"/>
    </row>
    <row r="261" spans="1:51" ht="13" customHeight="1">
      <c r="A261" s="12"/>
      <c r="B261" s="3"/>
      <c r="C261" s="3"/>
      <c r="D261" s="3" t="s">
        <v>933</v>
      </c>
      <c r="E261" s="3"/>
      <c r="M261" s="1377"/>
      <c r="N261" s="1377"/>
      <c r="O261" s="1377"/>
      <c r="P261" s="1377"/>
      <c r="Q261" s="1377"/>
      <c r="R261" s="1377"/>
      <c r="S261" s="1377"/>
      <c r="T261" s="1377"/>
      <c r="V261" s="923" t="s">
        <v>1067</v>
      </c>
      <c r="W261" s="1395"/>
      <c r="X261" s="1395"/>
      <c r="Y261" s="3" t="s">
        <v>938</v>
      </c>
      <c r="AC261" s="1377"/>
      <c r="AD261" s="1377"/>
      <c r="AE261" s="1377"/>
      <c r="AF261" s="3" t="s">
        <v>1091</v>
      </c>
      <c r="AL261" s="3"/>
      <c r="AM261" s="3"/>
      <c r="AN261" s="3"/>
      <c r="AO261" s="3"/>
      <c r="AP261" s="3"/>
      <c r="AQ261" s="3"/>
      <c r="AR261" s="3"/>
      <c r="AS261" s="3"/>
      <c r="AT261" s="3"/>
      <c r="AU261" s="3"/>
      <c r="AV261" s="3"/>
      <c r="AW261" s="3"/>
      <c r="AX261" s="3"/>
      <c r="AY261" s="3"/>
    </row>
    <row r="262" spans="1:51" ht="13" customHeight="1">
      <c r="A262" s="12"/>
      <c r="B262" s="3"/>
      <c r="C262" s="3"/>
      <c r="D262" s="3" t="s">
        <v>1069</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6"/>
      <c r="AI262" s="1716"/>
      <c r="AJ262" s="1716"/>
      <c r="AK262" s="1716"/>
      <c r="AL262" s="3"/>
      <c r="AM262" s="3"/>
      <c r="AN262" s="3"/>
      <c r="AO262" s="3"/>
      <c r="AP262" s="3"/>
      <c r="AQ262" s="3"/>
      <c r="AR262" s="3"/>
      <c r="AS262" s="3"/>
      <c r="AT262" s="3"/>
      <c r="AU262" s="3"/>
      <c r="AV262" s="3"/>
      <c r="AW262" s="3"/>
      <c r="AX262" s="3"/>
      <c r="AY262" s="3"/>
    </row>
    <row r="263" spans="1:51" ht="13" customHeight="1">
      <c r="A263" s="12"/>
      <c r="B263" s="3"/>
      <c r="C263" s="3"/>
      <c r="D263" s="3" t="s">
        <v>1071</v>
      </c>
      <c r="E263" s="3"/>
      <c r="F263" s="3"/>
      <c r="M263" s="1309"/>
      <c r="N263" s="1309"/>
      <c r="O263" s="1309"/>
      <c r="P263" s="1309"/>
      <c r="Q263" s="1309"/>
      <c r="R263" s="1309"/>
      <c r="S263" s="3" t="s">
        <v>1073</v>
      </c>
      <c r="T263" s="3"/>
      <c r="U263" s="1395"/>
      <c r="V263" s="1395"/>
      <c r="W263" s="1395"/>
      <c r="X263" s="3" t="s">
        <v>1074</v>
      </c>
      <c r="Z263" s="1309"/>
      <c r="AA263" s="1309"/>
      <c r="AB263" s="1309"/>
      <c r="AC263" s="1309"/>
      <c r="AD263" s="1309"/>
      <c r="AE263" s="1309"/>
      <c r="AL263" s="3"/>
      <c r="AM263" s="3"/>
      <c r="AN263" s="3"/>
      <c r="AO263" s="3"/>
      <c r="AP263" s="3"/>
      <c r="AQ263" s="3"/>
      <c r="AR263" s="3"/>
      <c r="AS263" s="3"/>
      <c r="AT263" s="3"/>
      <c r="AU263" s="3"/>
      <c r="AV263" s="3"/>
      <c r="AW263" s="3"/>
      <c r="AX263" s="3"/>
      <c r="AY263" s="3"/>
    </row>
    <row r="264" spans="1:51" ht="13" customHeight="1">
      <c r="A264" s="12"/>
      <c r="B264" s="3"/>
      <c r="C264" s="3"/>
      <c r="D264" s="3" t="s">
        <v>1076</v>
      </c>
      <c r="E264" s="3"/>
      <c r="F264" s="3"/>
      <c r="M264" s="1722"/>
      <c r="N264" s="1722"/>
      <c r="O264" s="1722"/>
      <c r="P264" s="1722"/>
      <c r="Q264" s="1722"/>
      <c r="R264" s="1722"/>
      <c r="S264" s="1722"/>
      <c r="T264" s="1722"/>
      <c r="U264" s="1722"/>
      <c r="V264" s="1722"/>
      <c r="W264" s="1722"/>
      <c r="X264" s="1722"/>
      <c r="Y264" s="1722"/>
      <c r="Z264" s="1722"/>
      <c r="AA264" s="1741"/>
      <c r="AB264" s="1741"/>
      <c r="AC264" s="1741"/>
      <c r="AD264" s="1741"/>
      <c r="AE264" s="1741"/>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1095</v>
      </c>
      <c r="E265" s="3"/>
      <c r="F265" s="3"/>
      <c r="G265" s="3"/>
      <c r="H265" s="3"/>
      <c r="I265" s="3"/>
      <c r="J265" s="3"/>
      <c r="K265" s="3"/>
      <c r="L265" s="3"/>
      <c r="M265" s="1294" t="s">
        <v>548</v>
      </c>
      <c r="N265" s="1294"/>
      <c r="O265" s="1294"/>
      <c r="P265" s="1294"/>
      <c r="Q265" s="1294"/>
      <c r="R265" s="1294"/>
      <c r="S265" s="1294"/>
      <c r="T265" s="1294"/>
      <c r="U265" s="136" t="s">
        <v>1079</v>
      </c>
      <c r="V265" s="136"/>
      <c r="W265" s="136"/>
      <c r="X265" s="136"/>
      <c r="Y265" s="136"/>
      <c r="Z265" s="136"/>
      <c r="AA265" s="1715"/>
      <c r="AB265" s="1715"/>
      <c r="AC265" s="1715"/>
      <c r="AD265" s="1715"/>
      <c r="AE265" s="1715"/>
      <c r="AF265" s="1715"/>
      <c r="AG265" s="1715"/>
      <c r="AH265" s="1715"/>
      <c r="AI265" s="1715"/>
      <c r="AJ265" s="1715"/>
      <c r="AK265" s="1715"/>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1022</v>
      </c>
      <c r="B267" s="3"/>
      <c r="C267" s="2" t="s">
        <v>1105</v>
      </c>
      <c r="D267" s="3"/>
      <c r="E267" s="3"/>
      <c r="F267" s="3"/>
      <c r="G267" s="3"/>
      <c r="H267" s="3"/>
      <c r="I267" s="3"/>
      <c r="J267" s="3"/>
      <c r="K267" s="3"/>
      <c r="L267" s="3"/>
      <c r="M267" s="84"/>
      <c r="N267" s="84"/>
      <c r="O267" s="84"/>
      <c r="P267" s="84"/>
      <c r="Q267" s="84"/>
      <c r="T267" s="1717" t="str">
        <f>IFERROR(BO245,"")</f>
        <v>Joint Venture</v>
      </c>
      <c r="U267" s="1717"/>
      <c r="V267" s="1717"/>
      <c r="W267" s="1717"/>
      <c r="X267" s="1717"/>
      <c r="Z267" s="214" t="s">
        <v>1106</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1107</v>
      </c>
      <c r="AF268" s="3"/>
      <c r="AG268" s="3"/>
      <c r="AH268" s="3"/>
      <c r="AI268" s="3"/>
      <c r="AJ268" s="3"/>
      <c r="AL268" s="56"/>
    </row>
    <row r="269" spans="1:51" ht="13" customHeight="1">
      <c r="A269" s="2" t="s">
        <v>1049</v>
      </c>
      <c r="B269" s="3"/>
      <c r="C269" s="2" t="s">
        <v>124</v>
      </c>
      <c r="D269" s="3"/>
      <c r="E269" s="3"/>
      <c r="F269" s="3"/>
      <c r="G269" s="3"/>
      <c r="H269" s="3"/>
      <c r="I269" s="3"/>
      <c r="J269" s="3"/>
      <c r="K269" s="3"/>
      <c r="L269" s="3"/>
      <c r="M269" s="3"/>
      <c r="N269" s="3"/>
      <c r="O269" s="3"/>
      <c r="P269" s="3"/>
      <c r="Q269" s="3"/>
      <c r="R269" s="3"/>
      <c r="S269" s="3"/>
      <c r="T269" s="3"/>
      <c r="U269" s="3"/>
      <c r="V269" s="3"/>
      <c r="W269" s="3"/>
      <c r="Z269" s="218" t="s">
        <v>1108</v>
      </c>
      <c r="AA269" s="40"/>
      <c r="AB269" s="40"/>
      <c r="AC269" s="40"/>
      <c r="AD269" s="40"/>
      <c r="AE269" s="40"/>
      <c r="AF269" s="792"/>
      <c r="AG269" s="792"/>
      <c r="AH269" s="792"/>
      <c r="AI269" s="792"/>
      <c r="AJ269" s="792"/>
      <c r="AK269" s="40"/>
      <c r="AL269" s="41"/>
    </row>
    <row r="270" spans="1:51" ht="13" customHeight="1">
      <c r="A270" s="3"/>
      <c r="B270" s="28">
        <v>0</v>
      </c>
      <c r="D270" s="1377" t="s">
        <v>1093</v>
      </c>
      <c r="E270" s="1377"/>
      <c r="F270" s="1377"/>
      <c r="G270" s="1377"/>
      <c r="H270" s="1377"/>
      <c r="J270" t="s">
        <v>1109</v>
      </c>
      <c r="X270" s="1635"/>
      <c r="Y270" s="1635"/>
      <c r="Z270" s="1635"/>
      <c r="AA270" s="1635"/>
      <c r="AB270" s="1635"/>
      <c r="AC270" s="1635"/>
      <c r="AU270" s="3"/>
      <c r="AV270" s="3"/>
      <c r="AW270" s="3"/>
      <c r="AX270" s="3"/>
      <c r="AY270" s="3"/>
    </row>
    <row r="271" spans="1:51" ht="13" customHeight="1">
      <c r="A271" s="3"/>
      <c r="B271" s="1160"/>
      <c r="D271" s="29" t="s">
        <v>1110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1111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1112</v>
      </c>
      <c r="E274" s="3"/>
      <c r="F274" s="3"/>
      <c r="G274" s="3"/>
      <c r="H274" s="3"/>
      <c r="I274" s="3"/>
      <c r="J274" s="3"/>
      <c r="K274" s="3"/>
      <c r="L274" s="1379" t="s">
        <v>1113</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 customHeight="1">
      <c r="D275" s="3" t="s">
        <v>1065</v>
      </c>
      <c r="E275" s="3"/>
      <c r="F275" s="3"/>
      <c r="G275" s="3"/>
      <c r="H275" s="3"/>
      <c r="I275" s="3"/>
      <c r="J275" s="3"/>
      <c r="K275" s="3"/>
      <c r="L275" s="1377" t="s">
        <v>1114</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 customHeight="1">
      <c r="D276" s="3" t="s">
        <v>933</v>
      </c>
      <c r="E276" s="3"/>
      <c r="L276" s="1377" t="s">
        <v>942</v>
      </c>
      <c r="M276" s="1377"/>
      <c r="N276" s="1377"/>
      <c r="O276" s="1377"/>
      <c r="P276" s="1377"/>
      <c r="Q276" s="1377"/>
      <c r="R276" s="1377"/>
      <c r="S276" s="1377"/>
      <c r="U276" s="923" t="s">
        <v>1067</v>
      </c>
      <c r="V276" s="1395" t="s">
        <v>1068</v>
      </c>
      <c r="W276" s="1395"/>
      <c r="X276" s="3" t="s">
        <v>938</v>
      </c>
      <c r="AB276" s="1377">
        <v>95811</v>
      </c>
      <c r="AC276" s="1377"/>
      <c r="AD276" s="1377"/>
      <c r="AK276" s="3"/>
      <c r="AL276" s="3"/>
      <c r="AM276" s="3"/>
      <c r="AN276" s="3"/>
      <c r="AO276" s="3"/>
      <c r="AP276" s="3"/>
      <c r="AQ276" s="3"/>
      <c r="AR276" s="3"/>
      <c r="AS276" s="3"/>
      <c r="AT276" s="3"/>
      <c r="AU276" s="3"/>
      <c r="AV276" s="3"/>
      <c r="AW276" s="3"/>
      <c r="AX276" s="3"/>
      <c r="AY276" s="3"/>
    </row>
    <row r="277" spans="1:51" ht="13" customHeight="1">
      <c r="D277" s="3" t="s">
        <v>1069</v>
      </c>
      <c r="E277" s="3"/>
      <c r="F277" s="3"/>
      <c r="G277" s="3"/>
      <c r="H277" s="3"/>
      <c r="I277" s="3"/>
      <c r="J277" s="3"/>
      <c r="K277" s="1160"/>
      <c r="L277" s="1377" t="s">
        <v>1115</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 customHeight="1">
      <c r="D278" s="3" t="s">
        <v>1071</v>
      </c>
      <c r="E278" s="3"/>
      <c r="F278" s="3"/>
      <c r="L278" s="1309" t="s">
        <v>1116</v>
      </c>
      <c r="M278" s="1309"/>
      <c r="N278" s="1309"/>
      <c r="O278" s="1309"/>
      <c r="P278" s="1309"/>
      <c r="Q278" s="1309"/>
      <c r="R278" s="3" t="s">
        <v>1073</v>
      </c>
      <c r="S278" s="3"/>
      <c r="T278" s="1395"/>
      <c r="U278" s="1395"/>
      <c r="V278" s="1395"/>
      <c r="W278" s="3" t="s">
        <v>1074</v>
      </c>
      <c r="Y278" s="1309"/>
      <c r="Z278" s="1309"/>
      <c r="AA278" s="1309"/>
      <c r="AB278" s="1309"/>
      <c r="AC278" s="1309"/>
      <c r="AD278" s="1309"/>
    </row>
    <row r="279" spans="1:51" ht="13" customHeight="1">
      <c r="D279" s="3" t="s">
        <v>1076</v>
      </c>
      <c r="E279" s="3"/>
      <c r="F279" s="3"/>
      <c r="L279" s="1722" t="s">
        <v>1117</v>
      </c>
      <c r="M279" s="1722"/>
      <c r="N279" s="1722"/>
      <c r="O279" s="1722"/>
      <c r="P279" s="1722"/>
      <c r="Q279" s="1722"/>
      <c r="R279" s="1722"/>
      <c r="S279" s="1722"/>
      <c r="T279" s="1722"/>
      <c r="U279" s="1722"/>
      <c r="V279" s="1722"/>
      <c r="W279" s="1722"/>
      <c r="X279" s="1722"/>
      <c r="Y279" s="1722"/>
      <c r="Z279" s="1722"/>
      <c r="AA279" s="1722"/>
      <c r="AB279" s="1722"/>
      <c r="AC279" s="1722"/>
      <c r="AD279" s="1722"/>
      <c r="AF279" s="3"/>
      <c r="AG279" s="3"/>
      <c r="AH279" s="3"/>
      <c r="AI279" s="3"/>
      <c r="AJ279" s="3"/>
      <c r="AU279" s="3"/>
      <c r="AV279" s="3"/>
      <c r="AW279" s="3"/>
      <c r="AX279" s="3"/>
      <c r="AY279" s="3"/>
    </row>
    <row r="280" spans="1:51" ht="13" customHeight="1">
      <c r="D280" s="3" t="s">
        <v>1118</v>
      </c>
      <c r="E280" s="3"/>
      <c r="F280" s="3"/>
      <c r="G280" s="3"/>
      <c r="H280" s="3"/>
      <c r="I280" s="3"/>
      <c r="L280" s="1395" t="s">
        <v>1119</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 customHeight="1">
      <c r="L281" s="19" t="s">
        <v>1120</v>
      </c>
      <c r="AU281" s="70"/>
      <c r="AV281" s="70"/>
      <c r="AW281" s="70"/>
      <c r="AX281" s="70"/>
      <c r="AY281" s="70"/>
    </row>
    <row r="282" spans="1:51" ht="13" customHeight="1">
      <c r="A282" s="1381" t="s">
        <v>1121</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873</v>
      </c>
      <c r="C285" s="2" t="s">
        <v>1122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1123</v>
      </c>
      <c r="C287" s="3"/>
      <c r="D287" s="3"/>
      <c r="E287" s="3"/>
      <c r="F287" s="3"/>
      <c r="H287" s="1333" t="s">
        <v>668</v>
      </c>
      <c r="I287" s="1333"/>
      <c r="J287" s="1333"/>
      <c r="K287" s="1333"/>
      <c r="L287" s="1333"/>
      <c r="M287" s="1333"/>
      <c r="N287" s="1333"/>
      <c r="O287" s="1333"/>
      <c r="P287" s="1333"/>
      <c r="Q287" s="1333"/>
      <c r="R287" s="1333"/>
      <c r="T287" s="3" t="s">
        <v>1124</v>
      </c>
      <c r="V287" s="3"/>
      <c r="W287" s="3"/>
      <c r="X287" s="3"/>
      <c r="Y287" s="3"/>
      <c r="AA287" s="1333" t="s">
        <v>1125</v>
      </c>
      <c r="AB287" s="1333"/>
      <c r="AC287" s="1333"/>
      <c r="AD287" s="1333"/>
      <c r="AE287" s="1333"/>
      <c r="AF287" s="1333"/>
      <c r="AG287" s="1333"/>
      <c r="AH287" s="1333"/>
      <c r="AI287" s="1333"/>
      <c r="AJ287" s="1333"/>
      <c r="AK287" s="1333"/>
    </row>
    <row r="288" spans="1:51" ht="13" customHeight="1">
      <c r="B288" s="3" t="s">
        <v>1126</v>
      </c>
      <c r="C288" s="3"/>
      <c r="D288" s="3"/>
      <c r="E288" s="3"/>
      <c r="F288" s="3"/>
      <c r="H288" s="1294" t="s">
        <v>1127</v>
      </c>
      <c r="I288" s="1294"/>
      <c r="J288" s="1294"/>
      <c r="K288" s="1294"/>
      <c r="L288" s="1294"/>
      <c r="M288" s="1294"/>
      <c r="N288" s="1294"/>
      <c r="O288" s="1294"/>
      <c r="P288" s="1294"/>
      <c r="Q288" s="1294"/>
      <c r="R288" s="1294"/>
      <c r="T288" s="3" t="s">
        <v>1126</v>
      </c>
      <c r="V288" s="3"/>
      <c r="W288" s="3"/>
      <c r="X288" s="3"/>
      <c r="Y288" s="3"/>
      <c r="AA288" s="1294" t="s">
        <v>1128</v>
      </c>
      <c r="AB288" s="1294"/>
      <c r="AC288" s="1294"/>
      <c r="AD288" s="1294"/>
      <c r="AE288" s="1294"/>
      <c r="AF288" s="1294"/>
      <c r="AG288" s="1294"/>
      <c r="AH288" s="1294"/>
      <c r="AI288" s="1294"/>
      <c r="AJ288" s="1294"/>
      <c r="AK288" s="1294"/>
    </row>
    <row r="289" spans="2:37" ht="13" customHeight="1">
      <c r="B289" s="3" t="s">
        <v>1129</v>
      </c>
      <c r="C289" s="3"/>
      <c r="D289" s="3"/>
      <c r="E289" s="3"/>
      <c r="F289" s="3"/>
      <c r="H289" s="1294" t="s">
        <v>1130</v>
      </c>
      <c r="I289" s="1294"/>
      <c r="J289" s="1294"/>
      <c r="K289" s="1294"/>
      <c r="L289" s="1294"/>
      <c r="M289" s="1294"/>
      <c r="N289" s="1294"/>
      <c r="O289" s="1294"/>
      <c r="P289" s="1294"/>
      <c r="Q289" s="1294"/>
      <c r="R289" s="1294"/>
      <c r="T289" s="3" t="s">
        <v>1131</v>
      </c>
      <c r="V289" s="3"/>
      <c r="W289" s="3"/>
      <c r="X289" s="3"/>
      <c r="Y289" s="3"/>
      <c r="AA289" s="1294" t="s">
        <v>1132</v>
      </c>
      <c r="AB289" s="1294"/>
      <c r="AC289" s="1294"/>
      <c r="AD289" s="1294"/>
      <c r="AE289" s="1294"/>
      <c r="AF289" s="1294"/>
      <c r="AG289" s="1294"/>
      <c r="AH289" s="1294"/>
      <c r="AI289" s="1294"/>
      <c r="AJ289" s="1294"/>
      <c r="AK289" s="1294"/>
    </row>
    <row r="290" spans="2:37" ht="13" customHeight="1">
      <c r="B290" s="3" t="s">
        <v>1069</v>
      </c>
      <c r="C290" s="3"/>
      <c r="D290" s="3"/>
      <c r="E290" s="3"/>
      <c r="F290" s="3"/>
      <c r="H290" s="1294" t="s">
        <v>1070</v>
      </c>
      <c r="I290" s="1294"/>
      <c r="J290" s="1294"/>
      <c r="K290" s="1294"/>
      <c r="L290" s="1294"/>
      <c r="M290" s="1294"/>
      <c r="N290" s="1294"/>
      <c r="O290" s="1294"/>
      <c r="P290" s="1294"/>
      <c r="Q290" s="1294"/>
      <c r="R290" s="1294"/>
      <c r="T290" s="3" t="s">
        <v>1069</v>
      </c>
      <c r="V290" s="3"/>
      <c r="W290" s="3"/>
      <c r="X290" s="3"/>
      <c r="Y290" s="3"/>
      <c r="AA290" s="1294" t="s">
        <v>1133</v>
      </c>
      <c r="AB290" s="1294"/>
      <c r="AC290" s="1294"/>
      <c r="AD290" s="1294"/>
      <c r="AE290" s="1294"/>
      <c r="AF290" s="1294"/>
      <c r="AG290" s="1294"/>
      <c r="AH290" s="1294"/>
      <c r="AI290" s="1294"/>
      <c r="AJ290" s="1294"/>
      <c r="AK290" s="1294"/>
    </row>
    <row r="291" spans="2:37" ht="13" customHeight="1">
      <c r="B291" s="3" t="s">
        <v>1071</v>
      </c>
      <c r="C291" s="3"/>
      <c r="D291" s="3"/>
      <c r="E291" s="3"/>
      <c r="F291" s="3"/>
      <c r="G291" s="3"/>
      <c r="H291" s="1382" t="s">
        <v>1072</v>
      </c>
      <c r="I291" s="1382"/>
      <c r="J291" s="1382"/>
      <c r="K291" s="1382"/>
      <c r="L291" s="1382"/>
      <c r="M291" s="1382"/>
      <c r="N291" s="3" t="s">
        <v>1073</v>
      </c>
      <c r="O291" s="3"/>
      <c r="P291" s="1377"/>
      <c r="Q291" s="1377"/>
      <c r="R291" s="1377"/>
      <c r="S291" s="3"/>
      <c r="T291" s="3" t="s">
        <v>1071</v>
      </c>
      <c r="V291" s="3"/>
      <c r="W291" s="3"/>
      <c r="X291" s="3"/>
      <c r="Y291" s="3"/>
      <c r="AA291" s="1382" t="s">
        <v>1134</v>
      </c>
      <c r="AB291" s="1382"/>
      <c r="AC291" s="1382"/>
      <c r="AD291" s="1382"/>
      <c r="AE291" s="1382"/>
      <c r="AF291" s="1382"/>
      <c r="AG291" s="3" t="s">
        <v>1073</v>
      </c>
      <c r="AH291" s="3"/>
      <c r="AI291" s="1377"/>
      <c r="AJ291" s="1377"/>
      <c r="AK291" s="1377"/>
    </row>
    <row r="292" spans="2:37" ht="13" customHeight="1">
      <c r="B292" s="3" t="s">
        <v>1074</v>
      </c>
      <c r="C292" s="3"/>
      <c r="D292" s="3"/>
      <c r="E292" s="3"/>
      <c r="F292" s="3"/>
      <c r="G292" s="3"/>
      <c r="H292" s="1309"/>
      <c r="I292" s="1309"/>
      <c r="J292" s="1309"/>
      <c r="K292" s="1309"/>
      <c r="L292" s="1309"/>
      <c r="M292" s="1309"/>
      <c r="N292" s="3"/>
      <c r="O292" s="3"/>
      <c r="P292" s="84"/>
      <c r="Q292" s="84"/>
      <c r="R292" s="84"/>
      <c r="S292" s="3"/>
      <c r="T292" s="3" t="s">
        <v>1074</v>
      </c>
      <c r="V292" s="3"/>
      <c r="W292" s="3"/>
      <c r="X292" s="3"/>
      <c r="Y292" s="3"/>
      <c r="AA292" s="1309"/>
      <c r="AB292" s="1309"/>
      <c r="AC292" s="1309"/>
      <c r="AD292" s="1309"/>
      <c r="AE292" s="1309"/>
      <c r="AF292" s="1309"/>
      <c r="AG292" s="3"/>
      <c r="AH292" s="3"/>
      <c r="AI292" s="84"/>
      <c r="AJ292" s="84"/>
      <c r="AK292" s="84"/>
    </row>
    <row r="293" spans="2:37" ht="13" customHeight="1">
      <c r="B293" s="3" t="s">
        <v>1135</v>
      </c>
      <c r="C293" s="3"/>
      <c r="D293" s="3"/>
      <c r="E293" s="3"/>
      <c r="F293" s="3"/>
      <c r="G293" s="3"/>
      <c r="H293" s="1294" t="s">
        <v>1077</v>
      </c>
      <c r="I293" s="1294"/>
      <c r="J293" s="1294"/>
      <c r="K293" s="1294"/>
      <c r="L293" s="1294"/>
      <c r="M293" s="1294"/>
      <c r="N293" s="1333"/>
      <c r="O293" s="1333"/>
      <c r="P293" s="1333"/>
      <c r="Q293" s="1333"/>
      <c r="R293" s="1333"/>
      <c r="S293" s="3"/>
      <c r="T293" s="3" t="s">
        <v>1135</v>
      </c>
      <c r="V293" s="3"/>
      <c r="W293" s="3"/>
      <c r="X293" s="3"/>
      <c r="Y293" s="3"/>
      <c r="AA293" s="1294" t="s">
        <v>1136</v>
      </c>
      <c r="AB293" s="1294"/>
      <c r="AC293" s="1294"/>
      <c r="AD293" s="1294"/>
      <c r="AE293" s="1294"/>
      <c r="AF293" s="1294"/>
      <c r="AG293" s="1333"/>
      <c r="AH293" s="1333"/>
      <c r="AI293" s="1333"/>
      <c r="AJ293" s="1333"/>
      <c r="AK293" s="133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1137</v>
      </c>
      <c r="C295" s="3"/>
      <c r="D295" s="3"/>
      <c r="E295" s="3"/>
      <c r="F295" s="3"/>
      <c r="H295" s="1333" t="s">
        <v>1113</v>
      </c>
      <c r="I295" s="1333"/>
      <c r="J295" s="1333"/>
      <c r="K295" s="1333"/>
      <c r="L295" s="1333"/>
      <c r="M295" s="1333"/>
      <c r="N295" s="1333"/>
      <c r="O295" s="1333"/>
      <c r="P295" s="1333"/>
      <c r="Q295" s="1333"/>
      <c r="R295" s="1333"/>
      <c r="T295" s="3" t="s">
        <v>1138</v>
      </c>
      <c r="V295" s="3"/>
      <c r="W295" s="3"/>
      <c r="X295" s="3"/>
      <c r="Y295" s="3"/>
      <c r="AA295" s="1333" t="s">
        <v>1139</v>
      </c>
      <c r="AB295" s="1333"/>
      <c r="AC295" s="1333"/>
      <c r="AD295" s="1333"/>
      <c r="AE295" s="1333"/>
      <c r="AF295" s="1333"/>
      <c r="AG295" s="1333"/>
      <c r="AH295" s="1333"/>
      <c r="AI295" s="1333"/>
      <c r="AJ295" s="1333"/>
      <c r="AK295" s="1333"/>
    </row>
    <row r="296" spans="2:37" ht="13" customHeight="1">
      <c r="B296" s="3" t="s">
        <v>1126</v>
      </c>
      <c r="C296" s="3"/>
      <c r="D296" s="3"/>
      <c r="E296" s="3"/>
      <c r="F296" s="3"/>
      <c r="H296" s="1294" t="s">
        <v>1114</v>
      </c>
      <c r="I296" s="1294"/>
      <c r="J296" s="1294"/>
      <c r="K296" s="1294"/>
      <c r="L296" s="1294"/>
      <c r="M296" s="1294"/>
      <c r="N296" s="1294"/>
      <c r="O296" s="1294"/>
      <c r="P296" s="1294"/>
      <c r="Q296" s="1294"/>
      <c r="R296" s="1294"/>
      <c r="T296" s="3" t="s">
        <v>1126</v>
      </c>
      <c r="V296" s="3"/>
      <c r="W296" s="3"/>
      <c r="X296" s="3"/>
      <c r="Y296" s="3"/>
      <c r="AA296" s="1294" t="s">
        <v>1140</v>
      </c>
      <c r="AB296" s="1294"/>
      <c r="AC296" s="1294"/>
      <c r="AD296" s="1294"/>
      <c r="AE296" s="1294"/>
      <c r="AF296" s="1294"/>
      <c r="AG296" s="1294"/>
      <c r="AH296" s="1294"/>
      <c r="AI296" s="1294"/>
      <c r="AJ296" s="1294"/>
      <c r="AK296" s="1294"/>
    </row>
    <row r="297" spans="2:37" ht="13" customHeight="1">
      <c r="B297" s="3" t="s">
        <v>1129</v>
      </c>
      <c r="C297" s="3"/>
      <c r="D297" s="3"/>
      <c r="E297" s="3"/>
      <c r="F297" s="3"/>
      <c r="H297" s="1294" t="s">
        <v>1141</v>
      </c>
      <c r="I297" s="1294"/>
      <c r="J297" s="1294"/>
      <c r="K297" s="1294"/>
      <c r="L297" s="1294"/>
      <c r="M297" s="1294"/>
      <c r="N297" s="1294"/>
      <c r="O297" s="1294"/>
      <c r="P297" s="1294"/>
      <c r="Q297" s="1294"/>
      <c r="R297" s="1294"/>
      <c r="T297" s="3" t="s">
        <v>1131</v>
      </c>
      <c r="V297" s="3"/>
      <c r="W297" s="3"/>
      <c r="X297" s="3"/>
      <c r="Y297" s="3"/>
      <c r="AA297" s="1294" t="s">
        <v>1142</v>
      </c>
      <c r="AB297" s="1294"/>
      <c r="AC297" s="1294"/>
      <c r="AD297" s="1294"/>
      <c r="AE297" s="1294"/>
      <c r="AF297" s="1294"/>
      <c r="AG297" s="1294"/>
      <c r="AH297" s="1294"/>
      <c r="AI297" s="1294"/>
      <c r="AJ297" s="1294"/>
      <c r="AK297" s="1294"/>
    </row>
    <row r="298" spans="2:37" ht="13" customHeight="1">
      <c r="B298" s="3" t="s">
        <v>1069</v>
      </c>
      <c r="C298" s="3"/>
      <c r="D298" s="3"/>
      <c r="E298" s="3"/>
      <c r="F298" s="3"/>
      <c r="H298" s="1294" t="s">
        <v>1143</v>
      </c>
      <c r="I298" s="1294"/>
      <c r="J298" s="1294"/>
      <c r="K298" s="1294"/>
      <c r="L298" s="1294"/>
      <c r="M298" s="1294"/>
      <c r="N298" s="1294"/>
      <c r="O298" s="1294"/>
      <c r="P298" s="1294"/>
      <c r="Q298" s="1294"/>
      <c r="R298" s="1294"/>
      <c r="T298" s="3" t="s">
        <v>1069</v>
      </c>
      <c r="V298" s="3"/>
      <c r="W298" s="3"/>
      <c r="X298" s="3"/>
      <c r="Y298" s="3"/>
      <c r="AA298" s="1294" t="s">
        <v>1144</v>
      </c>
      <c r="AB298" s="1294"/>
      <c r="AC298" s="1294"/>
      <c r="AD298" s="1294"/>
      <c r="AE298" s="1294"/>
      <c r="AF298" s="1294"/>
      <c r="AG298" s="1294"/>
      <c r="AH298" s="1294"/>
      <c r="AI298" s="1294"/>
      <c r="AJ298" s="1294"/>
      <c r="AK298" s="1294"/>
    </row>
    <row r="299" spans="2:37" ht="13" customHeight="1">
      <c r="B299" s="3" t="s">
        <v>1071</v>
      </c>
      <c r="C299" s="3"/>
      <c r="D299" s="3"/>
      <c r="E299" s="3"/>
      <c r="F299" s="3"/>
      <c r="G299" s="3"/>
      <c r="H299" s="1382" t="s">
        <v>1116</v>
      </c>
      <c r="I299" s="1382"/>
      <c r="J299" s="1382"/>
      <c r="K299" s="1382"/>
      <c r="L299" s="1382"/>
      <c r="M299" s="1382"/>
      <c r="N299" s="3" t="s">
        <v>1073</v>
      </c>
      <c r="O299" s="3"/>
      <c r="P299" s="1377"/>
      <c r="Q299" s="1377"/>
      <c r="R299" s="1377"/>
      <c r="S299" s="3"/>
      <c r="T299" s="3" t="s">
        <v>1071</v>
      </c>
      <c r="V299" s="3"/>
      <c r="W299" s="3"/>
      <c r="X299" s="3"/>
      <c r="Y299" s="3"/>
      <c r="AA299" s="1382" t="s">
        <v>1145</v>
      </c>
      <c r="AB299" s="1382"/>
      <c r="AC299" s="1382"/>
      <c r="AD299" s="1382"/>
      <c r="AE299" s="1382"/>
      <c r="AF299" s="1382"/>
      <c r="AG299" s="3" t="s">
        <v>1073</v>
      </c>
      <c r="AH299" s="3"/>
      <c r="AI299" s="1377"/>
      <c r="AJ299" s="1377"/>
      <c r="AK299" s="1377"/>
    </row>
    <row r="300" spans="2:37" ht="13" customHeight="1">
      <c r="B300" s="3" t="s">
        <v>1074</v>
      </c>
      <c r="C300" s="3"/>
      <c r="D300" s="3"/>
      <c r="E300" s="3"/>
      <c r="F300" s="3"/>
      <c r="G300" s="3"/>
      <c r="H300" s="1309"/>
      <c r="I300" s="1309"/>
      <c r="J300" s="1309"/>
      <c r="K300" s="1309"/>
      <c r="L300" s="1309"/>
      <c r="M300" s="1309"/>
      <c r="N300" s="3"/>
      <c r="O300" s="3"/>
      <c r="P300" s="84"/>
      <c r="Q300" s="84"/>
      <c r="R300" s="84"/>
      <c r="S300" s="3"/>
      <c r="T300" s="3" t="s">
        <v>1074</v>
      </c>
      <c r="V300" s="3"/>
      <c r="W300" s="3"/>
      <c r="X300" s="3"/>
      <c r="Y300" s="3"/>
      <c r="AA300" s="1309"/>
      <c r="AB300" s="1309"/>
      <c r="AC300" s="1309"/>
      <c r="AD300" s="1309"/>
      <c r="AE300" s="1309"/>
      <c r="AF300" s="1309"/>
      <c r="AG300" s="3"/>
      <c r="AH300" s="3"/>
      <c r="AI300" s="84"/>
      <c r="AJ300" s="84"/>
      <c r="AK300" s="84"/>
    </row>
    <row r="301" spans="2:37" ht="13" customHeight="1">
      <c r="B301" s="3" t="s">
        <v>1135</v>
      </c>
      <c r="C301" s="3"/>
      <c r="D301" s="3"/>
      <c r="E301" s="3"/>
      <c r="F301" s="3"/>
      <c r="G301" s="3"/>
      <c r="H301" s="1294" t="s">
        <v>1117</v>
      </c>
      <c r="I301" s="1294"/>
      <c r="J301" s="1294"/>
      <c r="K301" s="1294"/>
      <c r="L301" s="1294"/>
      <c r="M301" s="1294"/>
      <c r="N301" s="1333"/>
      <c r="O301" s="1333"/>
      <c r="P301" s="1333"/>
      <c r="Q301" s="1333"/>
      <c r="R301" s="1333"/>
      <c r="S301" s="3"/>
      <c r="T301" s="3" t="s">
        <v>1135</v>
      </c>
      <c r="V301" s="3"/>
      <c r="W301" s="3"/>
      <c r="X301" s="3"/>
      <c r="Y301" s="3"/>
      <c r="AA301" s="1294"/>
      <c r="AB301" s="1294"/>
      <c r="AC301" s="1294"/>
      <c r="AD301" s="1294"/>
      <c r="AE301" s="1294"/>
      <c r="AF301" s="1294"/>
      <c r="AG301" s="1333"/>
      <c r="AH301" s="1333"/>
      <c r="AI301" s="1333"/>
      <c r="AJ301" s="1333"/>
      <c r="AK301" s="1333"/>
    </row>
    <row r="302" spans="2:37" ht="13" customHeight="1"/>
    <row r="303" spans="2:37" ht="13" customHeight="1">
      <c r="B303" s="3" t="s">
        <v>1146</v>
      </c>
      <c r="C303" s="3"/>
      <c r="D303" s="3"/>
      <c r="E303" s="3"/>
      <c r="F303" s="3"/>
      <c r="H303" s="1333" t="s">
        <v>1113</v>
      </c>
      <c r="I303" s="1333"/>
      <c r="J303" s="1333"/>
      <c r="K303" s="1333"/>
      <c r="L303" s="1333"/>
      <c r="M303" s="1333"/>
      <c r="N303" s="1333"/>
      <c r="O303" s="1333"/>
      <c r="P303" s="1333"/>
      <c r="Q303" s="1333"/>
      <c r="R303" s="1333"/>
      <c r="T303" s="3" t="s">
        <v>1147</v>
      </c>
      <c r="V303" s="3"/>
      <c r="W303" s="3"/>
      <c r="X303" s="3"/>
      <c r="Y303" s="3"/>
      <c r="AA303" s="1333" t="s">
        <v>813</v>
      </c>
      <c r="AB303" s="1333"/>
      <c r="AC303" s="1333"/>
      <c r="AD303" s="1333"/>
      <c r="AE303" s="1333"/>
      <c r="AF303" s="1333"/>
      <c r="AG303" s="1333"/>
      <c r="AH303" s="1333"/>
      <c r="AI303" s="1333"/>
      <c r="AJ303" s="1333"/>
      <c r="AK303" s="1333"/>
    </row>
    <row r="304" spans="2:37" ht="13" customHeight="1">
      <c r="B304" s="3" t="s">
        <v>1126</v>
      </c>
      <c r="C304" s="3"/>
      <c r="D304" s="3"/>
      <c r="E304" s="3"/>
      <c r="F304" s="3"/>
      <c r="H304" s="1294" t="s">
        <v>1114</v>
      </c>
      <c r="I304" s="1294"/>
      <c r="J304" s="1294"/>
      <c r="K304" s="1294"/>
      <c r="L304" s="1294"/>
      <c r="M304" s="1294"/>
      <c r="N304" s="1294"/>
      <c r="O304" s="1294"/>
      <c r="P304" s="1294"/>
      <c r="Q304" s="1294"/>
      <c r="R304" s="1294"/>
      <c r="T304" s="3" t="s">
        <v>1126</v>
      </c>
      <c r="V304" s="3"/>
      <c r="W304" s="3"/>
      <c r="X304" s="3"/>
      <c r="Y304" s="3"/>
      <c r="AA304" s="1294"/>
      <c r="AB304" s="1294"/>
      <c r="AC304" s="1294"/>
      <c r="AD304" s="1294"/>
      <c r="AE304" s="1294"/>
      <c r="AF304" s="1294"/>
      <c r="AG304" s="1294"/>
      <c r="AH304" s="1294"/>
      <c r="AI304" s="1294"/>
      <c r="AJ304" s="1294"/>
      <c r="AK304" s="1294"/>
    </row>
    <row r="305" spans="2:37" ht="13" customHeight="1">
      <c r="B305" s="3" t="s">
        <v>1129</v>
      </c>
      <c r="C305" s="3"/>
      <c r="D305" s="3"/>
      <c r="E305" s="3"/>
      <c r="F305" s="3"/>
      <c r="H305" s="1294" t="s">
        <v>1141</v>
      </c>
      <c r="I305" s="1294"/>
      <c r="J305" s="1294"/>
      <c r="K305" s="1294"/>
      <c r="L305" s="1294"/>
      <c r="M305" s="1294"/>
      <c r="N305" s="1294"/>
      <c r="O305" s="1294"/>
      <c r="P305" s="1294"/>
      <c r="Q305" s="1294"/>
      <c r="R305" s="1294"/>
      <c r="T305" s="3" t="s">
        <v>1131</v>
      </c>
      <c r="V305" s="3"/>
      <c r="W305" s="3"/>
      <c r="X305" s="3"/>
      <c r="Y305" s="3"/>
      <c r="AA305" s="1294"/>
      <c r="AB305" s="1294"/>
      <c r="AC305" s="1294"/>
      <c r="AD305" s="1294"/>
      <c r="AE305" s="1294"/>
      <c r="AF305" s="1294"/>
      <c r="AG305" s="1294"/>
      <c r="AH305" s="1294"/>
      <c r="AI305" s="1294"/>
      <c r="AJ305" s="1294"/>
      <c r="AK305" s="1294"/>
    </row>
    <row r="306" spans="2:37" ht="13" customHeight="1">
      <c r="B306" s="3" t="s">
        <v>1069</v>
      </c>
      <c r="C306" s="3"/>
      <c r="D306" s="3"/>
      <c r="E306" s="3"/>
      <c r="F306" s="3"/>
      <c r="H306" s="1294" t="s">
        <v>1143</v>
      </c>
      <c r="I306" s="1294"/>
      <c r="J306" s="1294"/>
      <c r="K306" s="1294"/>
      <c r="L306" s="1294"/>
      <c r="M306" s="1294"/>
      <c r="N306" s="1294"/>
      <c r="O306" s="1294"/>
      <c r="P306" s="1294"/>
      <c r="Q306" s="1294"/>
      <c r="R306" s="1294"/>
      <c r="T306" s="3" t="s">
        <v>1069</v>
      </c>
      <c r="V306" s="3"/>
      <c r="W306" s="3"/>
      <c r="X306" s="3"/>
      <c r="Y306" s="3"/>
      <c r="AA306" s="1294"/>
      <c r="AB306" s="1294"/>
      <c r="AC306" s="1294"/>
      <c r="AD306" s="1294"/>
      <c r="AE306" s="1294"/>
      <c r="AF306" s="1294"/>
      <c r="AG306" s="1294"/>
      <c r="AH306" s="1294"/>
      <c r="AI306" s="1294"/>
      <c r="AJ306" s="1294"/>
      <c r="AK306" s="1294"/>
    </row>
    <row r="307" spans="2:37" ht="13" customHeight="1">
      <c r="B307" s="3" t="s">
        <v>1071</v>
      </c>
      <c r="C307" s="3"/>
      <c r="D307" s="3"/>
      <c r="E307" s="3"/>
      <c r="F307" s="3"/>
      <c r="G307" s="3"/>
      <c r="H307" s="1382" t="s">
        <v>1116</v>
      </c>
      <c r="I307" s="1382"/>
      <c r="J307" s="1382"/>
      <c r="K307" s="1382"/>
      <c r="L307" s="1382"/>
      <c r="M307" s="1382"/>
      <c r="N307" s="3" t="s">
        <v>1073</v>
      </c>
      <c r="O307" s="3"/>
      <c r="P307" s="1377"/>
      <c r="Q307" s="1377"/>
      <c r="R307" s="1377"/>
      <c r="S307" s="3"/>
      <c r="T307" s="3" t="s">
        <v>1071</v>
      </c>
      <c r="V307" s="3"/>
      <c r="W307" s="3"/>
      <c r="X307" s="3"/>
      <c r="Y307" s="3"/>
      <c r="AA307" s="1382"/>
      <c r="AB307" s="1382"/>
      <c r="AC307" s="1382"/>
      <c r="AD307" s="1382"/>
      <c r="AE307" s="1382"/>
      <c r="AF307" s="1382"/>
      <c r="AG307" s="3" t="s">
        <v>1073</v>
      </c>
      <c r="AH307" s="3"/>
      <c r="AI307" s="1377"/>
      <c r="AJ307" s="1377"/>
      <c r="AK307" s="1377"/>
    </row>
    <row r="308" spans="2:37" ht="13" customHeight="1">
      <c r="B308" s="3" t="s">
        <v>1074</v>
      </c>
      <c r="C308" s="3"/>
      <c r="D308" s="3"/>
      <c r="E308" s="3"/>
      <c r="F308" s="3"/>
      <c r="G308" s="3"/>
      <c r="H308" s="1309"/>
      <c r="I308" s="1309"/>
      <c r="J308" s="1309"/>
      <c r="K308" s="1309"/>
      <c r="L308" s="1309"/>
      <c r="M308" s="1309"/>
      <c r="N308" s="3"/>
      <c r="O308" s="3"/>
      <c r="P308" s="84"/>
      <c r="Q308" s="84"/>
      <c r="R308" s="84"/>
      <c r="S308" s="3"/>
      <c r="T308" s="3" t="s">
        <v>1074</v>
      </c>
      <c r="V308" s="3"/>
      <c r="W308" s="3"/>
      <c r="X308" s="3"/>
      <c r="Y308" s="3"/>
      <c r="AA308" s="1309"/>
      <c r="AB308" s="1309"/>
      <c r="AC308" s="1309"/>
      <c r="AD308" s="1309"/>
      <c r="AE308" s="1309"/>
      <c r="AF308" s="1309"/>
      <c r="AG308" s="3"/>
      <c r="AH308" s="3"/>
      <c r="AI308" s="84"/>
      <c r="AJ308" s="84"/>
      <c r="AK308" s="84"/>
    </row>
    <row r="309" spans="2:37" ht="13" customHeight="1">
      <c r="B309" s="3" t="s">
        <v>1135</v>
      </c>
      <c r="C309" s="3"/>
      <c r="D309" s="3"/>
      <c r="E309" s="3"/>
      <c r="F309" s="3"/>
      <c r="G309" s="3"/>
      <c r="H309" s="1294" t="s">
        <v>1117</v>
      </c>
      <c r="I309" s="1294"/>
      <c r="J309" s="1294"/>
      <c r="K309" s="1294"/>
      <c r="L309" s="1294"/>
      <c r="M309" s="1294"/>
      <c r="N309" s="1333"/>
      <c r="O309" s="1333"/>
      <c r="P309" s="1333"/>
      <c r="Q309" s="1333"/>
      <c r="R309" s="1333"/>
      <c r="S309" s="3"/>
      <c r="T309" s="3" t="s">
        <v>1135</v>
      </c>
      <c r="V309" s="3"/>
      <c r="W309" s="3"/>
      <c r="X309" s="3"/>
      <c r="Y309" s="3"/>
      <c r="AA309" s="1294"/>
      <c r="AB309" s="1294"/>
      <c r="AC309" s="1294"/>
      <c r="AD309" s="1294"/>
      <c r="AE309" s="1294"/>
      <c r="AF309" s="1294"/>
      <c r="AG309" s="1333"/>
      <c r="AH309" s="1333"/>
      <c r="AI309" s="1333"/>
      <c r="AJ309" s="1333"/>
      <c r="AK309" s="1333"/>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1148</v>
      </c>
      <c r="C311" s="3"/>
      <c r="D311" s="3"/>
      <c r="E311" s="3"/>
      <c r="F311" s="3"/>
      <c r="H311" s="1333" t="s">
        <v>1149</v>
      </c>
      <c r="I311" s="1333"/>
      <c r="J311" s="1333"/>
      <c r="K311" s="1333"/>
      <c r="L311" s="1333"/>
      <c r="M311" s="1333"/>
      <c r="N311" s="1333"/>
      <c r="O311" s="1333"/>
      <c r="P311" s="1333"/>
      <c r="Q311" s="1333"/>
      <c r="R311" s="1333"/>
      <c r="S311" s="3"/>
      <c r="T311" s="3" t="s">
        <v>1150</v>
      </c>
      <c r="V311" s="3"/>
      <c r="W311" s="3"/>
      <c r="X311" s="3"/>
      <c r="Y311" s="3"/>
      <c r="AA311" s="1377" t="s">
        <v>1151</v>
      </c>
      <c r="AB311" s="1333"/>
      <c r="AC311" s="1333"/>
      <c r="AD311" s="1333"/>
      <c r="AE311" s="1333"/>
      <c r="AF311" s="1333"/>
      <c r="AG311" s="1333"/>
      <c r="AH311" s="1333"/>
      <c r="AI311" s="1333"/>
      <c r="AJ311" s="1333"/>
      <c r="AK311" s="1333"/>
    </row>
    <row r="312" spans="2:37" ht="13" customHeight="1">
      <c r="B312" s="3" t="s">
        <v>1126</v>
      </c>
      <c r="C312" s="3"/>
      <c r="D312" s="3"/>
      <c r="E312" s="3"/>
      <c r="F312" s="3"/>
      <c r="H312" s="1294" t="s">
        <v>1152</v>
      </c>
      <c r="I312" s="1294"/>
      <c r="J312" s="1294"/>
      <c r="K312" s="1294"/>
      <c r="L312" s="1294"/>
      <c r="M312" s="1294"/>
      <c r="N312" s="1294"/>
      <c r="O312" s="1294"/>
      <c r="P312" s="1294"/>
      <c r="Q312" s="1294"/>
      <c r="R312" s="1294"/>
      <c r="S312" s="3"/>
      <c r="T312" s="3" t="s">
        <v>1126</v>
      </c>
      <c r="V312" s="3"/>
      <c r="W312" s="3"/>
      <c r="X312" s="3"/>
      <c r="Y312" s="3"/>
      <c r="AA312" s="1395" t="s">
        <v>1153</v>
      </c>
      <c r="AB312" s="1294"/>
      <c r="AC312" s="1294"/>
      <c r="AD312" s="1294"/>
      <c r="AE312" s="1294"/>
      <c r="AF312" s="1294"/>
      <c r="AG312" s="1294"/>
      <c r="AH312" s="1294"/>
      <c r="AI312" s="1294"/>
      <c r="AJ312" s="1294"/>
      <c r="AK312" s="1294"/>
    </row>
    <row r="313" spans="2:37" ht="13" customHeight="1">
      <c r="B313" s="3" t="s">
        <v>1129</v>
      </c>
      <c r="C313" s="3"/>
      <c r="D313" s="3"/>
      <c r="E313" s="3"/>
      <c r="F313" s="3"/>
      <c r="H313" s="1294" t="s">
        <v>1154</v>
      </c>
      <c r="I313" s="1294"/>
      <c r="J313" s="1294"/>
      <c r="K313" s="1294"/>
      <c r="L313" s="1294"/>
      <c r="M313" s="1294"/>
      <c r="N313" s="1294"/>
      <c r="O313" s="1294"/>
      <c r="P313" s="1294"/>
      <c r="Q313" s="1294"/>
      <c r="R313" s="1294"/>
      <c r="S313" s="3"/>
      <c r="T313" s="3" t="s">
        <v>1131</v>
      </c>
      <c r="V313" s="3"/>
      <c r="W313" s="3"/>
      <c r="X313" s="3"/>
      <c r="Y313" s="3"/>
      <c r="AA313" s="1395" t="s">
        <v>1155</v>
      </c>
      <c r="AB313" s="1294"/>
      <c r="AC313" s="1294"/>
      <c r="AD313" s="1294"/>
      <c r="AE313" s="1294"/>
      <c r="AF313" s="1294"/>
      <c r="AG313" s="1294"/>
      <c r="AH313" s="1294"/>
      <c r="AI313" s="1294"/>
      <c r="AJ313" s="1294"/>
      <c r="AK313" s="1294"/>
    </row>
    <row r="314" spans="2:37" ht="13" customHeight="1">
      <c r="B314" s="3" t="s">
        <v>1069</v>
      </c>
      <c r="C314" s="3"/>
      <c r="D314" s="3"/>
      <c r="E314" s="3"/>
      <c r="F314" s="3"/>
      <c r="H314" s="1294" t="s">
        <v>1156</v>
      </c>
      <c r="I314" s="1294"/>
      <c r="J314" s="1294"/>
      <c r="K314" s="1294"/>
      <c r="L314" s="1294"/>
      <c r="M314" s="1294"/>
      <c r="N314" s="1294"/>
      <c r="O314" s="1294"/>
      <c r="P314" s="1294"/>
      <c r="Q314" s="1294"/>
      <c r="R314" s="1294"/>
      <c r="S314" s="3"/>
      <c r="T314" s="3" t="s">
        <v>1069</v>
      </c>
      <c r="V314" s="3"/>
      <c r="W314" s="3"/>
      <c r="X314" s="3"/>
      <c r="Y314" s="3"/>
      <c r="AA314" s="1395" t="s">
        <v>1157</v>
      </c>
      <c r="AB314" s="1294"/>
      <c r="AC314" s="1294"/>
      <c r="AD314" s="1294"/>
      <c r="AE314" s="1294"/>
      <c r="AF314" s="1294"/>
      <c r="AG314" s="1294"/>
      <c r="AH314" s="1294"/>
      <c r="AI314" s="1294"/>
      <c r="AJ314" s="1294"/>
      <c r="AK314" s="1294"/>
    </row>
    <row r="315" spans="2:37" ht="13" customHeight="1">
      <c r="B315" s="3" t="s">
        <v>1071</v>
      </c>
      <c r="C315" s="3"/>
      <c r="D315" s="3"/>
      <c r="E315" s="3"/>
      <c r="F315" s="3"/>
      <c r="G315" s="3"/>
      <c r="H315" s="1382" t="s">
        <v>1158</v>
      </c>
      <c r="I315" s="1382"/>
      <c r="J315" s="1382"/>
      <c r="K315" s="1382"/>
      <c r="L315" s="1382"/>
      <c r="M315" s="1382"/>
      <c r="N315" s="3" t="s">
        <v>1073</v>
      </c>
      <c r="O315" s="3"/>
      <c r="P315" s="1377"/>
      <c r="Q315" s="1377"/>
      <c r="R315" s="1377"/>
      <c r="S315" s="3"/>
      <c r="T315" s="3" t="s">
        <v>1071</v>
      </c>
      <c r="V315" s="3"/>
      <c r="W315" s="3"/>
      <c r="X315" s="3"/>
      <c r="Y315" s="3"/>
      <c r="AA315" s="1382" t="s">
        <v>1159</v>
      </c>
      <c r="AB315" s="1382"/>
      <c r="AC315" s="1382"/>
      <c r="AD315" s="1382"/>
      <c r="AE315" s="1382"/>
      <c r="AF315" s="1382"/>
      <c r="AG315" s="3" t="s">
        <v>1073</v>
      </c>
      <c r="AH315" s="3"/>
      <c r="AI315" s="1377"/>
      <c r="AJ315" s="1377"/>
      <c r="AK315" s="1377"/>
    </row>
    <row r="316" spans="2:37" ht="13" customHeight="1">
      <c r="B316" s="3" t="s">
        <v>1074</v>
      </c>
      <c r="C316" s="3"/>
      <c r="D316" s="3"/>
      <c r="E316" s="3"/>
      <c r="F316" s="3"/>
      <c r="G316" s="3"/>
      <c r="H316" s="1309" t="s">
        <v>1160</v>
      </c>
      <c r="I316" s="1309"/>
      <c r="J316" s="1309"/>
      <c r="K316" s="1309"/>
      <c r="L316" s="1309"/>
      <c r="M316" s="1309"/>
      <c r="N316" s="3"/>
      <c r="O316" s="3"/>
      <c r="P316" s="84"/>
      <c r="Q316" s="84"/>
      <c r="R316" s="84"/>
      <c r="S316" s="3"/>
      <c r="T316" s="3" t="s">
        <v>1074</v>
      </c>
      <c r="V316" s="3"/>
      <c r="W316" s="3"/>
      <c r="X316" s="3"/>
      <c r="Y316" s="3"/>
      <c r="AA316" s="1309"/>
      <c r="AB316" s="1309"/>
      <c r="AC316" s="1309"/>
      <c r="AD316" s="1309"/>
      <c r="AE316" s="1309"/>
      <c r="AF316" s="1309"/>
      <c r="AG316" s="3"/>
      <c r="AH316" s="3"/>
      <c r="AI316" s="84"/>
      <c r="AJ316" s="84"/>
      <c r="AK316" s="84"/>
    </row>
    <row r="317" spans="2:37" ht="13" customHeight="1">
      <c r="B317" s="3" t="s">
        <v>1135</v>
      </c>
      <c r="C317" s="3"/>
      <c r="D317" s="3"/>
      <c r="E317" s="3"/>
      <c r="F317" s="3"/>
      <c r="G317" s="3"/>
      <c r="H317" s="1294" t="s">
        <v>1161</v>
      </c>
      <c r="I317" s="1294"/>
      <c r="J317" s="1294"/>
      <c r="K317" s="1294"/>
      <c r="L317" s="1294"/>
      <c r="M317" s="1294"/>
      <c r="N317" s="1333"/>
      <c r="O317" s="1333"/>
      <c r="P317" s="1333"/>
      <c r="Q317" s="1333"/>
      <c r="R317" s="1333"/>
      <c r="S317" s="3"/>
      <c r="T317" s="3" t="s">
        <v>1135</v>
      </c>
      <c r="V317" s="3"/>
      <c r="W317" s="3"/>
      <c r="X317" s="3"/>
      <c r="Y317" s="3"/>
      <c r="AA317" s="1395" t="s">
        <v>1162</v>
      </c>
      <c r="AB317" s="1294"/>
      <c r="AC317" s="1294"/>
      <c r="AD317" s="1294"/>
      <c r="AE317" s="1294"/>
      <c r="AF317" s="1294"/>
      <c r="AG317" s="1333"/>
      <c r="AH317" s="1333"/>
      <c r="AI317" s="1333"/>
      <c r="AJ317" s="1333"/>
      <c r="AK317" s="1333"/>
    </row>
    <row r="318" spans="2:37" ht="13" customHeight="1"/>
    <row r="319" spans="2:37" ht="13" customHeight="1">
      <c r="B319" s="3" t="s">
        <v>1163</v>
      </c>
      <c r="C319" s="3"/>
      <c r="D319" s="3"/>
      <c r="E319" s="3"/>
      <c r="F319" s="3"/>
      <c r="H319" s="1333" t="s">
        <v>1113</v>
      </c>
      <c r="I319" s="1333"/>
      <c r="J319" s="1333"/>
      <c r="K319" s="1333"/>
      <c r="L319" s="1333"/>
      <c r="M319" s="1333"/>
      <c r="N319" s="1333"/>
      <c r="O319" s="1333"/>
      <c r="P319" s="1333"/>
      <c r="Q319" s="1333"/>
      <c r="R319" s="1333"/>
      <c r="T319" s="3" t="s">
        <v>1164</v>
      </c>
      <c r="V319" s="3"/>
      <c r="W319" s="3"/>
      <c r="X319" s="3"/>
      <c r="Y319" s="3"/>
      <c r="AA319" s="1333" t="s">
        <v>1165</v>
      </c>
      <c r="AB319" s="1333"/>
      <c r="AC319" s="1333"/>
      <c r="AD319" s="1333"/>
      <c r="AE319" s="1333"/>
      <c r="AF319" s="1333"/>
      <c r="AG319" s="1333"/>
      <c r="AH319" s="1333"/>
      <c r="AI319" s="1333"/>
      <c r="AJ319" s="1333"/>
      <c r="AK319" s="1333"/>
    </row>
    <row r="320" spans="2:37" ht="13" customHeight="1">
      <c r="B320" s="3" t="s">
        <v>1126</v>
      </c>
      <c r="C320" s="3"/>
      <c r="D320" s="3"/>
      <c r="E320" s="3"/>
      <c r="F320" s="3"/>
      <c r="H320" s="1294" t="s">
        <v>1114</v>
      </c>
      <c r="I320" s="1294"/>
      <c r="J320" s="1294"/>
      <c r="K320" s="1294"/>
      <c r="L320" s="1294"/>
      <c r="M320" s="1294"/>
      <c r="N320" s="1294"/>
      <c r="O320" s="1294"/>
      <c r="P320" s="1294"/>
      <c r="Q320" s="1294"/>
      <c r="R320" s="1294"/>
      <c r="T320" s="3" t="s">
        <v>1126</v>
      </c>
      <c r="V320" s="3"/>
      <c r="W320" s="3"/>
      <c r="X320" s="3"/>
      <c r="Y320" s="3"/>
      <c r="AA320" s="1294" t="s">
        <v>1166</v>
      </c>
      <c r="AB320" s="1294"/>
      <c r="AC320" s="1294"/>
      <c r="AD320" s="1294"/>
      <c r="AE320" s="1294"/>
      <c r="AF320" s="1294"/>
      <c r="AG320" s="1294"/>
      <c r="AH320" s="1294"/>
      <c r="AI320" s="1294"/>
      <c r="AJ320" s="1294"/>
      <c r="AK320" s="1294"/>
    </row>
    <row r="321" spans="2:37" ht="13" customHeight="1">
      <c r="B321" s="3" t="s">
        <v>1129</v>
      </c>
      <c r="C321" s="3"/>
      <c r="D321" s="3"/>
      <c r="E321" s="3"/>
      <c r="F321" s="3"/>
      <c r="H321" s="1294" t="s">
        <v>1141</v>
      </c>
      <c r="I321" s="1294"/>
      <c r="J321" s="1294"/>
      <c r="K321" s="1294"/>
      <c r="L321" s="1294"/>
      <c r="M321" s="1294"/>
      <c r="N321" s="1294"/>
      <c r="O321" s="1294"/>
      <c r="P321" s="1294"/>
      <c r="Q321" s="1294"/>
      <c r="R321" s="1294"/>
      <c r="T321" s="3" t="s">
        <v>1131</v>
      </c>
      <c r="V321" s="3"/>
      <c r="W321" s="3"/>
      <c r="X321" s="3"/>
      <c r="Y321" s="3"/>
      <c r="AA321" s="1294" t="s">
        <v>1155</v>
      </c>
      <c r="AB321" s="1294"/>
      <c r="AC321" s="1294"/>
      <c r="AD321" s="1294"/>
      <c r="AE321" s="1294"/>
      <c r="AF321" s="1294"/>
      <c r="AG321" s="1294"/>
      <c r="AH321" s="1294"/>
      <c r="AI321" s="1294"/>
      <c r="AJ321" s="1294"/>
      <c r="AK321" s="1294"/>
    </row>
    <row r="322" spans="2:37" ht="13" customHeight="1">
      <c r="B322" s="3" t="s">
        <v>1069</v>
      </c>
      <c r="C322" s="3"/>
      <c r="D322" s="3"/>
      <c r="E322" s="3"/>
      <c r="F322" s="3"/>
      <c r="H322" s="1294" t="s">
        <v>1115</v>
      </c>
      <c r="I322" s="1294"/>
      <c r="J322" s="1294"/>
      <c r="K322" s="1294"/>
      <c r="L322" s="1294"/>
      <c r="M322" s="1294"/>
      <c r="N322" s="1294"/>
      <c r="O322" s="1294"/>
      <c r="P322" s="1294"/>
      <c r="Q322" s="1294"/>
      <c r="R322" s="1294"/>
      <c r="T322" s="3" t="s">
        <v>1069</v>
      </c>
      <c r="V322" s="3"/>
      <c r="W322" s="3"/>
      <c r="X322" s="3"/>
      <c r="Y322" s="3"/>
      <c r="AA322" s="1294" t="s">
        <v>1167</v>
      </c>
      <c r="AB322" s="1294"/>
      <c r="AC322" s="1294"/>
      <c r="AD322" s="1294"/>
      <c r="AE322" s="1294"/>
      <c r="AF322" s="1294"/>
      <c r="AG322" s="1294"/>
      <c r="AH322" s="1294"/>
      <c r="AI322" s="1294"/>
      <c r="AJ322" s="1294"/>
      <c r="AK322" s="1294"/>
    </row>
    <row r="323" spans="2:37" ht="13" customHeight="1">
      <c r="B323" s="3" t="s">
        <v>1071</v>
      </c>
      <c r="C323" s="3"/>
      <c r="D323" s="3"/>
      <c r="E323" s="3"/>
      <c r="F323" s="3"/>
      <c r="G323" s="3"/>
      <c r="H323" s="1382" t="s">
        <v>1116</v>
      </c>
      <c r="I323" s="1382"/>
      <c r="J323" s="1382"/>
      <c r="K323" s="1382"/>
      <c r="L323" s="1382"/>
      <c r="M323" s="1382"/>
      <c r="N323" s="3" t="s">
        <v>1073</v>
      </c>
      <c r="O323" s="3"/>
      <c r="P323" s="1377"/>
      <c r="Q323" s="1377"/>
      <c r="R323" s="1377"/>
      <c r="S323" s="3"/>
      <c r="T323" s="3" t="s">
        <v>1071</v>
      </c>
      <c r="V323" s="3"/>
      <c r="W323" s="3"/>
      <c r="X323" s="3"/>
      <c r="Y323" s="3"/>
      <c r="AA323" s="1382" t="s">
        <v>1168</v>
      </c>
      <c r="AB323" s="1382"/>
      <c r="AC323" s="1382"/>
      <c r="AD323" s="1382"/>
      <c r="AE323" s="1382"/>
      <c r="AF323" s="1382"/>
      <c r="AG323" s="3" t="s">
        <v>1073</v>
      </c>
      <c r="AH323" s="3"/>
      <c r="AI323" s="1377"/>
      <c r="AJ323" s="1377"/>
      <c r="AK323" s="1377"/>
    </row>
    <row r="324" spans="2:37" ht="13" customHeight="1">
      <c r="B324" s="3" t="s">
        <v>1074</v>
      </c>
      <c r="C324" s="3"/>
      <c r="D324" s="3"/>
      <c r="E324" s="3"/>
      <c r="F324" s="3"/>
      <c r="G324" s="3"/>
      <c r="H324" s="1309"/>
      <c r="I324" s="1309"/>
      <c r="J324" s="1309"/>
      <c r="K324" s="1309"/>
      <c r="L324" s="1309"/>
      <c r="M324" s="1309"/>
      <c r="N324" s="3"/>
      <c r="O324" s="3"/>
      <c r="P324" s="84"/>
      <c r="Q324" s="84"/>
      <c r="R324" s="84"/>
      <c r="S324" s="3"/>
      <c r="T324" s="3" t="s">
        <v>1074</v>
      </c>
      <c r="V324" s="3"/>
      <c r="W324" s="3"/>
      <c r="X324" s="3"/>
      <c r="Y324" s="3"/>
      <c r="AA324" s="1309"/>
      <c r="AB324" s="1309"/>
      <c r="AC324" s="1309"/>
      <c r="AD324" s="1309"/>
      <c r="AE324" s="1309"/>
      <c r="AF324" s="1309"/>
      <c r="AG324" s="3"/>
      <c r="AH324" s="3"/>
      <c r="AI324" s="84"/>
      <c r="AJ324" s="84"/>
      <c r="AK324" s="84"/>
    </row>
    <row r="325" spans="2:37" ht="13" customHeight="1">
      <c r="B325" s="3" t="s">
        <v>1135</v>
      </c>
      <c r="C325" s="3"/>
      <c r="D325" s="3"/>
      <c r="E325" s="3"/>
      <c r="F325" s="3"/>
      <c r="G325" s="3"/>
      <c r="H325" s="1294" t="s">
        <v>1169</v>
      </c>
      <c r="I325" s="1294"/>
      <c r="J325" s="1294"/>
      <c r="K325" s="1294"/>
      <c r="L325" s="1294"/>
      <c r="M325" s="1294"/>
      <c r="N325" s="1333"/>
      <c r="O325" s="1333"/>
      <c r="P325" s="1333"/>
      <c r="Q325" s="1333"/>
      <c r="R325" s="1333"/>
      <c r="S325" s="3"/>
      <c r="T325" s="3" t="s">
        <v>1135</v>
      </c>
      <c r="V325" s="3"/>
      <c r="W325" s="3"/>
      <c r="X325" s="3"/>
      <c r="Y325" s="3"/>
      <c r="AA325" s="1294" t="s">
        <v>1170</v>
      </c>
      <c r="AB325" s="1294"/>
      <c r="AC325" s="1294"/>
      <c r="AD325" s="1294"/>
      <c r="AE325" s="1294"/>
      <c r="AF325" s="1294"/>
      <c r="AG325" s="1333"/>
      <c r="AH325" s="1333"/>
      <c r="AI325" s="1333"/>
      <c r="AJ325" s="1333"/>
      <c r="AK325" s="1333"/>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1171</v>
      </c>
      <c r="C327" s="3"/>
      <c r="D327" s="3"/>
      <c r="E327" s="3"/>
      <c r="F327" s="3"/>
      <c r="H327" s="1377" t="s">
        <v>813</v>
      </c>
      <c r="I327" s="1333"/>
      <c r="J327" s="1333"/>
      <c r="K327" s="1333"/>
      <c r="L327" s="1333"/>
      <c r="M327" s="1333"/>
      <c r="N327" s="1333"/>
      <c r="O327" s="1333"/>
      <c r="P327" s="1333"/>
      <c r="Q327" s="1333"/>
      <c r="R327" s="1333"/>
      <c r="T327" s="3" t="s">
        <v>1172</v>
      </c>
      <c r="V327" s="3"/>
      <c r="W327" s="3"/>
      <c r="X327" s="3"/>
      <c r="Y327" s="3"/>
      <c r="AA327" s="1333" t="s">
        <v>813</v>
      </c>
      <c r="AB327" s="1333"/>
      <c r="AC327" s="1333"/>
      <c r="AD327" s="1333"/>
      <c r="AE327" s="1333"/>
      <c r="AF327" s="1333"/>
      <c r="AG327" s="1333"/>
      <c r="AH327" s="1333"/>
      <c r="AI327" s="1333"/>
      <c r="AJ327" s="1333"/>
      <c r="AK327" s="1333"/>
    </row>
    <row r="328" spans="2:37" ht="13" customHeight="1">
      <c r="B328" s="3" t="s">
        <v>1126</v>
      </c>
      <c r="C328" s="3"/>
      <c r="D328" s="3"/>
      <c r="E328" s="3"/>
      <c r="F328" s="3"/>
      <c r="H328" s="1294"/>
      <c r="I328" s="1294"/>
      <c r="J328" s="1294"/>
      <c r="K328" s="1294"/>
      <c r="L328" s="1294"/>
      <c r="M328" s="1294"/>
      <c r="N328" s="1294"/>
      <c r="O328" s="1294"/>
      <c r="P328" s="1294"/>
      <c r="Q328" s="1294"/>
      <c r="R328" s="1294"/>
      <c r="T328" s="3" t="s">
        <v>1126</v>
      </c>
      <c r="V328" s="3"/>
      <c r="W328" s="3"/>
      <c r="X328" s="3"/>
      <c r="Y328" s="3"/>
      <c r="AA328" s="1294"/>
      <c r="AB328" s="1294"/>
      <c r="AC328" s="1294"/>
      <c r="AD328" s="1294"/>
      <c r="AE328" s="1294"/>
      <c r="AF328" s="1294"/>
      <c r="AG328" s="1294"/>
      <c r="AH328" s="1294"/>
      <c r="AI328" s="1294"/>
      <c r="AJ328" s="1294"/>
      <c r="AK328" s="1294"/>
    </row>
    <row r="329" spans="2:37" ht="13" customHeight="1">
      <c r="B329" s="3" t="s">
        <v>1129</v>
      </c>
      <c r="C329" s="3"/>
      <c r="D329" s="3"/>
      <c r="E329" s="3"/>
      <c r="F329" s="3"/>
      <c r="H329" s="1294"/>
      <c r="I329" s="1294"/>
      <c r="J329" s="1294"/>
      <c r="K329" s="1294"/>
      <c r="L329" s="1294"/>
      <c r="M329" s="1294"/>
      <c r="N329" s="1294"/>
      <c r="O329" s="1294"/>
      <c r="P329" s="1294"/>
      <c r="Q329" s="1294"/>
      <c r="R329" s="1294"/>
      <c r="T329" s="3" t="s">
        <v>1131</v>
      </c>
      <c r="V329" s="3"/>
      <c r="W329" s="3"/>
      <c r="X329" s="3"/>
      <c r="Y329" s="3"/>
      <c r="AA329" s="1294"/>
      <c r="AB329" s="1294"/>
      <c r="AC329" s="1294"/>
      <c r="AD329" s="1294"/>
      <c r="AE329" s="1294"/>
      <c r="AF329" s="1294"/>
      <c r="AG329" s="1294"/>
      <c r="AH329" s="1294"/>
      <c r="AI329" s="1294"/>
      <c r="AJ329" s="1294"/>
      <c r="AK329" s="1294"/>
    </row>
    <row r="330" spans="2:37" ht="13" customHeight="1">
      <c r="B330" s="3" t="s">
        <v>1069</v>
      </c>
      <c r="C330" s="3"/>
      <c r="D330" s="3"/>
      <c r="E330" s="3"/>
      <c r="F330" s="3"/>
      <c r="H330" s="1294"/>
      <c r="I330" s="1294"/>
      <c r="J330" s="1294"/>
      <c r="K330" s="1294"/>
      <c r="L330" s="1294"/>
      <c r="M330" s="1294"/>
      <c r="N330" s="1294"/>
      <c r="O330" s="1294"/>
      <c r="P330" s="1294"/>
      <c r="Q330" s="1294"/>
      <c r="R330" s="1294"/>
      <c r="T330" s="3" t="s">
        <v>1069</v>
      </c>
      <c r="V330" s="3"/>
      <c r="W330" s="3"/>
      <c r="X330" s="3"/>
      <c r="Y330" s="3"/>
      <c r="AA330" s="1294"/>
      <c r="AB330" s="1294"/>
      <c r="AC330" s="1294"/>
      <c r="AD330" s="1294"/>
      <c r="AE330" s="1294"/>
      <c r="AF330" s="1294"/>
      <c r="AG330" s="1294"/>
      <c r="AH330" s="1294"/>
      <c r="AI330" s="1294"/>
      <c r="AJ330" s="1294"/>
      <c r="AK330" s="1294"/>
    </row>
    <row r="331" spans="2:37" ht="13" customHeight="1">
      <c r="B331" s="3" t="s">
        <v>1071</v>
      </c>
      <c r="C331" s="3"/>
      <c r="D331" s="3"/>
      <c r="E331" s="3"/>
      <c r="F331" s="3"/>
      <c r="G331" s="3"/>
      <c r="H331" s="1382"/>
      <c r="I331" s="1382"/>
      <c r="J331" s="1382"/>
      <c r="K331" s="1382"/>
      <c r="L331" s="1382"/>
      <c r="M331" s="1382"/>
      <c r="N331" s="3" t="s">
        <v>1073</v>
      </c>
      <c r="O331" s="3"/>
      <c r="P331" s="1377"/>
      <c r="Q331" s="1377"/>
      <c r="R331" s="1377"/>
      <c r="S331" s="3"/>
      <c r="T331" s="3" t="s">
        <v>1071</v>
      </c>
      <c r="V331" s="3"/>
      <c r="W331" s="3"/>
      <c r="X331" s="3"/>
      <c r="Y331" s="3"/>
      <c r="AA331" s="1382"/>
      <c r="AB331" s="1382"/>
      <c r="AC331" s="1382"/>
      <c r="AD331" s="1382"/>
      <c r="AE331" s="1382"/>
      <c r="AF331" s="1382"/>
      <c r="AG331" s="3" t="s">
        <v>1073</v>
      </c>
      <c r="AH331" s="3"/>
      <c r="AI331" s="1377"/>
      <c r="AJ331" s="1377"/>
      <c r="AK331" s="1377"/>
    </row>
    <row r="332" spans="2:37" ht="13" customHeight="1">
      <c r="B332" s="3" t="s">
        <v>1074</v>
      </c>
      <c r="C332" s="3"/>
      <c r="D332" s="3"/>
      <c r="E332" s="3"/>
      <c r="F332" s="3"/>
      <c r="G332" s="3"/>
      <c r="H332" s="1309"/>
      <c r="I332" s="1309"/>
      <c r="J332" s="1309"/>
      <c r="K332" s="1309"/>
      <c r="L332" s="1309"/>
      <c r="M332" s="1309"/>
      <c r="N332" s="3"/>
      <c r="O332" s="3"/>
      <c r="P332" s="84"/>
      <c r="Q332" s="84"/>
      <c r="R332" s="84"/>
      <c r="S332" s="3"/>
      <c r="T332" s="3" t="s">
        <v>1074</v>
      </c>
      <c r="V332" s="3"/>
      <c r="W332" s="3"/>
      <c r="X332" s="3"/>
      <c r="Y332" s="3"/>
      <c r="AA332" s="1309"/>
      <c r="AB332" s="1309"/>
      <c r="AC332" s="1309"/>
      <c r="AD332" s="1309"/>
      <c r="AE332" s="1309"/>
      <c r="AF332" s="1309"/>
      <c r="AG332" s="3"/>
      <c r="AH332" s="3"/>
      <c r="AI332" s="84"/>
      <c r="AJ332" s="84"/>
      <c r="AK332" s="84"/>
    </row>
    <row r="333" spans="2:37" ht="13" customHeight="1">
      <c r="B333" s="3" t="s">
        <v>1135</v>
      </c>
      <c r="C333" s="3"/>
      <c r="D333" s="3"/>
      <c r="E333" s="3"/>
      <c r="F333" s="3"/>
      <c r="G333" s="3"/>
      <c r="H333" s="1294"/>
      <c r="I333" s="1294"/>
      <c r="J333" s="1294"/>
      <c r="K333" s="1294"/>
      <c r="L333" s="1294"/>
      <c r="M333" s="1294"/>
      <c r="N333" s="1333"/>
      <c r="O333" s="1333"/>
      <c r="P333" s="1333"/>
      <c r="Q333" s="1333"/>
      <c r="R333" s="1333"/>
      <c r="S333" s="3"/>
      <c r="T333" s="3" t="s">
        <v>1135</v>
      </c>
      <c r="V333" s="3"/>
      <c r="W333" s="3"/>
      <c r="X333" s="3"/>
      <c r="Y333" s="3"/>
      <c r="AA333" s="1294"/>
      <c r="AB333" s="1294"/>
      <c r="AC333" s="1294"/>
      <c r="AD333" s="1294"/>
      <c r="AE333" s="1294"/>
      <c r="AF333" s="1294"/>
      <c r="AG333" s="1333"/>
      <c r="AH333" s="1333"/>
      <c r="AI333" s="1333"/>
      <c r="AJ333" s="1333"/>
      <c r="AK333" s="1333"/>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1173</v>
      </c>
      <c r="C335" s="3"/>
      <c r="D335" s="3"/>
      <c r="E335" s="3"/>
      <c r="F335" s="3"/>
      <c r="H335" s="1333" t="s">
        <v>1174</v>
      </c>
      <c r="I335" s="1333"/>
      <c r="J335" s="1333"/>
      <c r="K335" s="1333"/>
      <c r="L335" s="1333"/>
      <c r="M335" s="1333"/>
      <c r="N335" s="1333"/>
      <c r="O335" s="1333"/>
      <c r="P335" s="1333"/>
      <c r="Q335" s="1333"/>
      <c r="R335" s="1333"/>
      <c r="T335" s="136" t="s">
        <v>1175</v>
      </c>
      <c r="V335" s="3"/>
      <c r="W335" s="3"/>
      <c r="X335" s="3"/>
      <c r="Y335" s="3"/>
      <c r="AA335" s="1333" t="s">
        <v>1176</v>
      </c>
      <c r="AB335" s="1333"/>
      <c r="AC335" s="1333"/>
      <c r="AD335" s="1333"/>
      <c r="AE335" s="1333"/>
      <c r="AF335" s="1333"/>
      <c r="AG335" s="1333"/>
      <c r="AH335" s="1333"/>
      <c r="AI335" s="1333"/>
      <c r="AJ335" s="1333"/>
      <c r="AK335" s="1333"/>
    </row>
    <row r="336" spans="2:37" ht="13" customHeight="1">
      <c r="B336" s="3" t="s">
        <v>1126</v>
      </c>
      <c r="C336" s="3"/>
      <c r="D336" s="3"/>
      <c r="E336" s="3"/>
      <c r="F336" s="3"/>
      <c r="H336" s="1294" t="s">
        <v>1177</v>
      </c>
      <c r="I336" s="1294"/>
      <c r="J336" s="1294"/>
      <c r="K336" s="1294"/>
      <c r="L336" s="1294"/>
      <c r="M336" s="1294"/>
      <c r="N336" s="1294"/>
      <c r="O336" s="1294"/>
      <c r="P336" s="1294"/>
      <c r="Q336" s="1294"/>
      <c r="R336" s="1294"/>
      <c r="T336" s="3" t="s">
        <v>1126</v>
      </c>
      <c r="V336" s="3"/>
      <c r="W336" s="3"/>
      <c r="X336" s="3"/>
      <c r="Y336" s="3"/>
      <c r="AA336" s="1294" t="s">
        <v>1178</v>
      </c>
      <c r="AB336" s="1294"/>
      <c r="AC336" s="1294"/>
      <c r="AD336" s="1294"/>
      <c r="AE336" s="1294"/>
      <c r="AF336" s="1294"/>
      <c r="AG336" s="1294"/>
      <c r="AH336" s="1294"/>
      <c r="AI336" s="1294"/>
      <c r="AJ336" s="1294"/>
      <c r="AK336" s="1294"/>
    </row>
    <row r="337" spans="1:66" ht="13" customHeight="1">
      <c r="B337" s="3" t="s">
        <v>1131</v>
      </c>
      <c r="C337" s="3"/>
      <c r="D337" s="3"/>
      <c r="E337" s="3"/>
      <c r="F337" s="3"/>
      <c r="H337" s="1294" t="s">
        <v>1179</v>
      </c>
      <c r="I337" s="1294"/>
      <c r="J337" s="1294"/>
      <c r="K337" s="1294"/>
      <c r="L337" s="1294"/>
      <c r="M337" s="1294"/>
      <c r="N337" s="1294"/>
      <c r="O337" s="1294"/>
      <c r="P337" s="1294"/>
      <c r="Q337" s="1294"/>
      <c r="R337" s="1294"/>
      <c r="T337" s="3" t="s">
        <v>1131</v>
      </c>
      <c r="V337" s="3"/>
      <c r="W337" s="3"/>
      <c r="X337" s="3"/>
      <c r="Y337" s="3"/>
      <c r="AA337" s="1294" t="s">
        <v>1180</v>
      </c>
      <c r="AB337" s="1294"/>
      <c r="AC337" s="1294"/>
      <c r="AD337" s="1294"/>
      <c r="AE337" s="1294"/>
      <c r="AF337" s="1294"/>
      <c r="AG337" s="1294"/>
      <c r="AH337" s="1294"/>
      <c r="AI337" s="1294"/>
      <c r="AJ337" s="1294"/>
      <c r="AK337" s="1294"/>
    </row>
    <row r="338" spans="1:66" ht="13" customHeight="1">
      <c r="B338" s="3" t="s">
        <v>1069</v>
      </c>
      <c r="C338" s="3"/>
      <c r="D338" s="3"/>
      <c r="E338" s="3"/>
      <c r="F338" s="3"/>
      <c r="G338" s="3"/>
      <c r="H338" s="1294" t="s">
        <v>1181</v>
      </c>
      <c r="I338" s="1294"/>
      <c r="J338" s="1294"/>
      <c r="K338" s="1294"/>
      <c r="L338" s="1294"/>
      <c r="M338" s="1294"/>
      <c r="N338" s="1294"/>
      <c r="O338" s="1294"/>
      <c r="P338" s="1294"/>
      <c r="Q338" s="1294"/>
      <c r="R338" s="1294"/>
      <c r="T338" s="3" t="s">
        <v>1069</v>
      </c>
      <c r="V338" s="3"/>
      <c r="W338" s="3"/>
      <c r="X338" s="3"/>
      <c r="Y338" s="3"/>
      <c r="AA338" s="1294" t="s">
        <v>1182</v>
      </c>
      <c r="AB338" s="1294"/>
      <c r="AC338" s="1294"/>
      <c r="AD338" s="1294"/>
      <c r="AE338" s="1294"/>
      <c r="AF338" s="1294"/>
      <c r="AG338" s="1294"/>
      <c r="AH338" s="1294"/>
      <c r="AI338" s="1294"/>
      <c r="AJ338" s="1294"/>
      <c r="AK338" s="1294"/>
    </row>
    <row r="339" spans="1:66" ht="13" customHeight="1">
      <c r="B339" s="3" t="s">
        <v>1071</v>
      </c>
      <c r="C339" s="3"/>
      <c r="D339" s="3"/>
      <c r="E339" s="3"/>
      <c r="F339" s="3"/>
      <c r="G339" s="3"/>
      <c r="H339" s="1382" t="s">
        <v>1183</v>
      </c>
      <c r="I339" s="1382"/>
      <c r="J339" s="1382"/>
      <c r="K339" s="1382"/>
      <c r="L339" s="1382"/>
      <c r="M339" s="1382"/>
      <c r="N339" s="3" t="s">
        <v>1073</v>
      </c>
      <c r="O339" s="3"/>
      <c r="P339" s="1377"/>
      <c r="Q339" s="1377"/>
      <c r="R339" s="1377"/>
      <c r="S339" s="3"/>
      <c r="T339" s="3" t="s">
        <v>1071</v>
      </c>
      <c r="V339" s="3"/>
      <c r="W339" s="3"/>
      <c r="X339" s="3"/>
      <c r="Y339" s="3"/>
      <c r="AA339" s="1382"/>
      <c r="AB339" s="1382"/>
      <c r="AC339" s="1382"/>
      <c r="AD339" s="1382"/>
      <c r="AE339" s="1382"/>
      <c r="AF339" s="1382"/>
      <c r="AG339" s="3" t="s">
        <v>1073</v>
      </c>
      <c r="AH339" s="3"/>
      <c r="AI339" s="1377"/>
      <c r="AJ339" s="1377"/>
      <c r="AK339" s="1377"/>
    </row>
    <row r="340" spans="1:66" ht="13" customHeight="1">
      <c r="B340" s="3" t="s">
        <v>1074</v>
      </c>
      <c r="C340" s="3"/>
      <c r="D340" s="3"/>
      <c r="E340" s="3"/>
      <c r="F340" s="3"/>
      <c r="G340" s="3"/>
      <c r="H340" s="1309" t="s">
        <v>1184</v>
      </c>
      <c r="I340" s="1309"/>
      <c r="J340" s="1309"/>
      <c r="K340" s="1309"/>
      <c r="L340" s="1309"/>
      <c r="M340" s="1309"/>
      <c r="N340" s="3"/>
      <c r="O340" s="3"/>
      <c r="P340" s="84"/>
      <c r="Q340" s="84"/>
      <c r="R340" s="84"/>
      <c r="S340" s="3"/>
      <c r="T340" s="3" t="s">
        <v>1074</v>
      </c>
      <c r="V340" s="3"/>
      <c r="W340" s="3"/>
      <c r="X340" s="3"/>
      <c r="Y340" s="3"/>
      <c r="AA340" s="1309"/>
      <c r="AB340" s="1309"/>
      <c r="AC340" s="1309"/>
      <c r="AD340" s="1309"/>
      <c r="AE340" s="1309"/>
      <c r="AF340" s="1309"/>
      <c r="AG340" s="3"/>
      <c r="AH340" s="3"/>
      <c r="AI340" s="84"/>
      <c r="AJ340" s="84"/>
      <c r="AK340" s="84"/>
    </row>
    <row r="341" spans="1:66" ht="13" customHeight="1">
      <c r="B341" s="3" t="s">
        <v>1135</v>
      </c>
      <c r="C341" s="3"/>
      <c r="D341" s="3"/>
      <c r="E341" s="3"/>
      <c r="F341" s="3"/>
      <c r="G341" s="3"/>
      <c r="H341" s="1294" t="s">
        <v>1185</v>
      </c>
      <c r="I341" s="1294"/>
      <c r="J341" s="1294"/>
      <c r="K341" s="1294"/>
      <c r="L341" s="1294"/>
      <c r="M341" s="1294"/>
      <c r="N341" s="1333"/>
      <c r="O341" s="1333"/>
      <c r="P341" s="1333"/>
      <c r="Q341" s="1333"/>
      <c r="R341" s="1333"/>
      <c r="S341" s="3"/>
      <c r="T341" s="3" t="s">
        <v>1135</v>
      </c>
      <c r="V341" s="3"/>
      <c r="W341" s="3"/>
      <c r="X341" s="3"/>
      <c r="Y341" s="3"/>
      <c r="AA341" s="1294"/>
      <c r="AB341" s="1294"/>
      <c r="AC341" s="1294"/>
      <c r="AD341" s="1294"/>
      <c r="AE341" s="1294"/>
      <c r="AF341" s="1294"/>
      <c r="AG341" s="1333"/>
      <c r="AH341" s="1333"/>
      <c r="AI341" s="1333"/>
      <c r="AJ341" s="1333"/>
      <c r="AK341" s="1333"/>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813</v>
      </c>
    </row>
    <row r="343" spans="1:66" ht="13" customHeight="1">
      <c r="B343" s="3"/>
      <c r="C343" s="3"/>
      <c r="D343" s="3"/>
      <c r="E343" s="3"/>
      <c r="F343" s="3"/>
      <c r="I343" s="136" t="s">
        <v>1186</v>
      </c>
      <c r="P343" s="1333" t="s">
        <v>813</v>
      </c>
      <c r="Q343" s="1333"/>
      <c r="R343" s="1333"/>
      <c r="S343" s="1333"/>
      <c r="T343" s="1333"/>
      <c r="U343" s="1333"/>
      <c r="V343" s="1333"/>
      <c r="W343" s="1333"/>
      <c r="X343" s="1333"/>
      <c r="Y343" s="1333"/>
      <c r="Z343" s="1333"/>
      <c r="AA343" s="1333"/>
      <c r="AB343" s="1333"/>
      <c r="AC343" s="1333"/>
      <c r="AD343" s="1333"/>
      <c r="AE343" s="1333"/>
      <c r="BN343" t="s">
        <v>695</v>
      </c>
    </row>
    <row r="344" spans="1:66" ht="13" customHeight="1">
      <c r="B344" s="3"/>
      <c r="C344" s="3"/>
      <c r="D344" s="3"/>
      <c r="E344" s="3"/>
      <c r="F344" s="3"/>
      <c r="I344" s="3" t="s">
        <v>1126</v>
      </c>
      <c r="P344" s="1294"/>
      <c r="Q344" s="1294"/>
      <c r="R344" s="1294"/>
      <c r="S344" s="1294"/>
      <c r="T344" s="1294"/>
      <c r="U344" s="1294"/>
      <c r="V344" s="1294"/>
      <c r="W344" s="1294"/>
      <c r="X344" s="1294"/>
      <c r="Y344" s="1294"/>
      <c r="Z344" s="1294"/>
      <c r="AA344" s="1294"/>
      <c r="AB344" s="1294"/>
      <c r="AC344" s="1294"/>
      <c r="AD344" s="1294"/>
      <c r="AE344" s="1294"/>
      <c r="BN344" t="s">
        <v>848</v>
      </c>
    </row>
    <row r="345" spans="1:66" ht="13" customHeight="1">
      <c r="B345" s="3"/>
      <c r="C345" s="3"/>
      <c r="D345" s="3"/>
      <c r="E345" s="3"/>
      <c r="F345" s="3"/>
      <c r="I345" s="3" t="s">
        <v>1131</v>
      </c>
      <c r="P345" s="1294"/>
      <c r="Q345" s="1294"/>
      <c r="R345" s="1294"/>
      <c r="S345" s="1294"/>
      <c r="T345" s="1294"/>
      <c r="U345" s="1294"/>
      <c r="V345" s="1294"/>
      <c r="W345" s="1294"/>
      <c r="X345" s="1294"/>
      <c r="Y345" s="1294"/>
      <c r="Z345" s="1294"/>
      <c r="AA345" s="1294"/>
      <c r="AB345" s="1294"/>
      <c r="AC345" s="1294"/>
      <c r="AD345" s="1294"/>
      <c r="AE345" s="1294"/>
    </row>
    <row r="346" spans="1:66" ht="13" customHeight="1">
      <c r="B346" s="3"/>
      <c r="C346" s="3"/>
      <c r="D346" s="3"/>
      <c r="E346" s="3"/>
      <c r="F346" s="3"/>
      <c r="G346" s="3"/>
      <c r="I346" s="3" t="s">
        <v>1069</v>
      </c>
      <c r="P346" s="1294"/>
      <c r="Q346" s="1294"/>
      <c r="R346" s="1294"/>
      <c r="S346" s="1294"/>
      <c r="T346" s="1294"/>
      <c r="U346" s="1294"/>
      <c r="V346" s="1294"/>
      <c r="W346" s="1294"/>
      <c r="X346" s="1294"/>
      <c r="Y346" s="1294"/>
      <c r="Z346" s="1294"/>
      <c r="AA346" s="1294"/>
      <c r="AB346" s="1294"/>
      <c r="AC346" s="1294"/>
      <c r="AD346" s="1294"/>
      <c r="AE346" s="1294"/>
    </row>
    <row r="347" spans="1:66" ht="13" customHeight="1">
      <c r="B347" s="3"/>
      <c r="C347" s="3"/>
      <c r="D347" s="3"/>
      <c r="E347" s="3"/>
      <c r="F347" s="3"/>
      <c r="G347" s="3"/>
      <c r="H347" s="1163"/>
      <c r="I347" s="3" t="s">
        <v>1071</v>
      </c>
      <c r="P347" s="1309"/>
      <c r="Q347" s="1309"/>
      <c r="R347" s="1309"/>
      <c r="S347" s="1309"/>
      <c r="T347" s="1309"/>
      <c r="U347" s="1309"/>
      <c r="V347" s="1309"/>
      <c r="W347" s="1309"/>
      <c r="X347" s="1309"/>
      <c r="Y347" s="1309"/>
      <c r="Z347" s="1309"/>
      <c r="AA347" s="3" t="s">
        <v>1073</v>
      </c>
      <c r="AB347" s="3"/>
      <c r="AC347" s="1395"/>
      <c r="AD347" s="1395"/>
      <c r="AE347" s="1395"/>
      <c r="AF347" s="1163"/>
      <c r="AG347" s="3"/>
      <c r="AH347" s="3"/>
      <c r="AI347" s="3"/>
      <c r="AJ347" s="3"/>
      <c r="AK347" s="3"/>
    </row>
    <row r="348" spans="1:66" ht="13" customHeight="1">
      <c r="B348" s="3"/>
      <c r="C348" s="3"/>
      <c r="D348" s="3"/>
      <c r="E348" s="3"/>
      <c r="F348" s="3"/>
      <c r="G348" s="3"/>
      <c r="H348" s="1163"/>
      <c r="I348" s="3" t="s">
        <v>1074</v>
      </c>
      <c r="P348" s="1309"/>
      <c r="Q348" s="1309"/>
      <c r="R348" s="1309"/>
      <c r="S348" s="1309"/>
      <c r="T348" s="1309"/>
      <c r="U348" s="1309"/>
      <c r="V348" s="1309"/>
      <c r="W348" s="1309"/>
      <c r="X348" s="1309"/>
      <c r="Y348" s="1309"/>
      <c r="Z348" s="1309"/>
      <c r="AF348" s="1163"/>
      <c r="AG348" s="3"/>
      <c r="AH348" s="3"/>
      <c r="AI348" s="84"/>
      <c r="AJ348" s="84"/>
      <c r="AK348" s="84"/>
    </row>
    <row r="349" spans="1:66" ht="13" customHeight="1">
      <c r="B349" s="3"/>
      <c r="C349" s="3"/>
      <c r="D349" s="3"/>
      <c r="E349" s="3"/>
      <c r="F349" s="3"/>
      <c r="G349" s="3"/>
      <c r="I349" s="3" t="s">
        <v>1135</v>
      </c>
      <c r="P349" s="1333"/>
      <c r="Q349" s="1333"/>
      <c r="R349" s="1333"/>
      <c r="S349" s="1333"/>
      <c r="T349" s="1333"/>
      <c r="U349" s="1333"/>
      <c r="V349" s="1333"/>
      <c r="W349" s="1333"/>
      <c r="X349" s="1333"/>
      <c r="Y349" s="1333"/>
      <c r="Z349" s="1333"/>
      <c r="AA349" s="1333"/>
      <c r="AB349" s="1333"/>
      <c r="AC349" s="1333"/>
      <c r="AD349" s="1333"/>
      <c r="AE349" s="1333"/>
    </row>
    <row r="350" spans="1:66" ht="13" customHeight="1">
      <c r="T350" s="7"/>
      <c r="U350" s="7"/>
      <c r="V350" s="7"/>
      <c r="W350" s="7"/>
      <c r="X350" s="7"/>
      <c r="Y350" s="7"/>
      <c r="Z350" s="7"/>
      <c r="AU350" s="70"/>
      <c r="AV350" s="70"/>
      <c r="AW350" s="70"/>
      <c r="AX350" s="70"/>
      <c r="AY350" s="70"/>
    </row>
    <row r="351" spans="1:66" ht="13" customHeight="1">
      <c r="A351" s="1381" t="s">
        <v>1187</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873</v>
      </c>
      <c r="B354" s="2"/>
      <c r="C354" s="2" t="s">
        <v>1188</v>
      </c>
    </row>
    <row r="355" spans="1:46" ht="13" customHeight="1">
      <c r="D355" s="3" t="s">
        <v>687</v>
      </c>
      <c r="M355" s="1295" t="s">
        <v>848</v>
      </c>
      <c r="N355" s="1295"/>
      <c r="P355" t="s">
        <v>1189</v>
      </c>
      <c r="AJ355" s="1295" t="s">
        <v>813</v>
      </c>
      <c r="AK355" s="1295"/>
    </row>
    <row r="356" spans="1:46" ht="13" customHeight="1">
      <c r="D356" s="3" t="s">
        <v>685</v>
      </c>
      <c r="M356" s="1295" t="s">
        <v>813</v>
      </c>
      <c r="N356" s="1295"/>
      <c r="P356" s="3" t="s">
        <v>1190</v>
      </c>
      <c r="AJ356" s="1405"/>
      <c r="AK356" s="1405"/>
    </row>
    <row r="357" spans="1:46" ht="13" customHeight="1">
      <c r="D357" s="3" t="s">
        <v>1191</v>
      </c>
      <c r="M357" s="1295" t="s">
        <v>813</v>
      </c>
      <c r="N357" s="1295"/>
      <c r="P357" t="s">
        <v>1192</v>
      </c>
      <c r="AJ357" s="1295" t="s">
        <v>813</v>
      </c>
      <c r="AK357" s="1295"/>
    </row>
    <row r="358" spans="1:46" ht="13" customHeight="1">
      <c r="D358" s="3" t="s">
        <v>1193</v>
      </c>
      <c r="M358" s="1295" t="s">
        <v>813</v>
      </c>
      <c r="N358" s="1295"/>
      <c r="Q358" s="3"/>
    </row>
    <row r="359" spans="1:46" ht="13" customHeight="1">
      <c r="Q359" s="3"/>
    </row>
    <row r="360" spans="1:46" ht="13" customHeight="1">
      <c r="Q360" s="3"/>
    </row>
    <row r="361" spans="1:46" ht="13" customHeight="1">
      <c r="A361" s="2" t="s">
        <v>914</v>
      </c>
      <c r="B361" s="2"/>
      <c r="C361" s="2" t="s">
        <v>1194</v>
      </c>
      <c r="D361" s="2"/>
    </row>
    <row r="362" spans="1:46" ht="13" customHeight="1">
      <c r="D362" s="31" t="s">
        <v>1195</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1196</v>
      </c>
      <c r="E363" s="32"/>
      <c r="F363" s="32"/>
      <c r="G363" s="32"/>
      <c r="H363" s="32"/>
      <c r="I363" s="32"/>
      <c r="J363" s="32"/>
      <c r="K363" s="32"/>
      <c r="L363" s="32"/>
      <c r="M363" s="32"/>
      <c r="N363" s="1295" t="s">
        <v>813</v>
      </c>
      <c r="O363" s="1295"/>
      <c r="P363" s="32"/>
      <c r="Q363" s="32"/>
      <c r="R363" s="32"/>
      <c r="S363" s="32"/>
      <c r="T363" s="32"/>
      <c r="U363" s="32"/>
      <c r="V363" s="32"/>
      <c r="W363" s="32"/>
      <c r="X363" s="32"/>
      <c r="Y363" s="32"/>
      <c r="Z363" s="32"/>
      <c r="AC363" s="32"/>
      <c r="AD363" s="32"/>
      <c r="AE363" s="32"/>
    </row>
    <row r="364" spans="1:46" ht="13" customHeight="1">
      <c r="E364" t="s">
        <v>1197</v>
      </c>
      <c r="Y364" s="1295" t="s">
        <v>813</v>
      </c>
      <c r="Z364" s="1295"/>
    </row>
    <row r="365" spans="1:46" ht="13" customHeight="1">
      <c r="D365" s="3" t="s">
        <v>1198</v>
      </c>
      <c r="Q365" s="1333"/>
      <c r="R365" s="1333"/>
      <c r="S365" s="1333"/>
      <c r="T365" s="1333"/>
      <c r="U365" s="1333"/>
      <c r="V365" s="1333"/>
      <c r="W365" s="1333"/>
      <c r="X365" s="1333"/>
      <c r="Y365" s="1333"/>
      <c r="Z365" s="1333"/>
      <c r="AA365" s="1333"/>
      <c r="AB365" s="1333"/>
      <c r="AC365" s="1333"/>
      <c r="AD365" s="1333"/>
      <c r="AE365" s="1333"/>
      <c r="AF365" s="1333"/>
      <c r="AG365" s="1333"/>
    </row>
    <row r="366" spans="1:46" ht="13" customHeight="1">
      <c r="D366" t="s">
        <v>1199</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1200</v>
      </c>
      <c r="E367" s="32"/>
      <c r="F367" s="32"/>
      <c r="G367" s="32"/>
      <c r="H367" s="32"/>
      <c r="I367" s="32"/>
      <c r="J367" s="1295" t="s">
        <v>813</v>
      </c>
      <c r="K367" s="1295"/>
      <c r="L367" s="32"/>
      <c r="M367" s="32"/>
      <c r="N367" s="32"/>
      <c r="O367" s="32"/>
      <c r="P367" s="32"/>
      <c r="Q367" s="32"/>
      <c r="R367" s="32"/>
      <c r="S367" s="32"/>
      <c r="T367" s="32"/>
      <c r="U367" s="32"/>
      <c r="V367" s="32"/>
      <c r="W367" s="32"/>
      <c r="X367" s="32"/>
      <c r="Y367" s="32"/>
      <c r="Z367" s="32"/>
      <c r="AC367" s="32"/>
      <c r="AD367" s="32"/>
      <c r="AE367" s="32"/>
    </row>
    <row r="368" spans="1:46" ht="13" customHeight="1">
      <c r="E368" s="1224" t="s">
        <v>1201</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3" t="s">
        <v>1202</v>
      </c>
      <c r="F370" s="3"/>
      <c r="G370" s="3"/>
      <c r="H370" s="3"/>
      <c r="I370" s="3"/>
      <c r="J370" s="3"/>
      <c r="K370" s="3"/>
      <c r="L370" s="3"/>
      <c r="N370" s="1607"/>
      <c r="O370" s="1607"/>
      <c r="P370" s="1607"/>
      <c r="Q370" s="1607"/>
      <c r="R370" s="3"/>
      <c r="U370" s="3" t="s">
        <v>1203</v>
      </c>
      <c r="V370" s="3"/>
      <c r="W370" s="3"/>
      <c r="X370" s="3"/>
      <c r="Y370" s="3"/>
      <c r="Z370" s="3"/>
      <c r="AA370" s="3"/>
      <c r="AB370" s="3"/>
      <c r="AC370" s="1607"/>
      <c r="AD370" s="1607"/>
      <c r="AE370" s="1607"/>
      <c r="AF370" s="1607"/>
    </row>
    <row r="371" spans="1:34" ht="13" customHeight="1">
      <c r="E371" s="3" t="s">
        <v>1204</v>
      </c>
      <c r="F371" s="3"/>
      <c r="G371" s="3"/>
      <c r="H371" s="3"/>
      <c r="I371" s="3"/>
      <c r="J371" s="3"/>
      <c r="K371" s="3"/>
      <c r="L371" s="3"/>
      <c r="N371" s="1607"/>
      <c r="O371" s="1607"/>
      <c r="P371" s="1607"/>
      <c r="Q371" s="1607"/>
      <c r="R371" s="3"/>
      <c r="U371" s="3" t="s">
        <v>1205</v>
      </c>
      <c r="V371" s="3"/>
      <c r="W371" s="3"/>
      <c r="X371" s="3"/>
      <c r="Y371" s="3"/>
      <c r="Z371" s="3"/>
      <c r="AA371" s="3"/>
      <c r="AB371" s="3"/>
      <c r="AC371" s="1607"/>
      <c r="AD371" s="1607"/>
      <c r="AE371" s="1607"/>
      <c r="AF371" s="1607"/>
    </row>
    <row r="372" spans="1:34" ht="13" customHeight="1">
      <c r="E372" s="3" t="s">
        <v>1206</v>
      </c>
      <c r="F372" s="3"/>
      <c r="G372" s="3"/>
      <c r="H372" s="3"/>
      <c r="I372" s="3"/>
      <c r="J372" s="3"/>
      <c r="K372" s="3"/>
      <c r="L372" s="3"/>
      <c r="N372" s="1607"/>
      <c r="O372" s="1607"/>
      <c r="P372" s="1607"/>
      <c r="Q372" s="1607"/>
      <c r="R372" s="3"/>
      <c r="V372" s="3"/>
      <c r="W372" s="3"/>
      <c r="X372" s="3"/>
      <c r="Y372" s="3"/>
      <c r="Z372" s="3"/>
      <c r="AA372" s="3"/>
      <c r="AB372" s="3"/>
    </row>
    <row r="373" spans="1:34" ht="13" customHeight="1">
      <c r="E373" s="3" t="s">
        <v>1207</v>
      </c>
      <c r="F373" s="3"/>
      <c r="G373" s="3"/>
      <c r="H373" s="3"/>
      <c r="I373" s="3"/>
      <c r="J373" s="3"/>
      <c r="K373" s="3"/>
      <c r="L373" s="3"/>
      <c r="N373" s="1748"/>
      <c r="O373" s="1748"/>
      <c r="P373" s="1748"/>
      <c r="Q373" s="1748"/>
      <c r="R373" s="1748"/>
      <c r="S373" s="1748"/>
      <c r="T373" s="1748"/>
      <c r="U373" s="1748"/>
      <c r="V373" s="1748"/>
      <c r="W373" s="1748"/>
      <c r="X373" s="1748"/>
      <c r="Y373" s="1748"/>
      <c r="Z373" s="1748"/>
      <c r="AA373" s="1748"/>
      <c r="AB373" s="1748"/>
      <c r="AC373" s="1748"/>
      <c r="AD373" s="1748"/>
      <c r="AE373" s="1748"/>
      <c r="AF373" s="1748"/>
    </row>
    <row r="374" spans="1:34" ht="13" customHeight="1">
      <c r="E374" s="3"/>
      <c r="F374" s="3"/>
      <c r="G374" s="3"/>
      <c r="H374" s="3"/>
      <c r="I374" s="3"/>
      <c r="J374" s="3"/>
      <c r="K374" s="3"/>
      <c r="L374" s="3"/>
      <c r="N374" s="1749"/>
      <c r="O374" s="1749"/>
      <c r="P374" s="1749"/>
      <c r="Q374" s="1749"/>
      <c r="R374" s="1749"/>
      <c r="S374" s="1749"/>
      <c r="T374" s="1749"/>
      <c r="U374" s="1749"/>
      <c r="V374" s="1749"/>
      <c r="W374" s="1749"/>
      <c r="X374" s="1749"/>
      <c r="Y374" s="1749"/>
      <c r="Z374" s="1749"/>
      <c r="AA374" s="1749"/>
      <c r="AB374" s="1749"/>
      <c r="AC374" s="1749"/>
      <c r="AD374" s="1749"/>
      <c r="AE374" s="1749"/>
      <c r="AF374" s="1749"/>
    </row>
    <row r="375" spans="1:34" ht="13" customHeight="1">
      <c r="C375" s="412"/>
      <c r="E375" s="3"/>
      <c r="F375" s="3"/>
      <c r="G375" s="3"/>
      <c r="H375" s="3"/>
      <c r="I375" s="3"/>
      <c r="J375" s="3"/>
      <c r="K375" s="3"/>
      <c r="L375" s="3"/>
    </row>
    <row r="376" spans="1:34" ht="13" customHeight="1">
      <c r="D376" s="2" t="s">
        <v>1208</v>
      </c>
      <c r="E376" s="2"/>
      <c r="F376" s="3"/>
      <c r="G376" s="3"/>
      <c r="H376" s="3"/>
      <c r="I376" s="3"/>
      <c r="J376" s="3"/>
      <c r="K376" s="3"/>
      <c r="L376" s="3"/>
    </row>
    <row r="377" spans="1:34" ht="13" customHeight="1">
      <c r="E377" s="3" t="s">
        <v>1209</v>
      </c>
      <c r="F377" s="3"/>
      <c r="G377" s="3"/>
      <c r="H377" s="3"/>
      <c r="I377" s="3"/>
      <c r="J377" s="3"/>
      <c r="K377" s="3"/>
      <c r="L377" s="3"/>
      <c r="N377" t="s">
        <v>890</v>
      </c>
      <c r="R377" s="23" t="s">
        <v>891</v>
      </c>
      <c r="S377" s="1750"/>
      <c r="T377" s="1750"/>
      <c r="U377" s="1" t="s">
        <v>892</v>
      </c>
      <c r="V377" s="1750"/>
      <c r="W377" s="1750"/>
      <c r="Y377" t="s">
        <v>890</v>
      </c>
      <c r="AC377" s="23" t="s">
        <v>891</v>
      </c>
      <c r="AD377" s="1750"/>
      <c r="AE377" s="1750"/>
      <c r="AF377" s="1" t="s">
        <v>892</v>
      </c>
      <c r="AG377" s="1750"/>
      <c r="AH377" s="1750"/>
    </row>
    <row r="378" spans="1:34" ht="13" customHeight="1">
      <c r="E378" s="3" t="s">
        <v>1210</v>
      </c>
      <c r="F378" s="3"/>
      <c r="G378" s="3"/>
      <c r="H378" s="3"/>
      <c r="I378" s="3"/>
      <c r="J378" s="3"/>
      <c r="K378" s="3"/>
      <c r="L378" s="3"/>
      <c r="N378" s="1750"/>
      <c r="O378" s="1750"/>
      <c r="P378" s="1750"/>
    </row>
    <row r="379" spans="1:34" ht="13" customHeight="1">
      <c r="E379" s="136" t="s">
        <v>1211</v>
      </c>
      <c r="F379" s="3"/>
      <c r="G379" s="3"/>
      <c r="H379" s="3"/>
      <c r="I379" s="3"/>
      <c r="J379" s="3"/>
      <c r="K379" s="3"/>
      <c r="L379" s="3"/>
      <c r="AG379" s="1740" t="s">
        <v>813</v>
      </c>
      <c r="AH379" s="1740"/>
    </row>
    <row r="380" spans="1:34" ht="13" customHeight="1">
      <c r="E380" s="3"/>
      <c r="F380" s="3"/>
      <c r="G380" s="3" t="s">
        <v>1212</v>
      </c>
      <c r="H380" s="3"/>
      <c r="I380" s="3"/>
      <c r="J380" s="3"/>
      <c r="K380" s="3"/>
      <c r="L380" s="3"/>
      <c r="AG380" s="1740" t="s">
        <v>813</v>
      </c>
      <c r="AH380" s="1740"/>
    </row>
    <row r="381" spans="1:34" ht="13" customHeight="1">
      <c r="E381" s="3"/>
      <c r="F381" s="3"/>
      <c r="G381" s="225" t="s">
        <v>1213</v>
      </c>
      <c r="H381" s="3"/>
      <c r="I381" s="3"/>
      <c r="J381" s="3"/>
      <c r="K381" s="3"/>
      <c r="L381" s="3"/>
      <c r="V381" s="1295" t="s">
        <v>813</v>
      </c>
      <c r="W381" s="1295"/>
      <c r="Y381" s="19" t="s">
        <v>1214</v>
      </c>
    </row>
    <row r="382" spans="1:34" ht="13" customHeight="1">
      <c r="E382" s="3" t="s">
        <v>1215</v>
      </c>
      <c r="F382" s="3"/>
      <c r="G382" s="3"/>
      <c r="H382" s="3"/>
      <c r="I382" s="3"/>
      <c r="J382" s="3"/>
      <c r="K382" s="3"/>
      <c r="L382" s="3"/>
      <c r="V382" s="1295" t="s">
        <v>813</v>
      </c>
      <c r="W382" s="1295"/>
      <c r="Y382" s="3" t="s">
        <v>1216</v>
      </c>
    </row>
    <row r="383" spans="1:34" ht="13" customHeight="1"/>
    <row r="384" spans="1:34" ht="13" customHeight="1">
      <c r="A384" s="2" t="s">
        <v>1217</v>
      </c>
      <c r="B384" s="2"/>
    </row>
    <row r="385" spans="4:36" ht="13" customHeight="1">
      <c r="D385" t="s">
        <v>1218</v>
      </c>
      <c r="J385" s="1333" t="s">
        <v>1219</v>
      </c>
      <c r="K385" s="1333"/>
      <c r="L385" s="1333"/>
      <c r="M385" s="1333"/>
      <c r="N385" s="1333"/>
      <c r="O385" s="1333"/>
      <c r="P385" s="1333"/>
      <c r="Q385" s="1333"/>
      <c r="R385" s="1333"/>
      <c r="S385" s="1333"/>
      <c r="T385" s="1333"/>
      <c r="U385" s="1333"/>
      <c r="V385" s="7" t="s">
        <v>1220</v>
      </c>
      <c r="W385" s="7"/>
      <c r="X385" s="7"/>
      <c r="Y385" s="7"/>
      <c r="Z385" s="7"/>
      <c r="AA385" s="7"/>
      <c r="AB385" s="7"/>
      <c r="AC385" s="1333" t="s">
        <v>1221</v>
      </c>
      <c r="AD385" s="1333"/>
      <c r="AE385" s="1333"/>
      <c r="AF385" s="1333"/>
      <c r="AG385" s="1333"/>
      <c r="AH385" s="1333"/>
      <c r="AI385" s="1333"/>
      <c r="AJ385" s="1333"/>
    </row>
    <row r="386" spans="4:36" ht="13" customHeight="1">
      <c r="D386" s="3" t="s">
        <v>1222</v>
      </c>
      <c r="J386" s="1294" t="s">
        <v>1221</v>
      </c>
      <c r="K386" s="1294"/>
      <c r="L386" s="1294"/>
      <c r="M386" s="1294"/>
      <c r="N386" s="1294"/>
      <c r="O386" s="1294"/>
      <c r="P386" s="1294"/>
      <c r="Q386" s="1294"/>
      <c r="R386" s="1294"/>
      <c r="S386" s="1294"/>
      <c r="T386" s="1294"/>
      <c r="U386" s="1294"/>
      <c r="V386" s="3" t="s">
        <v>1222</v>
      </c>
      <c r="W386" s="7"/>
      <c r="X386" s="7"/>
      <c r="Y386" s="7"/>
      <c r="Z386" s="7"/>
      <c r="AA386" s="7"/>
      <c r="AB386" s="7"/>
      <c r="AC386" s="1333"/>
      <c r="AD386" s="1333"/>
      <c r="AE386" s="1333"/>
      <c r="AF386" s="1333"/>
      <c r="AG386" s="1333"/>
      <c r="AH386" s="1333"/>
      <c r="AI386" s="1333"/>
      <c r="AJ386" s="1333"/>
    </row>
    <row r="387" spans="4:36" ht="13" customHeight="1">
      <c r="D387" s="3" t="s">
        <v>811</v>
      </c>
      <c r="J387" s="1294"/>
      <c r="K387" s="1294"/>
      <c r="L387" s="1294"/>
      <c r="M387" s="1294"/>
      <c r="N387" s="1294"/>
      <c r="O387" s="1294"/>
      <c r="P387" s="1294"/>
      <c r="Q387" s="1294"/>
      <c r="R387" s="1294"/>
      <c r="S387" s="1294"/>
      <c r="T387" s="1294"/>
      <c r="U387" s="1294"/>
      <c r="V387" s="3" t="s">
        <v>811</v>
      </c>
      <c r="W387" s="7"/>
      <c r="X387" s="7"/>
      <c r="Y387" s="7"/>
      <c r="Z387" s="7"/>
      <c r="AA387" s="7"/>
      <c r="AB387" s="7"/>
      <c r="AC387" s="1333"/>
      <c r="AD387" s="1333"/>
      <c r="AE387" s="1333"/>
      <c r="AF387" s="1333"/>
      <c r="AG387" s="1333"/>
      <c r="AH387" s="1333"/>
      <c r="AI387" s="1333"/>
      <c r="AJ387" s="1333"/>
    </row>
    <row r="388" spans="4:36" ht="13" customHeight="1">
      <c r="D388" t="s">
        <v>1223</v>
      </c>
      <c r="J388" s="1364" t="s">
        <v>1224</v>
      </c>
      <c r="K388" s="1364"/>
      <c r="L388" s="1364"/>
      <c r="M388" s="1364"/>
      <c r="N388" s="1364"/>
      <c r="O388" s="1364"/>
      <c r="P388" s="1364"/>
      <c r="Q388" s="1364"/>
      <c r="R388" s="1364"/>
      <c r="S388" s="1364"/>
      <c r="T388" s="1364"/>
      <c r="U388" s="1364"/>
      <c r="V388" s="1333" t="s">
        <v>1225</v>
      </c>
      <c r="W388" s="1333"/>
      <c r="X388" s="1333"/>
      <c r="Y388" s="1333"/>
      <c r="Z388" s="1333"/>
      <c r="AA388" s="1333"/>
      <c r="AB388" s="1333"/>
      <c r="AC388" s="1333"/>
      <c r="AD388" s="1333"/>
      <c r="AE388" s="1333"/>
      <c r="AF388" s="1333"/>
      <c r="AG388" s="1333"/>
      <c r="AH388" s="1333"/>
      <c r="AI388" s="1333"/>
      <c r="AJ388" s="1333"/>
    </row>
    <row r="389" spans="4:36" ht="13" customHeight="1">
      <c r="D389" t="s">
        <v>1226</v>
      </c>
      <c r="Q389" s="1692">
        <v>44801</v>
      </c>
      <c r="R389" s="1692"/>
      <c r="S389" s="1692"/>
      <c r="T389" s="1692"/>
      <c r="U389" s="1692"/>
      <c r="V389" t="s">
        <v>1227</v>
      </c>
      <c r="AI389" s="1295" t="s">
        <v>695</v>
      </c>
      <c r="AJ389" s="1295"/>
    </row>
    <row r="390" spans="4:36" ht="13" customHeight="1">
      <c r="D390" t="s">
        <v>1228</v>
      </c>
      <c r="Q390" s="1486">
        <v>45947</v>
      </c>
      <c r="R390" s="1753"/>
      <c r="S390" s="1753"/>
      <c r="T390" s="1753"/>
      <c r="U390" s="1753"/>
      <c r="W390" s="18" t="s">
        <v>1229</v>
      </c>
      <c r="AG390" s="1746"/>
      <c r="AH390" s="1746"/>
      <c r="AI390" s="1746"/>
      <c r="AJ390" s="1746"/>
    </row>
    <row r="391" spans="4:36" ht="13" customHeight="1">
      <c r="D391" t="s">
        <v>1230</v>
      </c>
      <c r="Q391" s="1483">
        <v>7417500</v>
      </c>
      <c r="R391" s="1483"/>
      <c r="S391" s="1483"/>
      <c r="T391" s="1483"/>
      <c r="U391" s="1483"/>
      <c r="V391" s="3" t="s">
        <v>1231</v>
      </c>
      <c r="AG391" s="1752">
        <v>45931</v>
      </c>
      <c r="AH391" s="1752"/>
      <c r="AI391" s="1752"/>
      <c r="AJ391" s="1752"/>
    </row>
    <row r="392" spans="4:36" ht="13" customHeight="1">
      <c r="D392" t="s">
        <v>1071</v>
      </c>
      <c r="I392" s="1382"/>
      <c r="J392" s="1382"/>
      <c r="K392" s="1382"/>
      <c r="L392" s="1382"/>
      <c r="M392" s="1382"/>
      <c r="N392" s="1382"/>
      <c r="Q392" s="3" t="s">
        <v>1073</v>
      </c>
      <c r="S392" s="1761"/>
      <c r="T392" s="1761"/>
      <c r="U392" s="1761"/>
      <c r="V392" t="s">
        <v>1232</v>
      </c>
      <c r="AI392" s="1295" t="s">
        <v>695</v>
      </c>
      <c r="AJ392" s="1295"/>
    </row>
    <row r="393" spans="4:36" ht="13" customHeight="1">
      <c r="D393" t="s">
        <v>1233</v>
      </c>
      <c r="Q393" s="1370"/>
      <c r="R393" s="1370"/>
      <c r="S393" s="1370"/>
      <c r="T393" s="1370"/>
      <c r="U393" s="1370"/>
      <c r="V393" t="s">
        <v>1234</v>
      </c>
      <c r="AG393" s="1746">
        <v>250000</v>
      </c>
      <c r="AH393" s="1746"/>
      <c r="AI393" s="1746"/>
      <c r="AJ393" s="1746"/>
    </row>
    <row r="394" spans="4:36" ht="13" customHeight="1">
      <c r="D394" t="s">
        <v>1235</v>
      </c>
      <c r="Q394" s="1696"/>
      <c r="R394" s="1696"/>
      <c r="S394" s="1696"/>
      <c r="T394" s="1696"/>
      <c r="U394" s="1696"/>
      <c r="V394" t="s">
        <v>1236</v>
      </c>
      <c r="AG394" s="1746"/>
      <c r="AH394" s="1746"/>
      <c r="AI394" s="1746"/>
      <c r="AJ394" s="1746"/>
    </row>
    <row r="395" spans="4:36" ht="13" customHeight="1">
      <c r="D395" t="s">
        <v>1237</v>
      </c>
      <c r="AG395" s="1746"/>
      <c r="AH395" s="1746"/>
      <c r="AI395" s="1746"/>
      <c r="AJ395" s="1746"/>
    </row>
    <row r="396" spans="4:36" ht="13" customHeight="1">
      <c r="AG396" s="1164"/>
      <c r="AH396" s="1164"/>
      <c r="AI396" s="1164"/>
      <c r="AJ396" s="1164"/>
    </row>
    <row r="397" spans="4:36" ht="13" customHeight="1">
      <c r="D397" s="3" t="s">
        <v>1238</v>
      </c>
      <c r="AG397" s="1164"/>
      <c r="AH397" s="1164"/>
      <c r="AI397" s="1295" t="s">
        <v>695</v>
      </c>
      <c r="AJ397" s="1295"/>
    </row>
    <row r="398" spans="4:36" ht="13" customHeight="1">
      <c r="D398" s="3" t="s">
        <v>1239</v>
      </c>
      <c r="T398" s="1691"/>
      <c r="U398" s="1691"/>
      <c r="V398" s="1691"/>
      <c r="W398" s="1691"/>
      <c r="X398" s="1691"/>
      <c r="Y398" s="1691"/>
      <c r="Z398" s="1691"/>
      <c r="AA398" s="1691"/>
      <c r="AB398" s="1691"/>
      <c r="AC398" s="1691"/>
      <c r="AD398" s="1691"/>
      <c r="AE398" s="1691"/>
      <c r="AF398" s="1691"/>
      <c r="AG398" s="1691"/>
      <c r="AH398" s="1691"/>
      <c r="AI398" s="1691"/>
      <c r="AJ398" s="1691"/>
    </row>
    <row r="399" spans="4:36" ht="13" customHeight="1">
      <c r="D399" s="3" t="s">
        <v>1240</v>
      </c>
      <c r="T399" s="1691"/>
      <c r="U399" s="1691"/>
      <c r="V399" s="1691"/>
      <c r="W399" s="1691"/>
      <c r="X399" s="1691"/>
      <c r="Y399" s="1691"/>
      <c r="Z399" s="1691"/>
      <c r="AA399" s="1691"/>
      <c r="AB399" s="1691"/>
      <c r="AC399" s="1691"/>
      <c r="AD399" s="1691"/>
      <c r="AE399" s="1691"/>
      <c r="AF399" s="1691"/>
      <c r="AG399" s="1691"/>
      <c r="AH399" s="1691"/>
      <c r="AI399" s="1691"/>
      <c r="AJ399" s="1691"/>
    </row>
    <row r="400" spans="4:36" ht="13" customHeight="1">
      <c r="AG400" s="1164"/>
      <c r="AH400" s="1164"/>
      <c r="AI400" s="1164"/>
      <c r="AJ400" s="1164"/>
    </row>
    <row r="401" spans="1:36" ht="13" customHeight="1">
      <c r="D401" s="3" t="s">
        <v>1241</v>
      </c>
      <c r="S401" s="1691" t="s">
        <v>695</v>
      </c>
      <c r="T401" s="1691"/>
      <c r="U401" s="1691"/>
      <c r="V401" t="s">
        <v>1242</v>
      </c>
      <c r="AG401" s="1755"/>
      <c r="AH401" s="1755"/>
      <c r="AI401" s="1755"/>
      <c r="AJ401" s="1755"/>
    </row>
    <row r="402" spans="1:36" ht="13" customHeight="1">
      <c r="D402" s="3" t="s">
        <v>1243</v>
      </c>
      <c r="S402" s="1691" t="s">
        <v>813</v>
      </c>
      <c r="T402" s="1691"/>
      <c r="U402" s="1691"/>
      <c r="V402" t="s">
        <v>1244</v>
      </c>
      <c r="AE402" s="1751"/>
      <c r="AF402" s="1751"/>
      <c r="AG402" s="1751"/>
      <c r="AH402" s="1751"/>
      <c r="AI402" s="1751"/>
      <c r="AJ402" s="1751"/>
    </row>
    <row r="403" spans="1:36" ht="13" customHeight="1">
      <c r="D403" s="3" t="s">
        <v>1245</v>
      </c>
      <c r="K403" s="1735"/>
      <c r="L403" s="1735"/>
      <c r="M403" s="1735"/>
      <c r="N403" s="1735"/>
      <c r="O403" s="1735"/>
      <c r="P403" s="1735"/>
      <c r="Q403" s="1735"/>
      <c r="R403" s="1735"/>
      <c r="S403" s="1735"/>
      <c r="T403" s="1735"/>
      <c r="U403" s="1735"/>
      <c r="V403" s="1735"/>
      <c r="W403" s="1735"/>
      <c r="X403" s="1735"/>
      <c r="Y403" s="1735"/>
      <c r="Z403" s="1735"/>
      <c r="AA403" s="1735"/>
      <c r="AB403" s="1735"/>
      <c r="AC403" s="1735"/>
      <c r="AD403" s="1735"/>
      <c r="AE403" s="1735"/>
      <c r="AF403" s="1735"/>
      <c r="AG403" s="1735"/>
      <c r="AH403" s="1735"/>
      <c r="AI403" s="1735"/>
      <c r="AJ403" s="1735"/>
    </row>
    <row r="404" spans="1:36" ht="13" customHeight="1">
      <c r="D404" s="3" t="s">
        <v>1246</v>
      </c>
      <c r="K404" s="1735"/>
      <c r="L404" s="1735"/>
      <c r="M404" s="1735"/>
      <c r="N404" s="1735"/>
      <c r="O404" s="1735"/>
      <c r="P404" s="1735"/>
      <c r="Q404" s="1735"/>
      <c r="R404" s="1735"/>
      <c r="S404" s="1735"/>
      <c r="T404" s="1735"/>
      <c r="U404" s="1735"/>
      <c r="V404" s="1735"/>
      <c r="W404" s="1735"/>
      <c r="X404" s="1735"/>
      <c r="Y404" s="1735"/>
      <c r="Z404" s="1735"/>
      <c r="AA404" s="1735"/>
      <c r="AB404" s="1735"/>
      <c r="AC404" s="1735"/>
      <c r="AD404" s="1735"/>
      <c r="AE404" s="1735"/>
      <c r="AF404" s="1735"/>
      <c r="AG404" s="1735"/>
      <c r="AH404" s="1735"/>
      <c r="AI404" s="1735"/>
      <c r="AJ404" s="1735"/>
    </row>
    <row r="405" spans="1:36" ht="13" customHeight="1">
      <c r="D405" s="3" t="s">
        <v>1247</v>
      </c>
      <c r="E405" s="378"/>
      <c r="F405" s="378"/>
      <c r="G405" s="378"/>
      <c r="H405" s="378"/>
      <c r="I405" s="378"/>
      <c r="J405" s="378"/>
      <c r="K405" s="378"/>
      <c r="L405" s="378"/>
      <c r="M405" s="378"/>
      <c r="N405" s="378"/>
      <c r="O405" s="378"/>
      <c r="P405" s="378"/>
      <c r="Q405" s="378"/>
      <c r="R405" s="378"/>
      <c r="S405" s="1760" t="s">
        <v>1003</v>
      </c>
      <c r="T405" s="1760"/>
      <c r="U405" s="1760"/>
      <c r="V405" s="1760"/>
      <c r="W405" s="1760"/>
      <c r="X405" s="1760"/>
      <c r="Y405" s="1760"/>
      <c r="Z405" s="1760"/>
      <c r="AA405" s="1760"/>
      <c r="AB405" s="1760"/>
      <c r="AC405" s="1760"/>
      <c r="AD405" s="1760"/>
      <c r="AE405" s="1760"/>
      <c r="AF405" s="1760"/>
      <c r="AG405" s="1760"/>
      <c r="AH405" s="1760"/>
      <c r="AI405" s="1760"/>
      <c r="AJ405" s="1760"/>
    </row>
    <row r="406" spans="1:36" ht="13" customHeight="1">
      <c r="D406" s="1229" t="s">
        <v>1248</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1010</v>
      </c>
      <c r="B409" s="2"/>
      <c r="C409" s="2" t="s">
        <v>145</v>
      </c>
    </row>
    <row r="410" spans="1:36" ht="13" customHeight="1">
      <c r="B410" s="2"/>
      <c r="C410" s="2"/>
      <c r="D410" s="2" t="s">
        <v>1249</v>
      </c>
      <c r="I410" s="1377" t="s">
        <v>1250</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 customHeight="1">
      <c r="E411" t="s">
        <v>1251</v>
      </c>
      <c r="R411" s="1295" t="s">
        <v>848</v>
      </c>
      <c r="S411" s="1295"/>
      <c r="AC411" s="23" t="s">
        <v>1252</v>
      </c>
      <c r="AD411" s="1607">
        <v>4</v>
      </c>
      <c r="AE411" s="1607"/>
    </row>
    <row r="412" spans="1:36" ht="13" customHeight="1">
      <c r="E412" t="s">
        <v>1253</v>
      </c>
      <c r="R412" s="1295" t="s">
        <v>813</v>
      </c>
      <c r="S412" s="1295"/>
      <c r="AC412" s="23" t="s">
        <v>1252</v>
      </c>
      <c r="AD412" s="1607"/>
      <c r="AE412" s="1607"/>
    </row>
    <row r="413" spans="1:36" ht="13" customHeight="1">
      <c r="E413" t="s">
        <v>1254</v>
      </c>
      <c r="S413" s="1295" t="s">
        <v>813</v>
      </c>
      <c r="T413" s="1295"/>
    </row>
    <row r="414" spans="1:36" ht="13" customHeight="1">
      <c r="E414" t="s">
        <v>233</v>
      </c>
      <c r="H414" s="1697" t="s">
        <v>1255</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3"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3" customHeight="1"/>
    <row r="417" spans="1:39" ht="13" customHeight="1">
      <c r="A417" s="2" t="s">
        <v>1022</v>
      </c>
      <c r="B417" s="2"/>
      <c r="C417" s="2"/>
      <c r="D417" s="2" t="s">
        <v>150</v>
      </c>
      <c r="AF417" s="2" t="s">
        <v>1256</v>
      </c>
    </row>
    <row r="418" spans="1:39" ht="13" customHeight="1">
      <c r="E418" s="1750"/>
      <c r="F418" s="1750"/>
      <c r="G418" s="1750"/>
      <c r="H418" s="12" t="s">
        <v>1257</v>
      </c>
      <c r="I418" s="1750"/>
      <c r="J418" s="1750"/>
      <c r="K418" s="1750"/>
      <c r="L418" t="s">
        <v>1258</v>
      </c>
      <c r="N418" s="23" t="s">
        <v>36</v>
      </c>
      <c r="P418" s="1700">
        <v>43.5</v>
      </c>
      <c r="Q418" s="1700"/>
      <c r="R418" s="1700"/>
      <c r="S418" t="s">
        <v>1259</v>
      </c>
      <c r="W418" s="1759">
        <f>IF(E418&gt;0,(E418*I418),(P418*43560))</f>
        <v>1894860</v>
      </c>
      <c r="X418" s="1759"/>
      <c r="Y418" s="1759"/>
      <c r="Z418" t="s">
        <v>1260</v>
      </c>
      <c r="AF418" s="1701">
        <f>IFERROR(IF(P418&gt;0,(AG437/P418),(AG437/(W418/43560))),0)</f>
        <v>4.5747126436781613</v>
      </c>
      <c r="AG418" s="1701"/>
      <c r="AH418" s="1701"/>
      <c r="AM418" s="3"/>
    </row>
    <row r="419" spans="1:39" ht="13" customHeight="1">
      <c r="E419" t="s">
        <v>1261</v>
      </c>
    </row>
    <row r="420" spans="1:39" ht="13" customHeight="1">
      <c r="E420" s="1756"/>
      <c r="F420" s="1756"/>
      <c r="G420" s="1756"/>
      <c r="H420" s="1756"/>
      <c r="I420" s="1756"/>
      <c r="J420" s="1756"/>
      <c r="K420" s="1756"/>
      <c r="L420" s="1756"/>
      <c r="M420" s="1756"/>
      <c r="N420" s="1756"/>
      <c r="O420" s="1756"/>
      <c r="P420" s="1756"/>
      <c r="Q420" s="1756"/>
      <c r="R420" s="1756"/>
      <c r="S420" s="1756"/>
      <c r="T420" s="1756"/>
      <c r="U420" s="1756"/>
      <c r="V420" s="1756"/>
      <c r="W420" s="1756"/>
      <c r="X420" s="1756"/>
      <c r="Y420" s="1756"/>
      <c r="Z420" s="1756"/>
      <c r="AA420" s="1756"/>
      <c r="AB420" s="1756"/>
      <c r="AC420" s="1756"/>
      <c r="AD420" s="1756"/>
      <c r="AE420" s="1756"/>
      <c r="AF420" s="1756"/>
      <c r="AG420" s="1756"/>
      <c r="AH420" s="1756"/>
      <c r="AI420" s="1756"/>
      <c r="AJ420" s="1756"/>
    </row>
    <row r="421" spans="1:39" ht="13" customHeight="1">
      <c r="E421" s="84" t="s">
        <v>1262</v>
      </c>
      <c r="F421" s="18"/>
      <c r="G421" s="18"/>
      <c r="H421" s="18"/>
      <c r="I421" s="1699">
        <v>6.33</v>
      </c>
      <c r="J421" s="1699"/>
      <c r="K421" s="1699"/>
      <c r="L421" s="18"/>
      <c r="M421" s="84"/>
      <c r="N421" s="18"/>
      <c r="O421" s="18"/>
      <c r="P421" s="1399">
        <f>(DU755+DU778+DU800)/I421</f>
        <v>69.826224328593995</v>
      </c>
      <c r="Q421" s="1399"/>
      <c r="R421" s="1399"/>
      <c r="S421" s="84" t="s">
        <v>1263</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1049</v>
      </c>
      <c r="B423" s="2"/>
      <c r="C423" s="2"/>
      <c r="D423" s="2" t="s">
        <v>152</v>
      </c>
    </row>
    <row r="424" spans="1:39" ht="13" customHeight="1">
      <c r="E424" t="s">
        <v>1264</v>
      </c>
      <c r="P424" s="1295">
        <v>2</v>
      </c>
      <c r="Q424" s="1295"/>
      <c r="S424" t="s">
        <v>1265</v>
      </c>
      <c r="AE424" s="1295">
        <v>2</v>
      </c>
      <c r="AF424" s="1295"/>
    </row>
    <row r="425" spans="1:39" ht="13" customHeight="1">
      <c r="E425" t="s">
        <v>1266</v>
      </c>
      <c r="P425" s="1295">
        <v>0</v>
      </c>
      <c r="Q425" s="1295"/>
      <c r="S425" t="s">
        <v>1267</v>
      </c>
      <c r="AE425" s="1295" t="s">
        <v>813</v>
      </c>
      <c r="AF425" s="1295"/>
    </row>
    <row r="426" spans="1:39" ht="13" customHeight="1">
      <c r="F426" s="19" t="s">
        <v>1268</v>
      </c>
    </row>
    <row r="427" spans="1:39" ht="13" customHeight="1">
      <c r="F427" s="1739"/>
      <c r="G427" s="1739"/>
      <c r="H427" s="1739"/>
      <c r="I427" s="1739"/>
      <c r="J427" s="1739"/>
      <c r="K427" s="1739"/>
      <c r="L427" s="1739"/>
      <c r="M427" s="1739"/>
      <c r="N427" s="1739"/>
      <c r="O427" s="1739"/>
      <c r="P427" s="1739"/>
      <c r="Q427" s="1739"/>
      <c r="R427" s="1739"/>
      <c r="S427" s="1739"/>
      <c r="T427" s="1739"/>
      <c r="U427" s="1739"/>
      <c r="V427" s="1739"/>
      <c r="W427" s="1739"/>
      <c r="X427" s="1739"/>
      <c r="Y427" s="1739"/>
      <c r="Z427" s="1739"/>
      <c r="AA427" s="1739"/>
      <c r="AB427" s="1739"/>
      <c r="AC427" s="1739"/>
      <c r="AD427" s="1739"/>
      <c r="AE427" s="1739"/>
      <c r="AF427" s="1739"/>
      <c r="AG427" s="1739"/>
      <c r="AH427" s="1739"/>
    </row>
    <row r="428" spans="1:39" ht="13" customHeight="1">
      <c r="F428" s="1712"/>
      <c r="G428" s="1712"/>
      <c r="H428" s="1712"/>
      <c r="I428" s="1712"/>
      <c r="J428" s="1712"/>
      <c r="K428" s="1712"/>
      <c r="L428" s="1712"/>
      <c r="M428" s="1712"/>
      <c r="N428" s="1712"/>
      <c r="O428" s="1712"/>
      <c r="P428" s="1712"/>
      <c r="Q428" s="1712"/>
      <c r="R428" s="1712"/>
      <c r="S428" s="1712"/>
      <c r="T428" s="1712"/>
      <c r="U428" s="1712"/>
      <c r="V428" s="1712"/>
      <c r="W428" s="1712"/>
      <c r="X428" s="1712"/>
      <c r="Y428" s="1712"/>
      <c r="Z428" s="1712"/>
      <c r="AA428" s="1712"/>
      <c r="AB428" s="1712"/>
      <c r="AC428" s="1712"/>
      <c r="AD428" s="1712"/>
      <c r="AE428" s="1712"/>
      <c r="AF428" s="1712"/>
      <c r="AG428" s="1712"/>
      <c r="AH428" s="1712"/>
    </row>
    <row r="429" spans="1:39" ht="13" customHeight="1">
      <c r="E429" t="s">
        <v>1269</v>
      </c>
      <c r="P429" s="1"/>
      <c r="Q429" s="1295" t="s">
        <v>848</v>
      </c>
      <c r="R429" s="1295"/>
    </row>
    <row r="430" spans="1:39" ht="13" customHeight="1">
      <c r="F430" t="s">
        <v>1270</v>
      </c>
      <c r="P430" s="1"/>
      <c r="Q430" s="1"/>
      <c r="AF430" s="1295" t="s">
        <v>813</v>
      </c>
      <c r="AG430" s="1757"/>
    </row>
    <row r="431" spans="1:39" ht="13" customHeight="1"/>
    <row r="432" spans="1:39" ht="13" customHeight="1">
      <c r="A432" s="2"/>
      <c r="B432" s="2"/>
      <c r="C432" s="2"/>
      <c r="E432" s="3" t="s">
        <v>1271</v>
      </c>
      <c r="Z432" s="1295" t="s">
        <v>695</v>
      </c>
      <c r="AA432" s="1295"/>
    </row>
    <row r="433" spans="1:55" ht="13" customHeight="1">
      <c r="F433" s="31" t="s">
        <v>1272</v>
      </c>
      <c r="G433" s="32"/>
      <c r="H433" s="32"/>
      <c r="I433" s="32"/>
      <c r="J433" s="32"/>
      <c r="K433" s="32"/>
      <c r="L433" s="32"/>
      <c r="M433" s="32"/>
      <c r="N433" s="32"/>
      <c r="O433" s="32"/>
      <c r="P433" s="32"/>
      <c r="Q433" s="32"/>
      <c r="R433" s="32"/>
      <c r="S433" s="32"/>
      <c r="T433" s="32"/>
      <c r="U433" s="32"/>
      <c r="V433" s="32"/>
      <c r="W433" s="32"/>
      <c r="AB433" s="32"/>
    </row>
    <row r="434" spans="1:55" ht="13" customHeight="1">
      <c r="F434" t="s">
        <v>1273</v>
      </c>
      <c r="G434" s="32"/>
      <c r="I434" s="32"/>
      <c r="J434" s="32"/>
      <c r="K434" s="32"/>
      <c r="L434" s="32"/>
      <c r="M434" s="32"/>
      <c r="N434" s="32"/>
      <c r="O434" s="19"/>
      <c r="P434" s="32"/>
      <c r="Q434" s="32"/>
      <c r="R434" s="32"/>
      <c r="S434" s="32"/>
      <c r="T434" s="32"/>
      <c r="U434" s="32"/>
      <c r="V434" s="32"/>
      <c r="W434" s="32"/>
      <c r="Z434" s="1295" t="s">
        <v>813</v>
      </c>
      <c r="AA434" s="1295"/>
    </row>
    <row r="435" spans="1:55" ht="13" customHeight="1"/>
    <row r="436" spans="1:55" ht="13" customHeight="1">
      <c r="A436" s="2" t="s">
        <v>1111</v>
      </c>
      <c r="B436" s="2"/>
      <c r="C436" s="2"/>
      <c r="D436" s="2" t="s">
        <v>159</v>
      </c>
      <c r="AF436" s="40"/>
    </row>
    <row r="437" spans="1:55" ht="13" customHeight="1">
      <c r="D437" s="1571" t="s">
        <v>1274</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2"/>
      <c r="AG437" s="1754">
        <v>199</v>
      </c>
      <c r="AH437" s="1754"/>
      <c r="AI437" s="1754"/>
      <c r="AJ437" s="1754"/>
    </row>
    <row r="438" spans="1:55" ht="13" customHeight="1">
      <c r="D438" s="1597" t="s">
        <v>1275</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758">
        <v>0</v>
      </c>
      <c r="AH438" s="1559"/>
      <c r="AI438" s="1559"/>
      <c r="AJ438" s="1559"/>
    </row>
    <row r="439" spans="1:55" ht="13" customHeight="1">
      <c r="D439" s="1597" t="s">
        <v>1276</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754">
        <v>197</v>
      </c>
      <c r="AH439" s="1754"/>
      <c r="AI439" s="1754"/>
      <c r="AJ439" s="1754"/>
    </row>
    <row r="440" spans="1:55" ht="13" customHeight="1">
      <c r="D440" s="1597" t="s">
        <v>1277</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754">
        <v>197</v>
      </c>
      <c r="AH440" s="1754"/>
      <c r="AI440" s="1754"/>
      <c r="AJ440" s="1754"/>
    </row>
    <row r="441" spans="1:55" ht="13" customHeight="1">
      <c r="D441" s="1597" t="s">
        <v>1278</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742">
        <f>IF(ISERROR(AG440/AG439),0,AG440/AG439)</f>
        <v>1</v>
      </c>
      <c r="AH441" s="1742"/>
      <c r="AI441" s="1742"/>
      <c r="AJ441" s="1742"/>
    </row>
    <row r="442" spans="1:55" ht="13" customHeight="1">
      <c r="D442" s="1597" t="s">
        <v>1279</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v>219481</v>
      </c>
      <c r="AH442" s="1638"/>
      <c r="AI442" s="1638"/>
      <c r="AJ442" s="1638"/>
    </row>
    <row r="443" spans="1:55" ht="13" customHeight="1">
      <c r="D443" s="1597" t="s">
        <v>1280</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219481</v>
      </c>
      <c r="AH443" s="1638"/>
      <c r="AI443" s="1638"/>
      <c r="AJ443" s="1638"/>
    </row>
    <row r="444" spans="1:55" ht="13" customHeight="1">
      <c r="D444" s="1597" t="s">
        <v>1281</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742">
        <f>IF(ISERROR(AG443/AG442),0,AG443/AG442)</f>
        <v>1</v>
      </c>
      <c r="AH444" s="1742"/>
      <c r="AI444" s="1742"/>
      <c r="AJ444" s="1742"/>
    </row>
    <row r="445" spans="1:55" ht="13" customHeight="1">
      <c r="D445" s="1597" t="s">
        <v>1282</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742">
        <f>MIN(IF(AG441&gt;AG444,AG444,AG441),1)</f>
        <v>1</v>
      </c>
      <c r="AH445" s="1742"/>
      <c r="AI445" s="1742"/>
      <c r="AJ445" s="1742"/>
    </row>
    <row r="446" spans="1:55" ht="13" customHeight="1">
      <c r="D446" s="1597" t="s">
        <v>1283</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2"/>
      <c r="AG446" s="1638">
        <v>7780</v>
      </c>
      <c r="AH446" s="1638"/>
      <c r="AI446" s="1638"/>
      <c r="AJ446" s="1638"/>
      <c r="AZ446" s="3"/>
      <c r="BA446" s="3"/>
      <c r="BB446" s="3"/>
      <c r="BC446" s="3"/>
    </row>
    <row r="447" spans="1:55" ht="13" customHeight="1">
      <c r="D447" s="1571" t="s">
        <v>1284</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2"/>
      <c r="AG447" s="1638">
        <v>0</v>
      </c>
      <c r="AH447" s="1638"/>
      <c r="AI447" s="1638"/>
      <c r="AJ447" s="1638"/>
      <c r="AZ447" s="3"/>
      <c r="BA447" s="3"/>
      <c r="BB447" s="3"/>
      <c r="BC447" s="3"/>
    </row>
    <row r="448" spans="1:55" ht="13" customHeight="1">
      <c r="D448" s="1597" t="s">
        <v>1285</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2"/>
      <c r="AG448" s="1638">
        <v>37841</v>
      </c>
      <c r="AH448" s="1638"/>
      <c r="AI448" s="1638"/>
      <c r="AJ448" s="1638"/>
      <c r="AZ448" s="3"/>
      <c r="BA448" s="3"/>
      <c r="BB448" s="3"/>
      <c r="BC448" s="3"/>
    </row>
    <row r="449" spans="1:55" ht="13" customHeight="1">
      <c r="D449" s="1597" t="s">
        <v>1286</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2"/>
      <c r="AG449" s="1638">
        <v>0</v>
      </c>
      <c r="AH449" s="1638"/>
      <c r="AI449" s="1638"/>
      <c r="AJ449" s="1638"/>
      <c r="BB449" s="3"/>
      <c r="BC449" s="3"/>
    </row>
    <row r="450" spans="1:55" ht="13" customHeight="1">
      <c r="D450" s="1706" t="s">
        <v>1287</v>
      </c>
      <c r="E450" s="1707"/>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708"/>
      <c r="AG450" s="1777">
        <f>AG442+AG446+AG448+AG449</f>
        <v>265102</v>
      </c>
      <c r="AH450" s="1777"/>
      <c r="AI450" s="1777"/>
      <c r="AJ450" s="1777"/>
      <c r="AZ450" s="3"/>
      <c r="BA450" s="3"/>
      <c r="BB450" s="3"/>
      <c r="BC450" s="3"/>
    </row>
    <row r="451" spans="1:55" ht="13" customHeight="1">
      <c r="D451" s="1686" t="s">
        <v>1288</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6"/>
      <c r="AG451" s="1686"/>
      <c r="AH451" s="1686"/>
      <c r="AI451" s="1686"/>
      <c r="AJ451" s="1686"/>
      <c r="AZ451" s="3"/>
      <c r="BA451" s="3"/>
      <c r="BB451" s="3"/>
      <c r="BC451" s="3"/>
    </row>
    <row r="452" spans="1:55" ht="13" customHeight="1">
      <c r="D452" s="1687"/>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7"/>
      <c r="AG452" s="1687"/>
      <c r="AH452" s="1687"/>
      <c r="AI452" s="1687"/>
      <c r="AJ452" s="1687"/>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1289</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7">
        <f>IF(AG437=0,"",'Sources and Uses Budget'!B105/Application!AG437)</f>
        <v>818383.89949748747</v>
      </c>
      <c r="AD454" s="1747"/>
      <c r="AE454" s="1747"/>
      <c r="AF454" s="1747"/>
      <c r="AG454" s="415"/>
      <c r="AH454" s="415"/>
      <c r="AI454" s="415"/>
      <c r="AJ454" s="864"/>
      <c r="AZ454" s="3"/>
      <c r="BA454" s="3" t="str">
        <f>AG575</f>
        <v>Yes</v>
      </c>
      <c r="BB454" s="3"/>
      <c r="BC454" s="3"/>
    </row>
    <row r="455" spans="1:55" ht="13" customHeight="1">
      <c r="D455" s="137" t="s">
        <v>1290</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7">
        <f>IF(AG437=0,"",'Sources and Uses Budget'!C105/Application!AG437)</f>
        <v>818383.89949748747</v>
      </c>
      <c r="AD455" s="1747"/>
      <c r="AE455" s="1747"/>
      <c r="AF455" s="1747"/>
      <c r="AG455" s="415"/>
      <c r="AH455" s="415"/>
      <c r="AI455" s="415"/>
      <c r="AJ455" s="864"/>
      <c r="AZ455" s="3"/>
      <c r="BA455" s="3"/>
      <c r="BB455" s="3"/>
      <c r="BC455" s="3"/>
    </row>
    <row r="456" spans="1:55" ht="13" customHeight="1">
      <c r="D456" s="137" t="s">
        <v>1291</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7">
        <f>IF(AG437=0,"",('Sources and Uses Budget'!$S$107+'Sources and Uses Budget'!$T$107)/Application!AG437)</f>
        <v>742210.0301507538</v>
      </c>
      <c r="AD456" s="1747"/>
      <c r="AE456" s="1747"/>
      <c r="AF456" s="1747"/>
      <c r="AG456" s="415"/>
      <c r="AH456" s="415"/>
      <c r="AI456" s="415"/>
      <c r="AJ456" s="864"/>
      <c r="AZ456" s="3"/>
      <c r="BA456" s="3"/>
      <c r="BB456" s="3"/>
      <c r="BC456" s="3"/>
    </row>
    <row r="457" spans="1:55" ht="13" customHeight="1">
      <c r="D457" s="415"/>
      <c r="E457" s="415"/>
      <c r="F457" s="16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415"/>
      <c r="AD457" s="415"/>
      <c r="AE457" s="415"/>
      <c r="AF457" s="415"/>
      <c r="AG457" s="415"/>
      <c r="AH457" s="415"/>
      <c r="AI457" s="415"/>
      <c r="AJ457" s="864"/>
      <c r="AZ457" s="3"/>
      <c r="BA457" s="3"/>
      <c r="BB457" s="3"/>
      <c r="BC457" s="3"/>
    </row>
    <row r="458" spans="1:55" ht="13" customHeight="1">
      <c r="A458" s="2"/>
      <c r="D458" s="2"/>
      <c r="E458" s="415"/>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415"/>
      <c r="AD458" s="415"/>
      <c r="AE458" s="415"/>
      <c r="AF458" s="415"/>
      <c r="AG458" s="415"/>
      <c r="AH458" s="415"/>
      <c r="AI458" s="415"/>
      <c r="AJ458" s="864"/>
      <c r="AZ458" s="3"/>
      <c r="BA458" s="3"/>
      <c r="BB458" s="3"/>
      <c r="BC458" s="3"/>
    </row>
    <row r="459" spans="1:55" ht="13" customHeight="1">
      <c r="A459" s="2" t="s">
        <v>1292</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1293</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1294</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1295</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1296</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693" t="s">
        <v>1297</v>
      </c>
      <c r="E465" s="1694"/>
      <c r="F465" s="1694"/>
      <c r="G465" s="1694"/>
      <c r="H465" s="1694"/>
      <c r="I465" s="1694"/>
      <c r="J465" s="1694"/>
      <c r="K465" s="1694"/>
      <c r="L465" s="1694"/>
      <c r="M465" s="1694"/>
      <c r="N465" s="1694"/>
      <c r="O465" s="1694"/>
      <c r="P465" s="1694"/>
      <c r="Q465" s="1694"/>
      <c r="R465" s="1694"/>
      <c r="S465" s="1694"/>
      <c r="T465" s="1694"/>
      <c r="U465" s="1694"/>
      <c r="V465" s="1695"/>
      <c r="W465" s="1609">
        <v>0</v>
      </c>
      <c r="X465" s="1610"/>
      <c r="Y465" s="1611"/>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693" t="s">
        <v>1298</v>
      </c>
      <c r="E466" s="1694"/>
      <c r="F466" s="1694"/>
      <c r="G466" s="1694"/>
      <c r="H466" s="1694"/>
      <c r="I466" s="1694"/>
      <c r="J466" s="1694"/>
      <c r="K466" s="1694"/>
      <c r="L466" s="1694"/>
      <c r="M466" s="1694"/>
      <c r="N466" s="1694"/>
      <c r="O466" s="1694"/>
      <c r="P466" s="1694"/>
      <c r="Q466" s="1694"/>
      <c r="R466" s="1694"/>
      <c r="S466" s="1694"/>
      <c r="T466" s="1694"/>
      <c r="U466" s="1694"/>
      <c r="V466" s="1695"/>
      <c r="W466" s="1609">
        <v>0</v>
      </c>
      <c r="X466" s="1610"/>
      <c r="Y466" s="1611"/>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693" t="s">
        <v>1299</v>
      </c>
      <c r="E467" s="1694"/>
      <c r="F467" s="1694"/>
      <c r="G467" s="1694"/>
      <c r="H467" s="1694"/>
      <c r="I467" s="1694"/>
      <c r="J467" s="1694"/>
      <c r="K467" s="1694"/>
      <c r="L467" s="1694"/>
      <c r="M467" s="1694"/>
      <c r="N467" s="1694"/>
      <c r="O467" s="1694"/>
      <c r="P467" s="1694"/>
      <c r="Q467" s="1694"/>
      <c r="R467" s="1694"/>
      <c r="S467" s="1694"/>
      <c r="T467" s="1694"/>
      <c r="U467" s="1694"/>
      <c r="V467" s="1695"/>
      <c r="W467" s="1609">
        <v>0</v>
      </c>
      <c r="X467" s="1610"/>
      <c r="Y467" s="1611"/>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693" t="s">
        <v>1300</v>
      </c>
      <c r="E468" s="1694"/>
      <c r="F468" s="1694"/>
      <c r="G468" s="1694"/>
      <c r="H468" s="1694"/>
      <c r="I468" s="1694"/>
      <c r="J468" s="1694"/>
      <c r="K468" s="1694"/>
      <c r="L468" s="1694"/>
      <c r="M468" s="1694"/>
      <c r="N468" s="1694"/>
      <c r="O468" s="1694"/>
      <c r="P468" s="1694"/>
      <c r="Q468" s="1694"/>
      <c r="R468" s="1694"/>
      <c r="S468" s="1694"/>
      <c r="T468" s="1694"/>
      <c r="U468" s="1694"/>
      <c r="V468" s="1695"/>
      <c r="W468" s="1609">
        <v>0</v>
      </c>
      <c r="X468" s="1610"/>
      <c r="Y468" s="1611"/>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693" t="s">
        <v>1301</v>
      </c>
      <c r="E469" s="1694"/>
      <c r="F469" s="1694"/>
      <c r="G469" s="1694"/>
      <c r="H469" s="1694"/>
      <c r="I469" s="1694"/>
      <c r="J469" s="1694"/>
      <c r="K469" s="1694"/>
      <c r="L469" s="1694"/>
      <c r="M469" s="1694"/>
      <c r="N469" s="1694"/>
      <c r="O469" s="1694"/>
      <c r="P469" s="1694"/>
      <c r="Q469" s="1694"/>
      <c r="R469" s="1694"/>
      <c r="S469" s="1694"/>
      <c r="T469" s="1694"/>
      <c r="U469" s="1694"/>
      <c r="V469" s="1695"/>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693" t="s">
        <v>1302</v>
      </c>
      <c r="E470" s="1694"/>
      <c r="F470" s="1694"/>
      <c r="G470" s="1694"/>
      <c r="H470" s="1694"/>
      <c r="I470" s="1694"/>
      <c r="J470" s="1694"/>
      <c r="K470" s="1694"/>
      <c r="L470" s="1694"/>
      <c r="M470" s="1694"/>
      <c r="N470" s="1694"/>
      <c r="O470" s="1694"/>
      <c r="P470" s="1694"/>
      <c r="Q470" s="1694"/>
      <c r="R470" s="1694"/>
      <c r="S470" s="1694"/>
      <c r="T470" s="1694"/>
      <c r="U470" s="1694"/>
      <c r="V470" s="1695"/>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693" t="s">
        <v>1303</v>
      </c>
      <c r="E471" s="1694"/>
      <c r="F471" s="1694"/>
      <c r="G471" s="1694"/>
      <c r="H471" s="1694"/>
      <c r="I471" s="1694"/>
      <c r="J471" s="1694"/>
      <c r="K471" s="1694"/>
      <c r="L471" s="1694"/>
      <c r="M471" s="1694"/>
      <c r="N471" s="1694"/>
      <c r="O471" s="1694"/>
      <c r="P471" s="1694"/>
      <c r="Q471" s="1694"/>
      <c r="R471" s="1694"/>
      <c r="S471" s="1694"/>
      <c r="T471" s="1694"/>
      <c r="U471" s="1694"/>
      <c r="V471" s="1695"/>
      <c r="W471" s="1609">
        <v>0</v>
      </c>
      <c r="X471" s="1610"/>
      <c r="Y471" s="1611"/>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693" t="s">
        <v>1304</v>
      </c>
      <c r="E472" s="1694"/>
      <c r="F472" s="1694"/>
      <c r="G472" s="1694"/>
      <c r="H472" s="1694"/>
      <c r="I472" s="1694"/>
      <c r="J472" s="1694"/>
      <c r="K472" s="1694"/>
      <c r="L472" s="1694"/>
      <c r="M472" s="1694"/>
      <c r="N472" s="1694"/>
      <c r="O472" s="1694"/>
      <c r="P472" s="1694"/>
      <c r="Q472" s="1694"/>
      <c r="R472" s="1694"/>
      <c r="S472" s="1694"/>
      <c r="T472" s="1694"/>
      <c r="U472" s="1694"/>
      <c r="V472" s="1695"/>
      <c r="W472" s="1609">
        <v>11</v>
      </c>
      <c r="X472" s="1610"/>
      <c r="Y472" s="1611"/>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693" t="s">
        <v>1305</v>
      </c>
      <c r="E473" s="1694"/>
      <c r="F473" s="1694"/>
      <c r="G473" s="1694"/>
      <c r="H473" s="1694"/>
      <c r="I473" s="1694"/>
      <c r="J473" s="1694"/>
      <c r="K473" s="1694"/>
      <c r="L473" s="1694"/>
      <c r="M473" s="1694"/>
      <c r="N473" s="1694"/>
      <c r="O473" s="1694"/>
      <c r="P473" s="1694"/>
      <c r="Q473" s="1694"/>
      <c r="R473" s="1694"/>
      <c r="S473" s="1694"/>
      <c r="T473" s="1694"/>
      <c r="U473" s="1694"/>
      <c r="V473" s="1695"/>
      <c r="W473" s="1609">
        <v>0</v>
      </c>
      <c r="X473" s="1610"/>
      <c r="Y473" s="1611"/>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40" t="s">
        <v>1306</v>
      </c>
      <c r="H474" s="1641"/>
      <c r="I474" s="1641"/>
      <c r="J474" s="1641"/>
      <c r="K474" s="1641"/>
      <c r="L474" s="1641"/>
      <c r="M474" s="1641"/>
      <c r="N474" s="1641"/>
      <c r="O474" s="1641"/>
      <c r="P474" s="1641"/>
      <c r="Q474" s="1641"/>
      <c r="R474" s="1641"/>
      <c r="S474" s="1641"/>
      <c r="T474" s="1641"/>
      <c r="U474" s="1641"/>
      <c r="V474" s="1642"/>
      <c r="W474" s="1609">
        <v>188</v>
      </c>
      <c r="X474" s="1610"/>
      <c r="Y474" s="1611"/>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1307</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 customHeight="1">
      <c r="AU479" s="70"/>
      <c r="AV479" s="70"/>
      <c r="AW479" s="70"/>
      <c r="AX479" s="70"/>
      <c r="AY479" s="70"/>
      <c r="AZ479" s="3"/>
      <c r="BA479" s="3" t="str">
        <f>AG599</f>
        <v>No</v>
      </c>
      <c r="BB479" s="3"/>
      <c r="BC479" s="3"/>
    </row>
    <row r="480" spans="1:55" ht="13" customHeight="1">
      <c r="A480" s="1381" t="s">
        <v>1308</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 customHeight="1">
      <c r="AZ482" s="3"/>
      <c r="BB482" s="3"/>
      <c r="BC482" s="3"/>
    </row>
    <row r="483" spans="1:55" ht="13" customHeight="1">
      <c r="A483" s="2" t="s">
        <v>873</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03" t="s">
        <v>1309</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row>
    <row r="486" spans="1:55" ht="13" customHeight="1">
      <c r="B486" s="37" t="s">
        <v>1310</v>
      </c>
      <c r="C486" s="5"/>
      <c r="D486" s="5"/>
      <c r="E486" s="5"/>
      <c r="F486" s="5"/>
      <c r="G486" s="5"/>
      <c r="H486" s="5"/>
      <c r="I486" s="5"/>
      <c r="J486" s="5"/>
      <c r="K486" s="5"/>
      <c r="L486" s="5"/>
      <c r="M486" s="5"/>
      <c r="N486" s="5"/>
      <c r="O486" s="5"/>
      <c r="P486" s="5"/>
      <c r="Q486" s="1526" t="s">
        <v>1311</v>
      </c>
      <c r="R486" s="1294"/>
      <c r="S486" s="1294"/>
      <c r="T486" s="1294"/>
      <c r="U486" s="1294"/>
      <c r="V486" s="1294"/>
      <c r="W486" s="1294"/>
      <c r="X486" s="1294"/>
      <c r="Y486" s="1294"/>
      <c r="Z486" s="1294"/>
      <c r="AA486" s="1294"/>
      <c r="AB486" s="1294"/>
      <c r="AC486" s="1294"/>
      <c r="AD486" s="1294"/>
      <c r="AE486" s="1294"/>
      <c r="AF486" s="1294"/>
      <c r="AG486" s="1294"/>
      <c r="AH486" s="1294"/>
      <c r="AI486" s="1294"/>
      <c r="AJ486" s="1294"/>
      <c r="AK486" s="1527"/>
      <c r="AZ486" s="3"/>
      <c r="BB486" s="3"/>
      <c r="BC486" s="3"/>
    </row>
    <row r="487" spans="1:55" ht="13" customHeight="1">
      <c r="B487" s="37" t="s">
        <v>1312</v>
      </c>
      <c r="C487" s="5"/>
      <c r="D487" s="5"/>
      <c r="E487" s="5"/>
      <c r="F487" s="5"/>
      <c r="G487" s="5"/>
      <c r="H487" s="5"/>
      <c r="I487" s="5"/>
      <c r="J487" s="5"/>
      <c r="K487" s="5"/>
      <c r="L487" s="5"/>
      <c r="M487" s="5"/>
      <c r="N487" s="5"/>
      <c r="O487" s="5"/>
      <c r="P487" s="5"/>
      <c r="Q487" s="1526" t="s">
        <v>1313</v>
      </c>
      <c r="R487" s="1294"/>
      <c r="S487" s="1294"/>
      <c r="T487" s="1294"/>
      <c r="U487" s="1294"/>
      <c r="V487" s="1294"/>
      <c r="W487" s="1294"/>
      <c r="X487" s="1294"/>
      <c r="Y487" s="1294"/>
      <c r="Z487" s="1294"/>
      <c r="AA487" s="1294"/>
      <c r="AB487" s="1294"/>
      <c r="AC487" s="1294"/>
      <c r="AD487" s="1294"/>
      <c r="AE487" s="1294"/>
      <c r="AF487" s="1294"/>
      <c r="AG487" s="1294"/>
      <c r="AH487" s="1294"/>
      <c r="AI487" s="1294"/>
      <c r="AJ487" s="1294"/>
      <c r="AK487" s="1527"/>
      <c r="AZ487" s="3"/>
      <c r="BB487" s="3"/>
      <c r="BC487" s="3"/>
    </row>
    <row r="488" spans="1:55" ht="13" customHeight="1">
      <c r="B488" s="37" t="s">
        <v>1314</v>
      </c>
      <c r="C488" s="5"/>
      <c r="D488" s="5"/>
      <c r="E488" s="5"/>
      <c r="F488" s="5"/>
      <c r="G488" s="5"/>
      <c r="H488" s="5"/>
      <c r="I488" s="5"/>
      <c r="J488" s="5"/>
      <c r="K488" s="5"/>
      <c r="L488" s="5"/>
      <c r="M488" s="5"/>
      <c r="N488" s="5"/>
      <c r="O488" s="5"/>
      <c r="P488" s="5"/>
      <c r="Q488" s="1526" t="s">
        <v>1315</v>
      </c>
      <c r="R488" s="1294"/>
      <c r="S488" s="1294"/>
      <c r="T488" s="1294"/>
      <c r="U488" s="1294"/>
      <c r="V488" s="1294"/>
      <c r="W488" s="1294"/>
      <c r="X488" s="1294"/>
      <c r="Y488" s="1294"/>
      <c r="Z488" s="1294"/>
      <c r="AA488" s="1294"/>
      <c r="AB488" s="1294"/>
      <c r="AC488" s="1294"/>
      <c r="AD488" s="1294"/>
      <c r="AE488" s="1294"/>
      <c r="AF488" s="1294"/>
      <c r="AG488" s="1294"/>
      <c r="AH488" s="1294"/>
      <c r="AI488" s="1294"/>
      <c r="AJ488" s="1294"/>
      <c r="AK488" s="1527"/>
      <c r="AZ488" s="3"/>
      <c r="BA488" s="3"/>
      <c r="BB488" s="3"/>
      <c r="BC488" s="3"/>
    </row>
    <row r="489" spans="1:55" ht="13" customHeight="1">
      <c r="B489" s="1765" t="s">
        <v>1316</v>
      </c>
      <c r="C489" s="1766"/>
      <c r="D489" s="1766"/>
      <c r="E489" s="1766"/>
      <c r="F489" s="1766"/>
      <c r="G489" s="1766"/>
      <c r="H489" s="1766"/>
      <c r="I489" s="1766"/>
      <c r="J489" s="1766"/>
      <c r="K489" s="1766"/>
      <c r="L489" s="1766"/>
      <c r="M489" s="1766"/>
      <c r="N489" s="1766"/>
      <c r="O489" s="1766"/>
      <c r="P489" s="1767"/>
      <c r="Q489" s="1771" t="s">
        <v>848</v>
      </c>
      <c r="R489" s="1772"/>
      <c r="S489" s="2619" t="s">
        <v>2754</v>
      </c>
      <c r="T489" s="1709"/>
      <c r="U489" s="1709"/>
      <c r="V489" s="1709"/>
      <c r="W489" s="1709"/>
      <c r="X489" s="1709"/>
      <c r="Y489" s="1709"/>
      <c r="Z489" s="1709"/>
      <c r="AA489" s="1709"/>
      <c r="AB489" s="1709"/>
      <c r="AC489" s="1709"/>
      <c r="AD489" s="1709"/>
      <c r="AE489" s="1709"/>
      <c r="AF489" s="1709"/>
      <c r="AG489" s="1709"/>
      <c r="AH489" s="1709"/>
      <c r="AI489" s="1709"/>
      <c r="AJ489" s="1709"/>
      <c r="AK489" s="1710"/>
      <c r="AZ489" s="3"/>
      <c r="BA489" s="3"/>
      <c r="BB489" s="3"/>
      <c r="BC489" s="3"/>
    </row>
    <row r="490" spans="1:55" ht="13" customHeight="1">
      <c r="B490" s="1768"/>
      <c r="C490" s="1769"/>
      <c r="D490" s="1769"/>
      <c r="E490" s="1769"/>
      <c r="F490" s="1769"/>
      <c r="G490" s="1769"/>
      <c r="H490" s="1769"/>
      <c r="I490" s="1769"/>
      <c r="J490" s="1769"/>
      <c r="K490" s="1769"/>
      <c r="L490" s="1769"/>
      <c r="M490" s="1769"/>
      <c r="N490" s="1769"/>
      <c r="O490" s="1769"/>
      <c r="P490" s="1770"/>
      <c r="Q490" s="1773"/>
      <c r="R490" s="1774"/>
      <c r="S490" s="1711"/>
      <c r="T490" s="1712"/>
      <c r="U490" s="1712"/>
      <c r="V490" s="1712"/>
      <c r="W490" s="1712"/>
      <c r="X490" s="1712"/>
      <c r="Y490" s="1712"/>
      <c r="Z490" s="1712"/>
      <c r="AA490" s="1712"/>
      <c r="AB490" s="1712"/>
      <c r="AC490" s="1712"/>
      <c r="AD490" s="1712"/>
      <c r="AE490" s="1712"/>
      <c r="AF490" s="1712"/>
      <c r="AG490" s="1712"/>
      <c r="AH490" s="1712"/>
      <c r="AI490" s="1712"/>
      <c r="AJ490" s="1712"/>
      <c r="AK490" s="1713"/>
      <c r="AZ490" s="3"/>
      <c r="BA490" s="3"/>
      <c r="BB490" s="3"/>
      <c r="BC490" s="3"/>
    </row>
    <row r="491" spans="1:55" ht="13" customHeight="1">
      <c r="B491" s="791" t="s">
        <v>1317</v>
      </c>
      <c r="C491" s="772"/>
      <c r="D491" s="772"/>
      <c r="E491" s="772"/>
      <c r="F491" s="772"/>
      <c r="G491" s="772"/>
      <c r="H491" s="772"/>
      <c r="I491" s="772"/>
      <c r="J491" s="772"/>
      <c r="K491" s="772"/>
      <c r="L491" s="772"/>
      <c r="M491" s="772"/>
      <c r="N491" s="772"/>
      <c r="O491" s="772"/>
      <c r="P491" s="772"/>
      <c r="Q491" s="1778" t="s">
        <v>848</v>
      </c>
      <c r="R491" s="1779"/>
      <c r="S491" s="1779"/>
      <c r="T491" s="1779"/>
      <c r="U491" s="1779"/>
      <c r="V491" s="1779"/>
      <c r="W491" s="1779"/>
      <c r="X491" s="1779"/>
      <c r="Y491" s="1779"/>
      <c r="Z491" s="1779"/>
      <c r="AA491" s="1779"/>
      <c r="AB491" s="1779"/>
      <c r="AC491" s="1779"/>
      <c r="AD491" s="1779"/>
      <c r="AE491" s="1779"/>
      <c r="AF491" s="1779"/>
      <c r="AG491" s="1779"/>
      <c r="AH491" s="1779"/>
      <c r="AI491" s="1779"/>
      <c r="AJ491" s="1779"/>
      <c r="AK491" s="1780"/>
      <c r="AZ491" s="3"/>
      <c r="BA491" s="3"/>
      <c r="BB491" s="3"/>
      <c r="BC491" s="3"/>
    </row>
    <row r="492" spans="1:55" ht="13" customHeight="1">
      <c r="B492" s="37" t="s">
        <v>1318</v>
      </c>
      <c r="C492" s="5"/>
      <c r="D492" s="5"/>
      <c r="E492" s="5"/>
      <c r="F492" s="5"/>
      <c r="G492" s="5"/>
      <c r="H492" s="5"/>
      <c r="I492" s="5"/>
      <c r="J492" s="5"/>
      <c r="K492" s="5"/>
      <c r="L492" s="5"/>
      <c r="M492" s="5"/>
      <c r="N492" s="5"/>
      <c r="O492" s="5"/>
      <c r="P492" s="5"/>
      <c r="Q492" s="1526" t="s">
        <v>1319</v>
      </c>
      <c r="R492" s="1294"/>
      <c r="S492" s="1294"/>
      <c r="T492" s="1294"/>
      <c r="U492" s="1294"/>
      <c r="V492" s="1294"/>
      <c r="W492" s="1294"/>
      <c r="X492" s="1294"/>
      <c r="Y492" s="1294"/>
      <c r="Z492" s="1294"/>
      <c r="AA492" s="1294"/>
      <c r="AB492" s="1294"/>
      <c r="AC492" s="1294"/>
      <c r="AD492" s="1294"/>
      <c r="AE492" s="1294"/>
      <c r="AF492" s="1294"/>
      <c r="AG492" s="1294"/>
      <c r="AH492" s="1294"/>
      <c r="AI492" s="1294"/>
      <c r="AJ492" s="1294"/>
      <c r="AK492" s="1527"/>
      <c r="AZ492" s="3"/>
      <c r="BA492" s="3"/>
      <c r="BB492" s="3"/>
      <c r="BC492" s="3"/>
    </row>
    <row r="493" spans="1:55" ht="13" customHeight="1">
      <c r="B493" s="37" t="s">
        <v>1320</v>
      </c>
      <c r="C493" s="5"/>
      <c r="D493" s="5"/>
      <c r="E493" s="5"/>
      <c r="F493" s="5"/>
      <c r="G493" s="5"/>
      <c r="H493" s="5"/>
      <c r="I493" s="5"/>
      <c r="J493" s="5"/>
      <c r="K493" s="5"/>
      <c r="L493" s="5"/>
      <c r="M493" s="5"/>
      <c r="N493" s="5"/>
      <c r="O493" s="5"/>
      <c r="P493" s="5"/>
      <c r="Q493" s="1526" t="s">
        <v>813</v>
      </c>
      <c r="R493" s="1294"/>
      <c r="S493" s="1294"/>
      <c r="T493" s="1294"/>
      <c r="U493" s="1294"/>
      <c r="V493" s="1294"/>
      <c r="W493" s="1294"/>
      <c r="X493" s="1294"/>
      <c r="Y493" s="1294"/>
      <c r="Z493" s="1294"/>
      <c r="AA493" s="1294"/>
      <c r="AB493" s="1294"/>
      <c r="AC493" s="1294"/>
      <c r="AD493" s="1294"/>
      <c r="AE493" s="1294"/>
      <c r="AF493" s="1294"/>
      <c r="AG493" s="1294"/>
      <c r="AH493" s="1294"/>
      <c r="AI493" s="1294"/>
      <c r="AJ493" s="1294"/>
      <c r="AK493" s="1527"/>
      <c r="AZ493" s="3"/>
      <c r="BA493" s="3"/>
      <c r="BB493" s="3"/>
      <c r="BC493" s="3"/>
    </row>
    <row r="494" spans="1:55" ht="13" customHeight="1">
      <c r="B494" s="87" t="s">
        <v>1321</v>
      </c>
      <c r="C494" s="5"/>
      <c r="D494" s="5"/>
      <c r="E494" s="5"/>
      <c r="F494" s="5"/>
      <c r="G494" s="5"/>
      <c r="H494" s="5"/>
      <c r="I494" s="5"/>
      <c r="J494" s="5"/>
      <c r="K494" s="5"/>
      <c r="L494" s="5"/>
      <c r="M494" s="5"/>
      <c r="N494" s="5"/>
      <c r="O494" s="5"/>
      <c r="P494" s="5"/>
      <c r="Q494" s="1526">
        <v>382</v>
      </c>
      <c r="R494" s="1294"/>
      <c r="S494" s="1294"/>
      <c r="T494" s="1294"/>
      <c r="U494" s="1294"/>
      <c r="V494" s="1294"/>
      <c r="W494" s="1294"/>
      <c r="X494" s="1294"/>
      <c r="Y494" s="1294"/>
      <c r="Z494" s="1294"/>
      <c r="AA494" s="1294"/>
      <c r="AB494" s="1294"/>
      <c r="AC494" s="1294"/>
      <c r="AD494" s="1294"/>
      <c r="AE494" s="1294"/>
      <c r="AF494" s="1294"/>
      <c r="AG494" s="1294"/>
      <c r="AH494" s="1294"/>
      <c r="AI494" s="1294"/>
      <c r="AJ494" s="1294"/>
      <c r="AK494" s="1527"/>
      <c r="AZ494" s="3"/>
      <c r="BA494" s="3"/>
      <c r="BB494" s="3"/>
      <c r="BC494" s="3"/>
    </row>
    <row r="495" spans="1:55" ht="13" customHeight="1">
      <c r="B495" s="87" t="s">
        <v>1322</v>
      </c>
      <c r="C495" s="5"/>
      <c r="D495" s="5"/>
      <c r="E495" s="5"/>
      <c r="F495" s="5"/>
      <c r="G495" s="5"/>
      <c r="H495" s="5"/>
      <c r="I495" s="5"/>
      <c r="J495" s="5"/>
      <c r="K495" s="5"/>
      <c r="L495" s="5"/>
      <c r="M495" s="1404"/>
      <c r="N495" s="1405"/>
      <c r="O495" s="1405"/>
      <c r="P495" s="1406"/>
      <c r="Q495" s="87" t="s">
        <v>1323</v>
      </c>
      <c r="R495" s="5"/>
      <c r="S495" s="5"/>
      <c r="T495" s="5"/>
      <c r="U495" s="5"/>
      <c r="V495" s="5"/>
      <c r="W495" s="5"/>
      <c r="X495" s="5"/>
      <c r="Y495" s="5"/>
      <c r="Z495" s="5"/>
      <c r="AA495" s="5"/>
      <c r="AB495" s="5"/>
      <c r="AC495" s="5"/>
      <c r="AD495" s="5"/>
      <c r="AE495" s="5"/>
      <c r="AF495" s="5"/>
      <c r="AG495" s="5"/>
      <c r="AH495" s="1404">
        <v>382</v>
      </c>
      <c r="AI495" s="1405"/>
      <c r="AJ495" s="1405"/>
      <c r="AK495" s="1406"/>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914</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3" t="s">
        <v>1324</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3" t="s">
        <v>1325</v>
      </c>
      <c r="AD500" s="1704"/>
      <c r="AE500" s="1704"/>
      <c r="AF500" s="1704"/>
      <c r="AG500" s="42" t="s">
        <v>1326</v>
      </c>
      <c r="AH500" s="1704" t="s">
        <v>1327</v>
      </c>
      <c r="AI500" s="1704"/>
      <c r="AJ500" s="1704"/>
      <c r="AK500" s="1705"/>
      <c r="AZ500" s="3"/>
      <c r="BA500" s="3"/>
      <c r="BB500" s="3"/>
      <c r="BC500" s="3"/>
      <c r="BD500" s="3"/>
      <c r="BE500" s="3"/>
      <c r="BF500" s="3"/>
      <c r="BG500" s="3"/>
      <c r="BH500" s="3"/>
      <c r="BI500" s="3"/>
      <c r="BJ500" s="3"/>
      <c r="BK500" s="3"/>
      <c r="BL500" s="3"/>
      <c r="BM500" s="3"/>
      <c r="BN500" s="3"/>
    </row>
    <row r="501" spans="1:66" ht="13" customHeight="1">
      <c r="B501" s="1616" t="s">
        <v>1328</v>
      </c>
      <c r="C501" s="1389"/>
      <c r="D501" s="1389"/>
      <c r="E501" s="1389"/>
      <c r="F501" s="1389"/>
      <c r="G501" s="1389"/>
      <c r="H501" s="1390"/>
      <c r="I501" s="34" t="s">
        <v>1329</v>
      </c>
      <c r="J501" s="34"/>
      <c r="K501" s="34"/>
      <c r="L501" s="34"/>
      <c r="M501" s="34"/>
      <c r="N501" s="34"/>
      <c r="O501" s="34"/>
      <c r="P501" s="34"/>
      <c r="Q501" s="34"/>
      <c r="R501" s="34"/>
      <c r="S501" s="34"/>
      <c r="T501" s="34"/>
      <c r="U501" s="34"/>
      <c r="V501" s="34"/>
      <c r="W501" s="34"/>
      <c r="AC501" s="1606">
        <v>1</v>
      </c>
      <c r="AD501" s="1607"/>
      <c r="AE501" s="1607"/>
      <c r="AF501" s="1607"/>
      <c r="AG501" s="12" t="s">
        <v>1326</v>
      </c>
      <c r="AH501" s="1364">
        <v>2025</v>
      </c>
      <c r="AI501" s="1364"/>
      <c r="AJ501" s="1364"/>
      <c r="AK501" s="1365"/>
      <c r="AZ501" s="3"/>
      <c r="BA501" s="3"/>
      <c r="BB501" s="3"/>
      <c r="BC501" s="3"/>
      <c r="BD501" s="3"/>
      <c r="BE501" s="3"/>
      <c r="BF501" s="3"/>
      <c r="BG501" s="3"/>
      <c r="BH501" s="3"/>
      <c r="BI501" s="3"/>
      <c r="BJ501" s="3"/>
      <c r="BK501" s="3"/>
      <c r="BL501" s="3"/>
      <c r="BM501" s="3"/>
      <c r="BN501" s="3"/>
    </row>
    <row r="502" spans="1:66" ht="13" customHeight="1">
      <c r="B502" s="1617"/>
      <c r="C502" s="1391"/>
      <c r="D502" s="1391"/>
      <c r="E502" s="1391"/>
      <c r="F502" s="1391"/>
      <c r="G502" s="1391"/>
      <c r="H502" s="1392"/>
      <c r="I502" s="40" t="s">
        <v>1330</v>
      </c>
      <c r="J502" s="40"/>
      <c r="K502" s="40"/>
      <c r="L502" s="40"/>
      <c r="M502" s="40"/>
      <c r="N502" s="40"/>
      <c r="O502" s="40"/>
      <c r="P502" s="40"/>
      <c r="Q502" s="40"/>
      <c r="R502" s="40"/>
      <c r="S502" s="40"/>
      <c r="T502" s="40"/>
      <c r="U502" s="40"/>
      <c r="V502" s="40"/>
      <c r="W502" s="40"/>
      <c r="X502" s="40"/>
      <c r="Y502" s="40"/>
      <c r="Z502" s="40"/>
      <c r="AA502" s="40"/>
      <c r="AB502" s="40"/>
      <c r="AC502" s="1606">
        <v>6</v>
      </c>
      <c r="AD502" s="1607"/>
      <c r="AE502" s="1607"/>
      <c r="AF502" s="1607"/>
      <c r="AG502" s="30" t="s">
        <v>1326</v>
      </c>
      <c r="AH502" s="1364">
        <v>2025</v>
      </c>
      <c r="AI502" s="1364"/>
      <c r="AJ502" s="1364"/>
      <c r="AK502" s="1365"/>
      <c r="AZ502" s="3"/>
      <c r="BA502" s="3"/>
      <c r="BB502" s="3"/>
      <c r="BC502" s="3"/>
      <c r="BD502" s="3"/>
      <c r="BE502" s="3"/>
      <c r="BF502" s="3"/>
      <c r="BG502" s="3"/>
      <c r="BH502" s="3"/>
      <c r="BI502" s="3"/>
      <c r="BJ502" s="3"/>
      <c r="BK502" s="3"/>
      <c r="BL502" s="3"/>
      <c r="BM502" s="3"/>
      <c r="BN502" s="3"/>
    </row>
    <row r="503" spans="1:66" ht="13" customHeight="1">
      <c r="B503" s="1616" t="s">
        <v>1331</v>
      </c>
      <c r="C503" s="1389"/>
      <c r="D503" s="1389"/>
      <c r="E503" s="1389"/>
      <c r="F503" s="1389"/>
      <c r="G503" s="1389"/>
      <c r="H503" s="1390"/>
      <c r="I503" s="34" t="s">
        <v>1332</v>
      </c>
      <c r="J503" s="34"/>
      <c r="K503" s="34"/>
      <c r="L503" s="34"/>
      <c r="M503" s="34"/>
      <c r="N503" s="34"/>
      <c r="O503" s="34"/>
      <c r="P503" s="34"/>
      <c r="Q503" s="34"/>
      <c r="R503" s="34"/>
      <c r="S503" s="34"/>
      <c r="T503" s="34"/>
      <c r="U503" s="34"/>
      <c r="V503" s="34"/>
      <c r="W503" s="34"/>
      <c r="AC503" s="1606" t="s">
        <v>813</v>
      </c>
      <c r="AD503" s="1607"/>
      <c r="AE503" s="1607"/>
      <c r="AF503" s="1607"/>
      <c r="AG503" s="12" t="s">
        <v>1326</v>
      </c>
      <c r="AH503" s="1364"/>
      <c r="AI503" s="1364"/>
      <c r="AJ503" s="1364"/>
      <c r="AK503" s="1365"/>
      <c r="AZ503" s="3"/>
      <c r="BA503" s="3"/>
      <c r="BB503" s="3"/>
      <c r="BC503" s="3"/>
      <c r="BD503" s="3"/>
      <c r="BE503" s="3"/>
      <c r="BF503" s="3"/>
      <c r="BG503" s="3"/>
      <c r="BH503" s="3"/>
      <c r="BI503" s="3"/>
      <c r="BJ503" s="3"/>
      <c r="BK503" s="3"/>
      <c r="BL503" s="3"/>
      <c r="BM503" s="3"/>
      <c r="BN503" s="3"/>
    </row>
    <row r="504" spans="1:66" ht="13" customHeight="1">
      <c r="B504" s="1617"/>
      <c r="C504" s="1391"/>
      <c r="D504" s="1391"/>
      <c r="E504" s="1391"/>
      <c r="F504" s="1391"/>
      <c r="G504" s="1391"/>
      <c r="H504" s="1392"/>
      <c r="I504" t="s">
        <v>1333</v>
      </c>
      <c r="AC504" s="1606" t="s">
        <v>813</v>
      </c>
      <c r="AD504" s="1607"/>
      <c r="AE504" s="1607"/>
      <c r="AF504" s="1607"/>
      <c r="AG504" s="12" t="s">
        <v>1326</v>
      </c>
      <c r="AH504" s="1364"/>
      <c r="AI504" s="1364"/>
      <c r="AJ504" s="1364"/>
      <c r="AK504" s="1365"/>
      <c r="AZ504" s="3"/>
      <c r="BA504" s="3"/>
      <c r="BB504" s="3"/>
      <c r="BC504" s="3"/>
      <c r="BD504" s="3"/>
      <c r="BE504" s="3"/>
      <c r="BF504" s="3"/>
      <c r="BG504" s="3"/>
      <c r="BH504" s="3"/>
      <c r="BI504" s="3"/>
      <c r="BJ504" s="3"/>
      <c r="BK504" s="3"/>
      <c r="BL504" s="3"/>
      <c r="BM504" s="3"/>
      <c r="BN504" s="3"/>
    </row>
    <row r="505" spans="1:66" ht="13" customHeight="1">
      <c r="B505" s="1617"/>
      <c r="C505" s="1391"/>
      <c r="D505" s="1391"/>
      <c r="E505" s="1391"/>
      <c r="F505" s="1391"/>
      <c r="G505" s="1391"/>
      <c r="H505" s="1392"/>
      <c r="I505" t="s">
        <v>1334</v>
      </c>
      <c r="AC505" s="1606" t="s">
        <v>813</v>
      </c>
      <c r="AD505" s="1607"/>
      <c r="AE505" s="1607"/>
      <c r="AF505" s="1607"/>
      <c r="AG505" s="12" t="s">
        <v>1326</v>
      </c>
      <c r="AH505" s="1364"/>
      <c r="AI505" s="1364"/>
      <c r="AJ505" s="1364"/>
      <c r="AK505" s="1365"/>
      <c r="AZ505" s="3"/>
      <c r="BA505" s="3"/>
      <c r="BB505" s="3"/>
      <c r="BC505" s="3"/>
      <c r="BD505" s="3"/>
      <c r="BE505" s="3"/>
      <c r="BF505" s="3"/>
      <c r="BG505" s="3"/>
      <c r="BH505" s="3"/>
      <c r="BI505" s="3"/>
      <c r="BJ505" s="3"/>
      <c r="BK505" s="3"/>
      <c r="BL505" s="3"/>
      <c r="BM505" s="3"/>
      <c r="BN505" s="3"/>
    </row>
    <row r="506" spans="1:66" ht="13" customHeight="1">
      <c r="B506" s="1617"/>
      <c r="C506" s="1391"/>
      <c r="D506" s="1391"/>
      <c r="E506" s="1391"/>
      <c r="F506" s="1391"/>
      <c r="G506" s="1391"/>
      <c r="H506" s="1392"/>
      <c r="I506" t="s">
        <v>1335</v>
      </c>
      <c r="AC506" s="1606">
        <v>1</v>
      </c>
      <c r="AD506" s="1607"/>
      <c r="AE506" s="1607"/>
      <c r="AF506" s="1607"/>
      <c r="AG506" s="12" t="s">
        <v>1326</v>
      </c>
      <c r="AH506" s="1364">
        <v>2026</v>
      </c>
      <c r="AI506" s="1364"/>
      <c r="AJ506" s="1364"/>
      <c r="AK506" s="1365"/>
      <c r="AZ506" s="3"/>
      <c r="BA506" s="3"/>
      <c r="BB506" s="3"/>
      <c r="BC506" s="3"/>
      <c r="BD506" s="3"/>
      <c r="BE506" s="3"/>
      <c r="BF506" s="3"/>
      <c r="BG506" s="3"/>
      <c r="BH506" s="3"/>
      <c r="BI506" s="3"/>
      <c r="BJ506" s="3"/>
      <c r="BK506" s="3"/>
      <c r="BL506" s="3"/>
      <c r="BM506" s="3"/>
      <c r="BN506" s="3"/>
    </row>
    <row r="507" spans="1:66" ht="13" customHeight="1">
      <c r="B507" s="1617"/>
      <c r="C507" s="1391"/>
      <c r="D507" s="1391"/>
      <c r="E507" s="1391"/>
      <c r="F507" s="1391"/>
      <c r="G507" s="1391"/>
      <c r="H507" s="1392"/>
      <c r="I507" s="3" t="s">
        <v>1336</v>
      </c>
      <c r="AC507" s="1300">
        <v>2</v>
      </c>
      <c r="AD507" s="1301"/>
      <c r="AE507" s="1301"/>
      <c r="AF507" s="1301"/>
      <c r="AG507" s="12" t="s">
        <v>1326</v>
      </c>
      <c r="AH507" s="1364">
        <v>2026</v>
      </c>
      <c r="AI507" s="1364"/>
      <c r="AJ507" s="1364"/>
      <c r="AK507" s="1365"/>
      <c r="AZ507" s="3"/>
      <c r="BA507" s="3"/>
      <c r="BB507" s="3"/>
      <c r="BC507" s="3"/>
      <c r="BD507" s="3"/>
      <c r="BE507" s="3"/>
      <c r="BF507" s="3"/>
      <c r="BG507" s="3"/>
      <c r="BH507" s="3"/>
      <c r="BI507" s="3"/>
      <c r="BJ507" s="3"/>
      <c r="BK507" s="3"/>
      <c r="BL507" s="3"/>
      <c r="BM507" s="3"/>
      <c r="BN507" s="3"/>
    </row>
    <row r="508" spans="1:66" ht="13" customHeight="1">
      <c r="B508" s="1617"/>
      <c r="C508" s="1391"/>
      <c r="D508" s="1391"/>
      <c r="E508" s="1391"/>
      <c r="F508" s="1391"/>
      <c r="G508" s="1391"/>
      <c r="H508" s="1392"/>
      <c r="I508" s="792" t="s">
        <v>233</v>
      </c>
      <c r="J508" s="40"/>
      <c r="K508" s="40"/>
      <c r="L508" s="1690" t="s">
        <v>1337</v>
      </c>
      <c r="M508" s="1691"/>
      <c r="N508" s="1691"/>
      <c r="O508" s="1691"/>
      <c r="P508" s="1691"/>
      <c r="Q508" s="1691"/>
      <c r="R508" s="1691"/>
      <c r="S508" s="1691"/>
      <c r="T508" s="1691"/>
      <c r="U508" s="1691"/>
      <c r="V508" s="1691"/>
      <c r="W508" s="1691"/>
      <c r="X508" s="1691"/>
      <c r="Y508" s="1691"/>
      <c r="Z508" s="1691"/>
      <c r="AA508" s="1691"/>
      <c r="AB508" s="1776"/>
      <c r="AC508" s="1606" t="s">
        <v>813</v>
      </c>
      <c r="AD508" s="1607"/>
      <c r="AE508" s="1607"/>
      <c r="AF508" s="1607"/>
      <c r="AG508" s="30" t="s">
        <v>1326</v>
      </c>
      <c r="AH508" s="1364"/>
      <c r="AI508" s="1364"/>
      <c r="AJ508" s="1364"/>
      <c r="AK508" s="1365"/>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1338</v>
      </c>
      <c r="AC509" s="1754" t="s">
        <v>1003</v>
      </c>
      <c r="AD509" s="1754"/>
      <c r="AE509" s="1754"/>
      <c r="AF509" s="1754"/>
      <c r="AG509" s="12"/>
      <c r="AH509" s="1298"/>
      <c r="AI509" s="1298"/>
      <c r="AJ509" s="1298"/>
      <c r="AK509" s="1615"/>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1339</v>
      </c>
      <c r="AC510" s="1300"/>
      <c r="AD510" s="1301"/>
      <c r="AE510" s="1301"/>
      <c r="AF510" s="1302"/>
      <c r="AG510" s="12"/>
      <c r="AH510" s="1298"/>
      <c r="AI510" s="1298"/>
      <c r="AJ510" s="1298"/>
      <c r="AK510" s="1615"/>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1340</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1341</v>
      </c>
      <c r="J512" s="40"/>
      <c r="K512" s="40"/>
      <c r="L512" s="40"/>
      <c r="M512" s="40"/>
      <c r="N512" s="40"/>
      <c r="O512" s="40"/>
      <c r="P512" s="40"/>
      <c r="Q512" s="40"/>
      <c r="R512" s="40"/>
      <c r="S512" s="40"/>
      <c r="T512" s="40"/>
      <c r="U512" s="40"/>
      <c r="V512" s="40"/>
      <c r="W512" s="40"/>
      <c r="X512" s="40"/>
      <c r="Y512" s="40"/>
      <c r="Z512" s="40"/>
      <c r="AA512" s="40"/>
      <c r="AB512" s="40"/>
      <c r="AC512" s="1762"/>
      <c r="AD512" s="1763"/>
      <c r="AE512" s="1763"/>
      <c r="AF512" s="1764"/>
      <c r="AG512" s="30"/>
      <c r="AH512" s="1688"/>
      <c r="AI512" s="1688"/>
      <c r="AJ512" s="1688"/>
      <c r="AK512" s="1689"/>
      <c r="AZ512" s="3"/>
      <c r="BA512" s="3"/>
      <c r="BB512" s="3"/>
      <c r="BC512" s="3"/>
      <c r="BD512" s="3"/>
      <c r="BE512" s="3"/>
      <c r="BF512" s="3"/>
      <c r="BG512" s="3"/>
      <c r="BH512" s="3"/>
      <c r="BI512" s="3"/>
      <c r="BJ512" s="3"/>
      <c r="BK512" s="3"/>
      <c r="BL512" s="3"/>
      <c r="BM512" s="3"/>
      <c r="BN512" s="3" t="s">
        <v>1003</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1325</v>
      </c>
      <c r="AD513" s="1582"/>
      <c r="AE513" s="1582"/>
      <c r="AF513" s="1582"/>
      <c r="AG513" s="30" t="s">
        <v>1326</v>
      </c>
      <c r="AH513" s="1582" t="s">
        <v>1327</v>
      </c>
      <c r="AI513" s="1582"/>
      <c r="AJ513" s="1582"/>
      <c r="AK513" s="1775"/>
      <c r="AZ513" s="3"/>
      <c r="BA513" s="3"/>
      <c r="BB513" s="3"/>
      <c r="BC513" s="3"/>
      <c r="BD513" s="3"/>
      <c r="BE513" s="3"/>
      <c r="BF513" s="3"/>
      <c r="BG513" s="3"/>
      <c r="BH513" s="3"/>
      <c r="BI513" s="3"/>
      <c r="BJ513" s="3"/>
      <c r="BK513" s="3"/>
      <c r="BL513" s="3"/>
      <c r="BM513" s="3"/>
      <c r="BN513" s="3" t="s">
        <v>1342</v>
      </c>
    </row>
    <row r="514" spans="2:66" ht="13" customHeight="1">
      <c r="B514" s="1616" t="s">
        <v>1343</v>
      </c>
      <c r="C514" s="1389"/>
      <c r="D514" s="1389"/>
      <c r="E514" s="1389"/>
      <c r="F514" s="1389"/>
      <c r="G514" s="1389"/>
      <c r="H514" s="1390"/>
      <c r="I514" s="34" t="s">
        <v>1344</v>
      </c>
      <c r="J514" s="34"/>
      <c r="K514" s="34"/>
      <c r="L514" s="34"/>
      <c r="M514" s="34"/>
      <c r="N514" s="34"/>
      <c r="O514" s="34"/>
      <c r="P514" s="34"/>
      <c r="Q514" s="34"/>
      <c r="R514" s="34"/>
      <c r="S514" s="34"/>
      <c r="T514" s="34"/>
      <c r="U514" s="34"/>
      <c r="V514" s="34"/>
      <c r="W514" s="34"/>
      <c r="AC514" s="1606">
        <v>5</v>
      </c>
      <c r="AD514" s="1607"/>
      <c r="AE514" s="1607"/>
      <c r="AF514" s="1607"/>
      <c r="AG514" s="12" t="s">
        <v>1326</v>
      </c>
      <c r="AH514" s="1364">
        <v>2025</v>
      </c>
      <c r="AI514" s="1364"/>
      <c r="AJ514" s="1364"/>
      <c r="AK514" s="1365"/>
      <c r="AZ514" s="3"/>
      <c r="BA514" s="3"/>
      <c r="BB514" s="3"/>
      <c r="BC514" s="3"/>
      <c r="BD514" s="3"/>
      <c r="BE514" s="3"/>
      <c r="BF514" s="3"/>
      <c r="BG514" s="3"/>
      <c r="BH514" s="3"/>
      <c r="BI514" s="3"/>
      <c r="BJ514" s="3"/>
      <c r="BK514" s="3"/>
      <c r="BL514" s="3"/>
      <c r="BM514" s="3"/>
      <c r="BN514" s="3" t="s">
        <v>1345</v>
      </c>
    </row>
    <row r="515" spans="2:66" ht="13" customHeight="1">
      <c r="B515" s="1617"/>
      <c r="C515" s="1391"/>
      <c r="D515" s="1391"/>
      <c r="E515" s="1391"/>
      <c r="F515" s="1391"/>
      <c r="G515" s="1391"/>
      <c r="H515" s="1392"/>
      <c r="I515" t="s">
        <v>1346</v>
      </c>
      <c r="AC515" s="1606">
        <v>5</v>
      </c>
      <c r="AD515" s="1607"/>
      <c r="AE515" s="1607"/>
      <c r="AF515" s="1607"/>
      <c r="AG515" s="12" t="s">
        <v>1326</v>
      </c>
      <c r="AH515" s="1364">
        <v>2025</v>
      </c>
      <c r="AI515" s="1364"/>
      <c r="AJ515" s="1364"/>
      <c r="AK515" s="1365"/>
      <c r="AZ515" s="3"/>
      <c r="BA515" s="3"/>
      <c r="BB515" s="3"/>
      <c r="BC515" s="3"/>
      <c r="BD515" s="3"/>
      <c r="BE515" s="3"/>
      <c r="BF515" s="3"/>
      <c r="BG515" s="3"/>
      <c r="BH515" s="3"/>
      <c r="BI515" s="3"/>
      <c r="BJ515" s="3"/>
      <c r="BK515" s="3"/>
      <c r="BL515" s="3"/>
      <c r="BM515" s="3"/>
      <c r="BN515" s="3" t="s">
        <v>1347</v>
      </c>
    </row>
    <row r="516" spans="2:66" ht="13" customHeight="1">
      <c r="B516" s="1617"/>
      <c r="C516" s="1391"/>
      <c r="D516" s="1391"/>
      <c r="E516" s="1391"/>
      <c r="F516" s="1391"/>
      <c r="G516" s="1391"/>
      <c r="H516" s="1392"/>
      <c r="I516" s="40" t="s">
        <v>1348</v>
      </c>
      <c r="J516" s="40"/>
      <c r="K516" s="40"/>
      <c r="L516" s="40"/>
      <c r="M516" s="40"/>
      <c r="N516" s="40"/>
      <c r="O516" s="40"/>
      <c r="P516" s="40"/>
      <c r="Q516" s="40"/>
      <c r="R516" s="40"/>
      <c r="S516" s="40"/>
      <c r="T516" s="40"/>
      <c r="U516" s="40"/>
      <c r="V516" s="40"/>
      <c r="W516" s="40"/>
      <c r="X516" s="40"/>
      <c r="Y516" s="40"/>
      <c r="Z516" s="40"/>
      <c r="AA516" s="40"/>
      <c r="AB516" s="40"/>
      <c r="AC516" s="1606">
        <v>12</v>
      </c>
      <c r="AD516" s="1607"/>
      <c r="AE516" s="1607"/>
      <c r="AF516" s="1607"/>
      <c r="AG516" s="30" t="s">
        <v>1326</v>
      </c>
      <c r="AH516" s="1364">
        <v>2025</v>
      </c>
      <c r="AI516" s="1364"/>
      <c r="AJ516" s="1364"/>
      <c r="AK516" s="1365"/>
      <c r="AZ516" s="3"/>
      <c r="BA516" s="3"/>
      <c r="BB516" s="3"/>
      <c r="BC516" s="3"/>
      <c r="BD516" s="3"/>
      <c r="BE516" s="3"/>
      <c r="BF516" s="3"/>
      <c r="BG516" s="3"/>
      <c r="BH516" s="3"/>
      <c r="BI516" s="3"/>
      <c r="BJ516" s="3"/>
      <c r="BK516" s="3"/>
      <c r="BL516" s="3"/>
      <c r="BM516" s="3"/>
      <c r="BN516" s="3" t="s">
        <v>1349</v>
      </c>
    </row>
    <row r="517" spans="2:66" ht="13" customHeight="1">
      <c r="B517" s="1616" t="s">
        <v>1350</v>
      </c>
      <c r="C517" s="1389"/>
      <c r="D517" s="1389"/>
      <c r="E517" s="1389"/>
      <c r="F517" s="1389"/>
      <c r="G517" s="1389"/>
      <c r="H517" s="1390"/>
      <c r="I517" s="34" t="s">
        <v>1344</v>
      </c>
      <c r="J517" s="34"/>
      <c r="K517" s="34"/>
      <c r="L517" s="34"/>
      <c r="M517" s="34"/>
      <c r="N517" s="34"/>
      <c r="O517" s="34"/>
      <c r="P517" s="34"/>
      <c r="Q517" s="34"/>
      <c r="R517" s="34"/>
      <c r="S517" s="34"/>
      <c r="T517" s="34"/>
      <c r="U517" s="34"/>
      <c r="V517" s="34"/>
      <c r="W517" s="34"/>
      <c r="X517" s="34"/>
      <c r="Y517" s="34"/>
      <c r="Z517" s="34"/>
      <c r="AA517" s="34"/>
      <c r="AB517" s="34"/>
      <c r="AC517" s="1300">
        <v>5</v>
      </c>
      <c r="AD517" s="1301"/>
      <c r="AE517" s="1301"/>
      <c r="AF517" s="1301"/>
      <c r="AG517" s="94" t="s">
        <v>1326</v>
      </c>
      <c r="AH517" s="1364">
        <v>2025</v>
      </c>
      <c r="AI517" s="1364"/>
      <c r="AJ517" s="1364"/>
      <c r="AK517" s="1365"/>
      <c r="AZ517" s="3"/>
      <c r="BB517" s="3"/>
      <c r="BC517" s="3"/>
      <c r="BD517" s="3"/>
      <c r="BE517" s="3"/>
      <c r="BF517" s="3"/>
      <c r="BG517" s="3"/>
      <c r="BH517" s="3"/>
      <c r="BI517" s="3"/>
      <c r="BJ517" s="3"/>
      <c r="BK517" s="3"/>
      <c r="BL517" s="3"/>
      <c r="BM517" s="3"/>
      <c r="BN517" s="3" t="s">
        <v>1351</v>
      </c>
    </row>
    <row r="518" spans="2:66" ht="13" customHeight="1">
      <c r="B518" s="1617"/>
      <c r="C518" s="1391"/>
      <c r="D518" s="1391"/>
      <c r="E518" s="1391"/>
      <c r="F518" s="1391"/>
      <c r="G518" s="1391"/>
      <c r="H518" s="1392"/>
      <c r="I518" t="s">
        <v>1346</v>
      </c>
      <c r="AC518" s="1606">
        <v>5</v>
      </c>
      <c r="AD518" s="1607"/>
      <c r="AE518" s="1607"/>
      <c r="AF518" s="1607"/>
      <c r="AG518" s="12" t="s">
        <v>1326</v>
      </c>
      <c r="AH518" s="1364">
        <v>2025</v>
      </c>
      <c r="AI518" s="1364"/>
      <c r="AJ518" s="1364"/>
      <c r="AK518" s="1365"/>
      <c r="BB518" s="3"/>
      <c r="BC518" s="3"/>
      <c r="BD518" s="3"/>
      <c r="BE518" s="3"/>
      <c r="BF518" s="3"/>
      <c r="BG518" s="3"/>
      <c r="BH518" s="3"/>
      <c r="BI518" s="3"/>
      <c r="BJ518" s="3"/>
      <c r="BK518" s="3"/>
      <c r="BL518" s="3"/>
      <c r="BM518" s="3"/>
      <c r="BN518" s="3" t="s">
        <v>1352</v>
      </c>
    </row>
    <row r="519" spans="2:66" ht="13" customHeight="1">
      <c r="B519" s="1618"/>
      <c r="C519" s="1393"/>
      <c r="D519" s="1393"/>
      <c r="E519" s="1393"/>
      <c r="F519" s="1393"/>
      <c r="G519" s="1393"/>
      <c r="H519" s="1394"/>
      <c r="I519" s="40" t="s">
        <v>1348</v>
      </c>
      <c r="J519" s="40"/>
      <c r="K519" s="40"/>
      <c r="L519" s="40"/>
      <c r="M519" s="40"/>
      <c r="N519" s="40"/>
      <c r="O519" s="40"/>
      <c r="P519" s="40"/>
      <c r="Q519" s="40"/>
      <c r="R519" s="40"/>
      <c r="S519" s="40"/>
      <c r="T519" s="40"/>
      <c r="U519" s="40"/>
      <c r="V519" s="40"/>
      <c r="W519" s="40"/>
      <c r="X519" s="40"/>
      <c r="Y519" s="40"/>
      <c r="Z519" s="40"/>
      <c r="AA519" s="40"/>
      <c r="AB519" s="40"/>
      <c r="AC519" s="1606">
        <v>8</v>
      </c>
      <c r="AD519" s="1607"/>
      <c r="AE519" s="1607"/>
      <c r="AF519" s="1607"/>
      <c r="AG519" s="30" t="s">
        <v>1326</v>
      </c>
      <c r="AH519" s="1364">
        <v>2029</v>
      </c>
      <c r="AI519" s="1364"/>
      <c r="AJ519" s="1364"/>
      <c r="AK519" s="1365"/>
      <c r="BB519" s="3"/>
      <c r="BC519" s="3"/>
      <c r="BD519" s="3"/>
      <c r="BE519" s="3"/>
      <c r="BF519" s="3"/>
      <c r="BG519" s="3"/>
      <c r="BH519" s="3"/>
      <c r="BI519" s="3"/>
      <c r="BJ519" s="3"/>
      <c r="BK519" s="3"/>
      <c r="BL519" s="3"/>
      <c r="BM519" s="3"/>
      <c r="BN519" s="3" t="s">
        <v>1353</v>
      </c>
    </row>
    <row r="520" spans="2:66" ht="13" customHeight="1">
      <c r="B520" s="1616" t="s">
        <v>1354</v>
      </c>
      <c r="C520" s="1389"/>
      <c r="D520" s="1389"/>
      <c r="E520" s="1389"/>
      <c r="F520" s="1389"/>
      <c r="G520" s="1389"/>
      <c r="H520" s="1390"/>
      <c r="I520" s="33" t="s">
        <v>1355</v>
      </c>
      <c r="J520" s="34"/>
      <c r="K520" s="34"/>
      <c r="L520" s="34"/>
      <c r="M520" s="34"/>
      <c r="N520" s="34"/>
      <c r="O520" s="1690" t="s">
        <v>1356</v>
      </c>
      <c r="P520" s="1691"/>
      <c r="Q520" s="1691"/>
      <c r="R520" s="1691"/>
      <c r="S520" s="1691"/>
      <c r="T520" s="1691"/>
      <c r="U520" s="1691"/>
      <c r="V520" s="1691"/>
      <c r="W520" s="1691"/>
      <c r="X520" s="1691"/>
      <c r="Y520" s="1691"/>
      <c r="Z520" s="1691"/>
      <c r="AA520" s="1691"/>
      <c r="AB520" s="50"/>
      <c r="AC520" s="1300">
        <v>3</v>
      </c>
      <c r="AD520" s="1301"/>
      <c r="AE520" s="1301"/>
      <c r="AF520" s="1301"/>
      <c r="AG520" s="94" t="s">
        <v>1326</v>
      </c>
      <c r="AH520" s="1364">
        <v>2024</v>
      </c>
      <c r="AI520" s="1364"/>
      <c r="AJ520" s="1364"/>
      <c r="AK520" s="1365"/>
      <c r="AZ520" s="3"/>
      <c r="BB520" s="3"/>
      <c r="BC520" s="3"/>
      <c r="BD520" s="3"/>
      <c r="BE520" s="3"/>
      <c r="BF520" s="3"/>
      <c r="BG520" s="3"/>
      <c r="BH520" s="3"/>
      <c r="BI520" s="3"/>
      <c r="BJ520" s="3"/>
      <c r="BK520" s="3"/>
      <c r="BL520" s="3"/>
      <c r="BM520" s="3"/>
      <c r="BN520" s="3" t="s">
        <v>1357</v>
      </c>
    </row>
    <row r="521" spans="2:66" ht="13" customHeight="1">
      <c r="B521" s="1617"/>
      <c r="C521" s="1391"/>
      <c r="D521" s="1391"/>
      <c r="E521" s="1391"/>
      <c r="F521" s="1391"/>
      <c r="G521" s="1391"/>
      <c r="H521" s="1392"/>
      <c r="I521" s="82" t="s">
        <v>44</v>
      </c>
      <c r="AB521" s="56"/>
      <c r="AC521" s="1606">
        <v>3</v>
      </c>
      <c r="AD521" s="1607"/>
      <c r="AE521" s="1607"/>
      <c r="AF521" s="1607"/>
      <c r="AG521" s="12" t="s">
        <v>1326</v>
      </c>
      <c r="AH521" s="1364">
        <v>2024</v>
      </c>
      <c r="AI521" s="1364"/>
      <c r="AJ521" s="1364"/>
      <c r="AK521" s="1365"/>
      <c r="AZ521" s="3"/>
      <c r="BB521" s="3"/>
      <c r="BC521" s="3"/>
      <c r="BD521" s="3"/>
      <c r="BE521" s="3"/>
      <c r="BF521" s="3"/>
      <c r="BG521" s="3"/>
      <c r="BH521" s="3"/>
      <c r="BI521" s="3"/>
      <c r="BJ521" s="3"/>
      <c r="BK521" s="3"/>
      <c r="BL521" s="3"/>
      <c r="BM521" s="3"/>
      <c r="BN521" s="3" t="s">
        <v>1358</v>
      </c>
    </row>
    <row r="522" spans="2:66" ht="13" customHeight="1">
      <c r="B522" s="1617"/>
      <c r="C522" s="1391"/>
      <c r="D522" s="1391"/>
      <c r="E522" s="1391"/>
      <c r="F522" s="1391"/>
      <c r="G522" s="1391"/>
      <c r="H522" s="1392"/>
      <c r="I522" s="39" t="s">
        <v>1359</v>
      </c>
      <c r="J522" s="40"/>
      <c r="K522" s="40"/>
      <c r="L522" s="40"/>
      <c r="M522" s="40"/>
      <c r="N522" s="40"/>
      <c r="O522" s="40"/>
      <c r="P522" s="40"/>
      <c r="Q522" s="40"/>
      <c r="R522" s="40"/>
      <c r="S522" s="40"/>
      <c r="T522" s="40"/>
      <c r="U522" s="40"/>
      <c r="V522" s="40"/>
      <c r="W522" s="40"/>
      <c r="X522" s="40"/>
      <c r="Y522" s="40"/>
      <c r="Z522" s="40"/>
      <c r="AA522" s="40"/>
      <c r="AB522" s="41"/>
      <c r="AC522" s="1606">
        <v>12</v>
      </c>
      <c r="AD522" s="1607"/>
      <c r="AE522" s="1607"/>
      <c r="AF522" s="1607"/>
      <c r="AG522" s="30" t="s">
        <v>1326</v>
      </c>
      <c r="AH522" s="1364">
        <v>2025</v>
      </c>
      <c r="AI522" s="1364"/>
      <c r="AJ522" s="1364"/>
      <c r="AK522" s="1365"/>
      <c r="AZ522" s="3"/>
      <c r="BA522" s="3"/>
      <c r="BB522" s="3"/>
      <c r="BC522" s="3"/>
      <c r="BD522" s="3"/>
      <c r="BE522" s="3"/>
      <c r="BF522" s="3"/>
      <c r="BG522" s="3"/>
      <c r="BH522" s="3"/>
      <c r="BI522" s="3"/>
      <c r="BJ522" s="3"/>
      <c r="BK522" s="3"/>
      <c r="BL522" s="3"/>
      <c r="BM522" s="3"/>
      <c r="BN522" s="3" t="s">
        <v>1360</v>
      </c>
    </row>
    <row r="523" spans="2:66" ht="13" customHeight="1">
      <c r="B523" s="1617"/>
      <c r="C523" s="1391"/>
      <c r="D523" s="1391"/>
      <c r="E523" s="1391"/>
      <c r="F523" s="1391"/>
      <c r="G523" s="1391"/>
      <c r="H523" s="1392"/>
      <c r="I523" s="34" t="s">
        <v>1361</v>
      </c>
      <c r="J523" s="34"/>
      <c r="K523" s="34"/>
      <c r="L523" s="34"/>
      <c r="M523" s="34"/>
      <c r="N523" s="34"/>
      <c r="O523" s="1690" t="s">
        <v>1337</v>
      </c>
      <c r="P523" s="1691"/>
      <c r="Q523" s="1691"/>
      <c r="R523" s="1691"/>
      <c r="S523" s="1691"/>
      <c r="T523" s="1691"/>
      <c r="U523" s="1691"/>
      <c r="V523" s="1691"/>
      <c r="W523" s="1691"/>
      <c r="X523" s="1691"/>
      <c r="Y523" s="1691"/>
      <c r="Z523" s="1691"/>
      <c r="AA523" s="1691"/>
      <c r="AC523" s="1606" t="s">
        <v>813</v>
      </c>
      <c r="AD523" s="1607"/>
      <c r="AE523" s="1607"/>
      <c r="AF523" s="1607"/>
      <c r="AG523" s="12" t="s">
        <v>1326</v>
      </c>
      <c r="AH523" s="1364"/>
      <c r="AI523" s="1364"/>
      <c r="AJ523" s="1364"/>
      <c r="AK523" s="1365"/>
      <c r="AZ523" s="3"/>
      <c r="BA523" s="3"/>
      <c r="BB523" s="3"/>
      <c r="BC523" s="3"/>
      <c r="BD523" s="3"/>
      <c r="BE523" s="3"/>
      <c r="BF523" s="3"/>
      <c r="BG523" s="3"/>
      <c r="BH523" s="3"/>
      <c r="BI523" s="3"/>
      <c r="BJ523" s="3"/>
      <c r="BK523" s="3"/>
      <c r="BL523" s="3"/>
      <c r="BM523" s="3"/>
      <c r="BN523" s="3" t="s">
        <v>1362</v>
      </c>
    </row>
    <row r="524" spans="2:66" ht="13" customHeight="1">
      <c r="B524" s="1617"/>
      <c r="C524" s="1391"/>
      <c r="D524" s="1391"/>
      <c r="E524" s="1391"/>
      <c r="F524" s="1391"/>
      <c r="G524" s="1391"/>
      <c r="H524" s="1392"/>
      <c r="I524" t="s">
        <v>44</v>
      </c>
      <c r="AC524" s="1606" t="s">
        <v>813</v>
      </c>
      <c r="AD524" s="1607"/>
      <c r="AE524" s="1607"/>
      <c r="AF524" s="1607"/>
      <c r="AG524" s="12" t="s">
        <v>1326</v>
      </c>
      <c r="AH524" s="1364"/>
      <c r="AI524" s="1364"/>
      <c r="AJ524" s="1364"/>
      <c r="AK524" s="1365"/>
      <c r="AZ524" s="3"/>
      <c r="BA524" s="3"/>
      <c r="BB524" s="3"/>
      <c r="BC524" s="3"/>
      <c r="BD524" s="3"/>
      <c r="BE524" s="3"/>
      <c r="BF524" s="3"/>
      <c r="BG524" s="3"/>
      <c r="BH524" s="3"/>
      <c r="BI524" s="3"/>
      <c r="BJ524" s="3"/>
      <c r="BK524" s="3"/>
      <c r="BL524" s="3"/>
      <c r="BM524" s="3"/>
      <c r="BN524" s="3" t="s">
        <v>1363</v>
      </c>
    </row>
    <row r="525" spans="2:66" ht="13" customHeight="1">
      <c r="B525" s="1617"/>
      <c r="C525" s="1391"/>
      <c r="D525" s="1391"/>
      <c r="E525" s="1391"/>
      <c r="F525" s="1391"/>
      <c r="G525" s="1391"/>
      <c r="H525" s="1392"/>
      <c r="I525" s="40" t="s">
        <v>1359</v>
      </c>
      <c r="J525" s="40"/>
      <c r="K525" s="40"/>
      <c r="L525" s="40"/>
      <c r="M525" s="40"/>
      <c r="N525" s="40"/>
      <c r="O525" s="40"/>
      <c r="P525" s="40"/>
      <c r="Q525" s="40"/>
      <c r="R525" s="40"/>
      <c r="S525" s="40"/>
      <c r="T525" s="40"/>
      <c r="U525" s="40"/>
      <c r="V525" s="40"/>
      <c r="W525" s="40"/>
      <c r="X525" s="40"/>
      <c r="Y525" s="40"/>
      <c r="Z525" s="40"/>
      <c r="AA525" s="40"/>
      <c r="AB525" s="40"/>
      <c r="AC525" s="1606" t="s">
        <v>813</v>
      </c>
      <c r="AD525" s="1607"/>
      <c r="AE525" s="1607"/>
      <c r="AF525" s="1607"/>
      <c r="AG525" s="30" t="s">
        <v>1326</v>
      </c>
      <c r="AH525" s="1364"/>
      <c r="AI525" s="1364"/>
      <c r="AJ525" s="1364"/>
      <c r="AK525" s="1365"/>
      <c r="AZ525" s="3"/>
      <c r="BA525" s="3"/>
      <c r="BB525" s="3"/>
      <c r="BC525" s="3"/>
      <c r="BD525" s="3"/>
      <c r="BE525" s="3"/>
      <c r="BF525" s="3"/>
      <c r="BG525" s="3"/>
      <c r="BH525" s="3"/>
      <c r="BI525" s="3"/>
      <c r="BJ525" s="3"/>
      <c r="BK525" s="3"/>
      <c r="BL525" s="3"/>
      <c r="BM525" s="3"/>
      <c r="BN525" s="3" t="s">
        <v>1364</v>
      </c>
    </row>
    <row r="526" spans="2:66" ht="13" customHeight="1">
      <c r="B526" s="1617"/>
      <c r="C526" s="1391"/>
      <c r="D526" s="1391"/>
      <c r="E526" s="1391"/>
      <c r="F526" s="1391"/>
      <c r="G526" s="1391"/>
      <c r="H526" s="1392"/>
      <c r="I526" s="34" t="s">
        <v>1361</v>
      </c>
      <c r="J526" s="34"/>
      <c r="K526" s="34"/>
      <c r="L526" s="34"/>
      <c r="M526" s="34"/>
      <c r="N526" s="34"/>
      <c r="O526" s="1690" t="s">
        <v>1337</v>
      </c>
      <c r="P526" s="1691"/>
      <c r="Q526" s="1691"/>
      <c r="R526" s="1691"/>
      <c r="S526" s="1691"/>
      <c r="T526" s="1691"/>
      <c r="U526" s="1691"/>
      <c r="V526" s="1691"/>
      <c r="W526" s="1691"/>
      <c r="X526" s="1691"/>
      <c r="Y526" s="1691"/>
      <c r="Z526" s="1691"/>
      <c r="AA526" s="1691"/>
      <c r="AC526" s="1606" t="s">
        <v>813</v>
      </c>
      <c r="AD526" s="1607"/>
      <c r="AE526" s="1607"/>
      <c r="AF526" s="1607"/>
      <c r="AG526" s="12" t="s">
        <v>1326</v>
      </c>
      <c r="AH526" s="1364"/>
      <c r="AI526" s="1364"/>
      <c r="AJ526" s="1364"/>
      <c r="AK526" s="1365"/>
      <c r="AZ526" s="3"/>
      <c r="BA526" s="3"/>
      <c r="BB526" s="3"/>
      <c r="BC526" s="3"/>
      <c r="BD526" s="3"/>
      <c r="BE526" s="3"/>
      <c r="BF526" s="3"/>
      <c r="BG526" s="3"/>
      <c r="BH526" s="3"/>
      <c r="BI526" s="3"/>
      <c r="BJ526" s="3"/>
      <c r="BK526" s="3"/>
      <c r="BL526" s="3"/>
      <c r="BM526" s="3"/>
      <c r="BN526" s="3" t="s">
        <v>1365</v>
      </c>
    </row>
    <row r="527" spans="2:66" ht="13" customHeight="1">
      <c r="B527" s="1617"/>
      <c r="C527" s="1391"/>
      <c r="D527" s="1391"/>
      <c r="E527" s="1391"/>
      <c r="F527" s="1391"/>
      <c r="G527" s="1391"/>
      <c r="H527" s="1392"/>
      <c r="I527" t="s">
        <v>44</v>
      </c>
      <c r="AC527" s="1606" t="s">
        <v>813</v>
      </c>
      <c r="AD527" s="1607"/>
      <c r="AE527" s="1607"/>
      <c r="AF527" s="1607"/>
      <c r="AG527" s="12" t="s">
        <v>1326</v>
      </c>
      <c r="AH527" s="1364"/>
      <c r="AI527" s="1364"/>
      <c r="AJ527" s="1364"/>
      <c r="AK527" s="1365"/>
      <c r="AZ527" s="3"/>
      <c r="BA527" s="3"/>
      <c r="BB527" s="3"/>
      <c r="BC527" s="3"/>
      <c r="BD527" s="3"/>
      <c r="BE527" s="3"/>
      <c r="BF527" s="3"/>
      <c r="BG527" s="3"/>
      <c r="BH527" s="3"/>
      <c r="BI527" s="3"/>
      <c r="BJ527" s="3"/>
      <c r="BK527" s="3"/>
      <c r="BL527" s="3"/>
      <c r="BM527" s="3"/>
      <c r="BN527" s="3" t="s">
        <v>1366</v>
      </c>
    </row>
    <row r="528" spans="2:66" ht="13" customHeight="1">
      <c r="B528" s="1617"/>
      <c r="C528" s="1391"/>
      <c r="D528" s="1391"/>
      <c r="E528" s="1391"/>
      <c r="F528" s="1391"/>
      <c r="G528" s="1391"/>
      <c r="H528" s="1392"/>
      <c r="I528" s="40" t="s">
        <v>1359</v>
      </c>
      <c r="J528" s="40"/>
      <c r="K528" s="40"/>
      <c r="L528" s="40"/>
      <c r="M528" s="40"/>
      <c r="N528" s="40"/>
      <c r="O528" s="40"/>
      <c r="P528" s="40"/>
      <c r="Q528" s="40"/>
      <c r="R528" s="40"/>
      <c r="S528" s="40"/>
      <c r="T528" s="40"/>
      <c r="U528" s="40"/>
      <c r="V528" s="40"/>
      <c r="W528" s="40"/>
      <c r="X528" s="40"/>
      <c r="Y528" s="40"/>
      <c r="Z528" s="40"/>
      <c r="AA528" s="40"/>
      <c r="AB528" s="40"/>
      <c r="AC528" s="1606" t="s">
        <v>813</v>
      </c>
      <c r="AD528" s="1607"/>
      <c r="AE528" s="1607"/>
      <c r="AF528" s="1607"/>
      <c r="AG528" s="30" t="s">
        <v>1326</v>
      </c>
      <c r="AH528" s="1364"/>
      <c r="AI528" s="1364"/>
      <c r="AJ528" s="1364"/>
      <c r="AK528" s="1365"/>
      <c r="AZ528" s="3"/>
      <c r="BA528" s="3"/>
      <c r="BB528" s="3"/>
      <c r="BC528" s="3"/>
      <c r="BD528" s="3"/>
      <c r="BE528" s="3"/>
      <c r="BF528" s="3"/>
      <c r="BG528" s="3"/>
      <c r="BH528" s="3"/>
      <c r="BI528" s="3"/>
      <c r="BJ528" s="3"/>
      <c r="BK528" s="3"/>
      <c r="BL528" s="3"/>
      <c r="BM528" s="3"/>
      <c r="BN528" s="3" t="s">
        <v>1367</v>
      </c>
    </row>
    <row r="529" spans="1:66" ht="13" customHeight="1">
      <c r="B529" s="1617"/>
      <c r="C529" s="1391"/>
      <c r="D529" s="1391"/>
      <c r="E529" s="1391"/>
      <c r="F529" s="1391"/>
      <c r="G529" s="1391"/>
      <c r="H529" s="1392"/>
      <c r="I529" s="34" t="s">
        <v>1361</v>
      </c>
      <c r="J529" s="34"/>
      <c r="K529" s="34"/>
      <c r="L529" s="34"/>
      <c r="M529" s="34"/>
      <c r="N529" s="34"/>
      <c r="O529" s="1690" t="s">
        <v>1337</v>
      </c>
      <c r="P529" s="1691"/>
      <c r="Q529" s="1691"/>
      <c r="R529" s="1691"/>
      <c r="S529" s="1691"/>
      <c r="T529" s="1691"/>
      <c r="U529" s="1691"/>
      <c r="V529" s="1691"/>
      <c r="W529" s="1691"/>
      <c r="X529" s="1691"/>
      <c r="Y529" s="1691"/>
      <c r="Z529" s="1691"/>
      <c r="AA529" s="1691"/>
      <c r="AC529" s="1606" t="s">
        <v>813</v>
      </c>
      <c r="AD529" s="1607"/>
      <c r="AE529" s="1607"/>
      <c r="AF529" s="1607"/>
      <c r="AG529" s="12" t="s">
        <v>1326</v>
      </c>
      <c r="AH529" s="1364"/>
      <c r="AI529" s="1364"/>
      <c r="AJ529" s="1364"/>
      <c r="AK529" s="1365"/>
      <c r="AZ529" s="3"/>
      <c r="BA529" s="3"/>
      <c r="BB529" s="3"/>
      <c r="BC529" s="3"/>
      <c r="BD529" s="3"/>
      <c r="BE529" s="3"/>
      <c r="BF529" s="3"/>
      <c r="BG529" s="3"/>
      <c r="BH529" s="3"/>
      <c r="BI529" s="3"/>
      <c r="BJ529" s="3"/>
      <c r="BK529" s="3"/>
      <c r="BL529" s="3"/>
      <c r="BM529" s="3"/>
      <c r="BN529" s="3" t="s">
        <v>1368</v>
      </c>
    </row>
    <row r="530" spans="1:66" ht="13" customHeight="1">
      <c r="B530" s="1617"/>
      <c r="C530" s="1391"/>
      <c r="D530" s="1391"/>
      <c r="E530" s="1391"/>
      <c r="F530" s="1391"/>
      <c r="G530" s="1391"/>
      <c r="H530" s="1392"/>
      <c r="I530" t="s">
        <v>44</v>
      </c>
      <c r="AC530" s="1606" t="s">
        <v>813</v>
      </c>
      <c r="AD530" s="1607"/>
      <c r="AE530" s="1607"/>
      <c r="AF530" s="1607"/>
      <c r="AG530" s="12" t="s">
        <v>1326</v>
      </c>
      <c r="AH530" s="1364"/>
      <c r="AI530" s="1364"/>
      <c r="AJ530" s="1364"/>
      <c r="AK530" s="1365"/>
      <c r="AZ530" s="3"/>
      <c r="BA530" s="3"/>
      <c r="BB530" s="3"/>
      <c r="BC530" s="3"/>
      <c r="BD530" s="3"/>
      <c r="BE530" s="3"/>
      <c r="BF530" s="3"/>
      <c r="BG530" s="3"/>
      <c r="BH530" s="3"/>
      <c r="BI530" s="3"/>
      <c r="BJ530" s="3"/>
      <c r="BK530" s="3"/>
      <c r="BL530" s="3"/>
      <c r="BM530" s="3"/>
      <c r="BN530" s="3" t="s">
        <v>1369</v>
      </c>
    </row>
    <row r="531" spans="1:66" ht="13" customHeight="1">
      <c r="B531" s="1617"/>
      <c r="C531" s="1391"/>
      <c r="D531" s="1391"/>
      <c r="E531" s="1391"/>
      <c r="F531" s="1391"/>
      <c r="G531" s="1391"/>
      <c r="H531" s="1392"/>
      <c r="I531" s="40" t="s">
        <v>1359</v>
      </c>
      <c r="J531" s="40"/>
      <c r="K531" s="40"/>
      <c r="L531" s="40"/>
      <c r="M531" s="40"/>
      <c r="N531" s="40"/>
      <c r="O531" s="40"/>
      <c r="P531" s="40"/>
      <c r="Q531" s="40"/>
      <c r="R531" s="40"/>
      <c r="S531" s="40"/>
      <c r="T531" s="40"/>
      <c r="U531" s="40"/>
      <c r="V531" s="40"/>
      <c r="W531" s="40"/>
      <c r="X531" s="40"/>
      <c r="Y531" s="40"/>
      <c r="Z531" s="40"/>
      <c r="AA531" s="40"/>
      <c r="AB531" s="40"/>
      <c r="AC531" s="1606" t="s">
        <v>813</v>
      </c>
      <c r="AD531" s="1607"/>
      <c r="AE531" s="1607"/>
      <c r="AF531" s="1607"/>
      <c r="AG531" s="30" t="s">
        <v>1326</v>
      </c>
      <c r="AH531" s="1364"/>
      <c r="AI531" s="1364"/>
      <c r="AJ531" s="1364"/>
      <c r="AK531" s="1365"/>
      <c r="AZ531" s="3"/>
      <c r="BA531" s="3"/>
      <c r="BB531" s="3"/>
      <c r="BC531" s="3"/>
      <c r="BD531" s="3"/>
      <c r="BE531" s="3"/>
      <c r="BF531" s="3"/>
      <c r="BG531" s="3"/>
      <c r="BH531" s="3"/>
      <c r="BI531" s="3"/>
      <c r="BJ531" s="3"/>
      <c r="BK531" s="3"/>
      <c r="BL531" s="3"/>
      <c r="BM531" s="3"/>
      <c r="BN531" s="3" t="s">
        <v>1370</v>
      </c>
    </row>
    <row r="532" spans="1:66" ht="13" customHeight="1">
      <c r="B532" s="1617"/>
      <c r="C532" s="1391"/>
      <c r="D532" s="1391"/>
      <c r="E532" s="1391"/>
      <c r="F532" s="1391"/>
      <c r="G532" s="1391"/>
      <c r="H532" s="1392"/>
      <c r="I532" s="34" t="s">
        <v>1361</v>
      </c>
      <c r="J532" s="34"/>
      <c r="K532" s="34"/>
      <c r="L532" s="34"/>
      <c r="M532" s="34"/>
      <c r="N532" s="34"/>
      <c r="O532" s="1690" t="s">
        <v>1337</v>
      </c>
      <c r="P532" s="1691"/>
      <c r="Q532" s="1691"/>
      <c r="R532" s="1691"/>
      <c r="S532" s="1691"/>
      <c r="T532" s="1691"/>
      <c r="U532" s="1691"/>
      <c r="V532" s="1691"/>
      <c r="W532" s="1691"/>
      <c r="X532" s="1691"/>
      <c r="Y532" s="1691"/>
      <c r="Z532" s="1691"/>
      <c r="AA532" s="1691"/>
      <c r="AC532" s="1606" t="s">
        <v>813</v>
      </c>
      <c r="AD532" s="1607"/>
      <c r="AE532" s="1607"/>
      <c r="AF532" s="1607"/>
      <c r="AG532" s="12" t="s">
        <v>1326</v>
      </c>
      <c r="AH532" s="1364"/>
      <c r="AI532" s="1364"/>
      <c r="AJ532" s="1364"/>
      <c r="AK532" s="1365"/>
      <c r="AZ532" s="3"/>
      <c r="BA532" s="3"/>
      <c r="BB532" s="3"/>
      <c r="BC532" s="3"/>
      <c r="BD532" s="3"/>
      <c r="BE532" s="3"/>
      <c r="BF532" s="3"/>
      <c r="BG532" s="3"/>
      <c r="BH532" s="3"/>
      <c r="BI532" s="3"/>
      <c r="BJ532" s="3"/>
      <c r="BK532" s="3"/>
      <c r="BL532" s="3"/>
      <c r="BM532" s="3"/>
      <c r="BN532" s="3" t="s">
        <v>1371</v>
      </c>
    </row>
    <row r="533" spans="1:66" ht="13" customHeight="1">
      <c r="B533" s="1617"/>
      <c r="C533" s="1391"/>
      <c r="D533" s="1391"/>
      <c r="E533" s="1391"/>
      <c r="F533" s="1391"/>
      <c r="G533" s="1391"/>
      <c r="H533" s="1392"/>
      <c r="I533" t="s">
        <v>44</v>
      </c>
      <c r="AC533" s="1606" t="s">
        <v>813</v>
      </c>
      <c r="AD533" s="1607"/>
      <c r="AE533" s="1607"/>
      <c r="AF533" s="1607"/>
      <c r="AG533" s="30" t="s">
        <v>1326</v>
      </c>
      <c r="AH533" s="1364"/>
      <c r="AI533" s="1364"/>
      <c r="AJ533" s="1364"/>
      <c r="AK533" s="1365"/>
      <c r="AZ533" s="3"/>
      <c r="BA533" s="3"/>
      <c r="BB533" s="3"/>
      <c r="BC533" s="3"/>
      <c r="BD533" s="3"/>
      <c r="BE533" s="3"/>
      <c r="BF533" s="3"/>
      <c r="BG533" s="3"/>
      <c r="BH533" s="3"/>
      <c r="BI533" s="3"/>
      <c r="BJ533" s="3"/>
      <c r="BK533" s="3"/>
      <c r="BL533" s="3"/>
      <c r="BM533" s="3"/>
      <c r="BN533" s="3" t="s">
        <v>1372</v>
      </c>
    </row>
    <row r="534" spans="1:66" ht="13" customHeight="1">
      <c r="B534" s="1617"/>
      <c r="C534" s="1391"/>
      <c r="D534" s="1391"/>
      <c r="E534" s="1391"/>
      <c r="F534" s="1391"/>
      <c r="G534" s="1391"/>
      <c r="H534" s="1392"/>
      <c r="I534" s="40" t="s">
        <v>1359</v>
      </c>
      <c r="J534" s="40"/>
      <c r="K534" s="40"/>
      <c r="L534" s="40"/>
      <c r="M534" s="40"/>
      <c r="N534" s="40"/>
      <c r="O534" s="40"/>
      <c r="P534" s="40"/>
      <c r="Q534" s="40"/>
      <c r="R534" s="40"/>
      <c r="S534" s="40"/>
      <c r="T534" s="40"/>
      <c r="U534" s="40"/>
      <c r="V534" s="40"/>
      <c r="W534" s="40"/>
      <c r="X534" s="40"/>
      <c r="Y534" s="40"/>
      <c r="Z534" s="40"/>
      <c r="AA534" s="40"/>
      <c r="AB534" s="40"/>
      <c r="AC534" s="1606" t="s">
        <v>813</v>
      </c>
      <c r="AD534" s="1607"/>
      <c r="AE534" s="1607"/>
      <c r="AF534" s="1607"/>
      <c r="AG534" s="12" t="s">
        <v>1326</v>
      </c>
      <c r="AH534" s="1364"/>
      <c r="AI534" s="1364"/>
      <c r="AJ534" s="1364"/>
      <c r="AK534" s="1365"/>
      <c r="AZ534" s="3"/>
      <c r="BA534" s="3"/>
      <c r="BB534" s="3"/>
      <c r="BC534" s="3"/>
      <c r="BD534" s="3"/>
      <c r="BE534" s="3"/>
      <c r="BF534" s="3"/>
      <c r="BG534" s="3"/>
      <c r="BH534" s="3"/>
      <c r="BI534" s="3"/>
      <c r="BJ534" s="3"/>
      <c r="BK534" s="3"/>
      <c r="BL534" s="3"/>
      <c r="BM534" s="3"/>
      <c r="BN534" s="3" t="s">
        <v>1373</v>
      </c>
    </row>
    <row r="535" spans="1:66" ht="13" customHeight="1">
      <c r="B535" s="1617"/>
      <c r="C535" s="1391"/>
      <c r="D535" s="1391"/>
      <c r="E535" s="1391"/>
      <c r="F535" s="1391"/>
      <c r="G535" s="1391"/>
      <c r="H535" s="1392"/>
      <c r="I535" s="34" t="s">
        <v>1361</v>
      </c>
      <c r="J535" s="34"/>
      <c r="K535" s="34"/>
      <c r="L535" s="34"/>
      <c r="M535" s="34"/>
      <c r="N535" s="34"/>
      <c r="O535" s="1690" t="s">
        <v>1337</v>
      </c>
      <c r="P535" s="1691"/>
      <c r="Q535" s="1691"/>
      <c r="R535" s="1691"/>
      <c r="S535" s="1691"/>
      <c r="T535" s="1691"/>
      <c r="U535" s="1691"/>
      <c r="V535" s="1691"/>
      <c r="W535" s="1691"/>
      <c r="X535" s="1691"/>
      <c r="Y535" s="1691"/>
      <c r="Z535" s="1691"/>
      <c r="AA535" s="1691"/>
      <c r="AC535" s="1606" t="s">
        <v>813</v>
      </c>
      <c r="AD535" s="1607"/>
      <c r="AE535" s="1607"/>
      <c r="AF535" s="1607"/>
      <c r="AG535" s="30" t="s">
        <v>1326</v>
      </c>
      <c r="AH535" s="1364"/>
      <c r="AI535" s="1364"/>
      <c r="AJ535" s="1364"/>
      <c r="AK535" s="1365"/>
      <c r="AZ535" s="3"/>
      <c r="BA535" s="3"/>
      <c r="BB535" s="3"/>
      <c r="BC535" s="3"/>
      <c r="BD535" s="3"/>
      <c r="BE535" s="3"/>
      <c r="BF535" s="3"/>
      <c r="BG535" s="3"/>
      <c r="BH535" s="3"/>
      <c r="BI535" s="3"/>
      <c r="BJ535" s="3"/>
      <c r="BK535" s="3"/>
      <c r="BL535" s="3"/>
      <c r="BM535" s="3"/>
      <c r="BN535" s="3" t="s">
        <v>1374</v>
      </c>
    </row>
    <row r="536" spans="1:66" ht="13" customHeight="1">
      <c r="B536" s="1617"/>
      <c r="C536" s="1391"/>
      <c r="D536" s="1391"/>
      <c r="E536" s="1391"/>
      <c r="F536" s="1391"/>
      <c r="G536" s="1391"/>
      <c r="H536" s="1392"/>
      <c r="I536" t="s">
        <v>44</v>
      </c>
      <c r="AC536" s="1606" t="s">
        <v>813</v>
      </c>
      <c r="AD536" s="1607"/>
      <c r="AE536" s="1607"/>
      <c r="AF536" s="1607"/>
      <c r="AG536" s="12" t="s">
        <v>1326</v>
      </c>
      <c r="AH536" s="1364"/>
      <c r="AI536" s="1364"/>
      <c r="AJ536" s="1364"/>
      <c r="AK536" s="1365"/>
      <c r="AZ536" s="3"/>
      <c r="BA536" s="3"/>
      <c r="BB536" s="3"/>
      <c r="BC536" s="3"/>
      <c r="BD536" s="3"/>
      <c r="BE536" s="3"/>
      <c r="BF536" s="3"/>
      <c r="BG536" s="3"/>
      <c r="BH536" s="3"/>
      <c r="BI536" s="3"/>
      <c r="BJ536" s="3"/>
      <c r="BK536" s="3"/>
      <c r="BL536" s="3"/>
      <c r="BM536" s="3"/>
      <c r="BN536" s="3" t="s">
        <v>1375</v>
      </c>
    </row>
    <row r="537" spans="1:66" ht="13" customHeight="1">
      <c r="B537" s="1617"/>
      <c r="C537" s="1391"/>
      <c r="D537" s="1391"/>
      <c r="E537" s="1391"/>
      <c r="F537" s="1391"/>
      <c r="G537" s="1391"/>
      <c r="H537" s="1392"/>
      <c r="I537" s="40" t="s">
        <v>1359</v>
      </c>
      <c r="J537" s="40"/>
      <c r="K537" s="40"/>
      <c r="L537" s="40"/>
      <c r="M537" s="40"/>
      <c r="N537" s="40"/>
      <c r="O537" s="40"/>
      <c r="P537" s="40"/>
      <c r="Q537" s="40"/>
      <c r="R537" s="40"/>
      <c r="S537" s="40"/>
      <c r="T537" s="40"/>
      <c r="U537" s="40"/>
      <c r="V537" s="40"/>
      <c r="W537" s="40"/>
      <c r="X537" s="40"/>
      <c r="Y537" s="40"/>
      <c r="Z537" s="40"/>
      <c r="AA537" s="40"/>
      <c r="AB537" s="40"/>
      <c r="AC537" s="1606" t="s">
        <v>813</v>
      </c>
      <c r="AD537" s="1607"/>
      <c r="AE537" s="1607"/>
      <c r="AF537" s="1607"/>
      <c r="AG537" s="30" t="s">
        <v>1326</v>
      </c>
      <c r="AH537" s="1364"/>
      <c r="AI537" s="1364"/>
      <c r="AJ537" s="1364"/>
      <c r="AK537" s="1365"/>
      <c r="AZ537" s="3"/>
      <c r="BA537" s="3"/>
      <c r="BB537" s="3"/>
      <c r="BC537" s="3"/>
      <c r="BD537" s="3"/>
      <c r="BE537" s="3"/>
      <c r="BF537" s="3"/>
      <c r="BG537" s="3"/>
      <c r="BH537" s="3"/>
      <c r="BI537" s="3"/>
      <c r="BJ537" s="3"/>
      <c r="BK537" s="3"/>
      <c r="BL537" s="3"/>
      <c r="BM537" s="3"/>
      <c r="BN537" s="3" t="s">
        <v>1376</v>
      </c>
    </row>
    <row r="538" spans="1:66" ht="13" customHeight="1">
      <c r="B538" s="1617"/>
      <c r="C538" s="1391"/>
      <c r="D538" s="1391"/>
      <c r="E538" s="1391"/>
      <c r="F538" s="1391"/>
      <c r="G538" s="1391"/>
      <c r="H538" s="1392"/>
      <c r="I538" s="34" t="s">
        <v>1377</v>
      </c>
      <c r="J538" s="34"/>
      <c r="K538" s="34"/>
      <c r="L538" s="34"/>
      <c r="M538" s="34"/>
      <c r="N538" s="34"/>
      <c r="O538" s="34"/>
      <c r="P538" s="34"/>
      <c r="Q538" s="34"/>
      <c r="R538" s="34"/>
      <c r="S538" s="34"/>
      <c r="T538" s="34"/>
      <c r="U538" s="34"/>
      <c r="V538" s="34"/>
      <c r="W538" s="34"/>
      <c r="AC538" s="1606">
        <v>10</v>
      </c>
      <c r="AD538" s="1607"/>
      <c r="AE538" s="1607"/>
      <c r="AF538" s="1607"/>
      <c r="AG538" s="30" t="s">
        <v>1326</v>
      </c>
      <c r="AH538" s="1364">
        <v>2026</v>
      </c>
      <c r="AI538" s="1364"/>
      <c r="AJ538" s="1364"/>
      <c r="AK538" s="1365"/>
      <c r="AZ538" s="3"/>
      <c r="BA538" s="3"/>
      <c r="BB538" s="3"/>
      <c r="BC538" s="3"/>
      <c r="BD538" s="3"/>
      <c r="BE538" s="3"/>
      <c r="BF538" s="3"/>
      <c r="BG538" s="3"/>
      <c r="BH538" s="3"/>
      <c r="BI538" s="3"/>
      <c r="BJ538" s="3"/>
      <c r="BK538" s="3"/>
      <c r="BL538" s="3"/>
      <c r="BM538" s="3"/>
      <c r="BN538" s="3"/>
    </row>
    <row r="539" spans="1:66" ht="13" customHeight="1">
      <c r="B539" s="1617"/>
      <c r="C539" s="1391"/>
      <c r="D539" s="1391"/>
      <c r="E539" s="1391"/>
      <c r="F539" s="1391"/>
      <c r="G539" s="1391"/>
      <c r="H539" s="1392"/>
      <c r="I539" t="s">
        <v>1378</v>
      </c>
      <c r="AC539" s="1606">
        <v>2</v>
      </c>
      <c r="AD539" s="1607"/>
      <c r="AE539" s="1607"/>
      <c r="AF539" s="1607"/>
      <c r="AG539" s="12" t="s">
        <v>1326</v>
      </c>
      <c r="AH539" s="1364">
        <v>2026</v>
      </c>
      <c r="AI539" s="1364"/>
      <c r="AJ539" s="1364"/>
      <c r="AK539" s="1365"/>
      <c r="AZ539" s="3"/>
      <c r="BA539" s="3"/>
      <c r="BB539" s="3"/>
      <c r="BC539" s="3"/>
      <c r="BD539" s="3"/>
      <c r="BE539" s="3"/>
      <c r="BF539" s="3"/>
      <c r="BG539" s="3"/>
      <c r="BH539" s="3"/>
      <c r="BI539" s="3"/>
      <c r="BJ539" s="3"/>
      <c r="BK539" s="3"/>
      <c r="BL539" s="3"/>
      <c r="BM539" s="3"/>
      <c r="BN539" s="3"/>
    </row>
    <row r="540" spans="1:66" ht="13" customHeight="1">
      <c r="B540" s="1617"/>
      <c r="C540" s="1391"/>
      <c r="D540" s="1391"/>
      <c r="E540" s="1391"/>
      <c r="F540" s="1391"/>
      <c r="G540" s="1391"/>
      <c r="H540" s="1392"/>
      <c r="I540" t="s">
        <v>1379</v>
      </c>
      <c r="AC540" s="1606">
        <v>2</v>
      </c>
      <c r="AD540" s="1607"/>
      <c r="AE540" s="1607"/>
      <c r="AF540" s="1607"/>
      <c r="AG540" s="30" t="s">
        <v>1326</v>
      </c>
      <c r="AH540" s="1364">
        <v>2028</v>
      </c>
      <c r="AI540" s="1364"/>
      <c r="AJ540" s="1364"/>
      <c r="AK540" s="1365"/>
      <c r="AZ540" s="3"/>
      <c r="BA540" s="3"/>
      <c r="BB540" s="3"/>
      <c r="BC540" s="3"/>
      <c r="BD540" s="3"/>
      <c r="BE540" s="3"/>
      <c r="BF540" s="3"/>
      <c r="BG540" s="3"/>
      <c r="BH540" s="3"/>
      <c r="BI540" s="3"/>
      <c r="BJ540" s="3"/>
      <c r="BK540" s="3"/>
      <c r="BL540" s="3"/>
      <c r="BM540" s="3"/>
      <c r="BN540" s="3"/>
    </row>
    <row r="541" spans="1:66" ht="13" customHeight="1">
      <c r="B541" s="1617"/>
      <c r="C541" s="1391"/>
      <c r="D541" s="1391"/>
      <c r="E541" s="1391"/>
      <c r="F541" s="1391"/>
      <c r="G541" s="1391"/>
      <c r="H541" s="1392"/>
      <c r="I541" t="s">
        <v>1380</v>
      </c>
      <c r="AC541" s="1606">
        <v>2</v>
      </c>
      <c r="AD541" s="1607"/>
      <c r="AE541" s="1607"/>
      <c r="AF541" s="1607"/>
      <c r="AG541" s="30" t="s">
        <v>1326</v>
      </c>
      <c r="AH541" s="1364">
        <v>2028</v>
      </c>
      <c r="AI541" s="1364"/>
      <c r="AJ541" s="1364"/>
      <c r="AK541" s="1365"/>
      <c r="AZ541" s="3"/>
      <c r="BA541" s="3"/>
      <c r="BB541" s="3"/>
      <c r="BC541" s="3"/>
      <c r="BD541" s="3"/>
      <c r="BE541" s="3"/>
      <c r="BF541" s="3"/>
      <c r="BG541" s="3"/>
      <c r="BH541" s="3"/>
      <c r="BI541" s="3"/>
      <c r="BJ541" s="3"/>
      <c r="BK541" s="3"/>
      <c r="BL541" s="3"/>
      <c r="BM541" s="3"/>
      <c r="BN541" s="3"/>
    </row>
    <row r="542" spans="1:66" ht="13" customHeight="1">
      <c r="B542" s="1618"/>
      <c r="C542" s="1393"/>
      <c r="D542" s="1393"/>
      <c r="E542" s="1393"/>
      <c r="F542" s="1393"/>
      <c r="G542" s="1393"/>
      <c r="H542" s="1394"/>
      <c r="I542" s="40" t="s">
        <v>1381</v>
      </c>
      <c r="J542" s="40"/>
      <c r="K542" s="40"/>
      <c r="L542" s="40"/>
      <c r="M542" s="40"/>
      <c r="N542" s="40"/>
      <c r="O542" s="40"/>
      <c r="P542" s="40"/>
      <c r="Q542" s="40"/>
      <c r="R542" s="40"/>
      <c r="S542" s="40"/>
      <c r="T542" s="40"/>
      <c r="U542" s="40"/>
      <c r="V542" s="40"/>
      <c r="W542" s="40"/>
      <c r="X542" s="40"/>
      <c r="Y542" s="40"/>
      <c r="Z542" s="40"/>
      <c r="AA542" s="40"/>
      <c r="AB542" s="40"/>
      <c r="AC542" s="1606">
        <v>11</v>
      </c>
      <c r="AD542" s="1607"/>
      <c r="AE542" s="1607"/>
      <c r="AF542" s="1607"/>
      <c r="AG542" s="30" t="s">
        <v>1326</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2" t="s">
        <v>1382</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873</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1383</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616" t="s">
        <v>1384</v>
      </c>
      <c r="C551" s="1389"/>
      <c r="D551" s="1389"/>
      <c r="E551" s="1389"/>
      <c r="F551" s="1389"/>
      <c r="G551" s="1389"/>
      <c r="H551" s="1389"/>
      <c r="I551" s="1389"/>
      <c r="J551" s="1389"/>
      <c r="K551" s="1389"/>
      <c r="L551" s="1390"/>
      <c r="M551" s="1616" t="s">
        <v>1385</v>
      </c>
      <c r="N551" s="1389"/>
      <c r="O551" s="1389"/>
      <c r="P551" s="1390"/>
      <c r="Q551" s="1616" t="s">
        <v>1386</v>
      </c>
      <c r="R551" s="1389"/>
      <c r="S551" s="1390"/>
      <c r="T551" s="1616" t="s">
        <v>1387</v>
      </c>
      <c r="U551" s="1389"/>
      <c r="V551" s="1390"/>
      <c r="W551" s="1616" t="s">
        <v>1388</v>
      </c>
      <c r="X551" s="1389"/>
      <c r="Y551" s="1390"/>
      <c r="Z551" s="1616" t="s">
        <v>1389</v>
      </c>
      <c r="AA551" s="1389"/>
      <c r="AB551" s="1389"/>
      <c r="AC551" s="1389"/>
      <c r="AD551" s="1390"/>
      <c r="AE551" s="1616" t="s">
        <v>1390</v>
      </c>
      <c r="AF551" s="1389"/>
      <c r="AG551" s="1389"/>
      <c r="AH551" s="1390"/>
      <c r="AI551" s="1616" t="s">
        <v>1391</v>
      </c>
      <c r="AJ551" s="1389"/>
      <c r="AK551" s="1389"/>
      <c r="AL551" s="1390"/>
      <c r="AM551" s="1616" t="s">
        <v>1392</v>
      </c>
      <c r="AN551" s="1389"/>
      <c r="AO551" s="1389"/>
      <c r="AP551" s="1389"/>
      <c r="AQ551" s="1389"/>
      <c r="AR551" s="1389"/>
      <c r="AS551" s="1390"/>
      <c r="BB551" s="3"/>
      <c r="BC551" s="3"/>
      <c r="BD551" s="3"/>
      <c r="BE551" s="3"/>
      <c r="BF551" s="3"/>
      <c r="BG551" s="3"/>
      <c r="BH551" s="3" t="s">
        <v>82</v>
      </c>
      <c r="BI551" s="3" t="str">
        <f>AG657</f>
        <v>No</v>
      </c>
    </row>
    <row r="552" spans="1:61" ht="13"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 customHeight="1">
      <c r="B554" s="43" t="s">
        <v>18</v>
      </c>
      <c r="C554" s="1636" t="s">
        <v>1393</v>
      </c>
      <c r="D554" s="1636"/>
      <c r="E554" s="1636"/>
      <c r="F554" s="1636"/>
      <c r="G554" s="1636"/>
      <c r="H554" s="1636"/>
      <c r="I554" s="1636"/>
      <c r="J554" s="1636"/>
      <c r="K554" s="1636"/>
      <c r="L554" s="1636"/>
      <c r="M554" s="1636" t="s">
        <v>1367</v>
      </c>
      <c r="N554" s="1636"/>
      <c r="O554" s="1636"/>
      <c r="P554" s="1636"/>
      <c r="Q554" s="1411">
        <v>36</v>
      </c>
      <c r="R554" s="1411"/>
      <c r="S554" s="1412"/>
      <c r="T554" s="1410"/>
      <c r="U554" s="1411"/>
      <c r="V554" s="1412"/>
      <c r="W554" s="1413">
        <v>0.06</v>
      </c>
      <c r="X554" s="1414"/>
      <c r="Y554" s="1415"/>
      <c r="Z554" s="1637" t="s">
        <v>1394</v>
      </c>
      <c r="AA554" s="1637"/>
      <c r="AB554" s="1637"/>
      <c r="AC554" s="1637"/>
      <c r="AD554" s="1637"/>
      <c r="AE554" s="1619">
        <v>1</v>
      </c>
      <c r="AF554" s="1620"/>
      <c r="AG554" s="1620"/>
      <c r="AH554" s="1621"/>
      <c r="AI554" s="1622"/>
      <c r="AJ554" s="1623"/>
      <c r="AK554" s="1623"/>
      <c r="AL554" s="1624"/>
      <c r="AM554" s="1612">
        <v>80000000</v>
      </c>
      <c r="AN554" s="1613"/>
      <c r="AO554" s="1613"/>
      <c r="AP554" s="1613"/>
      <c r="AQ554" s="1613"/>
      <c r="AR554" s="1613"/>
      <c r="AS554" s="1614"/>
      <c r="AT554" s="1037"/>
      <c r="AU554" s="1036"/>
      <c r="BB554" s="3"/>
      <c r="BC554" s="3"/>
      <c r="BD554" s="3"/>
      <c r="BE554" s="3"/>
      <c r="BF554" s="3"/>
      <c r="BG554" s="3"/>
      <c r="BH554" s="3"/>
      <c r="BI554" s="3"/>
    </row>
    <row r="555" spans="1:61" ht="13" customHeight="1">
      <c r="B555" s="44" t="s">
        <v>31</v>
      </c>
      <c r="C555" s="1625" t="s">
        <v>1395</v>
      </c>
      <c r="D555" s="1625"/>
      <c r="E555" s="1625"/>
      <c r="F555" s="1625"/>
      <c r="G555" s="1625"/>
      <c r="H555" s="1625"/>
      <c r="I555" s="1625"/>
      <c r="J555" s="1625"/>
      <c r="K555" s="1625"/>
      <c r="L555" s="1625"/>
      <c r="M555" s="1636" t="s">
        <v>1368</v>
      </c>
      <c r="N555" s="1636"/>
      <c r="O555" s="1636"/>
      <c r="P555" s="1636"/>
      <c r="Q555" s="1410">
        <v>36</v>
      </c>
      <c r="R555" s="1411"/>
      <c r="S555" s="1412"/>
      <c r="T555" s="1410"/>
      <c r="U555" s="1411"/>
      <c r="V555" s="1412"/>
      <c r="W555" s="1413">
        <v>0.06</v>
      </c>
      <c r="X555" s="1414"/>
      <c r="Y555" s="1415"/>
      <c r="Z555" s="1637" t="s">
        <v>1394</v>
      </c>
      <c r="AA555" s="1637"/>
      <c r="AB555" s="1637"/>
      <c r="AC555" s="1637"/>
      <c r="AD555" s="1637"/>
      <c r="AE555" s="1619">
        <v>1</v>
      </c>
      <c r="AF555" s="1620"/>
      <c r="AG555" s="1620"/>
      <c r="AH555" s="1621"/>
      <c r="AI555" s="1622"/>
      <c r="AJ555" s="1623"/>
      <c r="AK555" s="1623"/>
      <c r="AL555" s="1624"/>
      <c r="AM555" s="1612">
        <v>15000000</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3" customHeight="1">
      <c r="B556" s="44" t="s">
        <v>39</v>
      </c>
      <c r="C556" s="1625" t="s">
        <v>1396</v>
      </c>
      <c r="D556" s="1625"/>
      <c r="E556" s="1625"/>
      <c r="F556" s="1625"/>
      <c r="G556" s="1625"/>
      <c r="H556" s="1625"/>
      <c r="I556" s="1625"/>
      <c r="J556" s="1625"/>
      <c r="K556" s="1625"/>
      <c r="L556" s="1625"/>
      <c r="M556" s="1636" t="s">
        <v>1366</v>
      </c>
      <c r="N556" s="1636"/>
      <c r="O556" s="1636"/>
      <c r="P556" s="1636"/>
      <c r="Q556" s="1410">
        <v>36</v>
      </c>
      <c r="R556" s="1411"/>
      <c r="S556" s="1412"/>
      <c r="T556" s="1410"/>
      <c r="U556" s="1411"/>
      <c r="V556" s="1412"/>
      <c r="W556" s="1413">
        <v>6.5000000000000002E-2</v>
      </c>
      <c r="X556" s="1414"/>
      <c r="Y556" s="1415"/>
      <c r="Z556" s="1637" t="s">
        <v>1394</v>
      </c>
      <c r="AA556" s="1637"/>
      <c r="AB556" s="1637"/>
      <c r="AC556" s="1637"/>
      <c r="AD556" s="1637"/>
      <c r="AE556" s="1619">
        <v>1</v>
      </c>
      <c r="AF556" s="1620"/>
      <c r="AG556" s="1620"/>
      <c r="AH556" s="1621"/>
      <c r="AI556" s="1622"/>
      <c r="AJ556" s="1623"/>
      <c r="AK556" s="1623"/>
      <c r="AL556" s="1624"/>
      <c r="AM556" s="1612">
        <v>28000000</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3" customHeight="1">
      <c r="B557" s="44" t="s">
        <v>82</v>
      </c>
      <c r="C557" s="1625" t="s">
        <v>804</v>
      </c>
      <c r="D557" s="1625"/>
      <c r="E557" s="1625"/>
      <c r="F557" s="1625"/>
      <c r="G557" s="1625"/>
      <c r="H557" s="1625"/>
      <c r="I557" s="1625"/>
      <c r="J557" s="1625"/>
      <c r="K557" s="1625"/>
      <c r="L557" s="1625"/>
      <c r="M557" s="1636" t="s">
        <v>1363</v>
      </c>
      <c r="N557" s="1636"/>
      <c r="O557" s="1636"/>
      <c r="P557" s="1636"/>
      <c r="Q557" s="1410">
        <v>660</v>
      </c>
      <c r="R557" s="1411"/>
      <c r="S557" s="1412"/>
      <c r="T557" s="1410"/>
      <c r="U557" s="1411"/>
      <c r="V557" s="1412"/>
      <c r="W557" s="1413">
        <v>0.03</v>
      </c>
      <c r="X557" s="1414"/>
      <c r="Y557" s="1415"/>
      <c r="Z557" s="1637" t="s">
        <v>1397</v>
      </c>
      <c r="AA557" s="1637"/>
      <c r="AB557" s="1637"/>
      <c r="AC557" s="1637"/>
      <c r="AD557" s="1637"/>
      <c r="AE557" s="1619">
        <v>2</v>
      </c>
      <c r="AF557" s="1620"/>
      <c r="AG557" s="1620"/>
      <c r="AH557" s="1621"/>
      <c r="AI557" s="1622"/>
      <c r="AJ557" s="1623"/>
      <c r="AK557" s="1623"/>
      <c r="AL557" s="1624"/>
      <c r="AM557" s="1612">
        <v>6000000</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3" customHeight="1">
      <c r="B558" s="44" t="s">
        <v>86</v>
      </c>
      <c r="C558" s="1625" t="s">
        <v>1398</v>
      </c>
      <c r="D558" s="1625"/>
      <c r="E558" s="1625"/>
      <c r="F558" s="1625"/>
      <c r="G558" s="1625"/>
      <c r="H558" s="1625"/>
      <c r="I558" s="1625"/>
      <c r="J558" s="1625"/>
      <c r="K558" s="1625"/>
      <c r="L558" s="1625"/>
      <c r="M558" s="1636" t="s">
        <v>1353</v>
      </c>
      <c r="N558" s="1636"/>
      <c r="O558" s="1636"/>
      <c r="P558" s="1636"/>
      <c r="Q558" s="1410"/>
      <c r="R558" s="1411"/>
      <c r="S558" s="1412"/>
      <c r="T558" s="1410"/>
      <c r="U558" s="1411"/>
      <c r="V558" s="1412"/>
      <c r="W558" s="1413"/>
      <c r="X558" s="1414"/>
      <c r="Y558" s="1415"/>
      <c r="Z558" s="1637" t="s">
        <v>1003</v>
      </c>
      <c r="AA558" s="1637"/>
      <c r="AB558" s="1637"/>
      <c r="AC558" s="1637"/>
      <c r="AD558" s="1637"/>
      <c r="AE558" s="1619"/>
      <c r="AF558" s="1620"/>
      <c r="AG558" s="1620"/>
      <c r="AH558" s="1621"/>
      <c r="AI558" s="1622"/>
      <c r="AJ558" s="1623"/>
      <c r="AK558" s="1623"/>
      <c r="AL558" s="1624"/>
      <c r="AM558" s="1612">
        <v>13824701</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No</v>
      </c>
    </row>
    <row r="559" spans="1:61" ht="13" customHeight="1">
      <c r="B559" s="44" t="s">
        <v>1399</v>
      </c>
      <c r="C559" s="1625" t="s">
        <v>1400</v>
      </c>
      <c r="D559" s="1625"/>
      <c r="E559" s="1625"/>
      <c r="F559" s="1625"/>
      <c r="G559" s="1625"/>
      <c r="H559" s="1625"/>
      <c r="I559" s="1625"/>
      <c r="J559" s="1625"/>
      <c r="K559" s="1625"/>
      <c r="L559" s="1625"/>
      <c r="M559" s="1636" t="s">
        <v>1345</v>
      </c>
      <c r="N559" s="1636"/>
      <c r="O559" s="1636"/>
      <c r="P559" s="1636"/>
      <c r="Q559" s="1410"/>
      <c r="R559" s="1411"/>
      <c r="S559" s="1412"/>
      <c r="T559" s="1410"/>
      <c r="U559" s="1411"/>
      <c r="V559" s="1412"/>
      <c r="W559" s="1413"/>
      <c r="X559" s="1414"/>
      <c r="Y559" s="1415"/>
      <c r="Z559" s="1637" t="s">
        <v>1003</v>
      </c>
      <c r="AA559" s="1637"/>
      <c r="AB559" s="1637"/>
      <c r="AC559" s="1637"/>
      <c r="AD559" s="1637"/>
      <c r="AE559" s="1619"/>
      <c r="AF559" s="1620"/>
      <c r="AG559" s="1620"/>
      <c r="AH559" s="1621"/>
      <c r="AI559" s="1622"/>
      <c r="AJ559" s="1623"/>
      <c r="AK559" s="1623"/>
      <c r="AL559" s="1624"/>
      <c r="AM559" s="1612">
        <v>1489227</v>
      </c>
      <c r="AN559" s="1613"/>
      <c r="AO559" s="1613"/>
      <c r="AP559" s="1613"/>
      <c r="AQ559" s="1613"/>
      <c r="AR559" s="1613"/>
      <c r="AS559" s="1614"/>
      <c r="AT559" s="1037" t="str">
        <f t="shared" si="0"/>
        <v/>
      </c>
      <c r="AU559" s="1036"/>
      <c r="BB559" s="3"/>
      <c r="BC559" s="3"/>
      <c r="BD559" s="3"/>
      <c r="BE559" s="3"/>
      <c r="BF559" s="3"/>
      <c r="BG559" s="3"/>
      <c r="BH559" s="3" t="s">
        <v>1399</v>
      </c>
      <c r="BI559" s="3" t="str">
        <f>AG665</f>
        <v>No</v>
      </c>
    </row>
    <row r="560" spans="1:61" ht="13" customHeight="1">
      <c r="B560" s="44" t="s">
        <v>1401</v>
      </c>
      <c r="C560" s="1625" t="s">
        <v>1402</v>
      </c>
      <c r="D560" s="1625"/>
      <c r="E560" s="1625"/>
      <c r="F560" s="1625"/>
      <c r="G560" s="1625"/>
      <c r="H560" s="1625"/>
      <c r="I560" s="1625"/>
      <c r="J560" s="1625"/>
      <c r="K560" s="1625"/>
      <c r="L560" s="1625"/>
      <c r="M560" s="1636" t="s">
        <v>1347</v>
      </c>
      <c r="N560" s="1636"/>
      <c r="O560" s="1636"/>
      <c r="P560" s="1636"/>
      <c r="Q560" s="1410"/>
      <c r="R560" s="1411"/>
      <c r="S560" s="1412"/>
      <c r="T560" s="1410"/>
      <c r="U560" s="1411"/>
      <c r="V560" s="1412"/>
      <c r="W560" s="1413"/>
      <c r="X560" s="1414"/>
      <c r="Y560" s="1415"/>
      <c r="Z560" s="1637" t="s">
        <v>1003</v>
      </c>
      <c r="AA560" s="1637"/>
      <c r="AB560" s="1637"/>
      <c r="AC560" s="1637"/>
      <c r="AD560" s="1637"/>
      <c r="AE560" s="1619"/>
      <c r="AF560" s="1620"/>
      <c r="AG560" s="1620"/>
      <c r="AH560" s="1621"/>
      <c r="AI560" s="1622"/>
      <c r="AJ560" s="1623"/>
      <c r="AK560" s="1623"/>
      <c r="AL560" s="1624"/>
      <c r="AM560" s="1612">
        <v>18544468</v>
      </c>
      <c r="AN560" s="1613"/>
      <c r="AO560" s="1613"/>
      <c r="AP560" s="1613"/>
      <c r="AQ560" s="1613"/>
      <c r="AR560" s="1613"/>
      <c r="AS560" s="1614"/>
      <c r="AT560" s="1037" t="str">
        <f t="shared" si="0"/>
        <v/>
      </c>
      <c r="AU560" s="1036"/>
      <c r="BB560" s="3"/>
      <c r="BC560" s="3"/>
      <c r="BD560" s="3"/>
      <c r="BE560" s="3"/>
      <c r="BF560" s="3"/>
      <c r="BG560" s="3"/>
      <c r="BH560" s="3"/>
      <c r="BI560" s="3"/>
    </row>
    <row r="561" spans="1:61" ht="13" customHeight="1">
      <c r="B561" s="44" t="s">
        <v>1403</v>
      </c>
      <c r="C561" s="1625"/>
      <c r="D561" s="1625"/>
      <c r="E561" s="1625"/>
      <c r="F561" s="1625"/>
      <c r="G561" s="1625"/>
      <c r="H561" s="1625"/>
      <c r="I561" s="1625"/>
      <c r="J561" s="1625"/>
      <c r="K561" s="1625"/>
      <c r="L561" s="1625"/>
      <c r="M561" s="1636" t="s">
        <v>1003</v>
      </c>
      <c r="N561" s="1636"/>
      <c r="O561" s="1636"/>
      <c r="P561" s="1636"/>
      <c r="Q561" s="1410"/>
      <c r="R561" s="1411"/>
      <c r="S561" s="1412"/>
      <c r="T561" s="1410"/>
      <c r="U561" s="1411"/>
      <c r="V561" s="1412"/>
      <c r="W561" s="1413"/>
      <c r="X561" s="1414"/>
      <c r="Y561" s="1415"/>
      <c r="Z561" s="1637" t="s">
        <v>1003</v>
      </c>
      <c r="AA561" s="1637"/>
      <c r="AB561" s="1637"/>
      <c r="AC561" s="1637"/>
      <c r="AD561" s="1637"/>
      <c r="AE561" s="1619"/>
      <c r="AF561" s="1620"/>
      <c r="AG561" s="1620"/>
      <c r="AH561" s="1621"/>
      <c r="AI561" s="1622"/>
      <c r="AJ561" s="1623"/>
      <c r="AK561" s="1623"/>
      <c r="AL561" s="1624"/>
      <c r="AM561" s="1612"/>
      <c r="AN561" s="1613"/>
      <c r="AO561" s="1613"/>
      <c r="AP561" s="1613"/>
      <c r="AQ561" s="1613"/>
      <c r="AR561" s="1613"/>
      <c r="AS561" s="1614"/>
      <c r="AT561" s="1037" t="str">
        <f t="shared" si="0"/>
        <v/>
      </c>
      <c r="AU561" s="1036"/>
      <c r="BB561" s="3"/>
      <c r="BC561" s="3"/>
      <c r="BD561" s="3"/>
      <c r="BE561" s="3"/>
      <c r="BF561" s="3"/>
      <c r="BG561" s="3"/>
      <c r="BH561" s="3"/>
      <c r="BI561" s="3"/>
    </row>
    <row r="562" spans="1:61" ht="13" customHeight="1">
      <c r="B562" s="44" t="s">
        <v>1404</v>
      </c>
      <c r="C562" s="1625"/>
      <c r="D562" s="1625"/>
      <c r="E562" s="1625"/>
      <c r="F562" s="1625"/>
      <c r="G562" s="1625"/>
      <c r="H562" s="1625"/>
      <c r="I562" s="1625"/>
      <c r="J562" s="1625"/>
      <c r="K562" s="1625"/>
      <c r="L562" s="1625"/>
      <c r="M562" s="1636" t="s">
        <v>1003</v>
      </c>
      <c r="N562" s="1636"/>
      <c r="O562" s="1636"/>
      <c r="P562" s="1636"/>
      <c r="Q562" s="1410"/>
      <c r="R562" s="1411"/>
      <c r="S562" s="1412"/>
      <c r="T562" s="1410"/>
      <c r="U562" s="1411"/>
      <c r="V562" s="1412"/>
      <c r="W562" s="1413"/>
      <c r="X562" s="1414"/>
      <c r="Y562" s="1415"/>
      <c r="Z562" s="1637" t="s">
        <v>1003</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1037" t="str">
        <f t="shared" si="0"/>
        <v/>
      </c>
      <c r="AU562" s="1036"/>
      <c r="BB562" s="3"/>
      <c r="BC562" s="3"/>
      <c r="BD562" s="3"/>
      <c r="BE562" s="3"/>
      <c r="BF562" s="3"/>
      <c r="BG562" s="3"/>
      <c r="BH562" s="3"/>
      <c r="BI562" s="3"/>
    </row>
    <row r="563" spans="1:61" ht="13" customHeight="1">
      <c r="B563" s="44" t="s">
        <v>1405</v>
      </c>
      <c r="C563" s="1625"/>
      <c r="D563" s="1625"/>
      <c r="E563" s="1625"/>
      <c r="F563" s="1625"/>
      <c r="G563" s="1625"/>
      <c r="H563" s="1625"/>
      <c r="I563" s="1625"/>
      <c r="J563" s="1625"/>
      <c r="K563" s="1625"/>
      <c r="L563" s="1625"/>
      <c r="M563" s="1636" t="s">
        <v>1003</v>
      </c>
      <c r="N563" s="1636"/>
      <c r="O563" s="1636"/>
      <c r="P563" s="1636"/>
      <c r="Q563" s="1410"/>
      <c r="R563" s="1411"/>
      <c r="S563" s="1412"/>
      <c r="T563" s="1410"/>
      <c r="U563" s="1411"/>
      <c r="V563" s="1412"/>
      <c r="W563" s="1413"/>
      <c r="X563" s="1414"/>
      <c r="Y563" s="1415"/>
      <c r="Z563" s="1637" t="s">
        <v>1003</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3" customHeight="1">
      <c r="B564" s="44" t="s">
        <v>1406</v>
      </c>
      <c r="C564" s="1625"/>
      <c r="D564" s="1625"/>
      <c r="E564" s="1625"/>
      <c r="F564" s="1625"/>
      <c r="G564" s="1625"/>
      <c r="H564" s="1625"/>
      <c r="I564" s="1625"/>
      <c r="J564" s="1625"/>
      <c r="K564" s="1625"/>
      <c r="L564" s="1625"/>
      <c r="M564" s="1636" t="s">
        <v>1003</v>
      </c>
      <c r="N564" s="1636"/>
      <c r="O564" s="1636"/>
      <c r="P564" s="1636"/>
      <c r="Q564" s="1410"/>
      <c r="R564" s="1411"/>
      <c r="S564" s="1412"/>
      <c r="T564" s="1410"/>
      <c r="U564" s="1411"/>
      <c r="V564" s="1412"/>
      <c r="W564" s="1413"/>
      <c r="X564" s="1414"/>
      <c r="Y564" s="1415"/>
      <c r="Z564" s="1637" t="s">
        <v>1003</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3" customHeight="1">
      <c r="B565" s="44" t="s">
        <v>1407</v>
      </c>
      <c r="C565" s="1625"/>
      <c r="D565" s="1625"/>
      <c r="E565" s="1625"/>
      <c r="F565" s="1625"/>
      <c r="G565" s="1625"/>
      <c r="H565" s="1625"/>
      <c r="I565" s="1625"/>
      <c r="J565" s="1625"/>
      <c r="K565" s="1625"/>
      <c r="L565" s="1625"/>
      <c r="M565" s="1636" t="s">
        <v>1003</v>
      </c>
      <c r="N565" s="1636"/>
      <c r="O565" s="1636"/>
      <c r="P565" s="1636"/>
      <c r="Q565" s="1410"/>
      <c r="R565" s="1411"/>
      <c r="S565" s="1412"/>
      <c r="T565" s="1410"/>
      <c r="U565" s="1411"/>
      <c r="V565" s="1412"/>
      <c r="W565" s="1413"/>
      <c r="X565" s="1414"/>
      <c r="Y565" s="1415"/>
      <c r="Z565" s="1637" t="s">
        <v>1003</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3" customHeight="1">
      <c r="B566" s="1407" t="s">
        <v>1408</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162858396</v>
      </c>
      <c r="AN566" s="1562"/>
      <c r="AO566" s="1562"/>
      <c r="AP566" s="1562"/>
      <c r="AQ566" s="1562"/>
      <c r="AR566" s="1562"/>
      <c r="AS566" s="1563"/>
      <c r="BB566" s="3"/>
      <c r="BC566" s="3"/>
      <c r="BD566" s="3"/>
      <c r="BE566" s="3"/>
      <c r="BF566" s="3"/>
      <c r="BG566" s="3"/>
      <c r="BH566" s="3" t="s">
        <v>1401</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1403</v>
      </c>
      <c r="BI567" s="3" t="str">
        <f>AG673</f>
        <v>No</v>
      </c>
    </row>
    <row r="568" spans="1:61" ht="13" customHeight="1">
      <c r="A568" s="47" t="s">
        <v>18</v>
      </c>
      <c r="B568" t="s">
        <v>1409</v>
      </c>
      <c r="G568" s="1320" t="str">
        <f>C554</f>
        <v xml:space="preserve">Citi - Tax Exempt </v>
      </c>
      <c r="H568" s="1320"/>
      <c r="I568" s="1320"/>
      <c r="J568" s="1320"/>
      <c r="K568" s="1320"/>
      <c r="L568" s="1320"/>
      <c r="M568" s="1320"/>
      <c r="N568" s="1320"/>
      <c r="O568" s="1320"/>
      <c r="P568" s="1320"/>
      <c r="Q568" s="1320"/>
      <c r="R568" s="1320"/>
      <c r="S568" s="7"/>
      <c r="T568" s="47" t="s">
        <v>31</v>
      </c>
      <c r="U568" t="s">
        <v>1409</v>
      </c>
      <c r="Z568" s="1320" t="str">
        <f>C555</f>
        <v>Citi - Recycled Tax Exempt</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 customHeight="1">
      <c r="A569" s="19"/>
      <c r="B569" t="s">
        <v>1065</v>
      </c>
      <c r="G569" s="1333" t="s">
        <v>1410</v>
      </c>
      <c r="H569" s="1333"/>
      <c r="I569" s="1333"/>
      <c r="J569" s="1333"/>
      <c r="K569" s="1333"/>
      <c r="L569" s="1333"/>
      <c r="M569" s="1333"/>
      <c r="N569" s="1333"/>
      <c r="O569" s="1333"/>
      <c r="P569" s="1333"/>
      <c r="Q569" s="1333"/>
      <c r="R569" s="1333"/>
      <c r="S569" s="7"/>
      <c r="T569" s="19"/>
      <c r="U569" t="s">
        <v>1065</v>
      </c>
      <c r="Z569" s="1333" t="s">
        <v>1410</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 customHeight="1">
      <c r="A570" s="19"/>
      <c r="B570" t="s">
        <v>933</v>
      </c>
      <c r="G570" s="1333" t="s">
        <v>1411</v>
      </c>
      <c r="H570" s="1333"/>
      <c r="I570" s="1333"/>
      <c r="J570" s="1333"/>
      <c r="K570" s="1333"/>
      <c r="L570" s="1333"/>
      <c r="M570" s="1333"/>
      <c r="N570" s="1333"/>
      <c r="O570" s="1333"/>
      <c r="P570" s="1333"/>
      <c r="Q570" s="1333"/>
      <c r="R570" s="1333"/>
      <c r="T570" s="19"/>
      <c r="U570" t="s">
        <v>933</v>
      </c>
      <c r="Z570" s="1294" t="s">
        <v>1411</v>
      </c>
      <c r="AA570" s="1294"/>
      <c r="AB570" s="1294"/>
      <c r="AC570" s="1294"/>
      <c r="AD570" s="1294"/>
      <c r="AE570" s="1294"/>
      <c r="AF570" s="1294"/>
      <c r="AG570" s="1294"/>
      <c r="AH570" s="1294"/>
      <c r="AI570" s="1294"/>
      <c r="AJ570" s="1294"/>
      <c r="AK570" s="1294"/>
      <c r="BB570" s="3"/>
      <c r="BC570" s="3"/>
      <c r="BD570" s="3"/>
      <c r="BE570" s="3"/>
      <c r="BF570" s="3"/>
      <c r="BG570" s="3"/>
      <c r="BH570" s="3"/>
      <c r="BI570" s="3"/>
    </row>
    <row r="571" spans="1:61" ht="13" customHeight="1">
      <c r="A571" s="19"/>
      <c r="B571" t="s">
        <v>1412</v>
      </c>
      <c r="G571" s="1333" t="s">
        <v>1413</v>
      </c>
      <c r="H571" s="1333"/>
      <c r="I571" s="1333"/>
      <c r="J571" s="1333"/>
      <c r="K571" s="1333"/>
      <c r="L571" s="1333"/>
      <c r="M571" s="1333"/>
      <c r="N571" s="1333"/>
      <c r="O571" s="1333"/>
      <c r="P571" s="1333"/>
      <c r="Q571" s="1333"/>
      <c r="R571" s="1333"/>
      <c r="S571" s="7"/>
      <c r="T571" s="19"/>
      <c r="U571" t="s">
        <v>1412</v>
      </c>
      <c r="Z571" s="1294" t="s">
        <v>1413</v>
      </c>
      <c r="AA571" s="1294"/>
      <c r="AB571" s="1294"/>
      <c r="AC571" s="1294"/>
      <c r="AD571" s="1294"/>
      <c r="AE571" s="1294"/>
      <c r="AF571" s="1294"/>
      <c r="AG571" s="1294"/>
      <c r="AH571" s="1294"/>
      <c r="AI571" s="1294"/>
      <c r="AJ571" s="1294"/>
      <c r="AK571" s="1294"/>
      <c r="BB571" s="3"/>
      <c r="BC571" s="3"/>
      <c r="BD571" s="3"/>
      <c r="BE571" s="3"/>
      <c r="BF571" s="3"/>
      <c r="BG571" s="3"/>
      <c r="BH571" s="3"/>
      <c r="BI571" s="3"/>
    </row>
    <row r="572" spans="1:61" ht="13" customHeight="1">
      <c r="A572" s="19"/>
      <c r="B572" t="s">
        <v>826</v>
      </c>
      <c r="G572" s="1309" t="s">
        <v>1414</v>
      </c>
      <c r="H572" s="1309"/>
      <c r="I572" s="1309"/>
      <c r="J572" s="1309"/>
      <c r="K572" s="1309"/>
      <c r="L572" s="1309"/>
      <c r="O572" s="923" t="s">
        <v>1073</v>
      </c>
      <c r="P572" s="1395"/>
      <c r="Q572" s="1395"/>
      <c r="R572" s="1395"/>
      <c r="S572" s="9"/>
      <c r="T572" s="19"/>
      <c r="U572" t="s">
        <v>826</v>
      </c>
      <c r="Z572" s="1309" t="s">
        <v>1414</v>
      </c>
      <c r="AA572" s="1309"/>
      <c r="AB572" s="1309"/>
      <c r="AC572" s="1309"/>
      <c r="AD572" s="1309"/>
      <c r="AE572" s="1309"/>
      <c r="AH572" s="923" t="s">
        <v>1073</v>
      </c>
      <c r="AI572" s="1395"/>
      <c r="AJ572" s="1395"/>
      <c r="AK572" s="1395"/>
      <c r="BB572" s="3"/>
      <c r="BC572" s="3"/>
      <c r="BD572" s="3"/>
      <c r="BE572" s="3"/>
      <c r="BF572" s="3"/>
      <c r="BG572" s="3"/>
      <c r="BH572" s="3"/>
      <c r="BI572" s="3"/>
    </row>
    <row r="573" spans="1:61" ht="13" customHeight="1">
      <c r="A573" s="19"/>
      <c r="B573" t="s">
        <v>1415</v>
      </c>
      <c r="H573" s="1333" t="s">
        <v>1416</v>
      </c>
      <c r="I573" s="1333"/>
      <c r="J573" s="1333"/>
      <c r="K573" s="1333"/>
      <c r="L573" s="1333"/>
      <c r="M573" s="1333"/>
      <c r="N573" s="1333"/>
      <c r="O573" s="1333"/>
      <c r="P573" s="1333"/>
      <c r="Q573" s="1333"/>
      <c r="R573" s="1333"/>
      <c r="S573" s="7"/>
      <c r="T573" s="19"/>
      <c r="U573" t="s">
        <v>1415</v>
      </c>
      <c r="AA573" s="1333" t="s">
        <v>1416</v>
      </c>
      <c r="AB573" s="1333"/>
      <c r="AC573" s="1333"/>
      <c r="AD573" s="1333"/>
      <c r="AE573" s="1333"/>
      <c r="AF573" s="1333"/>
      <c r="AG573" s="1333"/>
      <c r="AH573" s="1333"/>
      <c r="AI573" s="1333"/>
      <c r="AJ573" s="1333"/>
      <c r="AK573" s="1333"/>
      <c r="BB573" s="3"/>
      <c r="BC573" s="3"/>
      <c r="BD573" s="3"/>
      <c r="BE573" s="3"/>
      <c r="BF573" s="3"/>
      <c r="BG573" s="3"/>
      <c r="BH573" s="3"/>
      <c r="BI573" s="3"/>
    </row>
    <row r="574" spans="1:61" ht="13" customHeight="1">
      <c r="A574" s="19"/>
      <c r="B574" s="225" t="s">
        <v>1417</v>
      </c>
      <c r="H574" s="7"/>
      <c r="I574" s="7"/>
      <c r="J574" s="7"/>
      <c r="K574" s="7"/>
      <c r="L574" s="7"/>
      <c r="M574" s="1639" t="s">
        <v>1418</v>
      </c>
      <c r="N574" s="1639"/>
      <c r="O574" s="1639"/>
      <c r="P574" s="1639"/>
      <c r="Q574" s="1639"/>
      <c r="R574" s="1639"/>
      <c r="S574" s="7"/>
      <c r="T574" s="19"/>
      <c r="U574" s="225" t="s">
        <v>1417</v>
      </c>
      <c r="AA574" s="7"/>
      <c r="AB574" s="7"/>
      <c r="AC574" s="7"/>
      <c r="AD574" s="7"/>
      <c r="AE574" s="7"/>
      <c r="AF574" s="1639" t="s">
        <v>1418</v>
      </c>
      <c r="AG574" s="1639"/>
      <c r="AH574" s="1639"/>
      <c r="AI574" s="1639"/>
      <c r="AJ574" s="1639"/>
      <c r="AK574" s="1639"/>
      <c r="BB574" s="3"/>
      <c r="BC574" s="3"/>
      <c r="BD574" s="3"/>
      <c r="BE574" s="3"/>
      <c r="BF574" s="3"/>
      <c r="BG574" s="3"/>
      <c r="BH574" s="3"/>
      <c r="BI574" s="3"/>
    </row>
    <row r="575" spans="1:61" ht="13" customHeight="1">
      <c r="A575" s="19"/>
      <c r="B575" t="s">
        <v>1419</v>
      </c>
      <c r="N575" s="1295" t="s">
        <v>848</v>
      </c>
      <c r="O575" s="1295"/>
      <c r="T575" s="19"/>
      <c r="U575" t="s">
        <v>1419</v>
      </c>
      <c r="AG575" s="1295" t="s">
        <v>848</v>
      </c>
      <c r="AH575" s="1295"/>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1409</v>
      </c>
      <c r="G577" s="1320" t="str">
        <f>C556</f>
        <v>Citi - Taxable</v>
      </c>
      <c r="H577" s="1320"/>
      <c r="I577" s="1320"/>
      <c r="J577" s="1320"/>
      <c r="K577" s="1320"/>
      <c r="L577" s="1320"/>
      <c r="M577" s="1320"/>
      <c r="N577" s="1320"/>
      <c r="O577" s="1320"/>
      <c r="P577" s="1320"/>
      <c r="Q577" s="1320"/>
      <c r="R577" s="1320"/>
      <c r="T577" s="47" t="s">
        <v>82</v>
      </c>
      <c r="U577" t="s">
        <v>1409</v>
      </c>
      <c r="Z577" s="1320" t="str">
        <f>C557</f>
        <v>City of Oceanside</v>
      </c>
      <c r="AA577" s="1320"/>
      <c r="AB577" s="1320"/>
      <c r="AC577" s="1320"/>
      <c r="AD577" s="1320"/>
      <c r="AE577" s="1320"/>
      <c r="AF577" s="1320"/>
      <c r="AG577" s="1320"/>
      <c r="AH577" s="1320"/>
      <c r="AI577" s="1320"/>
      <c r="AJ577" s="1320"/>
      <c r="AK577" s="1320"/>
      <c r="BB577" s="3"/>
      <c r="BC577" s="3"/>
    </row>
    <row r="578" spans="1:55" ht="13" customHeight="1">
      <c r="A578" s="19"/>
      <c r="B578" t="s">
        <v>1065</v>
      </c>
      <c r="G578" s="1333" t="s">
        <v>1410</v>
      </c>
      <c r="H578" s="1333"/>
      <c r="I578" s="1333"/>
      <c r="J578" s="1333"/>
      <c r="K578" s="1333"/>
      <c r="L578" s="1333"/>
      <c r="M578" s="1333"/>
      <c r="N578" s="1333"/>
      <c r="O578" s="1333"/>
      <c r="P578" s="1333"/>
      <c r="Q578" s="1333"/>
      <c r="R578" s="1333"/>
      <c r="T578" s="19"/>
      <c r="U578" t="s">
        <v>1065</v>
      </c>
      <c r="Z578" s="1333" t="s">
        <v>1420</v>
      </c>
      <c r="AA578" s="1333"/>
      <c r="AB578" s="1333"/>
      <c r="AC578" s="1333"/>
      <c r="AD578" s="1333"/>
      <c r="AE578" s="1333"/>
      <c r="AF578" s="1333"/>
      <c r="AG578" s="1333"/>
      <c r="AH578" s="1333"/>
      <c r="AI578" s="1333"/>
      <c r="AJ578" s="1333"/>
      <c r="AK578" s="1333"/>
      <c r="BB578" s="3"/>
      <c r="BC578" s="3"/>
    </row>
    <row r="579" spans="1:55" ht="13" customHeight="1">
      <c r="A579" s="19"/>
      <c r="B579" t="s">
        <v>933</v>
      </c>
      <c r="G579" s="1294" t="s">
        <v>1411</v>
      </c>
      <c r="H579" s="1294"/>
      <c r="I579" s="1294"/>
      <c r="J579" s="1294"/>
      <c r="K579" s="1294"/>
      <c r="L579" s="1294"/>
      <c r="M579" s="1294"/>
      <c r="N579" s="1294"/>
      <c r="O579" s="1294"/>
      <c r="P579" s="1294"/>
      <c r="Q579" s="1294"/>
      <c r="R579" s="1294"/>
      <c r="T579" s="19"/>
      <c r="U579" t="s">
        <v>933</v>
      </c>
      <c r="Z579" s="1294" t="s">
        <v>1421</v>
      </c>
      <c r="AA579" s="1294"/>
      <c r="AB579" s="1294"/>
      <c r="AC579" s="1294"/>
      <c r="AD579" s="1294"/>
      <c r="AE579" s="1294"/>
      <c r="AF579" s="1294"/>
      <c r="AG579" s="1294"/>
      <c r="AH579" s="1294"/>
      <c r="AI579" s="1294"/>
      <c r="AJ579" s="1294"/>
      <c r="AK579" s="1294"/>
      <c r="BB579" s="3"/>
      <c r="BC579" s="3"/>
    </row>
    <row r="580" spans="1:55" ht="13" customHeight="1">
      <c r="A580" s="19"/>
      <c r="B580" t="s">
        <v>1412</v>
      </c>
      <c r="G580" s="1294" t="s">
        <v>1413</v>
      </c>
      <c r="H580" s="1294"/>
      <c r="I580" s="1294"/>
      <c r="J580" s="1294"/>
      <c r="K580" s="1294"/>
      <c r="L580" s="1294"/>
      <c r="M580" s="1294"/>
      <c r="N580" s="1294"/>
      <c r="O580" s="1294"/>
      <c r="P580" s="1294"/>
      <c r="Q580" s="1294"/>
      <c r="R580" s="1294"/>
      <c r="T580" s="19"/>
      <c r="U580" t="s">
        <v>1412</v>
      </c>
      <c r="Z580" s="1294" t="s">
        <v>1422</v>
      </c>
      <c r="AA580" s="1294"/>
      <c r="AB580" s="1294"/>
      <c r="AC580" s="1294"/>
      <c r="AD580" s="1294"/>
      <c r="AE580" s="1294"/>
      <c r="AF580" s="1294"/>
      <c r="AG580" s="1294"/>
      <c r="AH580" s="1294"/>
      <c r="AI580" s="1294"/>
      <c r="AJ580" s="1294"/>
      <c r="AK580" s="1294"/>
      <c r="BB580" s="3"/>
      <c r="BC580" s="3"/>
    </row>
    <row r="581" spans="1:55" ht="13" customHeight="1">
      <c r="A581" s="19"/>
      <c r="B581" t="s">
        <v>826</v>
      </c>
      <c r="G581" s="1309" t="s">
        <v>1414</v>
      </c>
      <c r="H581" s="1309"/>
      <c r="I581" s="1309"/>
      <c r="J581" s="1309"/>
      <c r="K581" s="1309"/>
      <c r="L581" s="1309"/>
      <c r="O581" s="923" t="s">
        <v>1073</v>
      </c>
      <c r="P581" s="1395"/>
      <c r="Q581" s="1395"/>
      <c r="R581" s="1395"/>
      <c r="T581" s="19"/>
      <c r="U581" t="s">
        <v>826</v>
      </c>
      <c r="Z581" s="1309" t="s">
        <v>1423</v>
      </c>
      <c r="AA581" s="1309"/>
      <c r="AB581" s="1309"/>
      <c r="AC581" s="1309"/>
      <c r="AD581" s="1309"/>
      <c r="AE581" s="1309"/>
      <c r="AH581" s="923" t="s">
        <v>1073</v>
      </c>
      <c r="AI581" s="1395"/>
      <c r="AJ581" s="1395"/>
      <c r="AK581" s="1395"/>
      <c r="BB581" s="3"/>
      <c r="BC581" s="3"/>
    </row>
    <row r="582" spans="1:55" ht="13" customHeight="1">
      <c r="A582" s="19"/>
      <c r="B582" t="s">
        <v>1415</v>
      </c>
      <c r="H582" s="1333" t="s">
        <v>1424</v>
      </c>
      <c r="I582" s="1333"/>
      <c r="J582" s="1333"/>
      <c r="K582" s="1333"/>
      <c r="L582" s="1333"/>
      <c r="M582" s="1333"/>
      <c r="N582" s="1333"/>
      <c r="O582" s="1333"/>
      <c r="P582" s="1333"/>
      <c r="Q582" s="1333"/>
      <c r="R582" s="1333"/>
      <c r="T582" s="19"/>
      <c r="U582" t="s">
        <v>1415</v>
      </c>
      <c r="AA582" s="1333" t="s">
        <v>1425</v>
      </c>
      <c r="AB582" s="1333"/>
      <c r="AC582" s="1333"/>
      <c r="AD582" s="1333"/>
      <c r="AE582" s="1333"/>
      <c r="AF582" s="1333"/>
      <c r="AG582" s="1333"/>
      <c r="AH582" s="1333"/>
      <c r="AI582" s="1333"/>
      <c r="AJ582" s="1333"/>
      <c r="AK582" s="1333"/>
      <c r="BB582" s="3"/>
      <c r="BC582" s="3"/>
    </row>
    <row r="583" spans="1:55" ht="13" customHeight="1">
      <c r="A583" s="19"/>
      <c r="B583" t="s">
        <v>1419</v>
      </c>
      <c r="N583" s="1295" t="s">
        <v>848</v>
      </c>
      <c r="O583" s="1295"/>
      <c r="T583" s="19"/>
      <c r="U583" t="s">
        <v>1419</v>
      </c>
      <c r="AG583" s="1295" t="s">
        <v>848</v>
      </c>
      <c r="AH583" s="1295"/>
      <c r="BB583" s="3"/>
      <c r="BC583" s="3"/>
    </row>
    <row r="584" spans="1:55" ht="13" customHeight="1">
      <c r="A584" s="19"/>
      <c r="T584" s="19"/>
      <c r="BB584" s="3"/>
      <c r="BC584" s="3"/>
    </row>
    <row r="585" spans="1:55" ht="13" customHeight="1">
      <c r="A585" s="47" t="s">
        <v>86</v>
      </c>
      <c r="B585" t="s">
        <v>1409</v>
      </c>
      <c r="G585" s="1320" t="str">
        <f>C558</f>
        <v>Federal Tax Credit Equity</v>
      </c>
      <c r="H585" s="1320"/>
      <c r="I585" s="1320"/>
      <c r="J585" s="1320"/>
      <c r="K585" s="1320"/>
      <c r="L585" s="1320"/>
      <c r="M585" s="1320"/>
      <c r="N585" s="1320"/>
      <c r="O585" s="1320"/>
      <c r="P585" s="1320"/>
      <c r="Q585" s="1320"/>
      <c r="R585" s="1320"/>
      <c r="T585" s="47" t="s">
        <v>1399</v>
      </c>
      <c r="U585" t="s">
        <v>1409</v>
      </c>
      <c r="Z585" s="1320" t="str">
        <f>C559</f>
        <v>Deferred Costs</v>
      </c>
      <c r="AA585" s="1320"/>
      <c r="AB585" s="1320"/>
      <c r="AC585" s="1320"/>
      <c r="AD585" s="1320"/>
      <c r="AE585" s="1320"/>
      <c r="AF585" s="1320"/>
      <c r="AG585" s="1320"/>
      <c r="AH585" s="1320"/>
      <c r="AI585" s="1320"/>
      <c r="AJ585" s="1320"/>
      <c r="AK585" s="1320"/>
      <c r="BB585" s="3"/>
      <c r="BC585" s="3"/>
    </row>
    <row r="586" spans="1:55" ht="13" customHeight="1">
      <c r="A586" s="19"/>
      <c r="B586" t="s">
        <v>1065</v>
      </c>
      <c r="G586" s="1377" t="s">
        <v>2751</v>
      </c>
      <c r="H586" s="1333"/>
      <c r="I586" s="1333"/>
      <c r="J586" s="1333"/>
      <c r="K586" s="1333"/>
      <c r="L586" s="1333"/>
      <c r="M586" s="1333"/>
      <c r="N586" s="1333"/>
      <c r="O586" s="1333"/>
      <c r="P586" s="1333"/>
      <c r="Q586" s="1333"/>
      <c r="R586" s="1333"/>
      <c r="T586" s="19"/>
      <c r="U586" t="s">
        <v>1065</v>
      </c>
      <c r="Z586" s="1333" t="s">
        <v>1426</v>
      </c>
      <c r="AA586" s="1333"/>
      <c r="AB586" s="1333"/>
      <c r="AC586" s="1333"/>
      <c r="AD586" s="1333"/>
      <c r="AE586" s="1333"/>
      <c r="AF586" s="1333"/>
      <c r="AG586" s="1333"/>
      <c r="AH586" s="1333"/>
      <c r="AI586" s="1333"/>
      <c r="AJ586" s="1333"/>
      <c r="AK586" s="1333"/>
      <c r="BB586" s="3"/>
      <c r="BC586" s="3"/>
    </row>
    <row r="587" spans="1:55" ht="13" customHeight="1">
      <c r="A587" s="19"/>
      <c r="B587" t="s">
        <v>933</v>
      </c>
      <c r="G587" s="1377" t="s">
        <v>1155</v>
      </c>
      <c r="H587" s="1333"/>
      <c r="I587" s="1333"/>
      <c r="J587" s="1333"/>
      <c r="K587" s="1333"/>
      <c r="L587" s="1333"/>
      <c r="M587" s="1333"/>
      <c r="N587" s="1333"/>
      <c r="O587" s="1333"/>
      <c r="P587" s="1333"/>
      <c r="Q587" s="1333"/>
      <c r="R587" s="1333"/>
      <c r="T587" s="19"/>
      <c r="U587" t="s">
        <v>933</v>
      </c>
      <c r="Z587" s="1294" t="s">
        <v>1130</v>
      </c>
      <c r="AA587" s="1294"/>
      <c r="AB587" s="1294"/>
      <c r="AC587" s="1294"/>
      <c r="AD587" s="1294"/>
      <c r="AE587" s="1294"/>
      <c r="AF587" s="1294"/>
      <c r="AG587" s="1294"/>
      <c r="AH587" s="1294"/>
      <c r="AI587" s="1294"/>
      <c r="AJ587" s="1294"/>
      <c r="AK587" s="1294"/>
      <c r="BB587" s="3"/>
      <c r="BC587" s="3"/>
    </row>
    <row r="588" spans="1:55" ht="13" customHeight="1">
      <c r="A588" s="19"/>
      <c r="B588" t="s">
        <v>1412</v>
      </c>
      <c r="G588" s="1377" t="s">
        <v>1157</v>
      </c>
      <c r="H588" s="1333"/>
      <c r="I588" s="1333"/>
      <c r="J588" s="1333"/>
      <c r="K588" s="1333"/>
      <c r="L588" s="1333"/>
      <c r="M588" s="1333"/>
      <c r="N588" s="1333"/>
      <c r="O588" s="1333"/>
      <c r="P588" s="1333"/>
      <c r="Q588" s="1333"/>
      <c r="R588" s="1333"/>
      <c r="T588" s="19"/>
      <c r="U588" t="s">
        <v>1412</v>
      </c>
      <c r="Z588" s="1294" t="s">
        <v>1427</v>
      </c>
      <c r="AA588" s="1294"/>
      <c r="AB588" s="1294"/>
      <c r="AC588" s="1294"/>
      <c r="AD588" s="1294"/>
      <c r="AE588" s="1294"/>
      <c r="AF588" s="1294"/>
      <c r="AG588" s="1294"/>
      <c r="AH588" s="1294"/>
      <c r="AI588" s="1294"/>
      <c r="AJ588" s="1294"/>
      <c r="AK588" s="1294"/>
    </row>
    <row r="589" spans="1:55" ht="13" customHeight="1">
      <c r="A589" s="19"/>
      <c r="B589" t="s">
        <v>826</v>
      </c>
      <c r="G589" s="1309" t="s">
        <v>2752</v>
      </c>
      <c r="H589" s="1309"/>
      <c r="I589" s="1309"/>
      <c r="J589" s="1309"/>
      <c r="K589" s="1309"/>
      <c r="L589" s="1309"/>
      <c r="O589" s="923" t="s">
        <v>1073</v>
      </c>
      <c r="P589" s="1395"/>
      <c r="Q589" s="1395"/>
      <c r="R589" s="1395"/>
      <c r="T589" s="19"/>
      <c r="U589" t="s">
        <v>826</v>
      </c>
      <c r="Z589" s="1309" t="s">
        <v>2753</v>
      </c>
      <c r="AA589" s="1309"/>
      <c r="AB589" s="1309"/>
      <c r="AC589" s="1309"/>
      <c r="AD589" s="1309"/>
      <c r="AE589" s="1309"/>
      <c r="AH589" s="923" t="s">
        <v>1073</v>
      </c>
      <c r="AI589" s="1395"/>
      <c r="AJ589" s="1395"/>
      <c r="AK589" s="1395"/>
      <c r="AZ589" s="3"/>
      <c r="BA589" s="3"/>
      <c r="BB589" s="3"/>
      <c r="BC589" s="3"/>
    </row>
    <row r="590" spans="1:55" ht="13" customHeight="1">
      <c r="A590" s="19"/>
      <c r="B590" t="s">
        <v>1415</v>
      </c>
      <c r="H590" s="1333" t="s">
        <v>1428</v>
      </c>
      <c r="I590" s="1333"/>
      <c r="J590" s="1333"/>
      <c r="K590" s="1333"/>
      <c r="L590" s="1333"/>
      <c r="M590" s="1333"/>
      <c r="N590" s="1333"/>
      <c r="O590" s="1333"/>
      <c r="P590" s="1333"/>
      <c r="Q590" s="1333"/>
      <c r="R590" s="1333"/>
      <c r="T590" s="19"/>
      <c r="U590" t="s">
        <v>1415</v>
      </c>
      <c r="AA590" s="1333" t="s">
        <v>1400</v>
      </c>
      <c r="AB590" s="1333"/>
      <c r="AC590" s="1333"/>
      <c r="AD590" s="1333"/>
      <c r="AE590" s="1333"/>
      <c r="AF590" s="1333"/>
      <c r="AG590" s="1333"/>
      <c r="AH590" s="1333"/>
      <c r="AI590" s="1333"/>
      <c r="AJ590" s="1333"/>
      <c r="AK590" s="1333"/>
      <c r="AZ590" s="3"/>
      <c r="BA590" s="3"/>
      <c r="BB590" s="3"/>
      <c r="BC590" s="3"/>
    </row>
    <row r="591" spans="1:55" ht="13" customHeight="1">
      <c r="A591" s="19"/>
      <c r="B591" t="s">
        <v>1419</v>
      </c>
      <c r="N591" s="1295" t="s">
        <v>848</v>
      </c>
      <c r="O591" s="1295"/>
      <c r="T591" s="19"/>
      <c r="U591" t="s">
        <v>1419</v>
      </c>
      <c r="AG591" s="1295" t="s">
        <v>848</v>
      </c>
      <c r="AH591" s="1295"/>
      <c r="AZ591" s="3"/>
      <c r="BA591" s="3"/>
      <c r="BB591" s="3"/>
      <c r="BC591" s="3"/>
    </row>
    <row r="592" spans="1:55" ht="13" customHeight="1">
      <c r="A592" s="19"/>
      <c r="T592" s="19"/>
      <c r="AZ592" s="3"/>
      <c r="BA592" s="3"/>
      <c r="BB592" s="3"/>
      <c r="BC592" s="3"/>
    </row>
    <row r="593" spans="1:55" ht="13" customHeight="1">
      <c r="A593" s="47" t="s">
        <v>1401</v>
      </c>
      <c r="B593" t="s">
        <v>1409</v>
      </c>
      <c r="G593" s="1320" t="str">
        <f>C560</f>
        <v>Deferred Developer Fee</v>
      </c>
      <c r="H593" s="1320"/>
      <c r="I593" s="1320"/>
      <c r="J593" s="1320"/>
      <c r="K593" s="1320"/>
      <c r="L593" s="1320"/>
      <c r="M593" s="1320"/>
      <c r="N593" s="1320"/>
      <c r="O593" s="1320"/>
      <c r="P593" s="1320"/>
      <c r="Q593" s="1320"/>
      <c r="R593" s="1320"/>
      <c r="T593" s="47" t="s">
        <v>1403</v>
      </c>
      <c r="U593" t="s">
        <v>1409</v>
      </c>
      <c r="Z593" s="1320">
        <f>C561</f>
        <v>0</v>
      </c>
      <c r="AA593" s="1320"/>
      <c r="AB593" s="1320"/>
      <c r="AC593" s="1320"/>
      <c r="AD593" s="1320"/>
      <c r="AE593" s="1320"/>
      <c r="AF593" s="1320"/>
      <c r="AG593" s="1320"/>
      <c r="AH593" s="1320"/>
      <c r="AI593" s="1320"/>
      <c r="AJ593" s="1320"/>
      <c r="AK593" s="1320"/>
      <c r="AZ593" s="3"/>
      <c r="BA593" s="3"/>
      <c r="BB593" s="3"/>
      <c r="BC593" s="3"/>
    </row>
    <row r="594" spans="1:55" s="4" customFormat="1" ht="13" customHeight="1">
      <c r="A594" s="19"/>
      <c r="B594" t="s">
        <v>1065</v>
      </c>
      <c r="C594"/>
      <c r="D594"/>
      <c r="E594"/>
      <c r="F594"/>
      <c r="G594" s="1333" t="s">
        <v>1426</v>
      </c>
      <c r="H594" s="1333"/>
      <c r="I594" s="1333"/>
      <c r="J594" s="1333"/>
      <c r="K594" s="1333"/>
      <c r="L594" s="1333"/>
      <c r="M594" s="1333"/>
      <c r="N594" s="1333"/>
      <c r="O594" s="1333"/>
      <c r="P594" s="1333"/>
      <c r="Q594" s="1333"/>
      <c r="R594" s="1333"/>
      <c r="S594"/>
      <c r="T594" s="19"/>
      <c r="U594" t="s">
        <v>1065</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 customHeight="1">
      <c r="A595" s="19"/>
      <c r="B595" t="s">
        <v>933</v>
      </c>
      <c r="C595"/>
      <c r="D595"/>
      <c r="E595"/>
      <c r="F595"/>
      <c r="G595" s="1333" t="s">
        <v>1130</v>
      </c>
      <c r="H595" s="1333"/>
      <c r="I595" s="1333"/>
      <c r="J595" s="1333"/>
      <c r="K595" s="1333"/>
      <c r="L595" s="1333"/>
      <c r="M595" s="1333"/>
      <c r="N595" s="1333"/>
      <c r="O595" s="1333"/>
      <c r="P595" s="1333"/>
      <c r="Q595" s="1333"/>
      <c r="R595" s="1333"/>
      <c r="S595"/>
      <c r="T595" s="19"/>
      <c r="U595" t="s">
        <v>933</v>
      </c>
      <c r="V595"/>
      <c r="W595"/>
      <c r="X595"/>
      <c r="Y595"/>
      <c r="Z595" s="1294"/>
      <c r="AA595" s="1294"/>
      <c r="AB595" s="1294"/>
      <c r="AC595" s="1294"/>
      <c r="AD595" s="1294"/>
      <c r="AE595" s="1294"/>
      <c r="AF595" s="1294"/>
      <c r="AG595" s="1294"/>
      <c r="AH595" s="1294"/>
      <c r="AI595" s="1294"/>
      <c r="AJ595" s="1294"/>
      <c r="AK595" s="1294"/>
      <c r="AL595"/>
      <c r="AM595"/>
      <c r="AN595"/>
      <c r="AO595"/>
      <c r="AP595"/>
      <c r="AQ595"/>
      <c r="AR595"/>
      <c r="AS595"/>
      <c r="AT595"/>
      <c r="AU595"/>
      <c r="AV595"/>
      <c r="AW595"/>
      <c r="AX595"/>
      <c r="AY595"/>
      <c r="AZ595" s="3"/>
      <c r="BA595" s="3"/>
      <c r="BB595" s="3"/>
      <c r="BC595" s="3"/>
    </row>
    <row r="596" spans="1:55" s="4" customFormat="1" ht="13" customHeight="1">
      <c r="A596" s="19"/>
      <c r="B596" t="s">
        <v>1412</v>
      </c>
      <c r="C596"/>
      <c r="D596"/>
      <c r="E596"/>
      <c r="F596"/>
      <c r="G596" s="1333" t="s">
        <v>1070</v>
      </c>
      <c r="H596" s="1333"/>
      <c r="I596" s="1333"/>
      <c r="J596" s="1333"/>
      <c r="K596" s="1333"/>
      <c r="L596" s="1333"/>
      <c r="M596" s="1333"/>
      <c r="N596" s="1333"/>
      <c r="O596" s="1333"/>
      <c r="P596" s="1333"/>
      <c r="Q596" s="1333"/>
      <c r="R596" s="1333"/>
      <c r="S596"/>
      <c r="T596" s="19"/>
      <c r="U596" t="s">
        <v>1412</v>
      </c>
      <c r="V596"/>
      <c r="W596"/>
      <c r="X596"/>
      <c r="Y596"/>
      <c r="Z596" s="1294"/>
      <c r="AA596" s="1294"/>
      <c r="AB596" s="1294"/>
      <c r="AC596" s="1294"/>
      <c r="AD596" s="1294"/>
      <c r="AE596" s="1294"/>
      <c r="AF596" s="1294"/>
      <c r="AG596" s="1294"/>
      <c r="AH596" s="1294"/>
      <c r="AI596" s="1294"/>
      <c r="AJ596" s="1294"/>
      <c r="AK596" s="1294"/>
      <c r="AL596"/>
      <c r="AM596"/>
      <c r="AN596"/>
      <c r="AO596"/>
      <c r="AP596"/>
      <c r="AQ596"/>
      <c r="AR596"/>
      <c r="AS596"/>
      <c r="AT596"/>
      <c r="AU596"/>
      <c r="AV596"/>
      <c r="AW596"/>
      <c r="AX596"/>
      <c r="AY596"/>
      <c r="AZ596" s="3"/>
      <c r="BA596" s="3"/>
      <c r="BB596" s="3"/>
      <c r="BC596" s="3"/>
    </row>
    <row r="597" spans="1:55" s="4" customFormat="1" ht="13" customHeight="1">
      <c r="A597" s="19"/>
      <c r="B597" t="s">
        <v>826</v>
      </c>
      <c r="C597"/>
      <c r="D597"/>
      <c r="E597"/>
      <c r="F597"/>
      <c r="G597" s="1309" t="s">
        <v>2753</v>
      </c>
      <c r="H597" s="1309"/>
      <c r="I597" s="1309"/>
      <c r="J597" s="1309"/>
      <c r="K597" s="1309"/>
      <c r="L597" s="1309"/>
      <c r="M597"/>
      <c r="N597"/>
      <c r="O597" s="923" t="s">
        <v>1073</v>
      </c>
      <c r="P597" s="1395"/>
      <c r="Q597" s="1395"/>
      <c r="R597" s="1395"/>
      <c r="S597"/>
      <c r="T597" s="19"/>
      <c r="U597" t="s">
        <v>826</v>
      </c>
      <c r="V597"/>
      <c r="W597"/>
      <c r="X597"/>
      <c r="Y597"/>
      <c r="Z597" s="1309"/>
      <c r="AA597" s="1309"/>
      <c r="AB597" s="1309"/>
      <c r="AC597" s="1309"/>
      <c r="AD597" s="1309"/>
      <c r="AE597" s="1309"/>
      <c r="AF597"/>
      <c r="AG597"/>
      <c r="AH597" s="923" t="s">
        <v>1073</v>
      </c>
      <c r="AI597" s="1395"/>
      <c r="AJ597" s="1395"/>
      <c r="AK597" s="1395"/>
      <c r="AL597"/>
      <c r="AM597"/>
      <c r="AN597"/>
      <c r="AO597"/>
      <c r="AP597"/>
      <c r="AQ597"/>
      <c r="AR597"/>
      <c r="AS597"/>
      <c r="AT597"/>
      <c r="AU597"/>
      <c r="AV597"/>
      <c r="AW597"/>
      <c r="AX597"/>
      <c r="AY597"/>
      <c r="AZ597" s="3"/>
      <c r="BA597" s="3"/>
      <c r="BB597" s="3"/>
      <c r="BC597" s="3"/>
    </row>
    <row r="598" spans="1:55" s="4" customFormat="1" ht="13" customHeight="1">
      <c r="A598" s="19"/>
      <c r="B598" t="s">
        <v>1415</v>
      </c>
      <c r="C598"/>
      <c r="D598"/>
      <c r="E598"/>
      <c r="F598"/>
      <c r="G598"/>
      <c r="H598" s="1333" t="s">
        <v>1400</v>
      </c>
      <c r="I598" s="1333"/>
      <c r="J598" s="1333"/>
      <c r="K598" s="1333"/>
      <c r="L598" s="1333"/>
      <c r="M598" s="1333"/>
      <c r="N598" s="1333"/>
      <c r="O598" s="1333"/>
      <c r="P598" s="1333"/>
      <c r="Q598" s="1333"/>
      <c r="R598" s="1333"/>
      <c r="S598"/>
      <c r="T598" s="19"/>
      <c r="U598" t="s">
        <v>1415</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 customHeight="1">
      <c r="A599" s="19"/>
      <c r="B599" t="s">
        <v>1419</v>
      </c>
      <c r="N599" s="1295" t="s">
        <v>848</v>
      </c>
      <c r="O599" s="1295"/>
      <c r="T599" s="19"/>
      <c r="U599" t="s">
        <v>1419</v>
      </c>
      <c r="AG599" s="1295" t="s">
        <v>695</v>
      </c>
      <c r="AH599" s="1295"/>
      <c r="BB599" s="3"/>
      <c r="BC599" s="3"/>
    </row>
    <row r="600" spans="1:55" ht="13" customHeight="1">
      <c r="A600" s="19"/>
      <c r="T600" s="19"/>
      <c r="BB600" s="3"/>
      <c r="BC600" s="3"/>
    </row>
    <row r="601" spans="1:55" ht="13" customHeight="1">
      <c r="A601" s="47" t="s">
        <v>1404</v>
      </c>
      <c r="B601" t="s">
        <v>1409</v>
      </c>
      <c r="G601" s="1320">
        <f>C562</f>
        <v>0</v>
      </c>
      <c r="H601" s="1320"/>
      <c r="I601" s="1320"/>
      <c r="J601" s="1320"/>
      <c r="K601" s="1320"/>
      <c r="L601" s="1320"/>
      <c r="M601" s="1320"/>
      <c r="N601" s="1320"/>
      <c r="O601" s="1320"/>
      <c r="P601" s="1320"/>
      <c r="Q601" s="1320"/>
      <c r="R601" s="1320"/>
      <c r="T601" s="47" t="s">
        <v>1405</v>
      </c>
      <c r="U601" t="s">
        <v>1409</v>
      </c>
      <c r="Z601" s="1320">
        <f>C563</f>
        <v>0</v>
      </c>
      <c r="AA601" s="1320"/>
      <c r="AB601" s="1320"/>
      <c r="AC601" s="1320"/>
      <c r="AD601" s="1320"/>
      <c r="AE601" s="1320"/>
      <c r="AF601" s="1320"/>
      <c r="AG601" s="1320"/>
      <c r="AH601" s="1320"/>
      <c r="AI601" s="1320"/>
      <c r="AJ601" s="1320"/>
      <c r="AK601" s="1320"/>
      <c r="BB601" s="3"/>
      <c r="BC601" s="3"/>
    </row>
    <row r="602" spans="1:55" ht="13" customHeight="1">
      <c r="A602" s="19"/>
      <c r="B602" t="s">
        <v>1065</v>
      </c>
      <c r="G602" s="1333"/>
      <c r="H602" s="1333"/>
      <c r="I602" s="1333"/>
      <c r="J602" s="1333"/>
      <c r="K602" s="1333"/>
      <c r="L602" s="1333"/>
      <c r="M602" s="1333"/>
      <c r="N602" s="1333"/>
      <c r="O602" s="1333"/>
      <c r="P602" s="1333"/>
      <c r="Q602" s="1333"/>
      <c r="R602" s="1333"/>
      <c r="T602" s="19"/>
      <c r="U602" t="s">
        <v>1065</v>
      </c>
      <c r="Z602" s="1333"/>
      <c r="AA602" s="1333"/>
      <c r="AB602" s="1333"/>
      <c r="AC602" s="1333"/>
      <c r="AD602" s="1333"/>
      <c r="AE602" s="1333"/>
      <c r="AF602" s="1333"/>
      <c r="AG602" s="1333"/>
      <c r="AH602" s="1333"/>
      <c r="AI602" s="1333"/>
      <c r="AJ602" s="1333"/>
      <c r="AK602" s="1333"/>
      <c r="AZ602" s="3"/>
      <c r="BA602" s="3"/>
      <c r="BB602" s="3"/>
      <c r="BC602" s="3"/>
    </row>
    <row r="603" spans="1:55" ht="13" customHeight="1">
      <c r="A603" s="19"/>
      <c r="B603" t="s">
        <v>933</v>
      </c>
      <c r="G603" s="1333"/>
      <c r="H603" s="1333"/>
      <c r="I603" s="1333"/>
      <c r="J603" s="1333"/>
      <c r="K603" s="1333"/>
      <c r="L603" s="1333"/>
      <c r="M603" s="1333"/>
      <c r="N603" s="1333"/>
      <c r="O603" s="1333"/>
      <c r="P603" s="1333"/>
      <c r="Q603" s="1333"/>
      <c r="R603" s="1333"/>
      <c r="T603" s="19"/>
      <c r="U603" t="s">
        <v>933</v>
      </c>
      <c r="Z603" s="1294"/>
      <c r="AA603" s="1294"/>
      <c r="AB603" s="1294"/>
      <c r="AC603" s="1294"/>
      <c r="AD603" s="1294"/>
      <c r="AE603" s="1294"/>
      <c r="AF603" s="1294"/>
      <c r="AG603" s="1294"/>
      <c r="AH603" s="1294"/>
      <c r="AI603" s="1294"/>
      <c r="AJ603" s="1294"/>
      <c r="AK603" s="1294"/>
      <c r="AZ603" s="3"/>
      <c r="BA603" s="3"/>
      <c r="BB603" s="3"/>
      <c r="BC603" s="3"/>
    </row>
    <row r="604" spans="1:55" ht="13" customHeight="1">
      <c r="A604" s="19"/>
      <c r="B604" t="s">
        <v>1412</v>
      </c>
      <c r="G604" s="1333"/>
      <c r="H604" s="1333"/>
      <c r="I604" s="1333"/>
      <c r="J604" s="1333"/>
      <c r="K604" s="1333"/>
      <c r="L604" s="1333"/>
      <c r="M604" s="1333"/>
      <c r="N604" s="1333"/>
      <c r="O604" s="1333"/>
      <c r="P604" s="1333"/>
      <c r="Q604" s="1333"/>
      <c r="R604" s="1333"/>
      <c r="T604" s="19"/>
      <c r="U604" t="s">
        <v>1412</v>
      </c>
      <c r="Z604" s="1294"/>
      <c r="AA604" s="1294"/>
      <c r="AB604" s="1294"/>
      <c r="AC604" s="1294"/>
      <c r="AD604" s="1294"/>
      <c r="AE604" s="1294"/>
      <c r="AF604" s="1294"/>
      <c r="AG604" s="1294"/>
      <c r="AH604" s="1294"/>
      <c r="AI604" s="1294"/>
      <c r="AJ604" s="1294"/>
      <c r="AK604" s="1294"/>
      <c r="AZ604" s="3"/>
      <c r="BA604" s="3"/>
      <c r="BB604" s="3"/>
      <c r="BC604" s="3"/>
    </row>
    <row r="605" spans="1:55" s="4" customFormat="1" ht="13" customHeight="1">
      <c r="A605" s="19"/>
      <c r="B605" t="s">
        <v>826</v>
      </c>
      <c r="C605"/>
      <c r="D605"/>
      <c r="E605"/>
      <c r="F605"/>
      <c r="G605" s="1309"/>
      <c r="H605" s="1309"/>
      <c r="I605" s="1309"/>
      <c r="J605" s="1309"/>
      <c r="K605" s="1309"/>
      <c r="L605" s="1309"/>
      <c r="M605"/>
      <c r="N605"/>
      <c r="O605" s="923" t="s">
        <v>1073</v>
      </c>
      <c r="P605" s="1395"/>
      <c r="Q605" s="1395"/>
      <c r="R605" s="1395"/>
      <c r="S605"/>
      <c r="T605" s="19"/>
      <c r="U605" t="s">
        <v>826</v>
      </c>
      <c r="V605"/>
      <c r="W605"/>
      <c r="X605"/>
      <c r="Y605"/>
      <c r="Z605" s="1309"/>
      <c r="AA605" s="1309"/>
      <c r="AB605" s="1309"/>
      <c r="AC605" s="1309"/>
      <c r="AD605" s="1309"/>
      <c r="AE605" s="1309"/>
      <c r="AF605"/>
      <c r="AG605"/>
      <c r="AH605" s="923" t="s">
        <v>1073</v>
      </c>
      <c r="AI605" s="1395"/>
      <c r="AJ605" s="1395"/>
      <c r="AK605" s="1395"/>
      <c r="AL605"/>
      <c r="AM605"/>
      <c r="AN605"/>
      <c r="AO605"/>
      <c r="AP605"/>
      <c r="AQ605"/>
      <c r="AR605"/>
      <c r="AS605"/>
      <c r="AT605"/>
      <c r="AU605"/>
      <c r="AV605"/>
      <c r="AW605"/>
      <c r="AX605"/>
      <c r="AY605"/>
      <c r="AZ605" s="3"/>
      <c r="BA605" s="3"/>
      <c r="BB605" s="3"/>
      <c r="BC605" s="3"/>
    </row>
    <row r="606" spans="1:55" s="4" customFormat="1" ht="13" customHeight="1">
      <c r="A606" s="19"/>
      <c r="B606" t="s">
        <v>1415</v>
      </c>
      <c r="C606"/>
      <c r="D606"/>
      <c r="E606"/>
      <c r="F606"/>
      <c r="G606"/>
      <c r="H606" s="1333"/>
      <c r="I606" s="1333"/>
      <c r="J606" s="1333"/>
      <c r="K606" s="1333"/>
      <c r="L606" s="1333"/>
      <c r="M606" s="1333"/>
      <c r="N606" s="1333"/>
      <c r="O606" s="1333"/>
      <c r="P606" s="1333"/>
      <c r="Q606" s="1333"/>
      <c r="R606" s="1333"/>
      <c r="S606"/>
      <c r="T606" s="19"/>
      <c r="U606" t="s">
        <v>1415</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 customHeight="1">
      <c r="A607" s="19"/>
      <c r="B607" t="s">
        <v>1419</v>
      </c>
      <c r="C607"/>
      <c r="D607"/>
      <c r="E607"/>
      <c r="F607"/>
      <c r="G607"/>
      <c r="H607"/>
      <c r="I607"/>
      <c r="J607"/>
      <c r="K607"/>
      <c r="L607"/>
      <c r="M607"/>
      <c r="N607" s="1295" t="s">
        <v>695</v>
      </c>
      <c r="O607" s="1295"/>
      <c r="P607"/>
      <c r="Q607"/>
      <c r="R607"/>
      <c r="S607"/>
      <c r="T607" s="19"/>
      <c r="U607" t="s">
        <v>1419</v>
      </c>
      <c r="V607"/>
      <c r="W607"/>
      <c r="X607"/>
      <c r="Y607"/>
      <c r="Z607"/>
      <c r="AA607"/>
      <c r="AB607"/>
      <c r="AC607"/>
      <c r="AD607"/>
      <c r="AE607"/>
      <c r="AF607"/>
      <c r="AG607" s="1295" t="s">
        <v>695</v>
      </c>
      <c r="AH607" s="1295"/>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1406</v>
      </c>
      <c r="B609" t="s">
        <v>1409</v>
      </c>
      <c r="G609" s="1320">
        <f>C564</f>
        <v>0</v>
      </c>
      <c r="H609" s="1320"/>
      <c r="I609" s="1320"/>
      <c r="J609" s="1320"/>
      <c r="K609" s="1320"/>
      <c r="L609" s="1320"/>
      <c r="M609" s="1320"/>
      <c r="N609" s="1320"/>
      <c r="O609" s="1320"/>
      <c r="P609" s="1320"/>
      <c r="Q609" s="1320"/>
      <c r="R609" s="1320"/>
      <c r="T609" s="47" t="s">
        <v>1407</v>
      </c>
      <c r="U609" t="s">
        <v>1409</v>
      </c>
      <c r="Z609" s="1320">
        <f>C565</f>
        <v>0</v>
      </c>
      <c r="AA609" s="1320"/>
      <c r="AB609" s="1320"/>
      <c r="AC609" s="1320"/>
      <c r="AD609" s="1320"/>
      <c r="AE609" s="1320"/>
      <c r="AF609" s="1320"/>
      <c r="AG609" s="1320"/>
      <c r="AH609" s="1320"/>
      <c r="AI609" s="1320"/>
      <c r="AJ609" s="1320"/>
      <c r="AK609" s="1320"/>
      <c r="AZ609" s="3"/>
      <c r="BA609" s="3"/>
      <c r="BB609" s="3"/>
      <c r="BC609" s="3"/>
    </row>
    <row r="610" spans="1:55" ht="13" customHeight="1">
      <c r="B610" t="s">
        <v>1065</v>
      </c>
      <c r="G610" s="1333"/>
      <c r="H610" s="1333"/>
      <c r="I610" s="1333"/>
      <c r="J610" s="1333"/>
      <c r="K610" s="1333"/>
      <c r="L610" s="1333"/>
      <c r="M610" s="1333"/>
      <c r="N610" s="1333"/>
      <c r="O610" s="1333"/>
      <c r="P610" s="1333"/>
      <c r="Q610" s="1333"/>
      <c r="R610" s="1333"/>
      <c r="U610" t="s">
        <v>1065</v>
      </c>
      <c r="Z610" s="1333"/>
      <c r="AA610" s="1333"/>
      <c r="AB610" s="1333"/>
      <c r="AC610" s="1333"/>
      <c r="AD610" s="1333"/>
      <c r="AE610" s="1333"/>
      <c r="AF610" s="1333"/>
      <c r="AG610" s="1333"/>
      <c r="AH610" s="1333"/>
      <c r="AI610" s="1333"/>
      <c r="AJ610" s="1333"/>
      <c r="AK610" s="1333"/>
      <c r="AZ610" s="3"/>
      <c r="BA610" s="3"/>
      <c r="BB610" s="3"/>
      <c r="BC610" s="3"/>
    </row>
    <row r="611" spans="1:55" ht="13" customHeight="1">
      <c r="B611" t="s">
        <v>933</v>
      </c>
      <c r="G611" s="1333"/>
      <c r="H611" s="1333"/>
      <c r="I611" s="1333"/>
      <c r="J611" s="1333"/>
      <c r="K611" s="1333"/>
      <c r="L611" s="1333"/>
      <c r="M611" s="1333"/>
      <c r="N611" s="1333"/>
      <c r="O611" s="1333"/>
      <c r="P611" s="1333"/>
      <c r="Q611" s="1333"/>
      <c r="R611" s="1333"/>
      <c r="U611" t="s">
        <v>933</v>
      </c>
      <c r="Z611" s="1294"/>
      <c r="AA611" s="1294"/>
      <c r="AB611" s="1294"/>
      <c r="AC611" s="1294"/>
      <c r="AD611" s="1294"/>
      <c r="AE611" s="1294"/>
      <c r="AF611" s="1294"/>
      <c r="AG611" s="1294"/>
      <c r="AH611" s="1294"/>
      <c r="AI611" s="1294"/>
      <c r="AJ611" s="1294"/>
      <c r="AK611" s="1294"/>
      <c r="AZ611" s="3"/>
      <c r="BA611" s="3"/>
      <c r="BB611" s="3"/>
      <c r="BC611" s="3"/>
    </row>
    <row r="612" spans="1:55" ht="13" customHeight="1">
      <c r="B612" t="s">
        <v>1412</v>
      </c>
      <c r="G612" s="1333"/>
      <c r="H612" s="1333"/>
      <c r="I612" s="1333"/>
      <c r="J612" s="1333"/>
      <c r="K612" s="1333"/>
      <c r="L612" s="1333"/>
      <c r="M612" s="1333"/>
      <c r="N612" s="1333"/>
      <c r="O612" s="1333"/>
      <c r="P612" s="1333"/>
      <c r="Q612" s="1333"/>
      <c r="R612" s="1333"/>
      <c r="U612" t="s">
        <v>1412</v>
      </c>
      <c r="Z612" s="1294"/>
      <c r="AA612" s="1294"/>
      <c r="AB612" s="1294"/>
      <c r="AC612" s="1294"/>
      <c r="AD612" s="1294"/>
      <c r="AE612" s="1294"/>
      <c r="AF612" s="1294"/>
      <c r="AG612" s="1294"/>
      <c r="AH612" s="1294"/>
      <c r="AI612" s="1294"/>
      <c r="AJ612" s="1294"/>
      <c r="AK612" s="1294"/>
      <c r="AZ612" s="3"/>
      <c r="BA612" s="3"/>
      <c r="BB612" s="3"/>
      <c r="BC612" s="3"/>
    </row>
    <row r="613" spans="1:55" ht="13" customHeight="1">
      <c r="B613" t="s">
        <v>826</v>
      </c>
      <c r="G613" s="1309"/>
      <c r="H613" s="1309"/>
      <c r="I613" s="1309"/>
      <c r="J613" s="1309"/>
      <c r="K613" s="1309"/>
      <c r="L613" s="1309"/>
      <c r="O613" s="923" t="s">
        <v>1073</v>
      </c>
      <c r="P613" s="1395"/>
      <c r="Q613" s="1395"/>
      <c r="R613" s="1395"/>
      <c r="U613" t="s">
        <v>826</v>
      </c>
      <c r="Z613" s="1309"/>
      <c r="AA613" s="1309"/>
      <c r="AB613" s="1309"/>
      <c r="AC613" s="1309"/>
      <c r="AD613" s="1309"/>
      <c r="AE613" s="1309"/>
      <c r="AH613" s="923" t="s">
        <v>1073</v>
      </c>
      <c r="AI613" s="1395"/>
      <c r="AJ613" s="1395"/>
      <c r="AK613" s="1395"/>
      <c r="AZ613" s="3"/>
      <c r="BA613" s="3"/>
      <c r="BB613" s="3"/>
      <c r="BC613" s="3"/>
    </row>
    <row r="614" spans="1:55" ht="13" customHeight="1">
      <c r="B614" t="s">
        <v>1415</v>
      </c>
      <c r="H614" s="1333"/>
      <c r="I614" s="1333"/>
      <c r="J614" s="1333"/>
      <c r="K614" s="1333"/>
      <c r="L614" s="1333"/>
      <c r="M614" s="1333"/>
      <c r="N614" s="1333"/>
      <c r="O614" s="1333"/>
      <c r="P614" s="1333"/>
      <c r="Q614" s="1333"/>
      <c r="R614" s="1333"/>
      <c r="U614" t="s">
        <v>1415</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 customHeight="1">
      <c r="B615" t="s">
        <v>1419</v>
      </c>
      <c r="N615" s="1295" t="s">
        <v>695</v>
      </c>
      <c r="O615" s="1295"/>
      <c r="U615" t="s">
        <v>1419</v>
      </c>
      <c r="AG615" s="1295" t="s">
        <v>695</v>
      </c>
      <c r="AH615" s="1295"/>
      <c r="AU615" s="795"/>
      <c r="AV615" s="795"/>
      <c r="AW615" s="795"/>
      <c r="AX615" s="795"/>
      <c r="AY615" s="795"/>
      <c r="AZ615" s="3"/>
      <c r="BA615" s="3"/>
      <c r="BB615" s="3"/>
      <c r="BC615" s="3"/>
    </row>
    <row r="616" spans="1:55" ht="13" customHeight="1">
      <c r="AZ616" s="3"/>
      <c r="BA616" s="3"/>
      <c r="BB616" s="3"/>
      <c r="BC616" s="3"/>
    </row>
    <row r="617" spans="1:55" ht="13" customHeight="1">
      <c r="A617" s="1222" t="s">
        <v>1429</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 customHeight="1">
      <c r="AZ619" s="3"/>
      <c r="BA619" s="3"/>
      <c r="BB619" s="3"/>
      <c r="BC619" s="3"/>
    </row>
    <row r="620" spans="1:55" ht="13" customHeight="1">
      <c r="A620" s="2" t="s">
        <v>873</v>
      </c>
      <c r="B620" s="2"/>
      <c r="C620" s="2" t="s">
        <v>175</v>
      </c>
      <c r="AZ620" s="3"/>
      <c r="BA620" s="3"/>
      <c r="BB620" s="3"/>
      <c r="BC620" s="3"/>
    </row>
    <row r="621" spans="1:55" ht="13" customHeight="1">
      <c r="A621" s="2"/>
      <c r="B621" s="2"/>
      <c r="C621" s="2"/>
      <c r="AZ621" s="3"/>
      <c r="BA621" s="3"/>
      <c r="BB621" s="3"/>
      <c r="BC621" s="3"/>
    </row>
    <row r="622" spans="1:55" ht="13" customHeight="1">
      <c r="C622" s="2" t="s">
        <v>1383</v>
      </c>
      <c r="AZ622" s="3"/>
      <c r="BA622" s="3"/>
      <c r="BB622" s="3"/>
      <c r="BC622" s="3"/>
    </row>
    <row r="623" spans="1:55" ht="13" customHeight="1">
      <c r="B623" s="412"/>
      <c r="C623" s="2"/>
      <c r="AU623" s="3"/>
      <c r="AZ623" s="3"/>
      <c r="BA623" s="3"/>
      <c r="BB623" s="3"/>
      <c r="BC623" s="3"/>
    </row>
    <row r="624" spans="1:55" ht="13" customHeight="1">
      <c r="B624" s="1643" t="s">
        <v>1384</v>
      </c>
      <c r="C624" s="1643"/>
      <c r="D624" s="1643"/>
      <c r="E624" s="1643"/>
      <c r="F624" s="1643"/>
      <c r="G624" s="1643"/>
      <c r="H624" s="1643"/>
      <c r="I624" s="1643"/>
      <c r="J624" s="1643"/>
      <c r="K624" s="1643"/>
      <c r="L624" s="1643"/>
      <c r="M624" s="1400" t="s">
        <v>1385</v>
      </c>
      <c r="N624" s="1400"/>
      <c r="O624" s="1400"/>
      <c r="P624" s="1400"/>
      <c r="Q624" s="1400" t="s">
        <v>1430</v>
      </c>
      <c r="R624" s="1400"/>
      <c r="S624" s="1400"/>
      <c r="T624" s="1400" t="s">
        <v>1431</v>
      </c>
      <c r="U624" s="1400"/>
      <c r="V624" s="1400"/>
      <c r="W624" s="1644" t="s">
        <v>1388</v>
      </c>
      <c r="X624" s="1644"/>
      <c r="Y624" s="1644"/>
      <c r="Z624" s="1389" t="s">
        <v>1432</v>
      </c>
      <c r="AA624" s="1389"/>
      <c r="AB624" s="1390"/>
      <c r="AC624" s="1626" t="s">
        <v>1390</v>
      </c>
      <c r="AD624" s="1627"/>
      <c r="AE624" s="1628"/>
      <c r="AF624" s="1616" t="s">
        <v>1433</v>
      </c>
      <c r="AG624" s="1389"/>
      <c r="AH624" s="1389"/>
      <c r="AI624" s="1389"/>
      <c r="AJ624" s="1390"/>
      <c r="AK624" s="1675" t="s">
        <v>1434</v>
      </c>
      <c r="AL624" s="1676"/>
      <c r="AM624" s="1676"/>
      <c r="AN624" s="1677"/>
      <c r="AO624" s="1400" t="s">
        <v>1392</v>
      </c>
      <c r="AP624" s="1400"/>
      <c r="AQ624" s="1400"/>
      <c r="AR624" s="1400"/>
      <c r="AS624" s="1400"/>
      <c r="AU624" s="3"/>
      <c r="AZ624" s="3"/>
      <c r="BA624" s="3"/>
      <c r="BB624" s="3"/>
      <c r="BC624" s="3"/>
    </row>
    <row r="625" spans="2:157" ht="13"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8"/>
      <c r="AL625" s="1679"/>
      <c r="AM625" s="1679"/>
      <c r="AN625" s="1680"/>
      <c r="AO625" s="1400"/>
      <c r="AP625" s="1400"/>
      <c r="AQ625" s="1400"/>
      <c r="AR625" s="1400"/>
      <c r="AS625" s="1400"/>
      <c r="AU625" s="3"/>
      <c r="AZ625" s="3"/>
      <c r="BA625" s="3"/>
      <c r="BB625" s="3"/>
      <c r="BC625" s="3"/>
      <c r="BD625" s="3"/>
    </row>
    <row r="626" spans="2:157" ht="13"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1"/>
      <c r="AL626" s="1682"/>
      <c r="AM626" s="1682"/>
      <c r="AN626" s="1683"/>
      <c r="AO626" s="1400"/>
      <c r="AP626" s="1400"/>
      <c r="AQ626" s="1400"/>
      <c r="AR626" s="1400"/>
      <c r="AS626" s="1400"/>
      <c r="AT626" s="3"/>
      <c r="AU626" s="3"/>
      <c r="AZ626" s="3"/>
      <c r="BA626" s="3"/>
      <c r="BB626" s="3"/>
      <c r="BC626" s="3"/>
      <c r="BD626" s="3"/>
    </row>
    <row r="627" spans="2:157" ht="13" customHeight="1">
      <c r="B627" s="43" t="s">
        <v>18</v>
      </c>
      <c r="C627" s="1310" t="s">
        <v>1435</v>
      </c>
      <c r="D627" s="1310"/>
      <c r="E627" s="1310"/>
      <c r="F627" s="1310"/>
      <c r="G627" s="1310"/>
      <c r="H627" s="1310"/>
      <c r="I627" s="1310"/>
      <c r="J627" s="1310"/>
      <c r="K627" s="1310"/>
      <c r="L627" s="1310"/>
      <c r="M627" s="1564" t="s">
        <v>1367</v>
      </c>
      <c r="N627" s="1564"/>
      <c r="O627" s="1564"/>
      <c r="P627" s="1564"/>
      <c r="Q627" s="1384">
        <v>180</v>
      </c>
      <c r="R627" s="1384"/>
      <c r="S627" s="1385"/>
      <c r="T627" s="1383">
        <v>480</v>
      </c>
      <c r="U627" s="1384"/>
      <c r="V627" s="1385"/>
      <c r="W627" s="1396">
        <v>0.06</v>
      </c>
      <c r="X627" s="1397"/>
      <c r="Y627" s="1398"/>
      <c r="Z627" s="1430" t="s">
        <v>1436</v>
      </c>
      <c r="AA627" s="1431"/>
      <c r="AB627" s="1432"/>
      <c r="AC627" s="1404">
        <v>1</v>
      </c>
      <c r="AD627" s="1405"/>
      <c r="AE627" s="1406"/>
      <c r="AF627" s="1427">
        <v>4568342</v>
      </c>
      <c r="AG627" s="1428"/>
      <c r="AH627" s="1428"/>
      <c r="AI627" s="1428"/>
      <c r="AJ627" s="1429"/>
      <c r="AK627" s="1386"/>
      <c r="AL627" s="1387"/>
      <c r="AM627" s="1387"/>
      <c r="AN627" s="1388"/>
      <c r="AO627" s="1433">
        <v>69190423</v>
      </c>
      <c r="AP627" s="1433"/>
      <c r="AQ627" s="1433"/>
      <c r="AR627" s="1433"/>
      <c r="AS627" s="1433"/>
      <c r="AT627" s="3"/>
      <c r="AU627" s="3"/>
      <c r="AZ627" s="3"/>
      <c r="BA627" s="3"/>
      <c r="BB627" s="3"/>
      <c r="BC627" s="3"/>
      <c r="BD627" s="3"/>
    </row>
    <row r="628" spans="2:157" ht="13" customHeight="1">
      <c r="B628" s="44" t="s">
        <v>31</v>
      </c>
      <c r="C628" s="1310" t="s">
        <v>804</v>
      </c>
      <c r="D628" s="1310"/>
      <c r="E628" s="1310"/>
      <c r="F628" s="1310"/>
      <c r="G628" s="1310"/>
      <c r="H628" s="1310"/>
      <c r="I628" s="1310"/>
      <c r="J628" s="1310"/>
      <c r="K628" s="1310"/>
      <c r="L628" s="1310"/>
      <c r="M628" s="1564" t="s">
        <v>1363</v>
      </c>
      <c r="N628" s="1564"/>
      <c r="O628" s="1564"/>
      <c r="P628" s="1564"/>
      <c r="Q628" s="1383">
        <v>660</v>
      </c>
      <c r="R628" s="1384"/>
      <c r="S628" s="1385"/>
      <c r="T628" s="1383">
        <v>660</v>
      </c>
      <c r="U628" s="1384"/>
      <c r="V628" s="1385"/>
      <c r="W628" s="1396">
        <v>0.03</v>
      </c>
      <c r="X628" s="1397"/>
      <c r="Y628" s="1398"/>
      <c r="Z628" s="1430" t="s">
        <v>1437</v>
      </c>
      <c r="AA628" s="1431"/>
      <c r="AB628" s="1432"/>
      <c r="AC628" s="1404">
        <v>2</v>
      </c>
      <c r="AD628" s="1405"/>
      <c r="AE628" s="1406"/>
      <c r="AF628" s="1427"/>
      <c r="AG628" s="1428"/>
      <c r="AH628" s="1428"/>
      <c r="AI628" s="1428"/>
      <c r="AJ628" s="1429"/>
      <c r="AK628" s="1386"/>
      <c r="AL628" s="1387"/>
      <c r="AM628" s="1387"/>
      <c r="AN628" s="1388"/>
      <c r="AO628" s="1424">
        <v>6000000</v>
      </c>
      <c r="AP628" s="1425"/>
      <c r="AQ628" s="1425"/>
      <c r="AR628" s="1425"/>
      <c r="AS628" s="1426"/>
      <c r="AT628" s="1037" t="str">
        <f>IF(AND(NOT(C627=""),C628="",NOT(C629="")),"!","")</f>
        <v/>
      </c>
      <c r="AU628" s="3"/>
      <c r="AZ628" s="3"/>
      <c r="BA628" s="3"/>
      <c r="BB628" s="3"/>
      <c r="BC628" s="3"/>
      <c r="BD628" s="3"/>
    </row>
    <row r="629" spans="2:157" ht="13" customHeight="1">
      <c r="B629" s="44" t="s">
        <v>39</v>
      </c>
      <c r="C629" s="1310" t="s">
        <v>1402</v>
      </c>
      <c r="D629" s="1310"/>
      <c r="E629" s="1310"/>
      <c r="F629" s="1310"/>
      <c r="G629" s="1310"/>
      <c r="H629" s="1310"/>
      <c r="I629" s="1310"/>
      <c r="J629" s="1310"/>
      <c r="K629" s="1310"/>
      <c r="L629" s="1310"/>
      <c r="M629" s="1564" t="s">
        <v>1347</v>
      </c>
      <c r="N629" s="1564"/>
      <c r="O629" s="1564"/>
      <c r="P629" s="1564"/>
      <c r="Q629" s="1383"/>
      <c r="R629" s="1384"/>
      <c r="S629" s="1385"/>
      <c r="T629" s="1383"/>
      <c r="U629" s="1384"/>
      <c r="V629" s="1385"/>
      <c r="W629" s="1396"/>
      <c r="X629" s="1397"/>
      <c r="Y629" s="1398"/>
      <c r="Z629" s="1430" t="s">
        <v>1438</v>
      </c>
      <c r="AA629" s="1431"/>
      <c r="AB629" s="1432"/>
      <c r="AC629" s="1404"/>
      <c r="AD629" s="1405"/>
      <c r="AE629" s="1406"/>
      <c r="AF629" s="1427"/>
      <c r="AG629" s="1428"/>
      <c r="AH629" s="1428"/>
      <c r="AI629" s="1428"/>
      <c r="AJ629" s="1429"/>
      <c r="AK629" s="1386"/>
      <c r="AL629" s="1387"/>
      <c r="AM629" s="1387"/>
      <c r="AN629" s="1388"/>
      <c r="AO629" s="1424">
        <f>AM560+1</f>
        <v>18544469</v>
      </c>
      <c r="AP629" s="1425"/>
      <c r="AQ629" s="1425"/>
      <c r="AR629" s="1425"/>
      <c r="AS629" s="1426"/>
      <c r="AT629" s="1037" t="str">
        <f t="shared" ref="AT629:AT638" si="1">IF(AND(NOT(C628=""),C629="",NOT(C630="")),"!","")</f>
        <v/>
      </c>
      <c r="AU629" s="3"/>
      <c r="AZ629" s="3"/>
      <c r="BA629" s="3"/>
      <c r="BB629" s="3"/>
      <c r="BC629" s="3"/>
      <c r="BD629" s="3"/>
    </row>
    <row r="630" spans="2:157" ht="13" customHeight="1">
      <c r="B630" s="44" t="s">
        <v>82</v>
      </c>
      <c r="C630" s="1310"/>
      <c r="D630" s="1310"/>
      <c r="E630" s="1310"/>
      <c r="F630" s="1310"/>
      <c r="G630" s="1310"/>
      <c r="H630" s="1310"/>
      <c r="I630" s="1310"/>
      <c r="J630" s="1310"/>
      <c r="K630" s="1310"/>
      <c r="L630" s="1310"/>
      <c r="M630" s="1564" t="s">
        <v>1003</v>
      </c>
      <c r="N630" s="1564"/>
      <c r="O630" s="1564"/>
      <c r="P630" s="1564"/>
      <c r="Q630" s="1383"/>
      <c r="R630" s="1384"/>
      <c r="S630" s="1385"/>
      <c r="T630" s="1383"/>
      <c r="U630" s="1384"/>
      <c r="V630" s="1385"/>
      <c r="W630" s="1396"/>
      <c r="X630" s="1397"/>
      <c r="Y630" s="1398"/>
      <c r="Z630" s="1430" t="s">
        <v>1003</v>
      </c>
      <c r="AA630" s="1431"/>
      <c r="AB630" s="1432"/>
      <c r="AC630" s="1404"/>
      <c r="AD630" s="1405"/>
      <c r="AE630" s="1406"/>
      <c r="AF630" s="1427"/>
      <c r="AG630" s="1428"/>
      <c r="AH630" s="1428"/>
      <c r="AI630" s="1428"/>
      <c r="AJ630" s="1429"/>
      <c r="AK630" s="1386"/>
      <c r="AL630" s="1387"/>
      <c r="AM630" s="1387"/>
      <c r="AN630" s="1388"/>
      <c r="AO630" s="1424"/>
      <c r="AP630" s="1425"/>
      <c r="AQ630" s="1425"/>
      <c r="AR630" s="1425"/>
      <c r="AS630" s="1426"/>
      <c r="AT630" s="1037" t="str">
        <f t="shared" si="1"/>
        <v/>
      </c>
      <c r="AU630" s="3"/>
      <c r="AZ630" s="3"/>
      <c r="BA630" s="3"/>
      <c r="BB630" s="3"/>
      <c r="BC630" s="3"/>
      <c r="BD630" s="3"/>
    </row>
    <row r="631" spans="2:157" ht="13" customHeight="1">
      <c r="B631" s="44" t="s">
        <v>86</v>
      </c>
      <c r="C631" s="1310"/>
      <c r="D631" s="1310"/>
      <c r="E631" s="1310"/>
      <c r="F631" s="1310"/>
      <c r="G631" s="1310"/>
      <c r="H631" s="1310"/>
      <c r="I631" s="1310"/>
      <c r="J631" s="1310"/>
      <c r="K631" s="1310"/>
      <c r="L631" s="1310"/>
      <c r="M631" s="1564" t="s">
        <v>1003</v>
      </c>
      <c r="N631" s="1564"/>
      <c r="O631" s="1564"/>
      <c r="P631" s="1564"/>
      <c r="Q631" s="1383"/>
      <c r="R631" s="1384"/>
      <c r="S631" s="1385"/>
      <c r="T631" s="1383"/>
      <c r="U631" s="1384"/>
      <c r="V631" s="1385"/>
      <c r="W631" s="1396"/>
      <c r="X631" s="1397"/>
      <c r="Y631" s="1398"/>
      <c r="Z631" s="1430" t="s">
        <v>1003</v>
      </c>
      <c r="AA631" s="1431"/>
      <c r="AB631" s="1432"/>
      <c r="AC631" s="1404"/>
      <c r="AD631" s="1405"/>
      <c r="AE631" s="1406"/>
      <c r="AF631" s="1427"/>
      <c r="AG631" s="1428"/>
      <c r="AH631" s="1428"/>
      <c r="AI631" s="1428"/>
      <c r="AJ631" s="1429"/>
      <c r="AK631" s="1386"/>
      <c r="AL631" s="1387"/>
      <c r="AM631" s="1387"/>
      <c r="AN631" s="1388"/>
      <c r="AO631" s="1424"/>
      <c r="AP631" s="1425"/>
      <c r="AQ631" s="1425"/>
      <c r="AR631" s="1425"/>
      <c r="AS631" s="1426"/>
      <c r="AT631" s="1037" t="str">
        <f t="shared" si="1"/>
        <v/>
      </c>
      <c r="AU631" s="3"/>
      <c r="AZ631" s="3"/>
      <c r="BA631" s="3"/>
      <c r="BB631" s="3"/>
      <c r="BC631" s="3"/>
      <c r="BD631" s="3"/>
    </row>
    <row r="632" spans="2:157" ht="13" customHeight="1">
      <c r="B632" s="44" t="s">
        <v>1399</v>
      </c>
      <c r="C632" s="1310"/>
      <c r="D632" s="1310"/>
      <c r="E632" s="1310"/>
      <c r="F632" s="1310"/>
      <c r="G632" s="1310"/>
      <c r="H632" s="1310"/>
      <c r="I632" s="1310"/>
      <c r="J632" s="1310"/>
      <c r="K632" s="1310"/>
      <c r="L632" s="1310"/>
      <c r="M632" s="1564" t="s">
        <v>1003</v>
      </c>
      <c r="N632" s="1564"/>
      <c r="O632" s="1564"/>
      <c r="P632" s="1564"/>
      <c r="Q632" s="1383"/>
      <c r="R632" s="1384"/>
      <c r="S632" s="1385"/>
      <c r="T632" s="1383"/>
      <c r="U632" s="1384"/>
      <c r="V632" s="1385"/>
      <c r="W632" s="1396"/>
      <c r="X632" s="1397"/>
      <c r="Y632" s="1398"/>
      <c r="Z632" s="1430" t="s">
        <v>1003</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1"/>
        <v/>
      </c>
      <c r="AU632" s="3"/>
      <c r="AZ632" s="3"/>
      <c r="BA632" s="3"/>
      <c r="BB632" s="3"/>
      <c r="BC632" s="3"/>
      <c r="BD632" s="3"/>
    </row>
    <row r="633" spans="2:157" ht="13" customHeight="1">
      <c r="B633" s="44" t="s">
        <v>1401</v>
      </c>
      <c r="C633" s="1310"/>
      <c r="D633" s="1310"/>
      <c r="E633" s="1310"/>
      <c r="F633" s="1310"/>
      <c r="G633" s="1310"/>
      <c r="H633" s="1310"/>
      <c r="I633" s="1310"/>
      <c r="J633" s="1310"/>
      <c r="K633" s="1310"/>
      <c r="L633" s="1310"/>
      <c r="M633" s="1564" t="s">
        <v>1003</v>
      </c>
      <c r="N633" s="1564"/>
      <c r="O633" s="1564"/>
      <c r="P633" s="1564"/>
      <c r="Q633" s="1383"/>
      <c r="R633" s="1384"/>
      <c r="S633" s="1385"/>
      <c r="T633" s="1383"/>
      <c r="U633" s="1384"/>
      <c r="V633" s="1385"/>
      <c r="W633" s="1396"/>
      <c r="X633" s="1397"/>
      <c r="Y633" s="1398"/>
      <c r="Z633" s="1430" t="s">
        <v>1003</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3" customHeight="1">
      <c r="B634" s="44" t="s">
        <v>1403</v>
      </c>
      <c r="C634" s="1310"/>
      <c r="D634" s="1310"/>
      <c r="E634" s="1310"/>
      <c r="F634" s="1310"/>
      <c r="G634" s="1310"/>
      <c r="H634" s="1310"/>
      <c r="I634" s="1310"/>
      <c r="J634" s="1310"/>
      <c r="K634" s="1310"/>
      <c r="L634" s="1310"/>
      <c r="M634" s="1564" t="s">
        <v>1003</v>
      </c>
      <c r="N634" s="1564"/>
      <c r="O634" s="1564"/>
      <c r="P634" s="1564"/>
      <c r="Q634" s="1383"/>
      <c r="R634" s="1384"/>
      <c r="S634" s="1385"/>
      <c r="T634" s="1383"/>
      <c r="U634" s="1384"/>
      <c r="V634" s="1385"/>
      <c r="W634" s="1396"/>
      <c r="X634" s="1397"/>
      <c r="Y634" s="1398"/>
      <c r="Z634" s="1430" t="s">
        <v>1003</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1003</v>
      </c>
      <c r="BB634" s="3"/>
      <c r="BC634" s="3"/>
      <c r="BD634" s="3"/>
    </row>
    <row r="635" spans="2:157" ht="13" customHeight="1">
      <c r="B635" s="44" t="s">
        <v>1404</v>
      </c>
      <c r="C635" s="1310"/>
      <c r="D635" s="1310"/>
      <c r="E635" s="1310"/>
      <c r="F635" s="1310"/>
      <c r="G635" s="1310"/>
      <c r="H635" s="1310"/>
      <c r="I635" s="1310"/>
      <c r="J635" s="1310"/>
      <c r="K635" s="1310"/>
      <c r="L635" s="1310"/>
      <c r="M635" s="1564" t="s">
        <v>1003</v>
      </c>
      <c r="N635" s="1564"/>
      <c r="O635" s="1564"/>
      <c r="P635" s="1564"/>
      <c r="Q635" s="1383"/>
      <c r="R635" s="1384"/>
      <c r="S635" s="1385"/>
      <c r="T635" s="1383"/>
      <c r="U635" s="1384"/>
      <c r="V635" s="1385"/>
      <c r="W635" s="1396"/>
      <c r="X635" s="1397"/>
      <c r="Y635" s="1398"/>
      <c r="Z635" s="1430" t="s">
        <v>1003</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1438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86.354166666666671</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3" customHeight="1">
      <c r="B636" s="44" t="s">
        <v>1405</v>
      </c>
      <c r="C636" s="1310"/>
      <c r="D636" s="1310"/>
      <c r="E636" s="1310"/>
      <c r="F636" s="1310"/>
      <c r="G636" s="1310"/>
      <c r="H636" s="1310"/>
      <c r="I636" s="1310"/>
      <c r="J636" s="1310"/>
      <c r="K636" s="1310"/>
      <c r="L636" s="1310"/>
      <c r="M636" s="1564" t="s">
        <v>1003</v>
      </c>
      <c r="N636" s="1564"/>
      <c r="O636" s="1564"/>
      <c r="P636" s="1564"/>
      <c r="Q636" s="1383"/>
      <c r="R636" s="1384"/>
      <c r="S636" s="1385"/>
      <c r="T636" s="1383"/>
      <c r="U636" s="1384"/>
      <c r="V636" s="1385"/>
      <c r="W636" s="1396"/>
      <c r="X636" s="1397"/>
      <c r="Y636" s="1398"/>
      <c r="Z636" s="1430" t="s">
        <v>1003</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1437</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f t="shared" si="3"/>
        <v>261.02083333333331</v>
      </c>
      <c r="ED636" s="1403"/>
      <c r="EE636" s="1403"/>
      <c r="EF636" s="1403"/>
      <c r="EG636" s="1403"/>
      <c r="EH636" s="1403" t="e">
        <f t="shared" si="4"/>
        <v>#VALUE!</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3" customHeight="1">
      <c r="B637" s="44" t="s">
        <v>1406</v>
      </c>
      <c r="C637" s="1310"/>
      <c r="D637" s="1310"/>
      <c r="E637" s="1310"/>
      <c r="F637" s="1310"/>
      <c r="G637" s="1310"/>
      <c r="H637" s="1310"/>
      <c r="I637" s="1310"/>
      <c r="J637" s="1310"/>
      <c r="K637" s="1310"/>
      <c r="L637" s="1310"/>
      <c r="M637" s="1564" t="s">
        <v>1003</v>
      </c>
      <c r="N637" s="1564"/>
      <c r="O637" s="1564"/>
      <c r="P637" s="1564"/>
      <c r="Q637" s="1383"/>
      <c r="R637" s="1384"/>
      <c r="S637" s="1385"/>
      <c r="T637" s="1383"/>
      <c r="U637" s="1384"/>
      <c r="V637" s="1385"/>
      <c r="W637" s="1396"/>
      <c r="X637" s="1397"/>
      <c r="Y637" s="1398"/>
      <c r="Z637" s="1430" t="s">
        <v>1003</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1436</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f t="shared" si="3"/>
        <v>1172.6666666666665</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3" customHeight="1">
      <c r="B638" s="44" t="s">
        <v>1407</v>
      </c>
      <c r="C638" s="1310"/>
      <c r="D638" s="1310"/>
      <c r="E638" s="1310"/>
      <c r="F638" s="1310"/>
      <c r="G638" s="1310"/>
      <c r="H638" s="1310"/>
      <c r="I638" s="1310"/>
      <c r="J638" s="1310"/>
      <c r="K638" s="1310"/>
      <c r="L638" s="1310"/>
      <c r="M638" s="1564" t="s">
        <v>1003</v>
      </c>
      <c r="N638" s="1564"/>
      <c r="O638" s="1564"/>
      <c r="P638" s="1564"/>
      <c r="Q638" s="1383"/>
      <c r="R638" s="1384"/>
      <c r="S638" s="1385"/>
      <c r="T638" s="1383"/>
      <c r="U638" s="1384"/>
      <c r="V638" s="1385"/>
      <c r="W638" s="1396"/>
      <c r="X638" s="1397"/>
      <c r="Y638" s="1398"/>
      <c r="Z638" s="1430" t="s">
        <v>1003</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1055</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t="e">
        <f t="shared" si="3"/>
        <v>#VALUE!</v>
      </c>
      <c r="ED638" s="1403"/>
      <c r="EE638" s="1403"/>
      <c r="EF638" s="1403"/>
      <c r="EG638" s="1403"/>
      <c r="EH638" s="1403">
        <f t="shared" si="4"/>
        <v>257.89473684210526</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3" customHeight="1">
      <c r="B639" s="1407" t="s">
        <v>1439</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93734892</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f t="shared" si="4"/>
        <v>1545.1578947368421</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3" customHeight="1">
      <c r="B640" s="1407" t="s">
        <v>1440</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69123504</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f t="shared" si="5"/>
        <v>362.60869565217394</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3" customHeight="1">
      <c r="B641" s="1434" t="s">
        <v>1441</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162858396</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f t="shared" si="5"/>
        <v>78.326086956521735</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f t="shared" si="5"/>
        <v>2014.978260869565</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3" customHeight="1">
      <c r="A643" s="47" t="s">
        <v>18</v>
      </c>
      <c r="B643" t="s">
        <v>1409</v>
      </c>
      <c r="G643" s="1320" t="str">
        <f>C627</f>
        <v>Citi Permanent Loan - Tax</v>
      </c>
      <c r="H643" s="1320"/>
      <c r="I643" s="1320"/>
      <c r="J643" s="1320"/>
      <c r="K643" s="1320"/>
      <c r="L643" s="1320"/>
      <c r="M643" s="1320"/>
      <c r="N643" s="1320"/>
      <c r="O643" s="1320"/>
      <c r="P643" s="1320"/>
      <c r="Q643" s="1320"/>
      <c r="R643" s="1320"/>
      <c r="S643" s="7"/>
      <c r="T643" s="47" t="s">
        <v>31</v>
      </c>
      <c r="U643" t="s">
        <v>1409</v>
      </c>
      <c r="Z643" s="1320" t="str">
        <f>C628</f>
        <v>City of Oceanside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3" customHeight="1">
      <c r="A644" s="19"/>
      <c r="B644" t="s">
        <v>1065</v>
      </c>
      <c r="G644" s="1333" t="s">
        <v>1442</v>
      </c>
      <c r="H644" s="1333"/>
      <c r="I644" s="1333"/>
      <c r="J644" s="1333"/>
      <c r="K644" s="1333"/>
      <c r="L644" s="1333"/>
      <c r="M644" s="1333"/>
      <c r="N644" s="1333"/>
      <c r="O644" s="1333"/>
      <c r="P644" s="1333"/>
      <c r="Q644" s="1333"/>
      <c r="R644" s="1333"/>
      <c r="S644" s="7"/>
      <c r="T644" s="19"/>
      <c r="U644" t="s">
        <v>1065</v>
      </c>
      <c r="Z644" s="1333" t="s">
        <v>1443</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3" customHeight="1">
      <c r="A645" s="19"/>
      <c r="B645" t="s">
        <v>933</v>
      </c>
      <c r="G645" s="1333" t="s">
        <v>1411</v>
      </c>
      <c r="H645" s="1333"/>
      <c r="I645" s="1333"/>
      <c r="J645" s="1333"/>
      <c r="K645" s="1333"/>
      <c r="L645" s="1333"/>
      <c r="M645" s="1333"/>
      <c r="N645" s="1333"/>
      <c r="O645" s="1333"/>
      <c r="P645" s="1333"/>
      <c r="Q645" s="1333"/>
      <c r="R645" s="1333"/>
      <c r="T645" s="19"/>
      <c r="U645" t="s">
        <v>933</v>
      </c>
      <c r="Z645" s="1294" t="s">
        <v>1421</v>
      </c>
      <c r="AA645" s="1294"/>
      <c r="AB645" s="1294"/>
      <c r="AC645" s="1294"/>
      <c r="AD645" s="1294"/>
      <c r="AE645" s="1294"/>
      <c r="AF645" s="1294"/>
      <c r="AG645" s="1294"/>
      <c r="AH645" s="1294"/>
      <c r="AI645" s="1294"/>
      <c r="AJ645" s="1294"/>
      <c r="AK645" s="1294"/>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3" customHeight="1">
      <c r="A646" s="19"/>
      <c r="B646" t="s">
        <v>1412</v>
      </c>
      <c r="G646" s="1333" t="s">
        <v>1413</v>
      </c>
      <c r="H646" s="1333"/>
      <c r="I646" s="1333"/>
      <c r="J646" s="1333"/>
      <c r="K646" s="1333"/>
      <c r="L646" s="1333"/>
      <c r="M646" s="1333"/>
      <c r="N646" s="1333"/>
      <c r="O646" s="1333"/>
      <c r="P646" s="1333"/>
      <c r="Q646" s="1333"/>
      <c r="R646" s="1333"/>
      <c r="S646" s="7"/>
      <c r="T646" s="19"/>
      <c r="U646" t="s">
        <v>1412</v>
      </c>
      <c r="Z646" s="1294" t="s">
        <v>1422</v>
      </c>
      <c r="AA646" s="1294"/>
      <c r="AB646" s="1294"/>
      <c r="AC646" s="1294"/>
      <c r="AD646" s="1294"/>
      <c r="AE646" s="1294"/>
      <c r="AF646" s="1294"/>
      <c r="AG646" s="1294"/>
      <c r="AH646" s="1294"/>
      <c r="AI646" s="1294"/>
      <c r="AJ646" s="1294"/>
      <c r="AK646" s="1294"/>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3" customHeight="1">
      <c r="A647" s="19"/>
      <c r="B647" t="s">
        <v>826</v>
      </c>
      <c r="G647" s="1309" t="s">
        <v>1414</v>
      </c>
      <c r="H647" s="1309"/>
      <c r="I647" s="1309"/>
      <c r="J647" s="1309"/>
      <c r="K647" s="1309"/>
      <c r="L647" s="1309"/>
      <c r="O647" s="923" t="s">
        <v>1073</v>
      </c>
      <c r="P647" s="1395"/>
      <c r="Q647" s="1395"/>
      <c r="R647" s="1395"/>
      <c r="S647" s="9"/>
      <c r="T647" s="19"/>
      <c r="U647" t="s">
        <v>826</v>
      </c>
      <c r="Z647" s="1309" t="s">
        <v>1423</v>
      </c>
      <c r="AA647" s="1309"/>
      <c r="AB647" s="1309"/>
      <c r="AC647" s="1309"/>
      <c r="AD647" s="1309"/>
      <c r="AE647" s="1309"/>
      <c r="AH647" s="923" t="s">
        <v>1073</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3" customHeight="1">
      <c r="A648" s="19"/>
      <c r="B648" t="s">
        <v>1415</v>
      </c>
      <c r="H648" s="1333" t="s">
        <v>1444</v>
      </c>
      <c r="I648" s="1333"/>
      <c r="J648" s="1333"/>
      <c r="K648" s="1333"/>
      <c r="L648" s="1333"/>
      <c r="M648" s="1333"/>
      <c r="N648" s="1333"/>
      <c r="O648" s="1333"/>
      <c r="P648" s="1333"/>
      <c r="Q648" s="1333"/>
      <c r="R648" s="1333"/>
      <c r="S648" s="7"/>
      <c r="T648" s="19"/>
      <c r="U648" t="s">
        <v>1415</v>
      </c>
      <c r="AA648" s="1333" t="s">
        <v>1425</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3" customHeight="1">
      <c r="A649" s="19"/>
      <c r="B649" t="s">
        <v>1419</v>
      </c>
      <c r="N649" s="1295" t="s">
        <v>848</v>
      </c>
      <c r="O649" s="1295"/>
      <c r="T649" s="19"/>
      <c r="U649" t="s">
        <v>1419</v>
      </c>
      <c r="AG649" s="1295" t="s">
        <v>848</v>
      </c>
      <c r="AH649" s="1295"/>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3"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3" customHeight="1">
      <c r="A651" s="47" t="s">
        <v>39</v>
      </c>
      <c r="B651" t="s">
        <v>1409</v>
      </c>
      <c r="G651" s="1320" t="str">
        <f>C629</f>
        <v>Deferred Developer Fee</v>
      </c>
      <c r="H651" s="1320"/>
      <c r="I651" s="1320"/>
      <c r="J651" s="1320"/>
      <c r="K651" s="1320"/>
      <c r="L651" s="1320"/>
      <c r="M651" s="1320"/>
      <c r="N651" s="1320"/>
      <c r="O651" s="1320"/>
      <c r="P651" s="1320"/>
      <c r="Q651" s="1320"/>
      <c r="R651" s="1320"/>
      <c r="T651" s="47" t="s">
        <v>82</v>
      </c>
      <c r="U651" t="s">
        <v>1409</v>
      </c>
      <c r="Z651" s="1320">
        <f>C630</f>
        <v>0</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3" customHeight="1">
      <c r="A652" s="19"/>
      <c r="B652" t="s">
        <v>1065</v>
      </c>
      <c r="G652" s="1333" t="s">
        <v>1445</v>
      </c>
      <c r="H652" s="1333"/>
      <c r="I652" s="1333"/>
      <c r="J652" s="1333"/>
      <c r="K652" s="1333"/>
      <c r="L652" s="1333"/>
      <c r="M652" s="1333"/>
      <c r="N652" s="1333"/>
      <c r="O652" s="1333"/>
      <c r="P652" s="1333"/>
      <c r="Q652" s="1333"/>
      <c r="R652" s="1333"/>
      <c r="T652" s="19"/>
      <c r="U652" t="s">
        <v>1065</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3" customHeight="1">
      <c r="A653" s="19"/>
      <c r="B653" t="s">
        <v>933</v>
      </c>
      <c r="G653" s="1294" t="s">
        <v>1130</v>
      </c>
      <c r="H653" s="1294"/>
      <c r="I653" s="1294"/>
      <c r="J653" s="1294"/>
      <c r="K653" s="1294"/>
      <c r="L653" s="1294"/>
      <c r="M653" s="1294"/>
      <c r="N653" s="1294"/>
      <c r="O653" s="1294"/>
      <c r="P653" s="1294"/>
      <c r="Q653" s="1294"/>
      <c r="R653" s="1294"/>
      <c r="T653" s="19"/>
      <c r="U653" t="s">
        <v>933</v>
      </c>
      <c r="Z653" s="1294"/>
      <c r="AA653" s="1294"/>
      <c r="AB653" s="1294"/>
      <c r="AC653" s="1294"/>
      <c r="AD653" s="1294"/>
      <c r="AE653" s="1294"/>
      <c r="AF653" s="1294"/>
      <c r="AG653" s="1294"/>
      <c r="AH653" s="1294"/>
      <c r="AI653" s="1294"/>
      <c r="AJ653" s="1294"/>
      <c r="AK653" s="1294"/>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3" customHeight="1">
      <c r="A654" s="19"/>
      <c r="B654" t="s">
        <v>1412</v>
      </c>
      <c r="G654" s="1294" t="s">
        <v>1070</v>
      </c>
      <c r="H654" s="1294"/>
      <c r="I654" s="1294"/>
      <c r="J654" s="1294"/>
      <c r="K654" s="1294"/>
      <c r="L654" s="1294"/>
      <c r="M654" s="1294"/>
      <c r="N654" s="1294"/>
      <c r="O654" s="1294"/>
      <c r="P654" s="1294"/>
      <c r="Q654" s="1294"/>
      <c r="R654" s="1294"/>
      <c r="T654" s="19"/>
      <c r="U654" t="s">
        <v>1412</v>
      </c>
      <c r="Z654" s="1294"/>
      <c r="AA654" s="1294"/>
      <c r="AB654" s="1294"/>
      <c r="AC654" s="1294"/>
      <c r="AD654" s="1294"/>
      <c r="AE654" s="1294"/>
      <c r="AF654" s="1294"/>
      <c r="AG654" s="1294"/>
      <c r="AH654" s="1294"/>
      <c r="AI654" s="1294"/>
      <c r="AJ654" s="1294"/>
      <c r="AK654" s="1294"/>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3" customHeight="1">
      <c r="A655" s="19"/>
      <c r="B655" t="s">
        <v>826</v>
      </c>
      <c r="G655" s="1309" t="s">
        <v>2753</v>
      </c>
      <c r="H655" s="1309"/>
      <c r="I655" s="1309"/>
      <c r="J655" s="1309"/>
      <c r="K655" s="1309"/>
      <c r="L655" s="1309"/>
      <c r="O655" s="923" t="s">
        <v>1073</v>
      </c>
      <c r="P655" s="1395"/>
      <c r="Q655" s="1395"/>
      <c r="R655" s="1395"/>
      <c r="T655" s="19"/>
      <c r="U655" t="s">
        <v>826</v>
      </c>
      <c r="Z655" s="1309"/>
      <c r="AA655" s="1309"/>
      <c r="AB655" s="1309"/>
      <c r="AC655" s="1309"/>
      <c r="AD655" s="1309"/>
      <c r="AE655" s="1309"/>
      <c r="AH655" s="923" t="s">
        <v>1073</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3" customHeight="1">
      <c r="A656" s="19"/>
      <c r="B656" t="s">
        <v>1415</v>
      </c>
      <c r="H656" s="1333" t="s">
        <v>1400</v>
      </c>
      <c r="I656" s="1333"/>
      <c r="J656" s="1333"/>
      <c r="K656" s="1333"/>
      <c r="L656" s="1333"/>
      <c r="M656" s="1333"/>
      <c r="N656" s="1333"/>
      <c r="O656" s="1333"/>
      <c r="P656" s="1333"/>
      <c r="Q656" s="1333"/>
      <c r="R656" s="1333"/>
      <c r="T656" s="19"/>
      <c r="U656" t="s">
        <v>1415</v>
      </c>
      <c r="AA656" s="1333"/>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3" customHeight="1">
      <c r="A657" s="19"/>
      <c r="B657" t="s">
        <v>1419</v>
      </c>
      <c r="N657" s="1295" t="s">
        <v>848</v>
      </c>
      <c r="O657" s="1295"/>
      <c r="T657" s="19"/>
      <c r="U657" t="s">
        <v>1419</v>
      </c>
      <c r="AG657" s="1295" t="s">
        <v>695</v>
      </c>
      <c r="AH657" s="1295"/>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3"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3" customHeight="1">
      <c r="A659" s="47" t="s">
        <v>86</v>
      </c>
      <c r="B659" t="s">
        <v>1409</v>
      </c>
      <c r="G659" s="1320">
        <f>C631</f>
        <v>0</v>
      </c>
      <c r="H659" s="1320"/>
      <c r="I659" s="1320"/>
      <c r="J659" s="1320"/>
      <c r="K659" s="1320"/>
      <c r="L659" s="1320"/>
      <c r="M659" s="1320"/>
      <c r="N659" s="1320"/>
      <c r="O659" s="1320"/>
      <c r="P659" s="1320"/>
      <c r="Q659" s="1320"/>
      <c r="R659" s="1320"/>
      <c r="T659" s="47" t="s">
        <v>1399</v>
      </c>
      <c r="U659" t="s">
        <v>1409</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3" customHeight="1">
      <c r="A660" s="19"/>
      <c r="B660" t="s">
        <v>1065</v>
      </c>
      <c r="G660" s="1333"/>
      <c r="H660" s="1333"/>
      <c r="I660" s="1333"/>
      <c r="J660" s="1333"/>
      <c r="K660" s="1333"/>
      <c r="L660" s="1333"/>
      <c r="M660" s="1333"/>
      <c r="N660" s="1333"/>
      <c r="O660" s="1333"/>
      <c r="P660" s="1333"/>
      <c r="Q660" s="1333"/>
      <c r="R660" s="1333"/>
      <c r="T660" s="19"/>
      <c r="U660" t="s">
        <v>1065</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3" customHeight="1">
      <c r="A661" s="19"/>
      <c r="B661" t="s">
        <v>933</v>
      </c>
      <c r="G661" s="1333"/>
      <c r="H661" s="1333"/>
      <c r="I661" s="1333"/>
      <c r="J661" s="1333"/>
      <c r="K661" s="1333"/>
      <c r="L661" s="1333"/>
      <c r="M661" s="1333"/>
      <c r="N661" s="1333"/>
      <c r="O661" s="1333"/>
      <c r="P661" s="1333"/>
      <c r="Q661" s="1333"/>
      <c r="R661" s="1333"/>
      <c r="T661" s="19"/>
      <c r="U661" t="s">
        <v>933</v>
      </c>
      <c r="Z661" s="1294"/>
      <c r="AA661" s="1294"/>
      <c r="AB661" s="1294"/>
      <c r="AC661" s="1294"/>
      <c r="AD661" s="1294"/>
      <c r="AE661" s="1294"/>
      <c r="AF661" s="1294"/>
      <c r="AG661" s="1294"/>
      <c r="AH661" s="1294"/>
      <c r="AI661" s="1294"/>
      <c r="AJ661" s="1294"/>
      <c r="AK661" s="1294"/>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3" customHeight="1">
      <c r="A662" s="19"/>
      <c r="B662" t="s">
        <v>1412</v>
      </c>
      <c r="G662" s="1333"/>
      <c r="H662" s="1333"/>
      <c r="I662" s="1333"/>
      <c r="J662" s="1333"/>
      <c r="K662" s="1333"/>
      <c r="L662" s="1333"/>
      <c r="M662" s="1333"/>
      <c r="N662" s="1333"/>
      <c r="O662" s="1333"/>
      <c r="P662" s="1333"/>
      <c r="Q662" s="1333"/>
      <c r="R662" s="1333"/>
      <c r="T662" s="19"/>
      <c r="U662" t="s">
        <v>1412</v>
      </c>
      <c r="Z662" s="1294"/>
      <c r="AA662" s="1294"/>
      <c r="AB662" s="1294"/>
      <c r="AC662" s="1294"/>
      <c r="AD662" s="1294"/>
      <c r="AE662" s="1294"/>
      <c r="AF662" s="1294"/>
      <c r="AG662" s="1294"/>
      <c r="AH662" s="1294"/>
      <c r="AI662" s="1294"/>
      <c r="AJ662" s="1294"/>
      <c r="AK662" s="129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3" customHeight="1">
      <c r="A663" s="19"/>
      <c r="B663" t="s">
        <v>826</v>
      </c>
      <c r="G663" s="1309"/>
      <c r="H663" s="1309"/>
      <c r="I663" s="1309"/>
      <c r="J663" s="1309"/>
      <c r="K663" s="1309"/>
      <c r="L663" s="1309"/>
      <c r="O663" s="923" t="s">
        <v>1073</v>
      </c>
      <c r="P663" s="1395"/>
      <c r="Q663" s="1395"/>
      <c r="R663" s="1395"/>
      <c r="T663" s="19"/>
      <c r="U663" t="s">
        <v>826</v>
      </c>
      <c r="Z663" s="1309"/>
      <c r="AA663" s="1309"/>
      <c r="AB663" s="1309"/>
      <c r="AC663" s="1309"/>
      <c r="AD663" s="1309"/>
      <c r="AE663" s="1309"/>
      <c r="AH663" s="923" t="s">
        <v>1073</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3" customHeight="1">
      <c r="A664" s="19"/>
      <c r="B664" t="s">
        <v>1415</v>
      </c>
      <c r="H664" s="1333"/>
      <c r="I664" s="1333"/>
      <c r="J664" s="1333"/>
      <c r="K664" s="1333"/>
      <c r="L664" s="1333"/>
      <c r="M664" s="1333"/>
      <c r="N664" s="1333"/>
      <c r="O664" s="1333"/>
      <c r="P664" s="1333"/>
      <c r="Q664" s="1333"/>
      <c r="R664" s="1333"/>
      <c r="T664" s="19"/>
      <c r="U664" t="s">
        <v>1415</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3" customHeight="1">
      <c r="A665" s="19"/>
      <c r="B665" t="s">
        <v>1419</v>
      </c>
      <c r="N665" s="1295" t="s">
        <v>695</v>
      </c>
      <c r="O665" s="1295"/>
      <c r="T665" s="19"/>
      <c r="U665" t="s">
        <v>1419</v>
      </c>
      <c r="AG665" s="1295" t="s">
        <v>695</v>
      </c>
      <c r="AH665" s="129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3" customHeight="1">
      <c r="A667" s="47" t="s">
        <v>1401</v>
      </c>
      <c r="B667" t="s">
        <v>1409</v>
      </c>
      <c r="G667" s="1320">
        <f>C633</f>
        <v>0</v>
      </c>
      <c r="H667" s="1320"/>
      <c r="I667" s="1320"/>
      <c r="J667" s="1320"/>
      <c r="K667" s="1320"/>
      <c r="L667" s="1320"/>
      <c r="M667" s="1320"/>
      <c r="N667" s="1320"/>
      <c r="O667" s="1320"/>
      <c r="P667" s="1320"/>
      <c r="Q667" s="1320"/>
      <c r="R667" s="1320"/>
      <c r="T667" s="47" t="s">
        <v>1403</v>
      </c>
      <c r="U667" t="s">
        <v>1409</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3" customHeight="1">
      <c r="A668" s="19"/>
      <c r="B668" t="s">
        <v>1065</v>
      </c>
      <c r="G668" s="1333"/>
      <c r="H668" s="1333"/>
      <c r="I668" s="1333"/>
      <c r="J668" s="1333"/>
      <c r="K668" s="1333"/>
      <c r="L668" s="1333"/>
      <c r="M668" s="1333"/>
      <c r="N668" s="1333"/>
      <c r="O668" s="1333"/>
      <c r="P668" s="1333"/>
      <c r="Q668" s="1333"/>
      <c r="R668" s="1333"/>
      <c r="T668" s="19"/>
      <c r="U668" t="s">
        <v>1065</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3" customHeight="1">
      <c r="A669" s="19"/>
      <c r="B669" t="s">
        <v>933</v>
      </c>
      <c r="G669" s="1333"/>
      <c r="H669" s="1333"/>
      <c r="I669" s="1333"/>
      <c r="J669" s="1333"/>
      <c r="K669" s="1333"/>
      <c r="L669" s="1333"/>
      <c r="M669" s="1333"/>
      <c r="N669" s="1333"/>
      <c r="O669" s="1333"/>
      <c r="P669" s="1333"/>
      <c r="Q669" s="1333"/>
      <c r="R669" s="1333"/>
      <c r="T669" s="19"/>
      <c r="U669" t="s">
        <v>933</v>
      </c>
      <c r="Z669" s="1294"/>
      <c r="AA669" s="1294"/>
      <c r="AB669" s="1294"/>
      <c r="AC669" s="1294"/>
      <c r="AD669" s="1294"/>
      <c r="AE669" s="1294"/>
      <c r="AF669" s="1294"/>
      <c r="AG669" s="1294"/>
      <c r="AH669" s="1294"/>
      <c r="AI669" s="1294"/>
      <c r="AJ669" s="1294"/>
      <c r="AK669" s="129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3" customHeight="1">
      <c r="A670" s="19"/>
      <c r="B670" t="s">
        <v>1412</v>
      </c>
      <c r="G670" s="1333"/>
      <c r="H670" s="1333"/>
      <c r="I670" s="1333"/>
      <c r="J670" s="1333"/>
      <c r="K670" s="1333"/>
      <c r="L670" s="1333"/>
      <c r="M670" s="1333"/>
      <c r="N670" s="1333"/>
      <c r="O670" s="1333"/>
      <c r="P670" s="1333"/>
      <c r="Q670" s="1333"/>
      <c r="R670" s="1333"/>
      <c r="T670" s="19"/>
      <c r="U670" t="s">
        <v>1412</v>
      </c>
      <c r="Z670" s="1294"/>
      <c r="AA670" s="1294"/>
      <c r="AB670" s="1294"/>
      <c r="AC670" s="1294"/>
      <c r="AD670" s="1294"/>
      <c r="AE670" s="1294"/>
      <c r="AF670" s="1294"/>
      <c r="AG670" s="1294"/>
      <c r="AH670" s="1294"/>
      <c r="AI670" s="1294"/>
      <c r="AJ670" s="1294"/>
      <c r="AK670" s="129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1520.0416666666665</v>
      </c>
      <c r="ED670" s="1403"/>
      <c r="EE670" s="1403"/>
      <c r="EF670" s="1403"/>
      <c r="EG670" s="1403"/>
      <c r="EH670" s="1403">
        <f>SUMIF(EH635:EL669,"&gt;0")</f>
        <v>1803.0526315789473</v>
      </c>
      <c r="EI670" s="1403"/>
      <c r="EJ670" s="1403"/>
      <c r="EK670" s="1403"/>
      <c r="EL670" s="1403"/>
      <c r="EM670" s="1403">
        <f>SUMIF(EM635:EQ669,"&gt;0")</f>
        <v>2455.9130434782605</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 customHeight="1">
      <c r="A671" s="19"/>
      <c r="B671" t="s">
        <v>826</v>
      </c>
      <c r="G671" s="1309"/>
      <c r="H671" s="1309"/>
      <c r="I671" s="1309"/>
      <c r="J671" s="1309"/>
      <c r="K671" s="1309"/>
      <c r="L671" s="1309"/>
      <c r="O671" s="923" t="s">
        <v>1073</v>
      </c>
      <c r="P671" s="1395"/>
      <c r="Q671" s="1395"/>
      <c r="R671" s="1395"/>
      <c r="T671" s="19"/>
      <c r="U671" t="s">
        <v>826</v>
      </c>
      <c r="Z671" s="1309"/>
      <c r="AA671" s="1309"/>
      <c r="AB671" s="1309"/>
      <c r="AC671" s="1309"/>
      <c r="AD671" s="1309"/>
      <c r="AE671" s="1309"/>
      <c r="AH671" s="923" t="s">
        <v>1073</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1415</v>
      </c>
      <c r="H672" s="1333"/>
      <c r="I672" s="1333"/>
      <c r="J672" s="1333"/>
      <c r="K672" s="1333"/>
      <c r="L672" s="1333"/>
      <c r="M672" s="1333"/>
      <c r="N672" s="1333"/>
      <c r="O672" s="1333"/>
      <c r="P672" s="1333"/>
      <c r="Q672" s="1333"/>
      <c r="R672" s="1333"/>
      <c r="T672" s="19"/>
      <c r="U672" t="s">
        <v>1415</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1419</v>
      </c>
      <c r="N673" s="1295" t="s">
        <v>695</v>
      </c>
      <c r="O673" s="1295"/>
      <c r="T673" s="19"/>
      <c r="U673" t="s">
        <v>1419</v>
      </c>
      <c r="AG673" s="1295" t="s">
        <v>695</v>
      </c>
      <c r="AH673" s="1295"/>
      <c r="AZ673" s="3"/>
    </row>
    <row r="674" spans="1:52" ht="13" customHeight="1">
      <c r="A674" s="19"/>
      <c r="T674" s="19"/>
      <c r="AZ674" s="3"/>
    </row>
    <row r="675" spans="1:52" ht="13" customHeight="1">
      <c r="A675" s="47" t="s">
        <v>1404</v>
      </c>
      <c r="B675" t="s">
        <v>1409</v>
      </c>
      <c r="G675" s="1320">
        <f>C635</f>
        <v>0</v>
      </c>
      <c r="H675" s="1320"/>
      <c r="I675" s="1320"/>
      <c r="J675" s="1320"/>
      <c r="K675" s="1320"/>
      <c r="L675" s="1320"/>
      <c r="M675" s="1320"/>
      <c r="N675" s="1320"/>
      <c r="O675" s="1320"/>
      <c r="P675" s="1320"/>
      <c r="Q675" s="1320"/>
      <c r="R675" s="1320"/>
      <c r="T675" s="47" t="s">
        <v>1405</v>
      </c>
      <c r="U675" t="s">
        <v>1409</v>
      </c>
      <c r="Z675" s="1320">
        <f>C636</f>
        <v>0</v>
      </c>
      <c r="AA675" s="1320"/>
      <c r="AB675" s="1320"/>
      <c r="AC675" s="1320"/>
      <c r="AD675" s="1320"/>
      <c r="AE675" s="1320"/>
      <c r="AF675" s="1320"/>
      <c r="AG675" s="1320"/>
      <c r="AH675" s="1320"/>
      <c r="AI675" s="1320"/>
      <c r="AJ675" s="1320"/>
      <c r="AK675" s="1320"/>
      <c r="AZ675" s="3"/>
    </row>
    <row r="676" spans="1:52" ht="13" customHeight="1">
      <c r="A676" s="19"/>
      <c r="B676" t="s">
        <v>1065</v>
      </c>
      <c r="G676" s="1333"/>
      <c r="H676" s="1333"/>
      <c r="I676" s="1333"/>
      <c r="J676" s="1333"/>
      <c r="K676" s="1333"/>
      <c r="L676" s="1333"/>
      <c r="M676" s="1333"/>
      <c r="N676" s="1333"/>
      <c r="O676" s="1333"/>
      <c r="P676" s="1333"/>
      <c r="Q676" s="1333"/>
      <c r="R676" s="1333"/>
      <c r="T676" s="19"/>
      <c r="U676" t="s">
        <v>1065</v>
      </c>
      <c r="Z676" s="1333"/>
      <c r="AA676" s="1333"/>
      <c r="AB676" s="1333"/>
      <c r="AC676" s="1333"/>
      <c r="AD676" s="1333"/>
      <c r="AE676" s="1333"/>
      <c r="AF676" s="1333"/>
      <c r="AG676" s="1333"/>
      <c r="AH676" s="1333"/>
      <c r="AI676" s="1333"/>
      <c r="AJ676" s="1333"/>
      <c r="AK676" s="1333"/>
      <c r="AZ676" s="3"/>
    </row>
    <row r="677" spans="1:52" ht="13" customHeight="1">
      <c r="A677" s="19"/>
      <c r="B677" t="s">
        <v>933</v>
      </c>
      <c r="G677" s="1333"/>
      <c r="H677" s="1333"/>
      <c r="I677" s="1333"/>
      <c r="J677" s="1333"/>
      <c r="K677" s="1333"/>
      <c r="L677" s="1333"/>
      <c r="M677" s="1333"/>
      <c r="N677" s="1333"/>
      <c r="O677" s="1333"/>
      <c r="P677" s="1333"/>
      <c r="Q677" s="1333"/>
      <c r="R677" s="1333"/>
      <c r="T677" s="19"/>
      <c r="U677" t="s">
        <v>933</v>
      </c>
      <c r="Z677" s="1294"/>
      <c r="AA677" s="1294"/>
      <c r="AB677" s="1294"/>
      <c r="AC677" s="1294"/>
      <c r="AD677" s="1294"/>
      <c r="AE677" s="1294"/>
      <c r="AF677" s="1294"/>
      <c r="AG677" s="1294"/>
      <c r="AH677" s="1294"/>
      <c r="AI677" s="1294"/>
      <c r="AJ677" s="1294"/>
      <c r="AK677" s="1294"/>
      <c r="AZ677" s="3"/>
    </row>
    <row r="678" spans="1:52" ht="13" customHeight="1">
      <c r="A678" s="19"/>
      <c r="B678" t="s">
        <v>1412</v>
      </c>
      <c r="G678" s="1333"/>
      <c r="H678" s="1333"/>
      <c r="I678" s="1333"/>
      <c r="J678" s="1333"/>
      <c r="K678" s="1333"/>
      <c r="L678" s="1333"/>
      <c r="M678" s="1333"/>
      <c r="N678" s="1333"/>
      <c r="O678" s="1333"/>
      <c r="P678" s="1333"/>
      <c r="Q678" s="1333"/>
      <c r="R678" s="1333"/>
      <c r="T678" s="19"/>
      <c r="U678" t="s">
        <v>1412</v>
      </c>
      <c r="Z678" s="1294"/>
      <c r="AA678" s="1294"/>
      <c r="AB678" s="1294"/>
      <c r="AC678" s="1294"/>
      <c r="AD678" s="1294"/>
      <c r="AE678" s="1294"/>
      <c r="AF678" s="1294"/>
      <c r="AG678" s="1294"/>
      <c r="AH678" s="1294"/>
      <c r="AI678" s="1294"/>
      <c r="AJ678" s="1294"/>
      <c r="AK678" s="1294"/>
      <c r="AZ678" s="3"/>
    </row>
    <row r="679" spans="1:52" ht="13" customHeight="1">
      <c r="A679" s="19"/>
      <c r="B679" t="s">
        <v>826</v>
      </c>
      <c r="G679" s="1309"/>
      <c r="H679" s="1309"/>
      <c r="I679" s="1309"/>
      <c r="J679" s="1309"/>
      <c r="K679" s="1309"/>
      <c r="L679" s="1309"/>
      <c r="O679" s="923" t="s">
        <v>1073</v>
      </c>
      <c r="P679" s="1395"/>
      <c r="Q679" s="1395"/>
      <c r="R679" s="1395"/>
      <c r="T679" s="19"/>
      <c r="U679" t="s">
        <v>826</v>
      </c>
      <c r="Z679" s="1309"/>
      <c r="AA679" s="1309"/>
      <c r="AB679" s="1309"/>
      <c r="AC679" s="1309"/>
      <c r="AD679" s="1309"/>
      <c r="AE679" s="1309"/>
      <c r="AH679" s="923" t="s">
        <v>1073</v>
      </c>
      <c r="AI679" s="1395"/>
      <c r="AJ679" s="1395"/>
      <c r="AK679" s="1395"/>
      <c r="AZ679" s="3"/>
    </row>
    <row r="680" spans="1:52" ht="13" customHeight="1">
      <c r="A680" s="19"/>
      <c r="B680" t="s">
        <v>1415</v>
      </c>
      <c r="H680" s="1333"/>
      <c r="I680" s="1333"/>
      <c r="J680" s="1333"/>
      <c r="K680" s="1333"/>
      <c r="L680" s="1333"/>
      <c r="M680" s="1333"/>
      <c r="N680" s="1333"/>
      <c r="O680" s="1333"/>
      <c r="P680" s="1333"/>
      <c r="Q680" s="1333"/>
      <c r="R680" s="1333"/>
      <c r="T680" s="19"/>
      <c r="U680" t="s">
        <v>1415</v>
      </c>
      <c r="AA680" s="1333"/>
      <c r="AB680" s="1333"/>
      <c r="AC680" s="1333"/>
      <c r="AD680" s="1333"/>
      <c r="AE680" s="1333"/>
      <c r="AF680" s="1333"/>
      <c r="AG680" s="1333"/>
      <c r="AH680" s="1333"/>
      <c r="AI680" s="1333"/>
      <c r="AJ680" s="1333"/>
      <c r="AK680" s="1333"/>
      <c r="AZ680" s="3"/>
    </row>
    <row r="681" spans="1:52" ht="13" customHeight="1">
      <c r="A681" s="19"/>
      <c r="B681" t="s">
        <v>1419</v>
      </c>
      <c r="N681" s="1295" t="s">
        <v>695</v>
      </c>
      <c r="O681" s="1295"/>
      <c r="T681" s="19"/>
      <c r="U681" t="s">
        <v>1419</v>
      </c>
      <c r="AG681" s="1295" t="s">
        <v>695</v>
      </c>
      <c r="AH681" s="1295"/>
      <c r="AZ681" s="3"/>
    </row>
    <row r="682" spans="1:52" ht="13" customHeight="1">
      <c r="A682" s="19"/>
      <c r="T682" s="19"/>
      <c r="AZ682" s="3"/>
    </row>
    <row r="683" spans="1:52" ht="13" customHeight="1">
      <c r="A683" s="47" t="s">
        <v>1406</v>
      </c>
      <c r="B683" t="s">
        <v>1409</v>
      </c>
      <c r="G683" s="1320">
        <f>C637</f>
        <v>0</v>
      </c>
      <c r="H683" s="1320"/>
      <c r="I683" s="1320"/>
      <c r="J683" s="1320"/>
      <c r="K683" s="1320"/>
      <c r="L683" s="1320"/>
      <c r="M683" s="1320"/>
      <c r="N683" s="1320"/>
      <c r="O683" s="1320"/>
      <c r="P683" s="1320"/>
      <c r="Q683" s="1320"/>
      <c r="R683" s="1320"/>
      <c r="T683" s="47" t="s">
        <v>1407</v>
      </c>
      <c r="U683" t="s">
        <v>1409</v>
      </c>
      <c r="Z683" s="1320">
        <f>C638</f>
        <v>0</v>
      </c>
      <c r="AA683" s="1320"/>
      <c r="AB683" s="1320"/>
      <c r="AC683" s="1320"/>
      <c r="AD683" s="1320"/>
      <c r="AE683" s="1320"/>
      <c r="AF683" s="1320"/>
      <c r="AG683" s="1320"/>
      <c r="AH683" s="1320"/>
      <c r="AI683" s="1320"/>
      <c r="AJ683" s="1320"/>
      <c r="AK683" s="1320"/>
      <c r="AZ683" s="3"/>
    </row>
    <row r="684" spans="1:52" ht="13" customHeight="1">
      <c r="B684" t="s">
        <v>1065</v>
      </c>
      <c r="G684" s="1333"/>
      <c r="H684" s="1333"/>
      <c r="I684" s="1333"/>
      <c r="J684" s="1333"/>
      <c r="K684" s="1333"/>
      <c r="L684" s="1333"/>
      <c r="M684" s="1333"/>
      <c r="N684" s="1333"/>
      <c r="O684" s="1333"/>
      <c r="P684" s="1333"/>
      <c r="Q684" s="1333"/>
      <c r="R684" s="1333"/>
      <c r="T684" s="19"/>
      <c r="U684" t="s">
        <v>1065</v>
      </c>
      <c r="Z684" s="1333"/>
      <c r="AA684" s="1333"/>
      <c r="AB684" s="1333"/>
      <c r="AC684" s="1333"/>
      <c r="AD684" s="1333"/>
      <c r="AE684" s="1333"/>
      <c r="AF684" s="1333"/>
      <c r="AG684" s="1333"/>
      <c r="AH684" s="1333"/>
      <c r="AI684" s="1333"/>
      <c r="AJ684" s="1333"/>
      <c r="AK684" s="1333"/>
      <c r="AZ684" s="3"/>
    </row>
    <row r="685" spans="1:52" ht="13" customHeight="1">
      <c r="B685" t="s">
        <v>933</v>
      </c>
      <c r="G685" s="1333"/>
      <c r="H685" s="1333"/>
      <c r="I685" s="1333"/>
      <c r="J685" s="1333"/>
      <c r="K685" s="1333"/>
      <c r="L685" s="1333"/>
      <c r="M685" s="1333"/>
      <c r="N685" s="1333"/>
      <c r="O685" s="1333"/>
      <c r="P685" s="1333"/>
      <c r="Q685" s="1333"/>
      <c r="R685" s="1333"/>
      <c r="U685" t="s">
        <v>933</v>
      </c>
      <c r="Z685" s="1294"/>
      <c r="AA685" s="1294"/>
      <c r="AB685" s="1294"/>
      <c r="AC685" s="1294"/>
      <c r="AD685" s="1294"/>
      <c r="AE685" s="1294"/>
      <c r="AF685" s="1294"/>
      <c r="AG685" s="1294"/>
      <c r="AH685" s="1294"/>
      <c r="AI685" s="1294"/>
      <c r="AJ685" s="1294"/>
      <c r="AK685" s="1294"/>
      <c r="AZ685" s="3"/>
    </row>
    <row r="686" spans="1:52" ht="13" customHeight="1">
      <c r="B686" t="s">
        <v>1412</v>
      </c>
      <c r="G686" s="1333"/>
      <c r="H686" s="1333"/>
      <c r="I686" s="1333"/>
      <c r="J686" s="1333"/>
      <c r="K686" s="1333"/>
      <c r="L686" s="1333"/>
      <c r="M686" s="1333"/>
      <c r="N686" s="1333"/>
      <c r="O686" s="1333"/>
      <c r="P686" s="1333"/>
      <c r="Q686" s="1333"/>
      <c r="R686" s="1333"/>
      <c r="U686" t="s">
        <v>1412</v>
      </c>
      <c r="Z686" s="1294"/>
      <c r="AA686" s="1294"/>
      <c r="AB686" s="1294"/>
      <c r="AC686" s="1294"/>
      <c r="AD686" s="1294"/>
      <c r="AE686" s="1294"/>
      <c r="AF686" s="1294"/>
      <c r="AG686" s="1294"/>
      <c r="AH686" s="1294"/>
      <c r="AI686" s="1294"/>
      <c r="AJ686" s="1294"/>
      <c r="AK686" s="1294"/>
      <c r="AZ686" s="3"/>
    </row>
    <row r="687" spans="1:52" ht="13" customHeight="1">
      <c r="B687" t="s">
        <v>826</v>
      </c>
      <c r="G687" s="1309"/>
      <c r="H687" s="1309"/>
      <c r="I687" s="1309"/>
      <c r="J687" s="1309"/>
      <c r="K687" s="1309"/>
      <c r="L687" s="1309"/>
      <c r="O687" s="923" t="s">
        <v>1073</v>
      </c>
      <c r="P687" s="1395"/>
      <c r="Q687" s="1395"/>
      <c r="R687" s="1395"/>
      <c r="U687" t="s">
        <v>826</v>
      </c>
      <c r="Z687" s="1309"/>
      <c r="AA687" s="1309"/>
      <c r="AB687" s="1309"/>
      <c r="AC687" s="1309"/>
      <c r="AD687" s="1309"/>
      <c r="AE687" s="1309"/>
      <c r="AH687" s="923" t="s">
        <v>1073</v>
      </c>
      <c r="AI687" s="1395"/>
      <c r="AJ687" s="1395"/>
      <c r="AK687" s="1395"/>
      <c r="AZ687" s="3"/>
    </row>
    <row r="688" spans="1:52" ht="13" customHeight="1">
      <c r="B688" t="s">
        <v>1415</v>
      </c>
      <c r="H688" s="1333"/>
      <c r="I688" s="1333"/>
      <c r="J688" s="1333"/>
      <c r="K688" s="1333"/>
      <c r="L688" s="1333"/>
      <c r="M688" s="1333"/>
      <c r="N688" s="1333"/>
      <c r="O688" s="1333"/>
      <c r="P688" s="1333"/>
      <c r="Q688" s="1333"/>
      <c r="R688" s="1333"/>
      <c r="U688" t="s">
        <v>1415</v>
      </c>
      <c r="AA688" s="1333"/>
      <c r="AB688" s="1333"/>
      <c r="AC688" s="1333"/>
      <c r="AD688" s="1333"/>
      <c r="AE688" s="1333"/>
      <c r="AF688" s="1333"/>
      <c r="AG688" s="1333"/>
      <c r="AH688" s="1333"/>
      <c r="AI688" s="1333"/>
      <c r="AJ688" s="1333"/>
      <c r="AK688" s="1333"/>
      <c r="AZ688" s="3"/>
    </row>
    <row r="689" spans="1:67" ht="13" customHeight="1">
      <c r="B689" t="s">
        <v>1419</v>
      </c>
      <c r="N689" s="1295" t="s">
        <v>695</v>
      </c>
      <c r="O689" s="1295"/>
      <c r="U689" t="s">
        <v>1419</v>
      </c>
      <c r="AG689" s="1295" t="s">
        <v>695</v>
      </c>
      <c r="AH689" s="1295"/>
      <c r="AZ689" s="3"/>
    </row>
    <row r="690" spans="1:67" ht="13" customHeight="1">
      <c r="AZ690" s="3"/>
    </row>
    <row r="691" spans="1:67" ht="13" customHeight="1">
      <c r="A691" s="2" t="s">
        <v>914</v>
      </c>
      <c r="C691" s="2" t="s">
        <v>179</v>
      </c>
      <c r="E691" s="95"/>
      <c r="F691" s="95"/>
      <c r="G691" s="95"/>
      <c r="H691" s="95"/>
      <c r="AZ691" s="3"/>
    </row>
    <row r="692" spans="1:67" ht="13" customHeight="1">
      <c r="B692" s="99"/>
      <c r="C692" s="99"/>
      <c r="D692" s="926" t="s">
        <v>1446</v>
      </c>
      <c r="E692" s="99"/>
      <c r="F692" s="99"/>
      <c r="G692" s="99"/>
      <c r="H692" s="99"/>
      <c r="AZ692" s="3"/>
    </row>
    <row r="693" spans="1:67" ht="13" customHeight="1">
      <c r="B693" s="99"/>
      <c r="C693" s="99"/>
      <c r="E693" s="926" t="s">
        <v>1447</v>
      </c>
      <c r="F693" s="99"/>
      <c r="G693" s="99"/>
      <c r="H693" s="99"/>
      <c r="AE693" s="1295" t="s">
        <v>848</v>
      </c>
      <c r="AF693" s="1295"/>
      <c r="AZ693" s="3"/>
    </row>
    <row r="694" spans="1:67" ht="13" customHeight="1">
      <c r="B694" s="99"/>
      <c r="C694" s="99"/>
      <c r="D694" s="926" t="s">
        <v>1448</v>
      </c>
      <c r="E694" s="99"/>
      <c r="F694" s="99"/>
      <c r="G694" s="99"/>
      <c r="H694" s="99"/>
      <c r="AE694" s="1295" t="s">
        <v>695</v>
      </c>
      <c r="AF694" s="1295"/>
      <c r="AZ694" s="3"/>
    </row>
    <row r="695" spans="1:67" ht="13" customHeight="1">
      <c r="B695" s="99"/>
      <c r="C695" s="99"/>
      <c r="D695" s="926" t="s">
        <v>1449</v>
      </c>
      <c r="E695" s="99"/>
      <c r="F695" s="99"/>
      <c r="G695" s="99"/>
      <c r="H695" s="99"/>
      <c r="AE695" s="1635">
        <v>45797</v>
      </c>
      <c r="AF695" s="1635"/>
      <c r="AG695" s="1635"/>
      <c r="AH695" s="1635"/>
      <c r="AI695" s="1635"/>
    </row>
    <row r="696" spans="1:67" ht="13" customHeight="1">
      <c r="B696" s="99"/>
      <c r="C696" s="99"/>
      <c r="D696" s="223" t="s">
        <v>1450</v>
      </c>
      <c r="E696" s="99"/>
      <c r="F696" s="99"/>
      <c r="G696" s="99"/>
      <c r="H696" s="99"/>
      <c r="AE696" s="1645">
        <v>45874</v>
      </c>
      <c r="AF696" s="1645"/>
      <c r="AG696" s="1645"/>
      <c r="AH696" s="1645"/>
      <c r="AI696" s="1645"/>
    </row>
    <row r="697" spans="1:67" ht="13" customHeight="1">
      <c r="B697" s="99"/>
      <c r="C697" s="99"/>
    </row>
    <row r="698" spans="1:67" ht="13" customHeight="1">
      <c r="B698" s="99"/>
      <c r="C698" s="99"/>
      <c r="D698" s="926" t="s">
        <v>1451</v>
      </c>
      <c r="E698" s="99"/>
      <c r="F698" s="99"/>
      <c r="G698" s="99"/>
      <c r="H698" s="99"/>
      <c r="AE698" s="1635">
        <v>46054</v>
      </c>
      <c r="AF698" s="1635"/>
      <c r="AG698" s="1635"/>
      <c r="AH698" s="1635"/>
      <c r="AI698" s="1635"/>
    </row>
    <row r="699" spans="1:67" ht="13" customHeight="1">
      <c r="B699" s="99"/>
      <c r="C699" s="99"/>
      <c r="D699" s="926" t="s">
        <v>1452</v>
      </c>
      <c r="E699" s="99"/>
      <c r="F699" s="99"/>
      <c r="G699" s="99"/>
      <c r="H699" s="99"/>
      <c r="AE699" s="1605">
        <v>0.51570000000000005</v>
      </c>
      <c r="AF699" s="1605"/>
      <c r="AG699" s="1605"/>
      <c r="AH699" s="1605"/>
      <c r="AI699" s="1605"/>
    </row>
    <row r="700" spans="1:67" ht="13" customHeight="1">
      <c r="B700" s="99"/>
      <c r="C700" s="99"/>
      <c r="D700" s="926" t="s">
        <v>1453</v>
      </c>
      <c r="E700" s="99"/>
      <c r="F700" s="99"/>
      <c r="G700" s="99"/>
      <c r="H700" s="99"/>
      <c r="W700" s="1320" t="str">
        <f>H335</f>
        <v xml:space="preserve">California Municipal Finance Authority </v>
      </c>
      <c r="X700" s="1320"/>
      <c r="Y700" s="1320"/>
      <c r="Z700" s="1320"/>
      <c r="AA700" s="1320"/>
      <c r="AB700" s="1320"/>
      <c r="AC700" s="1320"/>
      <c r="AD700" s="1320"/>
      <c r="AE700" s="1320"/>
      <c r="AF700" s="1320"/>
      <c r="AG700" s="1320"/>
      <c r="AH700" s="1320"/>
      <c r="AI700" s="1320"/>
      <c r="AJ700" s="1320"/>
      <c r="AK700" s="1320"/>
    </row>
    <row r="701" spans="1:67" ht="13" customHeight="1">
      <c r="B701" s="99"/>
      <c r="C701" s="99"/>
      <c r="D701" s="926"/>
      <c r="E701" s="99"/>
      <c r="F701" s="99"/>
      <c r="G701" s="99"/>
      <c r="H701" s="99"/>
    </row>
    <row r="702" spans="1:67" ht="13" customHeight="1">
      <c r="B702" s="99"/>
      <c r="C702" s="99"/>
      <c r="D702" s="926" t="s">
        <v>1454</v>
      </c>
      <c r="E702" s="99"/>
      <c r="F702" s="99"/>
      <c r="G702" s="99"/>
      <c r="H702" s="99"/>
      <c r="AE702" s="1295" t="s">
        <v>695</v>
      </c>
      <c r="AF702" s="1295"/>
      <c r="AZ702" s="3" t="s">
        <v>832</v>
      </c>
    </row>
    <row r="703" spans="1:67" ht="13" customHeight="1">
      <c r="B703" s="99"/>
      <c r="C703" s="99"/>
      <c r="D703" s="926" t="s">
        <v>1455</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833</v>
      </c>
    </row>
    <row r="704" spans="1:67" ht="13" customHeight="1">
      <c r="B704" s="99"/>
      <c r="C704" s="99"/>
      <c r="D704" s="926" t="s">
        <v>1069</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834</v>
      </c>
      <c r="BB704" s="3"/>
      <c r="BC704" s="3"/>
      <c r="BD704" s="3"/>
      <c r="BE704" s="3"/>
      <c r="BF704" s="3"/>
      <c r="BJ704" s="3"/>
      <c r="BK704" s="3"/>
      <c r="BL704" s="3"/>
      <c r="BM704" s="3"/>
      <c r="BN704" s="3"/>
      <c r="BO704" s="3"/>
    </row>
    <row r="705" spans="1:185" ht="13" customHeight="1">
      <c r="B705" s="99"/>
      <c r="C705" s="99"/>
      <c r="D705" s="926" t="s">
        <v>1071</v>
      </c>
      <c r="J705" s="1309"/>
      <c r="K705" s="1309"/>
      <c r="L705" s="1309"/>
      <c r="M705" s="1309"/>
      <c r="N705" s="1309"/>
      <c r="O705" s="1309"/>
      <c r="P705" s="3" t="s">
        <v>1073</v>
      </c>
      <c r="Q705" s="3"/>
      <c r="R705" s="1395"/>
      <c r="S705" s="1395"/>
      <c r="T705" s="1395"/>
      <c r="AZ705" s="3" t="s">
        <v>835</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1456</v>
      </c>
      <c r="W706" s="1333" t="s">
        <v>548</v>
      </c>
      <c r="X706" s="1333"/>
      <c r="Y706" s="1333"/>
      <c r="Z706" s="1333"/>
      <c r="AA706" s="1333"/>
      <c r="AB706" s="1333"/>
      <c r="AC706" s="1333"/>
      <c r="AD706" s="1333"/>
      <c r="AE706" s="1333"/>
      <c r="AF706" s="1333"/>
      <c r="AG706" s="1333"/>
      <c r="AH706" s="1333"/>
      <c r="AI706" s="1333"/>
      <c r="AJ706" s="1333"/>
      <c r="AK706" s="1333"/>
      <c r="AZ706" s="3" t="s">
        <v>836</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33" t="s">
        <v>1337</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837</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2" t="s">
        <v>1457</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873</v>
      </c>
      <c r="B712" s="2"/>
      <c r="C712" s="2" t="s">
        <v>1458</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24" t="s">
        <v>1459</v>
      </c>
      <c r="C714" s="1325"/>
      <c r="D714" s="1325"/>
      <c r="E714" s="1325"/>
      <c r="F714" s="1326"/>
      <c r="G714" s="1324" t="s">
        <v>1460</v>
      </c>
      <c r="H714" s="1325"/>
      <c r="I714" s="1325"/>
      <c r="J714" s="1326"/>
      <c r="K714" s="1662" t="s">
        <v>1461</v>
      </c>
      <c r="L714" s="1663"/>
      <c r="M714" s="1663"/>
      <c r="N714" s="1664"/>
      <c r="O714" s="1324" t="s">
        <v>1462</v>
      </c>
      <c r="P714" s="1325"/>
      <c r="Q714" s="1325"/>
      <c r="R714" s="1325"/>
      <c r="S714" s="1326"/>
      <c r="T714" s="1324" t="s">
        <v>1463</v>
      </c>
      <c r="U714" s="1325"/>
      <c r="V714" s="1325"/>
      <c r="W714" s="1326"/>
      <c r="X714" s="1324" t="s">
        <v>1464</v>
      </c>
      <c r="Y714" s="1325"/>
      <c r="Z714" s="1325"/>
      <c r="AA714" s="1325"/>
      <c r="AB714" s="1326"/>
      <c r="AC714" s="1324" t="s">
        <v>1465</v>
      </c>
      <c r="AD714" s="1325"/>
      <c r="AE714" s="1325"/>
      <c r="AF714" s="1325"/>
      <c r="AG714" s="1326"/>
      <c r="AH714" s="1324" t="s">
        <v>1466</v>
      </c>
      <c r="AI714" s="1325"/>
      <c r="AJ714" s="1326"/>
      <c r="AK714" s="1324" t="s">
        <v>1467</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27"/>
      <c r="C715" s="1328"/>
      <c r="D715" s="1328"/>
      <c r="E715" s="1328"/>
      <c r="F715" s="1329"/>
      <c r="G715" s="1327"/>
      <c r="H715" s="1328"/>
      <c r="I715" s="1328"/>
      <c r="J715" s="1329"/>
      <c r="K715" s="1665"/>
      <c r="L715" s="1666"/>
      <c r="M715" s="1666"/>
      <c r="N715" s="1667"/>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27"/>
      <c r="C716" s="1328"/>
      <c r="D716" s="1328"/>
      <c r="E716" s="1328"/>
      <c r="F716" s="1329"/>
      <c r="G716" s="1327"/>
      <c r="H716" s="1328"/>
      <c r="I716" s="1328"/>
      <c r="J716" s="1329"/>
      <c r="K716" s="1665"/>
      <c r="L716" s="1666"/>
      <c r="M716" s="1666"/>
      <c r="N716" s="1667"/>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1468</v>
      </c>
      <c r="BG716" s="136"/>
      <c r="BH716" s="136"/>
      <c r="BI716" s="3"/>
      <c r="BJ716" s="3"/>
      <c r="BK716" s="3"/>
      <c r="BL716" s="3"/>
      <c r="BM716" s="3"/>
      <c r="BN716" s="3"/>
      <c r="BS716" s="137" t="s">
        <v>1469</v>
      </c>
      <c r="BT716" s="136"/>
      <c r="BU716" s="136"/>
      <c r="CC716" s="3"/>
      <c r="CD716" s="3"/>
      <c r="CE716" s="3"/>
      <c r="CF716" s="3"/>
      <c r="CG716" s="3"/>
      <c r="CH716" s="3"/>
      <c r="CI716" s="3"/>
      <c r="CJ716" s="3"/>
      <c r="CK716" s="3"/>
      <c r="CL716" s="3"/>
      <c r="CM716" s="3"/>
      <c r="CN716" s="3"/>
      <c r="CO716" s="3"/>
      <c r="CP716" s="3" t="s">
        <v>1470</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1471</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30"/>
      <c r="C717" s="1331"/>
      <c r="D717" s="1331"/>
      <c r="E717" s="1331"/>
      <c r="F717" s="1332"/>
      <c r="G717" s="1330"/>
      <c r="H717" s="1331"/>
      <c r="I717" s="1331"/>
      <c r="J717" s="1332"/>
      <c r="K717" s="1665"/>
      <c r="L717" s="1666"/>
      <c r="M717" s="1666"/>
      <c r="N717" s="1667"/>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1473</v>
      </c>
      <c r="BA717" s="3"/>
      <c r="BB717" s="3"/>
      <c r="BC717" s="3"/>
      <c r="BD717" s="3"/>
      <c r="BE717" s="136"/>
      <c r="BF717" s="201" t="s">
        <v>1474</v>
      </c>
      <c r="BG717" s="205" t="s">
        <v>1475</v>
      </c>
      <c r="BH717" s="204" t="s">
        <v>1476</v>
      </c>
      <c r="BI717" s="3"/>
      <c r="BJ717" s="3"/>
      <c r="BK717" s="3"/>
      <c r="BL717" s="3"/>
      <c r="BM717" s="3"/>
      <c r="BN717" s="3"/>
      <c r="BS717" s="201" t="s">
        <v>1474</v>
      </c>
      <c r="BT717" s="205" t="s">
        <v>1475</v>
      </c>
      <c r="BU717" s="204" t="s">
        <v>1476</v>
      </c>
      <c r="CC717" s="3"/>
      <c r="CD717" s="3"/>
      <c r="CE717" s="3"/>
      <c r="CF717" s="3"/>
      <c r="CG717" s="87" t="s">
        <v>1477</v>
      </c>
      <c r="CH717" s="88"/>
      <c r="CI717" s="1421"/>
      <c r="CJ717" s="1422"/>
      <c r="CK717" s="87" t="s">
        <v>1478</v>
      </c>
      <c r="CL717" s="88"/>
      <c r="CM717" s="1421"/>
      <c r="CN717" s="1422"/>
      <c r="CO717" s="3"/>
      <c r="CP717" s="1348" t="s">
        <v>838</v>
      </c>
      <c r="CQ717" s="1349"/>
      <c r="CR717" s="1349"/>
      <c r="CS717" s="1349"/>
      <c r="CT717" s="1350"/>
      <c r="CU717" s="1420" t="s">
        <v>833</v>
      </c>
      <c r="CV717" s="1420"/>
      <c r="CW717" s="1420"/>
      <c r="CX717" s="1420"/>
      <c r="CY717" s="1420"/>
      <c r="CZ717" s="1420" t="s">
        <v>834</v>
      </c>
      <c r="DA717" s="1420"/>
      <c r="DB717" s="1420"/>
      <c r="DC717" s="1420"/>
      <c r="DD717" s="1420"/>
      <c r="DE717" s="1420" t="s">
        <v>835</v>
      </c>
      <c r="DF717" s="1420"/>
      <c r="DG717" s="1420"/>
      <c r="DH717" s="1420"/>
      <c r="DI717" s="1420"/>
      <c r="DJ717" s="1420" t="s">
        <v>839</v>
      </c>
      <c r="DK717" s="1420"/>
      <c r="DL717" s="1420"/>
      <c r="DM717" s="1420"/>
      <c r="DN717" s="1420"/>
      <c r="DO717" s="1420" t="s">
        <v>837</v>
      </c>
      <c r="DP717" s="1420"/>
      <c r="DQ717" s="1420"/>
      <c r="DR717" s="1420"/>
      <c r="DS717" s="1420"/>
      <c r="DT717" s="65"/>
      <c r="DU717" s="1420" t="s">
        <v>838</v>
      </c>
      <c r="DV717" s="1420"/>
      <c r="DW717" s="1420"/>
      <c r="DX717" s="1420"/>
      <c r="DY717" s="1420"/>
      <c r="DZ717" s="1420" t="s">
        <v>833</v>
      </c>
      <c r="EA717" s="1420"/>
      <c r="EB717" s="1420"/>
      <c r="EC717" s="1420"/>
      <c r="ED717" s="1420"/>
      <c r="EE717" s="1420" t="s">
        <v>834</v>
      </c>
      <c r="EF717" s="1420"/>
      <c r="EG717" s="1420"/>
      <c r="EH717" s="1420"/>
      <c r="EI717" s="1420"/>
      <c r="EJ717" s="1420" t="s">
        <v>835</v>
      </c>
      <c r="EK717" s="1420"/>
      <c r="EL717" s="1420"/>
      <c r="EM717" s="1420"/>
      <c r="EN717" s="1420"/>
      <c r="EO717" s="1420" t="s">
        <v>839</v>
      </c>
      <c r="EP717" s="1420"/>
      <c r="EQ717" s="1420"/>
      <c r="ER717" s="1420"/>
      <c r="ES717" s="1420"/>
      <c r="ET717" s="1420" t="s">
        <v>837</v>
      </c>
      <c r="EU717" s="1420"/>
      <c r="EV717" s="1420"/>
      <c r="EW717" s="1420"/>
      <c r="EX717" s="1420"/>
      <c r="EY717" s="3"/>
      <c r="EZ717" s="1420" t="s">
        <v>838</v>
      </c>
      <c r="FA717" s="1420"/>
      <c r="FB717" s="1420"/>
      <c r="FC717" s="1420"/>
      <c r="FD717" s="1420"/>
      <c r="FE717" s="1420" t="s">
        <v>833</v>
      </c>
      <c r="FF717" s="1420"/>
      <c r="FG717" s="1420"/>
      <c r="FH717" s="1420"/>
      <c r="FI717" s="1420"/>
      <c r="FJ717" s="1420" t="s">
        <v>834</v>
      </c>
      <c r="FK717" s="1420"/>
      <c r="FL717" s="1420"/>
      <c r="FM717" s="1420"/>
      <c r="FN717" s="1420"/>
      <c r="FO717" s="1420" t="s">
        <v>835</v>
      </c>
      <c r="FP717" s="1420"/>
      <c r="FQ717" s="1420"/>
      <c r="FR717" s="1420"/>
      <c r="FS717" s="1420"/>
      <c r="FT717" s="1420" t="s">
        <v>839</v>
      </c>
      <c r="FU717" s="1420"/>
      <c r="FV717" s="1420"/>
      <c r="FW717" s="1420"/>
      <c r="FX717" s="1420"/>
      <c r="FY717" s="1420" t="s">
        <v>837</v>
      </c>
      <c r="FZ717" s="1420"/>
      <c r="GA717" s="1420"/>
      <c r="GB717" s="1420"/>
      <c r="GC717" s="1420"/>
    </row>
    <row r="718" spans="1:185" ht="13" customHeight="1">
      <c r="A718" s="3"/>
      <c r="B718" s="1300" t="s">
        <v>833</v>
      </c>
      <c r="C718" s="1301"/>
      <c r="D718" s="1301"/>
      <c r="E718" s="1301"/>
      <c r="F718" s="1302"/>
      <c r="G718" s="1311">
        <v>5</v>
      </c>
      <c r="H718" s="1312"/>
      <c r="I718" s="1312"/>
      <c r="J718" s="1313"/>
      <c r="K718" s="1306">
        <v>521</v>
      </c>
      <c r="L718" s="1307"/>
      <c r="M718" s="1307"/>
      <c r="N718" s="1308"/>
      <c r="O718" s="1303">
        <v>829</v>
      </c>
      <c r="P718" s="1304"/>
      <c r="Q718" s="1304"/>
      <c r="R718" s="1304"/>
      <c r="S718" s="1305"/>
      <c r="T718" s="1303">
        <v>101</v>
      </c>
      <c r="U718" s="1304"/>
      <c r="V718" s="1304"/>
      <c r="W718" s="1305"/>
      <c r="X718" s="1314">
        <f t="shared" ref="X718:X741" si="8">O718+T718</f>
        <v>930</v>
      </c>
      <c r="Y718" s="1315"/>
      <c r="Z718" s="1315"/>
      <c r="AA718" s="1315"/>
      <c r="AB718" s="1316"/>
      <c r="AC718" s="1321">
        <v>0.3</v>
      </c>
      <c r="AD718" s="1322"/>
      <c r="AE718" s="1322"/>
      <c r="AF718" s="1322"/>
      <c r="AG718" s="1323"/>
      <c r="AH718" s="1317">
        <f>IF($AC718&gt;0,($X718/$AZ718), "")</f>
        <v>0.3</v>
      </c>
      <c r="AI718" s="1318"/>
      <c r="AJ718" s="1319"/>
      <c r="AK718" s="1300" t="s">
        <v>813</v>
      </c>
      <c r="AL718" s="1301"/>
      <c r="AM718" s="1301"/>
      <c r="AN718" s="1301"/>
      <c r="AO718" s="1302"/>
      <c r="AP718" s="3"/>
      <c r="AQ718" s="3"/>
      <c r="AR718" s="3"/>
      <c r="AS718" s="3"/>
      <c r="AZ718" s="84">
        <f t="shared" ref="AZ718:AZ752" si="9">IF($G718=0,"N/A",VLOOKUP($T$189,TC_Rent,(MATCH($B718,bedrooms,FALSE)),FALSE))</f>
        <v>3100</v>
      </c>
      <c r="BA718" s="3"/>
      <c r="BB718" s="3"/>
      <c r="BC718" s="3"/>
      <c r="BD718" s="3"/>
      <c r="BE718" s="136"/>
      <c r="BF718" s="202">
        <f t="shared" ref="BF718:BF752" si="10">G718</f>
        <v>5</v>
      </c>
      <c r="BG718" s="206">
        <f t="shared" ref="BG718:BG752" si="11">IF($BF$753=0,0,BF718/$BF$753)</f>
        <v>2.5380710659898477E-2</v>
      </c>
      <c r="BH718" s="207">
        <f t="shared" ref="BH718:BH752" si="12">IF(BG718=0,"",BG718*AC718)</f>
        <v>7.6142131979695426E-3</v>
      </c>
      <c r="BI718" s="3"/>
      <c r="BJ718" s="3"/>
      <c r="BK718" s="3"/>
      <c r="BL718" s="3"/>
      <c r="BM718" s="3"/>
      <c r="BN718" s="3"/>
      <c r="BS718" s="202">
        <f t="shared" ref="BS718:BS752" si="13">G718</f>
        <v>5</v>
      </c>
      <c r="BT718" s="206">
        <f t="shared" ref="BT718:BT752" si="14">IF($BS$753=0,0,BS718/$BS$753)</f>
        <v>2.5380710659898477E-2</v>
      </c>
      <c r="BU718" s="207">
        <f t="shared" ref="BU718:BU752" si="15">IF(BT718=0,"",BT718*AH718)</f>
        <v>7.6142131979695426E-3</v>
      </c>
      <c r="CC718" s="3"/>
      <c r="CD718" s="3"/>
      <c r="CE718" s="3"/>
      <c r="CF718" s="3"/>
      <c r="CG718" s="1421">
        <f>IF(AND(AC718&lt;=0.5,AC718&gt;=0.36),1,0)</f>
        <v>0</v>
      </c>
      <c r="CH718" s="1422"/>
      <c r="CI718" s="1421">
        <f>IF(CG718=1,G718,0)</f>
        <v>0</v>
      </c>
      <c r="CJ718" s="1422"/>
      <c r="CK718" s="1421">
        <f t="shared" ref="CK718:CK752" si="16">IF(AND(AC718&lt;=0.35,AC718&gt;0),1,0)</f>
        <v>1</v>
      </c>
      <c r="CL718" s="1422"/>
      <c r="CM718" s="1421">
        <f t="shared" ref="CM718:CM752" si="17">IF(CK718=1,G718,0)</f>
        <v>5</v>
      </c>
      <c r="CN718" s="1422"/>
      <c r="CO718" s="3"/>
      <c r="CP718" s="1416">
        <f t="shared" ref="CP718:CP752" si="18">IF(B718="SRO/Studio",G718,0)</f>
        <v>0</v>
      </c>
      <c r="CQ718" s="1417"/>
      <c r="CR718" s="1417"/>
      <c r="CS718" s="1417"/>
      <c r="CT718" s="1418"/>
      <c r="CU718" s="1401">
        <f t="shared" ref="CU718:CU752" si="19">IF(B718="1 Bedroom",G718,0)</f>
        <v>5</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5</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f t="shared" ref="FE718:FE752" si="31">IF(CU718&gt;0,O718,"")</f>
        <v>829</v>
      </c>
      <c r="FF718" s="1423"/>
      <c r="FG718" s="1423"/>
      <c r="FH718" s="1423"/>
      <c r="FI718" s="1422"/>
      <c r="FJ718" s="1421" t="str">
        <f t="shared" ref="FJ718:FJ752" si="32">IF(CZ718&gt;0,O718,"")</f>
        <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3" customHeight="1">
      <c r="A719" s="3"/>
      <c r="B719" s="1300" t="s">
        <v>833</v>
      </c>
      <c r="C719" s="1301"/>
      <c r="D719" s="1301"/>
      <c r="E719" s="1301"/>
      <c r="F719" s="1302"/>
      <c r="G719" s="1311">
        <v>11</v>
      </c>
      <c r="H719" s="1312"/>
      <c r="I719" s="1312"/>
      <c r="J719" s="1313"/>
      <c r="K719" s="1306">
        <v>521</v>
      </c>
      <c r="L719" s="1307"/>
      <c r="M719" s="1307"/>
      <c r="N719" s="1308"/>
      <c r="O719" s="1303">
        <v>1139</v>
      </c>
      <c r="P719" s="1304"/>
      <c r="Q719" s="1304"/>
      <c r="R719" s="1304"/>
      <c r="S719" s="1305"/>
      <c r="T719" s="1303">
        <v>101</v>
      </c>
      <c r="U719" s="1304"/>
      <c r="V719" s="1304"/>
      <c r="W719" s="1305"/>
      <c r="X719" s="1314">
        <f t="shared" si="8"/>
        <v>1240</v>
      </c>
      <c r="Y719" s="1315"/>
      <c r="Z719" s="1315"/>
      <c r="AA719" s="1315"/>
      <c r="AB719" s="1316"/>
      <c r="AC719" s="1321">
        <v>0.4</v>
      </c>
      <c r="AD719" s="1322"/>
      <c r="AE719" s="1322"/>
      <c r="AF719" s="1322"/>
      <c r="AG719" s="1323"/>
      <c r="AH719" s="1317">
        <f t="shared" ref="AH719:AH752" si="36">IF($AC719&gt;0,($X719/$AZ719), "")</f>
        <v>0.4</v>
      </c>
      <c r="AI719" s="1318"/>
      <c r="AJ719" s="1319"/>
      <c r="AK719" s="1300" t="s">
        <v>813</v>
      </c>
      <c r="AL719" s="1301"/>
      <c r="AM719" s="1301"/>
      <c r="AN719" s="1301"/>
      <c r="AO719" s="1302"/>
      <c r="AP719" s="3"/>
      <c r="AQ719" s="3"/>
      <c r="AR719" s="3"/>
      <c r="AS719" s="3"/>
      <c r="AZ719" s="84">
        <f t="shared" si="9"/>
        <v>3100</v>
      </c>
      <c r="BA719" s="3"/>
      <c r="BB719" s="3"/>
      <c r="BC719" s="3"/>
      <c r="BD719" s="3"/>
      <c r="BE719" s="136"/>
      <c r="BF719" s="203">
        <f t="shared" si="10"/>
        <v>11</v>
      </c>
      <c r="BG719" s="206">
        <f t="shared" si="11"/>
        <v>5.5837563451776651E-2</v>
      </c>
      <c r="BH719" s="207">
        <f t="shared" si="12"/>
        <v>2.2335025380710662E-2</v>
      </c>
      <c r="BI719" s="3"/>
      <c r="BJ719" s="3"/>
      <c r="BK719" s="3"/>
      <c r="BL719" s="3"/>
      <c r="BM719" s="3"/>
      <c r="BN719" s="3"/>
      <c r="BS719" s="203">
        <f t="shared" si="13"/>
        <v>11</v>
      </c>
      <c r="BT719" s="206">
        <f t="shared" si="14"/>
        <v>5.5837563451776651E-2</v>
      </c>
      <c r="BU719" s="207">
        <f t="shared" si="15"/>
        <v>2.2335025380710662E-2</v>
      </c>
      <c r="CC719" s="3"/>
      <c r="CD719" s="3"/>
      <c r="CE719" s="3"/>
      <c r="CF719" s="3"/>
      <c r="CG719" s="1421">
        <f t="shared" ref="CG719:CG752" si="37">IF(AND(AC719&lt;=0.5,AC719&gt;=0.36),1,0)</f>
        <v>1</v>
      </c>
      <c r="CH719" s="1422"/>
      <c r="CI719" s="1421">
        <f t="shared" ref="CI719:CI752" si="38">IF(CG719=1,G719,0)</f>
        <v>11</v>
      </c>
      <c r="CJ719" s="1422"/>
      <c r="CK719" s="1421">
        <f t="shared" si="16"/>
        <v>0</v>
      </c>
      <c r="CL719" s="1422"/>
      <c r="CM719" s="1421">
        <f t="shared" si="17"/>
        <v>0</v>
      </c>
      <c r="CN719" s="1422"/>
      <c r="CO719" s="3"/>
      <c r="CP719" s="1416">
        <f t="shared" si="18"/>
        <v>0</v>
      </c>
      <c r="CQ719" s="1417"/>
      <c r="CR719" s="1417"/>
      <c r="CS719" s="1417"/>
      <c r="CT719" s="1418"/>
      <c r="CU719" s="1401">
        <f t="shared" si="19"/>
        <v>11</v>
      </c>
      <c r="CV719" s="1401"/>
      <c r="CW719" s="1401"/>
      <c r="CX719" s="1401"/>
      <c r="CY719" s="1401"/>
      <c r="CZ719" s="1401">
        <f t="shared" si="20"/>
        <v>0</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f t="shared" si="31"/>
        <v>1139</v>
      </c>
      <c r="FF719" s="1423"/>
      <c r="FG719" s="1423"/>
      <c r="FH719" s="1423"/>
      <c r="FI719" s="1422"/>
      <c r="FJ719" s="1421" t="str">
        <f t="shared" si="32"/>
        <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3" customHeight="1">
      <c r="A720" s="3"/>
      <c r="B720" s="1300" t="s">
        <v>833</v>
      </c>
      <c r="C720" s="1301"/>
      <c r="D720" s="1301"/>
      <c r="E720" s="1301"/>
      <c r="F720" s="1302"/>
      <c r="G720" s="1311">
        <v>32</v>
      </c>
      <c r="H720" s="1312"/>
      <c r="I720" s="1312"/>
      <c r="J720" s="1313"/>
      <c r="K720" s="1306">
        <v>521</v>
      </c>
      <c r="L720" s="1307"/>
      <c r="M720" s="1307"/>
      <c r="N720" s="1308"/>
      <c r="O720" s="1303">
        <v>1759</v>
      </c>
      <c r="P720" s="1304"/>
      <c r="Q720" s="1304"/>
      <c r="R720" s="1304"/>
      <c r="S720" s="1305"/>
      <c r="T720" s="1303">
        <v>101</v>
      </c>
      <c r="U720" s="1304"/>
      <c r="V720" s="1304"/>
      <c r="W720" s="1305"/>
      <c r="X720" s="1314">
        <f t="shared" si="8"/>
        <v>1860</v>
      </c>
      <c r="Y720" s="1315"/>
      <c r="Z720" s="1315"/>
      <c r="AA720" s="1315"/>
      <c r="AB720" s="1316"/>
      <c r="AC720" s="1321">
        <v>0.6</v>
      </c>
      <c r="AD720" s="1322"/>
      <c r="AE720" s="1322"/>
      <c r="AF720" s="1322"/>
      <c r="AG720" s="1323"/>
      <c r="AH720" s="1317">
        <f t="shared" si="36"/>
        <v>0.6</v>
      </c>
      <c r="AI720" s="1318"/>
      <c r="AJ720" s="1319"/>
      <c r="AK720" s="1300" t="s">
        <v>813</v>
      </c>
      <c r="AL720" s="1301"/>
      <c r="AM720" s="1301"/>
      <c r="AN720" s="1301"/>
      <c r="AO720" s="1302"/>
      <c r="AP720" s="3"/>
      <c r="AQ720" s="3"/>
      <c r="AR720" s="3"/>
      <c r="AS720" s="3"/>
      <c r="AZ720" s="84">
        <f t="shared" si="9"/>
        <v>3100</v>
      </c>
      <c r="BA720" s="3"/>
      <c r="BB720" s="3"/>
      <c r="BC720" s="3"/>
      <c r="BD720" s="3"/>
      <c r="BE720" s="136"/>
      <c r="BF720" s="203">
        <f t="shared" si="10"/>
        <v>32</v>
      </c>
      <c r="BG720" s="206">
        <f t="shared" si="11"/>
        <v>0.16243654822335024</v>
      </c>
      <c r="BH720" s="207">
        <f t="shared" si="12"/>
        <v>9.7461928934010136E-2</v>
      </c>
      <c r="BI720" s="3"/>
      <c r="BJ720" s="3"/>
      <c r="BK720" s="3"/>
      <c r="BL720" s="3"/>
      <c r="BM720" s="3"/>
      <c r="BN720" s="3"/>
      <c r="BS720" s="203">
        <f t="shared" si="13"/>
        <v>32</v>
      </c>
      <c r="BT720" s="206">
        <f t="shared" si="14"/>
        <v>0.16243654822335024</v>
      </c>
      <c r="BU720" s="207">
        <f t="shared" si="15"/>
        <v>9.7461928934010136E-2</v>
      </c>
      <c r="CC720" s="3"/>
      <c r="CD720" s="3"/>
      <c r="CE720" s="3"/>
      <c r="CF720" s="3"/>
      <c r="CG720" s="1421">
        <f t="shared" si="37"/>
        <v>0</v>
      </c>
      <c r="CH720" s="1422"/>
      <c r="CI720" s="1421">
        <f t="shared" si="38"/>
        <v>0</v>
      </c>
      <c r="CJ720" s="1422"/>
      <c r="CK720" s="1421">
        <f t="shared" si="16"/>
        <v>0</v>
      </c>
      <c r="CL720" s="1422"/>
      <c r="CM720" s="1421">
        <f t="shared" si="17"/>
        <v>0</v>
      </c>
      <c r="CN720" s="1422"/>
      <c r="CO720" s="3"/>
      <c r="CP720" s="1416">
        <f t="shared" si="18"/>
        <v>0</v>
      </c>
      <c r="CQ720" s="1417"/>
      <c r="CR720" s="1417"/>
      <c r="CS720" s="1417"/>
      <c r="CT720" s="1418"/>
      <c r="CU720" s="1401">
        <f t="shared" si="19"/>
        <v>32</v>
      </c>
      <c r="CV720" s="1401"/>
      <c r="CW720" s="1401"/>
      <c r="CX720" s="1401"/>
      <c r="CY720" s="1401"/>
      <c r="CZ720" s="1401">
        <f t="shared" si="20"/>
        <v>0</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f t="shared" si="31"/>
        <v>1759</v>
      </c>
      <c r="FF720" s="1423"/>
      <c r="FG720" s="1423"/>
      <c r="FH720" s="1423"/>
      <c r="FI720" s="1422"/>
      <c r="FJ720" s="1421" t="str">
        <f t="shared" si="32"/>
        <v/>
      </c>
      <c r="FK720" s="1423"/>
      <c r="FL720" s="1423"/>
      <c r="FM720" s="1423"/>
      <c r="FN720" s="1422"/>
      <c r="FO720" s="1421" t="str">
        <f t="shared" si="33"/>
        <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3" customHeight="1">
      <c r="B721" s="1300" t="s">
        <v>834</v>
      </c>
      <c r="C721" s="1301"/>
      <c r="D721" s="1301"/>
      <c r="E721" s="1301"/>
      <c r="F721" s="1302"/>
      <c r="G721" s="1311">
        <v>15</v>
      </c>
      <c r="H721" s="1312"/>
      <c r="I721" s="1312"/>
      <c r="J721" s="1313"/>
      <c r="K721" s="1306">
        <v>701</v>
      </c>
      <c r="L721" s="1307"/>
      <c r="M721" s="1307"/>
      <c r="N721" s="1308"/>
      <c r="O721" s="1303">
        <v>980</v>
      </c>
      <c r="P721" s="1304"/>
      <c r="Q721" s="1304"/>
      <c r="R721" s="1304"/>
      <c r="S721" s="1305"/>
      <c r="T721" s="1303">
        <v>137</v>
      </c>
      <c r="U721" s="1304"/>
      <c r="V721" s="1304"/>
      <c r="W721" s="1305"/>
      <c r="X721" s="1314">
        <f t="shared" si="8"/>
        <v>1117</v>
      </c>
      <c r="Y721" s="1315"/>
      <c r="Z721" s="1315"/>
      <c r="AA721" s="1315"/>
      <c r="AB721" s="1316"/>
      <c r="AC721" s="1321">
        <v>0.3</v>
      </c>
      <c r="AD721" s="1322"/>
      <c r="AE721" s="1322"/>
      <c r="AF721" s="1322"/>
      <c r="AG721" s="1323"/>
      <c r="AH721" s="1317">
        <f t="shared" si="36"/>
        <v>0.30010746910263297</v>
      </c>
      <c r="AI721" s="1318"/>
      <c r="AJ721" s="1319"/>
      <c r="AK721" s="1300" t="s">
        <v>813</v>
      </c>
      <c r="AL721" s="1301"/>
      <c r="AM721" s="1301"/>
      <c r="AN721" s="1301"/>
      <c r="AO721" s="1302"/>
      <c r="AP721" s="3"/>
      <c r="AQ721" s="3"/>
      <c r="AR721" s="3"/>
      <c r="AS721" s="3"/>
      <c r="AY721" s="85"/>
      <c r="AZ721" s="84">
        <f t="shared" si="9"/>
        <v>3722</v>
      </c>
      <c r="BA721" s="3"/>
      <c r="BB721" s="3"/>
      <c r="BC721" s="3"/>
      <c r="BD721" s="3"/>
      <c r="BE721" s="136"/>
      <c r="BF721" s="203">
        <f t="shared" si="10"/>
        <v>15</v>
      </c>
      <c r="BG721" s="206">
        <f t="shared" si="11"/>
        <v>7.6142131979695438E-2</v>
      </c>
      <c r="BH721" s="207">
        <f t="shared" si="12"/>
        <v>2.2842639593908632E-2</v>
      </c>
      <c r="BI721" s="3"/>
      <c r="BJ721" s="3"/>
      <c r="BK721" s="3"/>
      <c r="BL721" s="3"/>
      <c r="BM721" s="3"/>
      <c r="BN721" s="3"/>
      <c r="BS721" s="203">
        <f t="shared" si="13"/>
        <v>15</v>
      </c>
      <c r="BT721" s="206">
        <f t="shared" si="14"/>
        <v>7.6142131979695438E-2</v>
      </c>
      <c r="BU721" s="207">
        <f t="shared" si="15"/>
        <v>2.2850822520505052E-2</v>
      </c>
      <c r="CC721" s="3"/>
      <c r="CD721" s="3"/>
      <c r="CE721" s="3"/>
      <c r="CF721" s="3"/>
      <c r="CG721" s="1421">
        <f t="shared" si="37"/>
        <v>0</v>
      </c>
      <c r="CH721" s="1422"/>
      <c r="CI721" s="1421">
        <f t="shared" si="38"/>
        <v>0</v>
      </c>
      <c r="CJ721" s="1422"/>
      <c r="CK721" s="1421">
        <f t="shared" si="16"/>
        <v>1</v>
      </c>
      <c r="CL721" s="1422"/>
      <c r="CM721" s="1421">
        <f t="shared" si="17"/>
        <v>15</v>
      </c>
      <c r="CN721" s="1422"/>
      <c r="CO721" s="3"/>
      <c r="CP721" s="1416">
        <f t="shared" si="18"/>
        <v>0</v>
      </c>
      <c r="CQ721" s="1417"/>
      <c r="CR721" s="1417"/>
      <c r="CS721" s="1417"/>
      <c r="CT721" s="1418"/>
      <c r="CU721" s="1401">
        <f t="shared" si="19"/>
        <v>0</v>
      </c>
      <c r="CV721" s="1401"/>
      <c r="CW721" s="1401"/>
      <c r="CX721" s="1401"/>
      <c r="CY721" s="1401"/>
      <c r="CZ721" s="1401">
        <f t="shared" si="20"/>
        <v>15</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15</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t="str">
        <f t="shared" si="31"/>
        <v/>
      </c>
      <c r="FF721" s="1423"/>
      <c r="FG721" s="1423"/>
      <c r="FH721" s="1423"/>
      <c r="FI721" s="1422"/>
      <c r="FJ721" s="1421">
        <f t="shared" si="32"/>
        <v>980</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3" customHeight="1">
      <c r="B722" s="1300" t="s">
        <v>834</v>
      </c>
      <c r="C722" s="1301"/>
      <c r="D722" s="1301"/>
      <c r="E722" s="1301"/>
      <c r="F722" s="1302"/>
      <c r="G722" s="1311">
        <v>42</v>
      </c>
      <c r="H722" s="1312"/>
      <c r="I722" s="1312"/>
      <c r="J722" s="1313"/>
      <c r="K722" s="1306">
        <v>701</v>
      </c>
      <c r="L722" s="1307"/>
      <c r="M722" s="1307"/>
      <c r="N722" s="1308"/>
      <c r="O722" s="1303">
        <v>2097</v>
      </c>
      <c r="P722" s="1304"/>
      <c r="Q722" s="1304"/>
      <c r="R722" s="1304"/>
      <c r="S722" s="1305"/>
      <c r="T722" s="1303">
        <v>137</v>
      </c>
      <c r="U722" s="1304"/>
      <c r="V722" s="1304"/>
      <c r="W722" s="1305"/>
      <c r="X722" s="1314">
        <f t="shared" si="8"/>
        <v>2234</v>
      </c>
      <c r="Y722" s="1315"/>
      <c r="Z722" s="1315"/>
      <c r="AA722" s="1315"/>
      <c r="AB722" s="1316"/>
      <c r="AC722" s="1321">
        <v>0.6</v>
      </c>
      <c r="AD722" s="1322"/>
      <c r="AE722" s="1322"/>
      <c r="AF722" s="1322"/>
      <c r="AG722" s="1323"/>
      <c r="AH722" s="1317">
        <f t="shared" si="36"/>
        <v>0.60021493820526595</v>
      </c>
      <c r="AI722" s="1318"/>
      <c r="AJ722" s="1319"/>
      <c r="AK722" s="1300" t="s">
        <v>813</v>
      </c>
      <c r="AL722" s="1301"/>
      <c r="AM722" s="1301"/>
      <c r="AN722" s="1301"/>
      <c r="AO722" s="1302"/>
      <c r="AP722" s="3"/>
      <c r="AQ722" s="3"/>
      <c r="AR722" s="3"/>
      <c r="AS722" s="3"/>
      <c r="AY722" s="85"/>
      <c r="AZ722" s="84">
        <f t="shared" si="9"/>
        <v>3722</v>
      </c>
      <c r="BA722" s="3"/>
      <c r="BB722" s="3"/>
      <c r="BC722" s="3"/>
      <c r="BD722" s="3"/>
      <c r="BE722" s="136"/>
      <c r="BF722" s="203">
        <f t="shared" si="10"/>
        <v>42</v>
      </c>
      <c r="BG722" s="206">
        <f t="shared" si="11"/>
        <v>0.21319796954314721</v>
      </c>
      <c r="BH722" s="207">
        <f t="shared" si="12"/>
        <v>0.12791878172588833</v>
      </c>
      <c r="BI722" s="3"/>
      <c r="BJ722" s="3"/>
      <c r="BK722" s="3"/>
      <c r="BL722" s="3"/>
      <c r="BM722" s="3"/>
      <c r="BN722" s="3"/>
      <c r="BS722" s="203">
        <f t="shared" si="13"/>
        <v>42</v>
      </c>
      <c r="BT722" s="206">
        <f t="shared" si="14"/>
        <v>0.21319796954314721</v>
      </c>
      <c r="BU722" s="207">
        <f t="shared" si="15"/>
        <v>0.12796460611482827</v>
      </c>
      <c r="CC722" s="3"/>
      <c r="CD722" s="3"/>
      <c r="CE722" s="3"/>
      <c r="CF722" s="3"/>
      <c r="CG722" s="1421">
        <f t="shared" si="37"/>
        <v>0</v>
      </c>
      <c r="CH722" s="1422"/>
      <c r="CI722" s="1421">
        <f t="shared" si="38"/>
        <v>0</v>
      </c>
      <c r="CJ722" s="1422"/>
      <c r="CK722" s="1421">
        <f t="shared" si="16"/>
        <v>0</v>
      </c>
      <c r="CL722" s="1422"/>
      <c r="CM722" s="1421">
        <f t="shared" si="17"/>
        <v>0</v>
      </c>
      <c r="CN722" s="1422"/>
      <c r="CO722" s="3"/>
      <c r="CP722" s="1416">
        <f t="shared" si="18"/>
        <v>0</v>
      </c>
      <c r="CQ722" s="1417"/>
      <c r="CR722" s="1417"/>
      <c r="CS722" s="1417"/>
      <c r="CT722" s="1418"/>
      <c r="CU722" s="1401">
        <f t="shared" si="19"/>
        <v>0</v>
      </c>
      <c r="CV722" s="1401"/>
      <c r="CW722" s="1401"/>
      <c r="CX722" s="1401"/>
      <c r="CY722" s="1401"/>
      <c r="CZ722" s="1401">
        <f t="shared" si="20"/>
        <v>42</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f t="shared" si="32"/>
        <v>2097</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3" customHeight="1">
      <c r="B723" s="1300" t="s">
        <v>835</v>
      </c>
      <c r="C723" s="1301"/>
      <c r="D723" s="1301"/>
      <c r="E723" s="1301"/>
      <c r="F723" s="1302"/>
      <c r="G723" s="1311">
        <v>30</v>
      </c>
      <c r="H723" s="1312"/>
      <c r="I723" s="1312"/>
      <c r="J723" s="1313"/>
      <c r="K723" s="1306">
        <v>1026</v>
      </c>
      <c r="L723" s="1307"/>
      <c r="M723" s="1307"/>
      <c r="N723" s="1308"/>
      <c r="O723" s="1303">
        <v>1112</v>
      </c>
      <c r="P723" s="1304"/>
      <c r="Q723" s="1304"/>
      <c r="R723" s="1304"/>
      <c r="S723" s="1305"/>
      <c r="T723" s="1303">
        <v>178</v>
      </c>
      <c r="U723" s="1304"/>
      <c r="V723" s="1304"/>
      <c r="W723" s="1305"/>
      <c r="X723" s="1314">
        <f t="shared" si="8"/>
        <v>1290</v>
      </c>
      <c r="Y723" s="1315"/>
      <c r="Z723" s="1315"/>
      <c r="AA723" s="1315"/>
      <c r="AB723" s="1316"/>
      <c r="AC723" s="1321">
        <v>0.3</v>
      </c>
      <c r="AD723" s="1322"/>
      <c r="AE723" s="1322"/>
      <c r="AF723" s="1322"/>
      <c r="AG723" s="1323"/>
      <c r="AH723" s="1317">
        <f t="shared" si="36"/>
        <v>0.3</v>
      </c>
      <c r="AI723" s="1318"/>
      <c r="AJ723" s="1319"/>
      <c r="AK723" s="1300" t="s">
        <v>813</v>
      </c>
      <c r="AL723" s="1301"/>
      <c r="AM723" s="1301"/>
      <c r="AN723" s="1301"/>
      <c r="AO723" s="1302"/>
      <c r="AP723" s="3"/>
      <c r="AQ723" s="3"/>
      <c r="AR723" s="3"/>
      <c r="AS723" s="3"/>
      <c r="AY723" s="85"/>
      <c r="AZ723" s="84">
        <f t="shared" si="9"/>
        <v>4300</v>
      </c>
      <c r="BA723" s="3"/>
      <c r="BB723" s="3"/>
      <c r="BC723" s="3"/>
      <c r="BD723" s="3"/>
      <c r="BE723" s="136"/>
      <c r="BF723" s="203">
        <f t="shared" si="10"/>
        <v>30</v>
      </c>
      <c r="BG723" s="206">
        <f t="shared" si="11"/>
        <v>0.15228426395939088</v>
      </c>
      <c r="BH723" s="207">
        <f t="shared" si="12"/>
        <v>4.5685279187817264E-2</v>
      </c>
      <c r="BI723" s="3"/>
      <c r="BJ723" s="3"/>
      <c r="BK723" s="3"/>
      <c r="BL723" s="3"/>
      <c r="BM723" s="3"/>
      <c r="BN723" s="3"/>
      <c r="BS723" s="203">
        <f t="shared" si="13"/>
        <v>30</v>
      </c>
      <c r="BT723" s="206">
        <f t="shared" si="14"/>
        <v>0.15228426395939088</v>
      </c>
      <c r="BU723" s="207">
        <f t="shared" si="15"/>
        <v>4.5685279187817264E-2</v>
      </c>
      <c r="CC723" s="3"/>
      <c r="CD723" s="3"/>
      <c r="CE723" s="3"/>
      <c r="CF723" s="3"/>
      <c r="CG723" s="1421">
        <f t="shared" si="37"/>
        <v>0</v>
      </c>
      <c r="CH723" s="1422"/>
      <c r="CI723" s="1421">
        <f t="shared" si="38"/>
        <v>0</v>
      </c>
      <c r="CJ723" s="1422"/>
      <c r="CK723" s="1421">
        <f t="shared" si="16"/>
        <v>1</v>
      </c>
      <c r="CL723" s="1422"/>
      <c r="CM723" s="1421">
        <f t="shared" si="17"/>
        <v>30</v>
      </c>
      <c r="CN723" s="1422"/>
      <c r="CO723" s="3"/>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30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30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f t="shared" si="33"/>
        <v>1112</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3" customHeight="1">
      <c r="B724" s="1300" t="s">
        <v>835</v>
      </c>
      <c r="C724" s="1301"/>
      <c r="D724" s="1301"/>
      <c r="E724" s="1301"/>
      <c r="F724" s="1302"/>
      <c r="G724" s="1311">
        <v>3</v>
      </c>
      <c r="H724" s="1312"/>
      <c r="I724" s="1312"/>
      <c r="J724" s="1313"/>
      <c r="K724" s="1306">
        <v>1026</v>
      </c>
      <c r="L724" s="1307"/>
      <c r="M724" s="1307"/>
      <c r="N724" s="1308"/>
      <c r="O724" s="1303">
        <f>2580-178</f>
        <v>2402</v>
      </c>
      <c r="P724" s="1304"/>
      <c r="Q724" s="1304"/>
      <c r="R724" s="1304"/>
      <c r="S724" s="1305"/>
      <c r="T724" s="1303">
        <v>178</v>
      </c>
      <c r="U724" s="1304"/>
      <c r="V724" s="1304"/>
      <c r="W724" s="1305"/>
      <c r="X724" s="1314">
        <f t="shared" si="8"/>
        <v>2580</v>
      </c>
      <c r="Y724" s="1315"/>
      <c r="Z724" s="1315"/>
      <c r="AA724" s="1315"/>
      <c r="AB724" s="1316"/>
      <c r="AC724" s="1321">
        <v>0.6</v>
      </c>
      <c r="AD724" s="1322"/>
      <c r="AE724" s="1322"/>
      <c r="AF724" s="1322"/>
      <c r="AG724" s="1323"/>
      <c r="AH724" s="1317">
        <f t="shared" si="36"/>
        <v>0.6</v>
      </c>
      <c r="AI724" s="1318"/>
      <c r="AJ724" s="1319"/>
      <c r="AK724" s="1300" t="s">
        <v>813</v>
      </c>
      <c r="AL724" s="1301"/>
      <c r="AM724" s="1301"/>
      <c r="AN724" s="1301"/>
      <c r="AO724" s="1302"/>
      <c r="AP724" s="3"/>
      <c r="AQ724" s="3"/>
      <c r="AR724" s="3"/>
      <c r="AS724" s="3"/>
      <c r="AY724" s="85"/>
      <c r="AZ724" s="84">
        <f t="shared" si="9"/>
        <v>4300</v>
      </c>
      <c r="BA724" s="3"/>
      <c r="BB724" s="3"/>
      <c r="BC724" s="3"/>
      <c r="BD724" s="3"/>
      <c r="BE724" s="136"/>
      <c r="BF724" s="203">
        <f t="shared" si="10"/>
        <v>3</v>
      </c>
      <c r="BG724" s="206">
        <f t="shared" si="11"/>
        <v>1.5228426395939087E-2</v>
      </c>
      <c r="BH724" s="207">
        <f t="shared" si="12"/>
        <v>9.1370558375634525E-3</v>
      </c>
      <c r="BI724" s="3"/>
      <c r="BJ724" s="3"/>
      <c r="BK724" s="3"/>
      <c r="BL724" s="3"/>
      <c r="BM724" s="3"/>
      <c r="BN724" s="3"/>
      <c r="BS724" s="203">
        <f t="shared" si="13"/>
        <v>3</v>
      </c>
      <c r="BT724" s="206">
        <f t="shared" si="14"/>
        <v>1.5228426395939087E-2</v>
      </c>
      <c r="BU724" s="207">
        <f t="shared" si="15"/>
        <v>9.1370558375634525E-3</v>
      </c>
      <c r="CC724" s="3"/>
      <c r="CE724" s="3"/>
      <c r="CF724" s="3"/>
      <c r="CG724" s="1421">
        <f t="shared" si="37"/>
        <v>0</v>
      </c>
      <c r="CH724" s="1422"/>
      <c r="CI724" s="1421">
        <f t="shared" si="38"/>
        <v>0</v>
      </c>
      <c r="CJ724" s="1422"/>
      <c r="CK724" s="1421">
        <f t="shared" si="16"/>
        <v>0</v>
      </c>
      <c r="CL724" s="1422"/>
      <c r="CM724" s="1421">
        <f t="shared" si="17"/>
        <v>0</v>
      </c>
      <c r="CN724" s="1422"/>
      <c r="CO724" s="3"/>
      <c r="CP724" s="1416">
        <f t="shared" si="18"/>
        <v>0</v>
      </c>
      <c r="CQ724" s="1417"/>
      <c r="CR724" s="1417"/>
      <c r="CS724" s="1417"/>
      <c r="CT724" s="1418"/>
      <c r="CU724" s="1401">
        <f t="shared" si="19"/>
        <v>0</v>
      </c>
      <c r="CV724" s="1401"/>
      <c r="CW724" s="1401"/>
      <c r="CX724" s="1401"/>
      <c r="CY724" s="1401"/>
      <c r="CZ724" s="1401">
        <f t="shared" si="20"/>
        <v>0</v>
      </c>
      <c r="DA724" s="1401"/>
      <c r="DB724" s="1401"/>
      <c r="DC724" s="1401"/>
      <c r="DD724" s="1401"/>
      <c r="DE724" s="1401">
        <f t="shared" si="21"/>
        <v>3</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t="str">
        <f t="shared" si="31"/>
        <v/>
      </c>
      <c r="FF724" s="1423"/>
      <c r="FG724" s="1423"/>
      <c r="FH724" s="1423"/>
      <c r="FI724" s="1422"/>
      <c r="FJ724" s="1421" t="str">
        <f t="shared" si="32"/>
        <v/>
      </c>
      <c r="FK724" s="1423"/>
      <c r="FL724" s="1423"/>
      <c r="FM724" s="1423"/>
      <c r="FN724" s="1422"/>
      <c r="FO724" s="1421">
        <f t="shared" si="33"/>
        <v>2402</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3" customHeight="1">
      <c r="B725" s="1300" t="s">
        <v>835</v>
      </c>
      <c r="C725" s="1301"/>
      <c r="D725" s="1301"/>
      <c r="E725" s="1301"/>
      <c r="F725" s="1302"/>
      <c r="G725" s="1311">
        <v>59</v>
      </c>
      <c r="H725" s="1312"/>
      <c r="I725" s="1312"/>
      <c r="J725" s="1313"/>
      <c r="K725" s="1306">
        <v>1026</v>
      </c>
      <c r="L725" s="1307"/>
      <c r="M725" s="1307"/>
      <c r="N725" s="1308"/>
      <c r="O725" s="1303">
        <f>3320-178</f>
        <v>3142</v>
      </c>
      <c r="P725" s="1304"/>
      <c r="Q725" s="1304"/>
      <c r="R725" s="1304"/>
      <c r="S725" s="1305"/>
      <c r="T725" s="1303">
        <v>178</v>
      </c>
      <c r="U725" s="1304"/>
      <c r="V725" s="1304"/>
      <c r="W725" s="1305"/>
      <c r="X725" s="1314">
        <f t="shared" si="8"/>
        <v>3320</v>
      </c>
      <c r="Y725" s="1315"/>
      <c r="Z725" s="1315"/>
      <c r="AA725" s="1315"/>
      <c r="AB725" s="1316"/>
      <c r="AC725" s="1321">
        <v>0.8</v>
      </c>
      <c r="AD725" s="1322"/>
      <c r="AE725" s="1322"/>
      <c r="AF725" s="1322"/>
      <c r="AG725" s="1323"/>
      <c r="AH725" s="1317">
        <f t="shared" si="36"/>
        <v>0.77209302325581397</v>
      </c>
      <c r="AI725" s="1318"/>
      <c r="AJ725" s="1319"/>
      <c r="AK725" s="1300" t="s">
        <v>813</v>
      </c>
      <c r="AL725" s="1301"/>
      <c r="AM725" s="1301"/>
      <c r="AN725" s="1301"/>
      <c r="AO725" s="1302"/>
      <c r="AP725" s="3"/>
      <c r="AQ725" s="3"/>
      <c r="AR725" s="3"/>
      <c r="AS725" s="3"/>
      <c r="AY725" s="856"/>
      <c r="AZ725" s="84">
        <f t="shared" si="9"/>
        <v>4300</v>
      </c>
      <c r="BA725" s="3"/>
      <c r="BB725" s="3"/>
      <c r="BC725" s="3"/>
      <c r="BD725" s="3"/>
      <c r="BE725" s="136"/>
      <c r="BF725" s="203">
        <f t="shared" si="10"/>
        <v>59</v>
      </c>
      <c r="BG725" s="206">
        <f t="shared" si="11"/>
        <v>0.29949238578680204</v>
      </c>
      <c r="BH725" s="207">
        <f t="shared" si="12"/>
        <v>0.23959390862944163</v>
      </c>
      <c r="BI725" s="3"/>
      <c r="BJ725" s="3"/>
      <c r="BK725" s="3"/>
      <c r="BL725" s="3"/>
      <c r="BM725" s="3"/>
      <c r="BN725" s="3"/>
      <c r="BS725" s="203">
        <f t="shared" si="13"/>
        <v>59</v>
      </c>
      <c r="BT725" s="206">
        <f t="shared" si="14"/>
        <v>0.29949238578680204</v>
      </c>
      <c r="BU725" s="207">
        <f t="shared" si="15"/>
        <v>0.23123598158422856</v>
      </c>
      <c r="BV725" s="1174"/>
      <c r="BW725" s="3"/>
      <c r="BX725" s="3"/>
      <c r="BY725" s="3"/>
      <c r="BZ725" s="3"/>
      <c r="CA725" s="3"/>
      <c r="CB725" s="3"/>
      <c r="CC725" s="3"/>
      <c r="CE725" s="3"/>
      <c r="CF725" s="3"/>
      <c r="CG725" s="1421">
        <f t="shared" si="37"/>
        <v>0</v>
      </c>
      <c r="CH725" s="1422"/>
      <c r="CI725" s="1421">
        <f t="shared" si="38"/>
        <v>0</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0</v>
      </c>
      <c r="DA725" s="1401"/>
      <c r="DB725" s="1401"/>
      <c r="DC725" s="1401"/>
      <c r="DD725" s="1401"/>
      <c r="DE725" s="1401">
        <f t="shared" si="21"/>
        <v>59</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t="str">
        <f t="shared" si="32"/>
        <v/>
      </c>
      <c r="FK725" s="1423"/>
      <c r="FL725" s="1423"/>
      <c r="FM725" s="1423"/>
      <c r="FN725" s="1422"/>
      <c r="FO725" s="1421">
        <f t="shared" si="33"/>
        <v>3142</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3" customHeight="1">
      <c r="B726" s="1300"/>
      <c r="C726" s="1301"/>
      <c r="D726" s="1301"/>
      <c r="E726" s="1301"/>
      <c r="F726" s="1302"/>
      <c r="G726" s="1311"/>
      <c r="H726" s="1312"/>
      <c r="I726" s="1312"/>
      <c r="J726" s="1313"/>
      <c r="K726" s="1306"/>
      <c r="L726" s="1307"/>
      <c r="M726" s="1307"/>
      <c r="N726" s="1308"/>
      <c r="O726" s="1303"/>
      <c r="P726" s="1304"/>
      <c r="Q726" s="1304"/>
      <c r="R726" s="1304"/>
      <c r="S726" s="1305"/>
      <c r="T726" s="1303"/>
      <c r="U726" s="1304"/>
      <c r="V726" s="1304"/>
      <c r="W726" s="1305"/>
      <c r="X726" s="1314">
        <f t="shared" si="8"/>
        <v>0</v>
      </c>
      <c r="Y726" s="1315"/>
      <c r="Z726" s="1315"/>
      <c r="AA726" s="1315"/>
      <c r="AB726" s="1316"/>
      <c r="AC726" s="1321"/>
      <c r="AD726" s="1322"/>
      <c r="AE726" s="1322"/>
      <c r="AF726" s="1322"/>
      <c r="AG726" s="1323"/>
      <c r="AH726" s="1317" t="str">
        <f t="shared" si="36"/>
        <v/>
      </c>
      <c r="AI726" s="1318"/>
      <c r="AJ726" s="1319"/>
      <c r="AK726" s="1300" t="s">
        <v>813</v>
      </c>
      <c r="AL726" s="1301"/>
      <c r="AM726" s="1301"/>
      <c r="AN726" s="1301"/>
      <c r="AO726" s="1302"/>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1">
        <f t="shared" si="37"/>
        <v>0</v>
      </c>
      <c r="CH726" s="1422"/>
      <c r="CI726" s="1421">
        <f t="shared" si="38"/>
        <v>0</v>
      </c>
      <c r="CJ726" s="1422"/>
      <c r="CK726" s="1421">
        <f t="shared" si="16"/>
        <v>0</v>
      </c>
      <c r="CL726" s="1422"/>
      <c r="CM726" s="1421">
        <f t="shared" si="17"/>
        <v>0</v>
      </c>
      <c r="CN726" s="1422"/>
      <c r="CO726" s="3"/>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t="str">
        <f t="shared" si="33"/>
        <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3" customHeight="1">
      <c r="A727" s="3"/>
      <c r="B727" s="1300"/>
      <c r="C727" s="1301"/>
      <c r="D727" s="1301"/>
      <c r="E727" s="1301"/>
      <c r="F727" s="1302"/>
      <c r="G727" s="1311"/>
      <c r="H727" s="1312"/>
      <c r="I727" s="1312"/>
      <c r="J727" s="1313"/>
      <c r="K727" s="1306"/>
      <c r="L727" s="1307"/>
      <c r="M727" s="1307"/>
      <c r="N727" s="1308"/>
      <c r="O727" s="1303"/>
      <c r="P727" s="1304"/>
      <c r="Q727" s="1304"/>
      <c r="R727" s="1304"/>
      <c r="S727" s="1305"/>
      <c r="T727" s="1303"/>
      <c r="U727" s="1304"/>
      <c r="V727" s="1304"/>
      <c r="W727" s="1305"/>
      <c r="X727" s="1314">
        <f t="shared" si="8"/>
        <v>0</v>
      </c>
      <c r="Y727" s="1315"/>
      <c r="Z727" s="1315"/>
      <c r="AA727" s="1315"/>
      <c r="AB727" s="1316"/>
      <c r="AC727" s="1321"/>
      <c r="AD727" s="1322"/>
      <c r="AE727" s="1322"/>
      <c r="AF727" s="1322"/>
      <c r="AG727" s="1323"/>
      <c r="AH727" s="1317" t="str">
        <f t="shared" si="36"/>
        <v/>
      </c>
      <c r="AI727" s="1318"/>
      <c r="AJ727" s="1319"/>
      <c r="AK727" s="1300" t="s">
        <v>813</v>
      </c>
      <c r="AL727" s="1301"/>
      <c r="AM727" s="1301"/>
      <c r="AN727" s="1301"/>
      <c r="AO727" s="1302"/>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1">
        <f t="shared" si="37"/>
        <v>0</v>
      </c>
      <c r="CH727" s="1422"/>
      <c r="CI727" s="1421">
        <f t="shared" si="38"/>
        <v>0</v>
      </c>
      <c r="CJ727" s="1422"/>
      <c r="CK727" s="1421">
        <f t="shared" si="16"/>
        <v>0</v>
      </c>
      <c r="CL727" s="1422"/>
      <c r="CM727" s="1421">
        <f t="shared" si="17"/>
        <v>0</v>
      </c>
      <c r="CN727" s="1422"/>
      <c r="CO727" s="3"/>
      <c r="CP727" s="1416">
        <f t="shared" si="18"/>
        <v>0</v>
      </c>
      <c r="CQ727" s="1417"/>
      <c r="CR727" s="1417"/>
      <c r="CS727" s="1417"/>
      <c r="CT727" s="1418"/>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t="str">
        <f t="shared" si="31"/>
        <v/>
      </c>
      <c r="FF727" s="1423"/>
      <c r="FG727" s="1423"/>
      <c r="FH727" s="1423"/>
      <c r="FI727" s="1422"/>
      <c r="FJ727" s="1421" t="str">
        <f t="shared" si="32"/>
        <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3" customHeight="1">
      <c r="A728" s="3"/>
      <c r="B728" s="1300"/>
      <c r="C728" s="1301"/>
      <c r="D728" s="1301"/>
      <c r="E728" s="1301"/>
      <c r="F728" s="1302"/>
      <c r="G728" s="1311"/>
      <c r="H728" s="1312"/>
      <c r="I728" s="1312"/>
      <c r="J728" s="1313"/>
      <c r="K728" s="1306"/>
      <c r="L728" s="1307"/>
      <c r="M728" s="1307"/>
      <c r="N728" s="1308"/>
      <c r="O728" s="1303"/>
      <c r="P728" s="1304"/>
      <c r="Q728" s="1304"/>
      <c r="R728" s="1304"/>
      <c r="S728" s="1305"/>
      <c r="T728" s="1303"/>
      <c r="U728" s="1304"/>
      <c r="V728" s="1304"/>
      <c r="W728" s="1305"/>
      <c r="X728" s="1314">
        <f t="shared" si="8"/>
        <v>0</v>
      </c>
      <c r="Y728" s="1315"/>
      <c r="Z728" s="1315"/>
      <c r="AA728" s="1315"/>
      <c r="AB728" s="1316"/>
      <c r="AC728" s="1321"/>
      <c r="AD728" s="1322"/>
      <c r="AE728" s="1322"/>
      <c r="AF728" s="1322"/>
      <c r="AG728" s="1323"/>
      <c r="AH728" s="1317" t="str">
        <f t="shared" si="36"/>
        <v/>
      </c>
      <c r="AI728" s="1318"/>
      <c r="AJ728" s="1319"/>
      <c r="AK728" s="1300" t="s">
        <v>813</v>
      </c>
      <c r="AL728" s="1301"/>
      <c r="AM728" s="1301"/>
      <c r="AN728" s="1301"/>
      <c r="AO728" s="1302"/>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t="str">
        <f t="shared" si="33"/>
        <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3" customHeight="1">
      <c r="A729" s="3"/>
      <c r="B729" s="1300"/>
      <c r="C729" s="1301"/>
      <c r="D729" s="1301"/>
      <c r="E729" s="1301"/>
      <c r="F729" s="1302"/>
      <c r="G729" s="1311"/>
      <c r="H729" s="1312"/>
      <c r="I729" s="1312"/>
      <c r="J729" s="1313"/>
      <c r="K729" s="1306"/>
      <c r="L729" s="1307"/>
      <c r="M729" s="1307"/>
      <c r="N729" s="1308"/>
      <c r="O729" s="1303"/>
      <c r="P729" s="1304"/>
      <c r="Q729" s="1304"/>
      <c r="R729" s="1304"/>
      <c r="S729" s="1305"/>
      <c r="T729" s="1303"/>
      <c r="U729" s="1304"/>
      <c r="V729" s="1304"/>
      <c r="W729" s="1305"/>
      <c r="X729" s="1314">
        <f t="shared" si="8"/>
        <v>0</v>
      </c>
      <c r="Y729" s="1315"/>
      <c r="Z729" s="1315"/>
      <c r="AA729" s="1315"/>
      <c r="AB729" s="1316"/>
      <c r="AC729" s="1321"/>
      <c r="AD729" s="1322"/>
      <c r="AE729" s="1322"/>
      <c r="AF729" s="1322"/>
      <c r="AG729" s="1323"/>
      <c r="AH729" s="1317" t="str">
        <f t="shared" si="36"/>
        <v/>
      </c>
      <c r="AI729" s="1318"/>
      <c r="AJ729" s="1319"/>
      <c r="AK729" s="1300" t="s">
        <v>813</v>
      </c>
      <c r="AL729" s="1301"/>
      <c r="AM729" s="1301"/>
      <c r="AN729" s="1301"/>
      <c r="AO729" s="1302"/>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t="str">
        <f t="shared" si="33"/>
        <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3" customHeight="1">
      <c r="B730" s="1300"/>
      <c r="C730" s="1301"/>
      <c r="D730" s="1301"/>
      <c r="E730" s="1301"/>
      <c r="F730" s="1302"/>
      <c r="G730" s="1311"/>
      <c r="H730" s="1312"/>
      <c r="I730" s="1312"/>
      <c r="J730" s="1313"/>
      <c r="K730" s="1306"/>
      <c r="L730" s="1307"/>
      <c r="M730" s="1307"/>
      <c r="N730" s="1308"/>
      <c r="O730" s="1303"/>
      <c r="P730" s="1304"/>
      <c r="Q730" s="1304"/>
      <c r="R730" s="1304"/>
      <c r="S730" s="1305"/>
      <c r="T730" s="1303"/>
      <c r="U730" s="1304"/>
      <c r="V730" s="1304"/>
      <c r="W730" s="1305"/>
      <c r="X730" s="1314">
        <f t="shared" si="8"/>
        <v>0</v>
      </c>
      <c r="Y730" s="1315"/>
      <c r="Z730" s="1315"/>
      <c r="AA730" s="1315"/>
      <c r="AB730" s="1316"/>
      <c r="AC730" s="1321"/>
      <c r="AD730" s="1322"/>
      <c r="AE730" s="1322"/>
      <c r="AF730" s="1322"/>
      <c r="AG730" s="1323"/>
      <c r="AH730" s="1317" t="str">
        <f t="shared" si="36"/>
        <v/>
      </c>
      <c r="AI730" s="1318"/>
      <c r="AJ730" s="1319"/>
      <c r="AK730" s="1300" t="s">
        <v>813</v>
      </c>
      <c r="AL730" s="1301"/>
      <c r="AM730" s="1301"/>
      <c r="AN730" s="1301"/>
      <c r="AO730" s="1302"/>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3" customHeight="1">
      <c r="B731" s="1300"/>
      <c r="C731" s="1301"/>
      <c r="D731" s="1301"/>
      <c r="E731" s="1301"/>
      <c r="F731" s="1302"/>
      <c r="G731" s="1311"/>
      <c r="H731" s="1312"/>
      <c r="I731" s="1312"/>
      <c r="J731" s="1313"/>
      <c r="K731" s="1306"/>
      <c r="L731" s="1307"/>
      <c r="M731" s="1307"/>
      <c r="N731" s="1308"/>
      <c r="O731" s="1303"/>
      <c r="P731" s="1304"/>
      <c r="Q731" s="1304"/>
      <c r="R731" s="1304"/>
      <c r="S731" s="1305"/>
      <c r="T731" s="1303"/>
      <c r="U731" s="1304"/>
      <c r="V731" s="1304"/>
      <c r="W731" s="1305"/>
      <c r="X731" s="1314">
        <f t="shared" si="8"/>
        <v>0</v>
      </c>
      <c r="Y731" s="1315"/>
      <c r="Z731" s="1315"/>
      <c r="AA731" s="1315"/>
      <c r="AB731" s="1316"/>
      <c r="AC731" s="1321"/>
      <c r="AD731" s="1322"/>
      <c r="AE731" s="1322"/>
      <c r="AF731" s="1322"/>
      <c r="AG731" s="1323"/>
      <c r="AH731" s="1317" t="str">
        <f t="shared" si="36"/>
        <v/>
      </c>
      <c r="AI731" s="1318"/>
      <c r="AJ731" s="1319"/>
      <c r="AK731" s="1300" t="s">
        <v>813</v>
      </c>
      <c r="AL731" s="1301"/>
      <c r="AM731" s="1301"/>
      <c r="AN731" s="1301"/>
      <c r="AO731" s="1302"/>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3" customHeight="1">
      <c r="B732" s="1300"/>
      <c r="C732" s="1301"/>
      <c r="D732" s="1301"/>
      <c r="E732" s="1301"/>
      <c r="F732" s="1302"/>
      <c r="G732" s="1311"/>
      <c r="H732" s="1312"/>
      <c r="I732" s="1312"/>
      <c r="J732" s="1313"/>
      <c r="K732" s="1306"/>
      <c r="L732" s="1307"/>
      <c r="M732" s="1307"/>
      <c r="N732" s="1308"/>
      <c r="O732" s="1303"/>
      <c r="P732" s="1304"/>
      <c r="Q732" s="1304"/>
      <c r="R732" s="1304"/>
      <c r="S732" s="1305"/>
      <c r="T732" s="1303"/>
      <c r="U732" s="1304"/>
      <c r="V732" s="1304"/>
      <c r="W732" s="1305"/>
      <c r="X732" s="1314">
        <f t="shared" si="8"/>
        <v>0</v>
      </c>
      <c r="Y732" s="1315"/>
      <c r="Z732" s="1315"/>
      <c r="AA732" s="1315"/>
      <c r="AB732" s="1316"/>
      <c r="AC732" s="1321"/>
      <c r="AD732" s="1322"/>
      <c r="AE732" s="1322"/>
      <c r="AF732" s="1322"/>
      <c r="AG732" s="1323"/>
      <c r="AH732" s="1317" t="str">
        <f t="shared" si="36"/>
        <v/>
      </c>
      <c r="AI732" s="1318"/>
      <c r="AJ732" s="1319"/>
      <c r="AK732" s="1300" t="s">
        <v>813</v>
      </c>
      <c r="AL732" s="1301"/>
      <c r="AM732" s="1301"/>
      <c r="AN732" s="1301"/>
      <c r="AO732" s="1302"/>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3" customHeight="1">
      <c r="B733" s="1300"/>
      <c r="C733" s="1301"/>
      <c r="D733" s="1301"/>
      <c r="E733" s="1301"/>
      <c r="F733" s="1302"/>
      <c r="G733" s="1311"/>
      <c r="H733" s="1312"/>
      <c r="I733" s="1312"/>
      <c r="J733" s="1313"/>
      <c r="K733" s="1306"/>
      <c r="L733" s="1307"/>
      <c r="M733" s="1307"/>
      <c r="N733" s="1308"/>
      <c r="O733" s="1303"/>
      <c r="P733" s="1304"/>
      <c r="Q733" s="1304"/>
      <c r="R733" s="1304"/>
      <c r="S733" s="1305"/>
      <c r="T733" s="1303"/>
      <c r="U733" s="1304"/>
      <c r="V733" s="1304"/>
      <c r="W733" s="1305"/>
      <c r="X733" s="1314">
        <f t="shared" si="8"/>
        <v>0</v>
      </c>
      <c r="Y733" s="1315"/>
      <c r="Z733" s="1315"/>
      <c r="AA733" s="1315"/>
      <c r="AB733" s="1316"/>
      <c r="AC733" s="1321"/>
      <c r="AD733" s="1322"/>
      <c r="AE733" s="1322"/>
      <c r="AF733" s="1322"/>
      <c r="AG733" s="1323"/>
      <c r="AH733" s="1317" t="str">
        <f t="shared" si="36"/>
        <v/>
      </c>
      <c r="AI733" s="1318"/>
      <c r="AJ733" s="1319"/>
      <c r="AK733" s="1300" t="s">
        <v>813</v>
      </c>
      <c r="AL733" s="1301"/>
      <c r="AM733" s="1301"/>
      <c r="AN733" s="1301"/>
      <c r="AO733" s="1302"/>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3" customHeight="1">
      <c r="B734" s="1300"/>
      <c r="C734" s="1301"/>
      <c r="D734" s="1301"/>
      <c r="E734" s="1301"/>
      <c r="F734" s="1302"/>
      <c r="G734" s="1311"/>
      <c r="H734" s="1312"/>
      <c r="I734" s="1312"/>
      <c r="J734" s="1313"/>
      <c r="K734" s="1306"/>
      <c r="L734" s="1307"/>
      <c r="M734" s="1307"/>
      <c r="N734" s="1308"/>
      <c r="O734" s="1303"/>
      <c r="P734" s="1304"/>
      <c r="Q734" s="1304"/>
      <c r="R734" s="1304"/>
      <c r="S734" s="1305"/>
      <c r="T734" s="1303"/>
      <c r="U734" s="1304"/>
      <c r="V734" s="1304"/>
      <c r="W734" s="1305"/>
      <c r="X734" s="1314">
        <f t="shared" si="8"/>
        <v>0</v>
      </c>
      <c r="Y734" s="1315"/>
      <c r="Z734" s="1315"/>
      <c r="AA734" s="1315"/>
      <c r="AB734" s="1316"/>
      <c r="AC734" s="1321"/>
      <c r="AD734" s="1322"/>
      <c r="AE734" s="1322"/>
      <c r="AF734" s="1322"/>
      <c r="AG734" s="1323"/>
      <c r="AH734" s="1317" t="str">
        <f t="shared" si="36"/>
        <v/>
      </c>
      <c r="AI734" s="1318"/>
      <c r="AJ734" s="1319"/>
      <c r="AK734" s="1300" t="s">
        <v>813</v>
      </c>
      <c r="AL734" s="1301"/>
      <c r="AM734" s="1301"/>
      <c r="AN734" s="1301"/>
      <c r="AO734" s="1302"/>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3" customHeight="1">
      <c r="B735" s="1300"/>
      <c r="C735" s="1301"/>
      <c r="D735" s="1301"/>
      <c r="E735" s="1301"/>
      <c r="F735" s="1302"/>
      <c r="G735" s="1311"/>
      <c r="H735" s="1312"/>
      <c r="I735" s="1312"/>
      <c r="J735" s="1313"/>
      <c r="K735" s="1306"/>
      <c r="L735" s="1307"/>
      <c r="M735" s="1307"/>
      <c r="N735" s="1308"/>
      <c r="O735" s="1303"/>
      <c r="P735" s="1304"/>
      <c r="Q735" s="1304"/>
      <c r="R735" s="1304"/>
      <c r="S735" s="1305"/>
      <c r="T735" s="1303"/>
      <c r="U735" s="1304"/>
      <c r="V735" s="1304"/>
      <c r="W735" s="1305"/>
      <c r="X735" s="1314">
        <f t="shared" si="8"/>
        <v>0</v>
      </c>
      <c r="Y735" s="1315"/>
      <c r="Z735" s="1315"/>
      <c r="AA735" s="1315"/>
      <c r="AB735" s="1316"/>
      <c r="AC735" s="1321"/>
      <c r="AD735" s="1322"/>
      <c r="AE735" s="1322"/>
      <c r="AF735" s="1322"/>
      <c r="AG735" s="1323"/>
      <c r="AH735" s="1317" t="str">
        <f t="shared" si="36"/>
        <v/>
      </c>
      <c r="AI735" s="1318"/>
      <c r="AJ735" s="1319"/>
      <c r="AK735" s="1300" t="s">
        <v>813</v>
      </c>
      <c r="AL735" s="1301"/>
      <c r="AM735" s="1301"/>
      <c r="AN735" s="1301"/>
      <c r="AO735" s="1302"/>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3" customHeight="1">
      <c r="B736" s="1300"/>
      <c r="C736" s="1301"/>
      <c r="D736" s="1301"/>
      <c r="E736" s="1301"/>
      <c r="F736" s="1302"/>
      <c r="G736" s="1311"/>
      <c r="H736" s="1312"/>
      <c r="I736" s="1312"/>
      <c r="J736" s="1313"/>
      <c r="K736" s="1306"/>
      <c r="L736" s="1307"/>
      <c r="M736" s="1307"/>
      <c r="N736" s="1308"/>
      <c r="O736" s="1303"/>
      <c r="P736" s="1304"/>
      <c r="Q736" s="1304"/>
      <c r="R736" s="1304"/>
      <c r="S736" s="1305"/>
      <c r="T736" s="1303"/>
      <c r="U736" s="1304"/>
      <c r="V736" s="1304"/>
      <c r="W736" s="1305"/>
      <c r="X736" s="1314">
        <f t="shared" si="8"/>
        <v>0</v>
      </c>
      <c r="Y736" s="1315"/>
      <c r="Z736" s="1315"/>
      <c r="AA736" s="1315"/>
      <c r="AB736" s="1316"/>
      <c r="AC736" s="1321"/>
      <c r="AD736" s="1322"/>
      <c r="AE736" s="1322"/>
      <c r="AF736" s="1322"/>
      <c r="AG736" s="1323"/>
      <c r="AH736" s="1317" t="str">
        <f t="shared" si="36"/>
        <v/>
      </c>
      <c r="AI736" s="1318"/>
      <c r="AJ736" s="1319"/>
      <c r="AK736" s="1300" t="s">
        <v>813</v>
      </c>
      <c r="AL736" s="1301"/>
      <c r="AM736" s="1301"/>
      <c r="AN736" s="1301"/>
      <c r="AO736" s="1302"/>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3" customHeight="1">
      <c r="B737" s="1300"/>
      <c r="C737" s="1301"/>
      <c r="D737" s="1301"/>
      <c r="E737" s="1301"/>
      <c r="F737" s="1302"/>
      <c r="G737" s="1311"/>
      <c r="H737" s="1312"/>
      <c r="I737" s="1312"/>
      <c r="J737" s="1313"/>
      <c r="K737" s="1306"/>
      <c r="L737" s="1307"/>
      <c r="M737" s="1307"/>
      <c r="N737" s="1308"/>
      <c r="O737" s="1303"/>
      <c r="P737" s="1304"/>
      <c r="Q737" s="1304"/>
      <c r="R737" s="1304"/>
      <c r="S737" s="1305"/>
      <c r="T737" s="1303"/>
      <c r="U737" s="1304"/>
      <c r="V737" s="1304"/>
      <c r="W737" s="1305"/>
      <c r="X737" s="1314">
        <f t="shared" si="8"/>
        <v>0</v>
      </c>
      <c r="Y737" s="1315"/>
      <c r="Z737" s="1315"/>
      <c r="AA737" s="1315"/>
      <c r="AB737" s="1316"/>
      <c r="AC737" s="1321"/>
      <c r="AD737" s="1322"/>
      <c r="AE737" s="1322"/>
      <c r="AF737" s="1322"/>
      <c r="AG737" s="1323"/>
      <c r="AH737" s="1317" t="str">
        <f t="shared" si="36"/>
        <v/>
      </c>
      <c r="AI737" s="1318"/>
      <c r="AJ737" s="1319"/>
      <c r="AK737" s="1300" t="s">
        <v>813</v>
      </c>
      <c r="AL737" s="1301"/>
      <c r="AM737" s="1301"/>
      <c r="AN737" s="1301"/>
      <c r="AO737" s="1302"/>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3" customHeight="1">
      <c r="B738" s="1300"/>
      <c r="C738" s="1301"/>
      <c r="D738" s="1301"/>
      <c r="E738" s="1301"/>
      <c r="F738" s="1302"/>
      <c r="G738" s="1311"/>
      <c r="H738" s="1312"/>
      <c r="I738" s="1312"/>
      <c r="J738" s="1313"/>
      <c r="K738" s="1306"/>
      <c r="L738" s="1307"/>
      <c r="M738" s="1307"/>
      <c r="N738" s="1308"/>
      <c r="O738" s="1303"/>
      <c r="P738" s="1304"/>
      <c r="Q738" s="1304"/>
      <c r="R738" s="1304"/>
      <c r="S738" s="1305"/>
      <c r="T738" s="1303"/>
      <c r="U738" s="1304"/>
      <c r="V738" s="1304"/>
      <c r="W738" s="1305"/>
      <c r="X738" s="1314">
        <f t="shared" si="8"/>
        <v>0</v>
      </c>
      <c r="Y738" s="1315"/>
      <c r="Z738" s="1315"/>
      <c r="AA738" s="1315"/>
      <c r="AB738" s="1316"/>
      <c r="AC738" s="1321"/>
      <c r="AD738" s="1322"/>
      <c r="AE738" s="1322"/>
      <c r="AF738" s="1322"/>
      <c r="AG738" s="1323"/>
      <c r="AH738" s="1317" t="str">
        <f t="shared" si="36"/>
        <v/>
      </c>
      <c r="AI738" s="1318"/>
      <c r="AJ738" s="1319"/>
      <c r="AK738" s="1300" t="s">
        <v>813</v>
      </c>
      <c r="AL738" s="1301"/>
      <c r="AM738" s="1301"/>
      <c r="AN738" s="1301"/>
      <c r="AO738" s="1302"/>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3" customHeight="1">
      <c r="B739" s="1300"/>
      <c r="C739" s="1301"/>
      <c r="D739" s="1301"/>
      <c r="E739" s="1301"/>
      <c r="F739" s="1302"/>
      <c r="G739" s="1311"/>
      <c r="H739" s="1312"/>
      <c r="I739" s="1312"/>
      <c r="J739" s="1313"/>
      <c r="K739" s="1306"/>
      <c r="L739" s="1307"/>
      <c r="M739" s="1307"/>
      <c r="N739" s="1308"/>
      <c r="O739" s="1303"/>
      <c r="P739" s="1304"/>
      <c r="Q739" s="1304"/>
      <c r="R739" s="1304"/>
      <c r="S739" s="1305"/>
      <c r="T739" s="1303"/>
      <c r="U739" s="1304"/>
      <c r="V739" s="1304"/>
      <c r="W739" s="1305"/>
      <c r="X739" s="1314">
        <f t="shared" si="8"/>
        <v>0</v>
      </c>
      <c r="Y739" s="1315"/>
      <c r="Z739" s="1315"/>
      <c r="AA739" s="1315"/>
      <c r="AB739" s="1316"/>
      <c r="AC739" s="1321"/>
      <c r="AD739" s="1322"/>
      <c r="AE739" s="1322"/>
      <c r="AF739" s="1322"/>
      <c r="AG739" s="1323"/>
      <c r="AH739" s="1317" t="str">
        <f t="shared" si="36"/>
        <v/>
      </c>
      <c r="AI739" s="1318"/>
      <c r="AJ739" s="1319"/>
      <c r="AK739" s="1300" t="s">
        <v>813</v>
      </c>
      <c r="AL739" s="1301"/>
      <c r="AM739" s="1301"/>
      <c r="AN739" s="1301"/>
      <c r="AO739" s="1302"/>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3" customHeight="1">
      <c r="B740" s="1300"/>
      <c r="C740" s="1301"/>
      <c r="D740" s="1301"/>
      <c r="E740" s="1301"/>
      <c r="F740" s="1302"/>
      <c r="G740" s="1311"/>
      <c r="H740" s="1312"/>
      <c r="I740" s="1312"/>
      <c r="J740" s="1313"/>
      <c r="K740" s="1306"/>
      <c r="L740" s="1307"/>
      <c r="M740" s="1307"/>
      <c r="N740" s="1308"/>
      <c r="O740" s="1303"/>
      <c r="P740" s="1304"/>
      <c r="Q740" s="1304"/>
      <c r="R740" s="1304"/>
      <c r="S740" s="1305"/>
      <c r="T740" s="1303"/>
      <c r="U740" s="1304"/>
      <c r="V740" s="1304"/>
      <c r="W740" s="1305"/>
      <c r="X740" s="1314">
        <f t="shared" si="8"/>
        <v>0</v>
      </c>
      <c r="Y740" s="1315"/>
      <c r="Z740" s="1315"/>
      <c r="AA740" s="1315"/>
      <c r="AB740" s="1316"/>
      <c r="AC740" s="1321"/>
      <c r="AD740" s="1322"/>
      <c r="AE740" s="1322"/>
      <c r="AF740" s="1322"/>
      <c r="AG740" s="1323"/>
      <c r="AH740" s="1317" t="str">
        <f t="shared" si="36"/>
        <v/>
      </c>
      <c r="AI740" s="1318"/>
      <c r="AJ740" s="1319"/>
      <c r="AK740" s="1300" t="s">
        <v>813</v>
      </c>
      <c r="AL740" s="1301"/>
      <c r="AM740" s="1301"/>
      <c r="AN740" s="1301"/>
      <c r="AO740" s="1302"/>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3" customHeight="1">
      <c r="B741" s="1300"/>
      <c r="C741" s="1301"/>
      <c r="D741" s="1301"/>
      <c r="E741" s="1301"/>
      <c r="F741" s="1302"/>
      <c r="G741" s="1311"/>
      <c r="H741" s="1312"/>
      <c r="I741" s="1312"/>
      <c r="J741" s="1313"/>
      <c r="K741" s="1306"/>
      <c r="L741" s="1307"/>
      <c r="M741" s="1307"/>
      <c r="N741" s="1308"/>
      <c r="O741" s="1303"/>
      <c r="P741" s="1304"/>
      <c r="Q741" s="1304"/>
      <c r="R741" s="1304"/>
      <c r="S741" s="1305"/>
      <c r="T741" s="1303"/>
      <c r="U741" s="1304"/>
      <c r="V741" s="1304"/>
      <c r="W741" s="1305"/>
      <c r="X741" s="1314">
        <f t="shared" si="8"/>
        <v>0</v>
      </c>
      <c r="Y741" s="1315"/>
      <c r="Z741" s="1315"/>
      <c r="AA741" s="1315"/>
      <c r="AB741" s="1316"/>
      <c r="AC741" s="1321"/>
      <c r="AD741" s="1322"/>
      <c r="AE741" s="1322"/>
      <c r="AF741" s="1322"/>
      <c r="AG741" s="1323"/>
      <c r="AH741" s="1317" t="str">
        <f t="shared" si="36"/>
        <v/>
      </c>
      <c r="AI741" s="1318"/>
      <c r="AJ741" s="1319"/>
      <c r="AK741" s="1300" t="s">
        <v>813</v>
      </c>
      <c r="AL741" s="1301"/>
      <c r="AM741" s="1301"/>
      <c r="AN741" s="1301"/>
      <c r="AO741" s="1302"/>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3" customHeight="1">
      <c r="B742" s="1300"/>
      <c r="C742" s="1301"/>
      <c r="D742" s="1301"/>
      <c r="E742" s="1301"/>
      <c r="F742" s="1302"/>
      <c r="G742" s="1311"/>
      <c r="H742" s="1312"/>
      <c r="I742" s="1312"/>
      <c r="J742" s="1313"/>
      <c r="K742" s="1306"/>
      <c r="L742" s="1307"/>
      <c r="M742" s="1307"/>
      <c r="N742" s="1308"/>
      <c r="O742" s="1303"/>
      <c r="P742" s="1304"/>
      <c r="Q742" s="1304"/>
      <c r="R742" s="1304"/>
      <c r="S742" s="1305"/>
      <c r="T742" s="1303"/>
      <c r="U742" s="1304"/>
      <c r="V742" s="1304"/>
      <c r="W742" s="1305"/>
      <c r="X742" s="1314">
        <f t="shared" ref="X742:X751" si="39">O742+T742</f>
        <v>0</v>
      </c>
      <c r="Y742" s="1315"/>
      <c r="Z742" s="1315"/>
      <c r="AA742" s="1315"/>
      <c r="AB742" s="1316"/>
      <c r="AC742" s="1321"/>
      <c r="AD742" s="1322"/>
      <c r="AE742" s="1322"/>
      <c r="AF742" s="1322"/>
      <c r="AG742" s="1323"/>
      <c r="AH742" s="1317" t="str">
        <f t="shared" si="36"/>
        <v/>
      </c>
      <c r="AI742" s="1318"/>
      <c r="AJ742" s="1319"/>
      <c r="AK742" s="1300" t="s">
        <v>813</v>
      </c>
      <c r="AL742" s="1301"/>
      <c r="AM742" s="1301"/>
      <c r="AN742" s="1301"/>
      <c r="AO742" s="1302"/>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3" customHeight="1">
      <c r="A743"/>
      <c r="B743" s="1300"/>
      <c r="C743" s="1301"/>
      <c r="D743" s="1301"/>
      <c r="E743" s="1301"/>
      <c r="F743" s="1302"/>
      <c r="G743" s="1311"/>
      <c r="H743" s="1312"/>
      <c r="I743" s="1312"/>
      <c r="J743" s="1313"/>
      <c r="K743" s="1306"/>
      <c r="L743" s="1307"/>
      <c r="M743" s="1307"/>
      <c r="N743" s="1308"/>
      <c r="O743" s="1303"/>
      <c r="P743" s="1304"/>
      <c r="Q743" s="1304"/>
      <c r="R743" s="1304"/>
      <c r="S743" s="1305"/>
      <c r="T743" s="1303"/>
      <c r="U743" s="1304"/>
      <c r="V743" s="1304"/>
      <c r="W743" s="1305"/>
      <c r="X743" s="1314">
        <f t="shared" si="39"/>
        <v>0</v>
      </c>
      <c r="Y743" s="1315"/>
      <c r="Z743" s="1315"/>
      <c r="AA743" s="1315"/>
      <c r="AB743" s="1316"/>
      <c r="AC743" s="1321"/>
      <c r="AD743" s="1322"/>
      <c r="AE743" s="1322"/>
      <c r="AF743" s="1322"/>
      <c r="AG743" s="1323"/>
      <c r="AH743" s="1317" t="str">
        <f t="shared" si="36"/>
        <v/>
      </c>
      <c r="AI743" s="1318"/>
      <c r="AJ743" s="1319"/>
      <c r="AK743" s="1300" t="s">
        <v>813</v>
      </c>
      <c r="AL743" s="1301"/>
      <c r="AM743" s="1301"/>
      <c r="AN743" s="1301"/>
      <c r="AO743" s="1302"/>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3" customHeight="1">
      <c r="B744" s="1300"/>
      <c r="C744" s="1301"/>
      <c r="D744" s="1301"/>
      <c r="E744" s="1301"/>
      <c r="F744" s="1302"/>
      <c r="G744" s="1311"/>
      <c r="H744" s="1312"/>
      <c r="I744" s="1312"/>
      <c r="J744" s="1313"/>
      <c r="K744" s="1306"/>
      <c r="L744" s="1307"/>
      <c r="M744" s="1307"/>
      <c r="N744" s="1308"/>
      <c r="O744" s="1303"/>
      <c r="P744" s="1304"/>
      <c r="Q744" s="1304"/>
      <c r="R744" s="1304"/>
      <c r="S744" s="1305"/>
      <c r="T744" s="1303"/>
      <c r="U744" s="1304"/>
      <c r="V744" s="1304"/>
      <c r="W744" s="1305"/>
      <c r="X744" s="1314">
        <f t="shared" si="39"/>
        <v>0</v>
      </c>
      <c r="Y744" s="1315"/>
      <c r="Z744" s="1315"/>
      <c r="AA744" s="1315"/>
      <c r="AB744" s="1316"/>
      <c r="AC744" s="1321"/>
      <c r="AD744" s="1322"/>
      <c r="AE744" s="1322"/>
      <c r="AF744" s="1322"/>
      <c r="AG744" s="1323"/>
      <c r="AH744" s="1317" t="str">
        <f t="shared" si="36"/>
        <v/>
      </c>
      <c r="AI744" s="1318"/>
      <c r="AJ744" s="1319"/>
      <c r="AK744" s="1300" t="s">
        <v>813</v>
      </c>
      <c r="AL744" s="1301"/>
      <c r="AM744" s="1301"/>
      <c r="AN744" s="1301"/>
      <c r="AO744" s="1302"/>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3" customHeight="1">
      <c r="B745" s="1300"/>
      <c r="C745" s="1301"/>
      <c r="D745" s="1301"/>
      <c r="E745" s="1301"/>
      <c r="F745" s="1302"/>
      <c r="G745" s="1311"/>
      <c r="H745" s="1312"/>
      <c r="I745" s="1312"/>
      <c r="J745" s="1313"/>
      <c r="K745" s="1306"/>
      <c r="L745" s="1307"/>
      <c r="M745" s="1307"/>
      <c r="N745" s="1308"/>
      <c r="O745" s="1303"/>
      <c r="P745" s="1304"/>
      <c r="Q745" s="1304"/>
      <c r="R745" s="1304"/>
      <c r="S745" s="1305"/>
      <c r="T745" s="1303"/>
      <c r="U745" s="1304"/>
      <c r="V745" s="1304"/>
      <c r="W745" s="1305"/>
      <c r="X745" s="1314">
        <f t="shared" si="39"/>
        <v>0</v>
      </c>
      <c r="Y745" s="1315"/>
      <c r="Z745" s="1315"/>
      <c r="AA745" s="1315"/>
      <c r="AB745" s="1316"/>
      <c r="AC745" s="1321"/>
      <c r="AD745" s="1322"/>
      <c r="AE745" s="1322"/>
      <c r="AF745" s="1322"/>
      <c r="AG745" s="1323"/>
      <c r="AH745" s="1317" t="str">
        <f t="shared" si="36"/>
        <v/>
      </c>
      <c r="AI745" s="1318"/>
      <c r="AJ745" s="1319"/>
      <c r="AK745" s="1300" t="s">
        <v>813</v>
      </c>
      <c r="AL745" s="1301"/>
      <c r="AM745" s="1301"/>
      <c r="AN745" s="1301"/>
      <c r="AO745" s="1302"/>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3" customHeight="1">
      <c r="B746" s="1300"/>
      <c r="C746" s="1301"/>
      <c r="D746" s="1301"/>
      <c r="E746" s="1301"/>
      <c r="F746" s="1302"/>
      <c r="G746" s="1311"/>
      <c r="H746" s="1312"/>
      <c r="I746" s="1312"/>
      <c r="J746" s="1313"/>
      <c r="K746" s="1306"/>
      <c r="L746" s="1307"/>
      <c r="M746" s="1307"/>
      <c r="N746" s="1308"/>
      <c r="O746" s="1303"/>
      <c r="P746" s="1304"/>
      <c r="Q746" s="1304"/>
      <c r="R746" s="1304"/>
      <c r="S746" s="1305"/>
      <c r="T746" s="1303"/>
      <c r="U746" s="1304"/>
      <c r="V746" s="1304"/>
      <c r="W746" s="1305"/>
      <c r="X746" s="1314">
        <f t="shared" si="39"/>
        <v>0</v>
      </c>
      <c r="Y746" s="1315"/>
      <c r="Z746" s="1315"/>
      <c r="AA746" s="1315"/>
      <c r="AB746" s="1316"/>
      <c r="AC746" s="1321"/>
      <c r="AD746" s="1322"/>
      <c r="AE746" s="1322"/>
      <c r="AF746" s="1322"/>
      <c r="AG746" s="1323"/>
      <c r="AH746" s="1317" t="str">
        <f t="shared" si="36"/>
        <v/>
      </c>
      <c r="AI746" s="1318"/>
      <c r="AJ746" s="1319"/>
      <c r="AK746" s="1300" t="s">
        <v>813</v>
      </c>
      <c r="AL746" s="1301"/>
      <c r="AM746" s="1301"/>
      <c r="AN746" s="1301"/>
      <c r="AO746" s="1302"/>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3" customHeight="1">
      <c r="B747" s="1300"/>
      <c r="C747" s="1301"/>
      <c r="D747" s="1301"/>
      <c r="E747" s="1301"/>
      <c r="F747" s="1302"/>
      <c r="G747" s="1311"/>
      <c r="H747" s="1312"/>
      <c r="I747" s="1312"/>
      <c r="J747" s="1313"/>
      <c r="K747" s="1306"/>
      <c r="L747" s="1307"/>
      <c r="M747" s="1307"/>
      <c r="N747" s="1308"/>
      <c r="O747" s="1303"/>
      <c r="P747" s="1304"/>
      <c r="Q747" s="1304"/>
      <c r="R747" s="1304"/>
      <c r="S747" s="1305"/>
      <c r="T747" s="1303"/>
      <c r="U747" s="1304"/>
      <c r="V747" s="1304"/>
      <c r="W747" s="1305"/>
      <c r="X747" s="1314">
        <f t="shared" si="39"/>
        <v>0</v>
      </c>
      <c r="Y747" s="1315"/>
      <c r="Z747" s="1315"/>
      <c r="AA747" s="1315"/>
      <c r="AB747" s="1316"/>
      <c r="AC747" s="1321"/>
      <c r="AD747" s="1322"/>
      <c r="AE747" s="1322"/>
      <c r="AF747" s="1322"/>
      <c r="AG747" s="1323"/>
      <c r="AH747" s="1317" t="str">
        <f t="shared" si="36"/>
        <v/>
      </c>
      <c r="AI747" s="1318"/>
      <c r="AJ747" s="1319"/>
      <c r="AK747" s="1300" t="s">
        <v>813</v>
      </c>
      <c r="AL747" s="1301"/>
      <c r="AM747" s="1301"/>
      <c r="AN747" s="1301"/>
      <c r="AO747" s="1302"/>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3" customHeight="1">
      <c r="A748"/>
      <c r="B748" s="1300"/>
      <c r="C748" s="1301"/>
      <c r="D748" s="1301"/>
      <c r="E748" s="1301"/>
      <c r="F748" s="1302"/>
      <c r="G748" s="1311"/>
      <c r="H748" s="1312"/>
      <c r="I748" s="1312"/>
      <c r="J748" s="1313"/>
      <c r="K748" s="1306"/>
      <c r="L748" s="1307"/>
      <c r="M748" s="1307"/>
      <c r="N748" s="1308"/>
      <c r="O748" s="1303"/>
      <c r="P748" s="1304"/>
      <c r="Q748" s="1304"/>
      <c r="R748" s="1304"/>
      <c r="S748" s="1305"/>
      <c r="T748" s="1303"/>
      <c r="U748" s="1304"/>
      <c r="V748" s="1304"/>
      <c r="W748" s="1305"/>
      <c r="X748" s="1314">
        <f t="shared" si="39"/>
        <v>0</v>
      </c>
      <c r="Y748" s="1315"/>
      <c r="Z748" s="1315"/>
      <c r="AA748" s="1315"/>
      <c r="AB748" s="1316"/>
      <c r="AC748" s="1321"/>
      <c r="AD748" s="1322"/>
      <c r="AE748" s="1322"/>
      <c r="AF748" s="1322"/>
      <c r="AG748" s="1323"/>
      <c r="AH748" s="1317" t="str">
        <f t="shared" si="36"/>
        <v/>
      </c>
      <c r="AI748" s="1318"/>
      <c r="AJ748" s="1319"/>
      <c r="AK748" s="1300" t="s">
        <v>813</v>
      </c>
      <c r="AL748" s="1301"/>
      <c r="AM748" s="1301"/>
      <c r="AN748" s="1301"/>
      <c r="AO748" s="1302"/>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3" customHeight="1">
      <c r="A749"/>
      <c r="B749" s="1300"/>
      <c r="C749" s="1301"/>
      <c r="D749" s="1301"/>
      <c r="E749" s="1301"/>
      <c r="F749" s="1302"/>
      <c r="G749" s="1311"/>
      <c r="H749" s="1312"/>
      <c r="I749" s="1312"/>
      <c r="J749" s="1313"/>
      <c r="K749" s="1306"/>
      <c r="L749" s="1307"/>
      <c r="M749" s="1307"/>
      <c r="N749" s="1308"/>
      <c r="O749" s="1303"/>
      <c r="P749" s="1304"/>
      <c r="Q749" s="1304"/>
      <c r="R749" s="1304"/>
      <c r="S749" s="1305"/>
      <c r="T749" s="1303"/>
      <c r="U749" s="1304"/>
      <c r="V749" s="1304"/>
      <c r="W749" s="1305"/>
      <c r="X749" s="1314">
        <f t="shared" si="39"/>
        <v>0</v>
      </c>
      <c r="Y749" s="1315"/>
      <c r="Z749" s="1315"/>
      <c r="AA749" s="1315"/>
      <c r="AB749" s="1316"/>
      <c r="AC749" s="1321"/>
      <c r="AD749" s="1322"/>
      <c r="AE749" s="1322"/>
      <c r="AF749" s="1322"/>
      <c r="AG749" s="1323"/>
      <c r="AH749" s="1317" t="str">
        <f t="shared" si="36"/>
        <v/>
      </c>
      <c r="AI749" s="1318"/>
      <c r="AJ749" s="1319"/>
      <c r="AK749" s="1300" t="s">
        <v>813</v>
      </c>
      <c r="AL749" s="1301"/>
      <c r="AM749" s="1301"/>
      <c r="AN749" s="1301"/>
      <c r="AO749" s="1302"/>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3" customHeight="1">
      <c r="A750"/>
      <c r="B750" s="1300"/>
      <c r="C750" s="1301"/>
      <c r="D750" s="1301"/>
      <c r="E750" s="1301"/>
      <c r="F750" s="1302"/>
      <c r="G750" s="1311"/>
      <c r="H750" s="1312"/>
      <c r="I750" s="1312"/>
      <c r="J750" s="1313"/>
      <c r="K750" s="1306"/>
      <c r="L750" s="1307"/>
      <c r="M750" s="1307"/>
      <c r="N750" s="1308"/>
      <c r="O750" s="1303"/>
      <c r="P750" s="1304"/>
      <c r="Q750" s="1304"/>
      <c r="R750" s="1304"/>
      <c r="S750" s="1305"/>
      <c r="T750" s="1303"/>
      <c r="U750" s="1304"/>
      <c r="V750" s="1304"/>
      <c r="W750" s="1305"/>
      <c r="X750" s="1314">
        <f t="shared" si="39"/>
        <v>0</v>
      </c>
      <c r="Y750" s="1315"/>
      <c r="Z750" s="1315"/>
      <c r="AA750" s="1315"/>
      <c r="AB750" s="1316"/>
      <c r="AC750" s="1321"/>
      <c r="AD750" s="1322"/>
      <c r="AE750" s="1322"/>
      <c r="AF750" s="1322"/>
      <c r="AG750" s="1323"/>
      <c r="AH750" s="1317" t="str">
        <f t="shared" si="36"/>
        <v/>
      </c>
      <c r="AI750" s="1318"/>
      <c r="AJ750" s="1319"/>
      <c r="AK750" s="1300" t="s">
        <v>813</v>
      </c>
      <c r="AL750" s="1301"/>
      <c r="AM750" s="1301"/>
      <c r="AN750" s="1301"/>
      <c r="AO750" s="1302"/>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3" customHeight="1">
      <c r="A751"/>
      <c r="B751" s="1300"/>
      <c r="C751" s="1301"/>
      <c r="D751" s="1301"/>
      <c r="E751" s="1301"/>
      <c r="F751" s="1302"/>
      <c r="G751" s="1311"/>
      <c r="H751" s="1312"/>
      <c r="I751" s="1312"/>
      <c r="J751" s="1313"/>
      <c r="K751" s="1306"/>
      <c r="L751" s="1307"/>
      <c r="M751" s="1307"/>
      <c r="N751" s="1308"/>
      <c r="O751" s="1303"/>
      <c r="P751" s="1304"/>
      <c r="Q751" s="1304"/>
      <c r="R751" s="1304"/>
      <c r="S751" s="1305"/>
      <c r="T751" s="1303"/>
      <c r="U751" s="1304"/>
      <c r="V751" s="1304"/>
      <c r="W751" s="1305"/>
      <c r="X751" s="1314">
        <f t="shared" si="39"/>
        <v>0</v>
      </c>
      <c r="Y751" s="1315"/>
      <c r="Z751" s="1315"/>
      <c r="AA751" s="1315"/>
      <c r="AB751" s="1316"/>
      <c r="AC751" s="1321"/>
      <c r="AD751" s="1322"/>
      <c r="AE751" s="1322"/>
      <c r="AF751" s="1322"/>
      <c r="AG751" s="1323"/>
      <c r="AH751" s="1317" t="str">
        <f t="shared" si="36"/>
        <v/>
      </c>
      <c r="AI751" s="1318"/>
      <c r="AJ751" s="1319"/>
      <c r="AK751" s="1300" t="s">
        <v>813</v>
      </c>
      <c r="AL751" s="1301"/>
      <c r="AM751" s="1301"/>
      <c r="AN751" s="1301"/>
      <c r="AO751" s="1302"/>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3" customHeight="1">
      <c r="A752"/>
      <c r="B752" s="1300"/>
      <c r="C752" s="1301"/>
      <c r="D752" s="1301"/>
      <c r="E752" s="1301"/>
      <c r="F752" s="1302"/>
      <c r="G752" s="1311"/>
      <c r="H752" s="1312"/>
      <c r="I752" s="1312"/>
      <c r="J752" s="1313"/>
      <c r="K752" s="1306"/>
      <c r="L752" s="1307"/>
      <c r="M752" s="1307"/>
      <c r="N752" s="1308"/>
      <c r="O752" s="1303"/>
      <c r="P752" s="1304"/>
      <c r="Q752" s="1304"/>
      <c r="R752" s="1304"/>
      <c r="S752" s="1305"/>
      <c r="T752" s="1303"/>
      <c r="U752" s="1304"/>
      <c r="V752" s="1304"/>
      <c r="W752" s="1305"/>
      <c r="X752" s="1314">
        <f>O752+T752</f>
        <v>0</v>
      </c>
      <c r="Y752" s="1315"/>
      <c r="Z752" s="1315"/>
      <c r="AA752" s="1315"/>
      <c r="AB752" s="1316"/>
      <c r="AC752" s="1321"/>
      <c r="AD752" s="1322"/>
      <c r="AE752" s="1322"/>
      <c r="AF752" s="1322"/>
      <c r="AG752" s="1323"/>
      <c r="AH752" s="1317" t="str">
        <f t="shared" si="36"/>
        <v/>
      </c>
      <c r="AI752" s="1318"/>
      <c r="AJ752" s="1319"/>
      <c r="AK752" s="1300" t="s">
        <v>813</v>
      </c>
      <c r="AL752" s="1301"/>
      <c r="AM752" s="1301"/>
      <c r="AN752" s="1301"/>
      <c r="AO752" s="1302"/>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3" customHeight="1">
      <c r="A753"/>
      <c r="B753" s="1407" t="s">
        <v>1479</v>
      </c>
      <c r="C753" s="1408"/>
      <c r="D753" s="1408"/>
      <c r="E753" s="1408"/>
      <c r="F753" s="1409"/>
      <c r="G753" s="1567">
        <f>SUM(G718:G752)</f>
        <v>197</v>
      </c>
      <c r="H753" s="1568"/>
      <c r="I753" s="1568"/>
      <c r="J753" s="1569"/>
      <c r="K753" s="798" t="s">
        <v>1480</v>
      </c>
      <c r="L753" s="5"/>
      <c r="M753" s="5"/>
      <c r="N753" s="38"/>
      <c r="O753" s="1314">
        <f>SUMPRODUCT(G718:G752,O718:O752)</f>
        <v>401680</v>
      </c>
      <c r="P753" s="1315"/>
      <c r="Q753" s="1315"/>
      <c r="R753" s="1315"/>
      <c r="S753" s="1316"/>
      <c r="T753"/>
      <c r="U753"/>
      <c r="V753"/>
      <c r="W753"/>
      <c r="X753" s="800" t="s">
        <v>1481</v>
      </c>
      <c r="Y753" s="799"/>
      <c r="Z753" s="799"/>
      <c r="AA753" s="799"/>
      <c r="AB753" s="801"/>
      <c r="AC753" s="1550">
        <f>BH753</f>
        <v>0.57258883248730963</v>
      </c>
      <c r="AD753" s="1551"/>
      <c r="AE753" s="1551"/>
      <c r="AF753" s="1551"/>
      <c r="AG753" s="1552"/>
      <c r="AH753" s="1550">
        <f>IFERROR(BU753,"")</f>
        <v>0.56428491275763293</v>
      </c>
      <c r="AI753" s="1551"/>
      <c r="AJ753" s="1552"/>
      <c r="AK753"/>
      <c r="AL753"/>
      <c r="AM753"/>
      <c r="AN753"/>
      <c r="AO753"/>
      <c r="AP753" s="137"/>
      <c r="AQ753" s="137"/>
      <c r="AR753" s="137"/>
      <c r="AS753" s="137"/>
      <c r="AT753"/>
      <c r="AU753"/>
      <c r="AV753"/>
      <c r="AW753"/>
      <c r="AX753"/>
      <c r="AY753"/>
      <c r="BE753" s="200" t="s">
        <v>1482</v>
      </c>
      <c r="BF753" s="208">
        <f>SUM(BF718:BF752)</f>
        <v>197</v>
      </c>
      <c r="BG753" s="209">
        <f>SUM(BG718:BG752)</f>
        <v>1</v>
      </c>
      <c r="BH753" s="209">
        <f>SUM(BH718:BH752)</f>
        <v>0.57258883248730963</v>
      </c>
      <c r="BI753"/>
      <c r="BJ753"/>
      <c r="BK753"/>
      <c r="BL753"/>
      <c r="BO753"/>
      <c r="BP753"/>
      <c r="BQ753"/>
      <c r="BR753"/>
      <c r="BS753" s="758">
        <f>SUM(BS718:BS752)</f>
        <v>197</v>
      </c>
      <c r="BT753" s="209">
        <f>SUM(BT718:BT752)</f>
        <v>1</v>
      </c>
      <c r="BU753" s="209">
        <f>SUM(BU718:BU752)</f>
        <v>0.56428491275763293</v>
      </c>
      <c r="CI753" s="1421">
        <f>SUM(CI718:CJ752)</f>
        <v>11</v>
      </c>
      <c r="CJ753" s="1422"/>
      <c r="CM753" s="1421">
        <f>SUM(CM718:CN752)</f>
        <v>50</v>
      </c>
      <c r="CN753" s="1422"/>
      <c r="CP753" s="1421">
        <f>SUM(CP718:CT752)</f>
        <v>0</v>
      </c>
      <c r="CQ753" s="1423"/>
      <c r="CR753" s="1423"/>
      <c r="CS753" s="1423"/>
      <c r="CT753" s="1422"/>
      <c r="CU753" s="1419">
        <f>SUM(CU718:CY752)</f>
        <v>48</v>
      </c>
      <c r="CV753" s="1419"/>
      <c r="CW753" s="1419"/>
      <c r="CX753" s="1419"/>
      <c r="CY753" s="1419"/>
      <c r="CZ753" s="1419">
        <f>SUM(CZ718:DD752)</f>
        <v>57</v>
      </c>
      <c r="DA753" s="1419"/>
      <c r="DB753" s="1419"/>
      <c r="DC753" s="1419"/>
      <c r="DD753" s="1419"/>
      <c r="DE753" s="1419">
        <f>SUM(DE718:DI752)</f>
        <v>92</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5</v>
      </c>
      <c r="EA753" s="1419"/>
      <c r="EB753" s="1419"/>
      <c r="EC753" s="1419"/>
      <c r="ED753" s="1419"/>
      <c r="EE753" s="1419">
        <f>SUM(EE718:EI752)</f>
        <v>15</v>
      </c>
      <c r="EF753" s="1419"/>
      <c r="EG753" s="1419"/>
      <c r="EH753" s="1419"/>
      <c r="EI753" s="1419"/>
      <c r="EJ753" s="1419">
        <f>SUM(EJ718:EN752)</f>
        <v>30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3727</v>
      </c>
      <c r="FF753" s="1419"/>
      <c r="FG753" s="1419"/>
      <c r="FH753" s="1419"/>
      <c r="FI753" s="1419"/>
      <c r="FJ753" s="1419">
        <f>SUM(FJ718:FN752)</f>
        <v>3077</v>
      </c>
      <c r="FK753" s="1419"/>
      <c r="FL753" s="1419"/>
      <c r="FM753" s="1419"/>
      <c r="FN753" s="1419"/>
      <c r="FO753" s="1419">
        <f>SUM(FO718:FS752)</f>
        <v>6656</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 customHeight="1">
      <c r="A754"/>
      <c r="B754" s="1566" t="s">
        <v>1483</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1484</v>
      </c>
      <c r="DO754" s="1421">
        <f>CP753+CU753+CZ753+DE753+DJ753+DO753</f>
        <v>197</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48</v>
      </c>
      <c r="CZ755" s="3"/>
      <c r="DA755" s="3"/>
      <c r="DB755" s="3"/>
      <c r="DC755" s="3"/>
      <c r="DD755" s="760">
        <f>CZ753*2</f>
        <v>114</v>
      </c>
      <c r="DE755" s="3"/>
      <c r="DF755" s="3"/>
      <c r="DG755" s="3"/>
      <c r="DH755" s="3"/>
      <c r="DI755" s="760">
        <f>DE753*3</f>
        <v>276</v>
      </c>
      <c r="DJ755" s="3"/>
      <c r="DK755" s="3"/>
      <c r="DL755" s="3"/>
      <c r="DM755" s="3"/>
      <c r="DN755" s="760">
        <f>DJ753*4</f>
        <v>0</v>
      </c>
      <c r="DO755" s="3"/>
      <c r="DP755" s="3"/>
      <c r="DQ755" s="3"/>
      <c r="DR755" s="3"/>
      <c r="DS755" s="760">
        <f>DO753*5</f>
        <v>0</v>
      </c>
      <c r="DU755" s="760">
        <f>CT755+CY755+DD755+DI755+DN755+DS755</f>
        <v>438</v>
      </c>
      <c r="DV755" s="49" t="s">
        <v>1485</v>
      </c>
      <c r="DW755" s="3"/>
      <c r="DX755" s="3"/>
      <c r="DY755" s="3"/>
      <c r="DZ755" s="3"/>
      <c r="EA755" s="3"/>
      <c r="EB755" s="3"/>
      <c r="EC755" s="3"/>
      <c r="ED755" s="3"/>
      <c r="EE755" s="3"/>
      <c r="EF755" s="3"/>
      <c r="EG755" s="3"/>
      <c r="EH755" s="3"/>
    </row>
    <row r="756" spans="1:185" ht="13" customHeight="1">
      <c r="A756" s="3"/>
      <c r="B756" s="3"/>
      <c r="C756" s="84" t="s">
        <v>1486</v>
      </c>
      <c r="D756" s="923"/>
      <c r="E756" s="923"/>
      <c r="F756" s="923"/>
      <c r="G756" s="924"/>
      <c r="H756" s="924"/>
      <c r="I756" s="924"/>
      <c r="J756" s="924"/>
      <c r="K756" s="923"/>
      <c r="L756" s="923"/>
      <c r="M756" s="923"/>
      <c r="N756" s="923"/>
      <c r="O756" s="1419">
        <f>DU755</f>
        <v>438</v>
      </c>
      <c r="P756" s="1419"/>
      <c r="Q756" s="1419"/>
      <c r="R756" s="1419"/>
      <c r="S756" s="863"/>
      <c r="T756" s="863"/>
      <c r="U756" s="84" t="s">
        <v>1487</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1488</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813</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1489</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914</v>
      </c>
      <c r="B761" s="48"/>
      <c r="C761" s="49" t="s">
        <v>1490</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1491</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1492</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1493</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24" t="s">
        <v>1459</v>
      </c>
      <c r="K769" s="1325"/>
      <c r="L769" s="1325"/>
      <c r="M769" s="1325"/>
      <c r="N769" s="1326"/>
      <c r="O769" s="1565" t="s">
        <v>1460</v>
      </c>
      <c r="P769" s="1565"/>
      <c r="Q769" s="1565"/>
      <c r="R769" s="1565"/>
      <c r="S769" s="1565"/>
      <c r="T769" s="1662" t="s">
        <v>1461</v>
      </c>
      <c r="U769" s="1663"/>
      <c r="V769" s="1663"/>
      <c r="W769" s="1664"/>
      <c r="X769" s="1324" t="s">
        <v>1462</v>
      </c>
      <c r="Y769" s="1325"/>
      <c r="Z769" s="1325"/>
      <c r="AA769" s="1325"/>
      <c r="AB769" s="1326"/>
      <c r="AC769" s="1324" t="s">
        <v>1494</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27"/>
      <c r="K770" s="1328"/>
      <c r="L770" s="1328"/>
      <c r="M770" s="1328"/>
      <c r="N770" s="1329"/>
      <c r="O770" s="1565"/>
      <c r="P770" s="1565"/>
      <c r="Q770" s="1565"/>
      <c r="R770" s="1565"/>
      <c r="S770" s="1565"/>
      <c r="T770" s="1665"/>
      <c r="U770" s="1666"/>
      <c r="V770" s="1666"/>
      <c r="W770" s="1667"/>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27"/>
      <c r="K771" s="1328"/>
      <c r="L771" s="1328"/>
      <c r="M771" s="1328"/>
      <c r="N771" s="1329"/>
      <c r="O771" s="1565"/>
      <c r="P771" s="1565"/>
      <c r="Q771" s="1565"/>
      <c r="R771" s="1565"/>
      <c r="S771" s="1565"/>
      <c r="T771" s="1665"/>
      <c r="U771" s="1666"/>
      <c r="V771" s="1666"/>
      <c r="W771" s="1667"/>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30"/>
      <c r="K772" s="1331"/>
      <c r="L772" s="1331"/>
      <c r="M772" s="1331"/>
      <c r="N772" s="1332"/>
      <c r="O772" s="1565"/>
      <c r="P772" s="1565"/>
      <c r="Q772" s="1565"/>
      <c r="R772" s="1565"/>
      <c r="S772" s="1565"/>
      <c r="T772" s="1668"/>
      <c r="U772" s="1669"/>
      <c r="V772" s="1669"/>
      <c r="W772" s="1670"/>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1495</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300" t="s">
        <v>834</v>
      </c>
      <c r="K773" s="1301"/>
      <c r="L773" s="1301"/>
      <c r="M773" s="1301"/>
      <c r="N773" s="1302"/>
      <c r="O773" s="1559">
        <v>2</v>
      </c>
      <c r="P773" s="1559"/>
      <c r="Q773" s="1559"/>
      <c r="R773" s="1559"/>
      <c r="S773" s="1559"/>
      <c r="T773" s="1306">
        <v>701</v>
      </c>
      <c r="U773" s="1307"/>
      <c r="V773" s="1307"/>
      <c r="W773" s="1308"/>
      <c r="X773" s="1303"/>
      <c r="Y773" s="1304"/>
      <c r="Z773" s="1304"/>
      <c r="AA773" s="1304"/>
      <c r="AB773" s="1305"/>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2</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 customHeight="1">
      <c r="J774" s="1300"/>
      <c r="K774" s="1301"/>
      <c r="L774" s="1301"/>
      <c r="M774" s="1301"/>
      <c r="N774" s="1302"/>
      <c r="O774" s="1559"/>
      <c r="P774" s="1559"/>
      <c r="Q774" s="1559"/>
      <c r="R774" s="1559"/>
      <c r="S774" s="1559"/>
      <c r="T774" s="1306"/>
      <c r="U774" s="1307"/>
      <c r="V774" s="1307"/>
      <c r="W774" s="1308"/>
      <c r="X774" s="1303"/>
      <c r="Y774" s="1304"/>
      <c r="Z774" s="1304"/>
      <c r="AA774" s="1304"/>
      <c r="AB774" s="1305"/>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 customHeight="1">
      <c r="J775" s="1300"/>
      <c r="K775" s="1301"/>
      <c r="L775" s="1301"/>
      <c r="M775" s="1301"/>
      <c r="N775" s="1302"/>
      <c r="O775" s="1559"/>
      <c r="P775" s="1559"/>
      <c r="Q775" s="1559"/>
      <c r="R775" s="1559"/>
      <c r="S775" s="1559"/>
      <c r="T775" s="1306"/>
      <c r="U775" s="1307"/>
      <c r="V775" s="1307"/>
      <c r="W775" s="1308"/>
      <c r="X775" s="1303"/>
      <c r="Y775" s="1304"/>
      <c r="Z775" s="1304"/>
      <c r="AA775" s="1304"/>
      <c r="AB775" s="1305"/>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 customHeight="1">
      <c r="J776" s="1300"/>
      <c r="K776" s="1301"/>
      <c r="L776" s="1301"/>
      <c r="M776" s="1301"/>
      <c r="N776" s="1302"/>
      <c r="O776" s="1559"/>
      <c r="P776" s="1559"/>
      <c r="Q776" s="1559"/>
      <c r="R776" s="1559"/>
      <c r="S776" s="1559"/>
      <c r="T776" s="1306"/>
      <c r="U776" s="1307"/>
      <c r="V776" s="1307"/>
      <c r="W776" s="1308"/>
      <c r="X776" s="1303"/>
      <c r="Y776" s="1304"/>
      <c r="Z776" s="1304"/>
      <c r="AA776" s="1304"/>
      <c r="AB776" s="1305"/>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 customHeight="1">
      <c r="J777" s="1407" t="s">
        <v>1479</v>
      </c>
      <c r="K777" s="1408"/>
      <c r="L777" s="1408"/>
      <c r="M777" s="1408"/>
      <c r="N777" s="1409"/>
      <c r="O777" s="1421">
        <f>SUM(O773:S776)</f>
        <v>2</v>
      </c>
      <c r="P777" s="1423"/>
      <c r="Q777" s="1423"/>
      <c r="R777" s="1423"/>
      <c r="S777" s="1422"/>
      <c r="X777" s="1407" t="s">
        <v>1480</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2</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2</v>
      </c>
      <c r="DV777" s="49" t="s">
        <v>1496</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4</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4</v>
      </c>
      <c r="DV778" s="49" t="s">
        <v>1497</v>
      </c>
    </row>
    <row r="779" spans="1:126" ht="13" customHeight="1">
      <c r="B779" s="48"/>
      <c r="C779" s="48"/>
      <c r="D779" s="48"/>
      <c r="E779" s="48"/>
      <c r="F779" s="48"/>
      <c r="G779" s="257"/>
      <c r="H779" s="257"/>
      <c r="I779" s="257"/>
      <c r="J779" s="1607" t="s">
        <v>695</v>
      </c>
      <c r="K779" s="1607"/>
      <c r="L779" s="48"/>
      <c r="M779" s="84" t="s">
        <v>1498</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1499</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992</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24" t="s">
        <v>1459</v>
      </c>
      <c r="K783" s="1325"/>
      <c r="L783" s="1325"/>
      <c r="M783" s="1325"/>
      <c r="N783" s="1326"/>
      <c r="O783" s="1565" t="s">
        <v>1460</v>
      </c>
      <c r="P783" s="1565"/>
      <c r="Q783" s="1565"/>
      <c r="R783" s="1565"/>
      <c r="S783" s="1565"/>
      <c r="T783" s="1662" t="s">
        <v>1461</v>
      </c>
      <c r="U783" s="1663"/>
      <c r="V783" s="1663"/>
      <c r="W783" s="1664"/>
      <c r="X783" s="1324" t="s">
        <v>1462</v>
      </c>
      <c r="Y783" s="1325"/>
      <c r="Z783" s="1325"/>
      <c r="AA783" s="1325"/>
      <c r="AB783" s="1326"/>
      <c r="AC783" s="1324" t="s">
        <v>1494</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27"/>
      <c r="K784" s="1328"/>
      <c r="L784" s="1328"/>
      <c r="M784" s="1328"/>
      <c r="N784" s="1329"/>
      <c r="O784" s="1565"/>
      <c r="P784" s="1565"/>
      <c r="Q784" s="1565"/>
      <c r="R784" s="1565"/>
      <c r="S784" s="1565"/>
      <c r="T784" s="1665"/>
      <c r="U784" s="1666"/>
      <c r="V784" s="1666"/>
      <c r="W784" s="1667"/>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27"/>
      <c r="K785" s="1328"/>
      <c r="L785" s="1328"/>
      <c r="M785" s="1328"/>
      <c r="N785" s="1329"/>
      <c r="O785" s="1565"/>
      <c r="P785" s="1565"/>
      <c r="Q785" s="1565"/>
      <c r="R785" s="1565"/>
      <c r="S785" s="1565"/>
      <c r="T785" s="1665"/>
      <c r="U785" s="1666"/>
      <c r="V785" s="1666"/>
      <c r="W785" s="1667"/>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30"/>
      <c r="K786" s="1331"/>
      <c r="L786" s="1331"/>
      <c r="M786" s="1331"/>
      <c r="N786" s="1332"/>
      <c r="O786" s="1565"/>
      <c r="P786" s="1565"/>
      <c r="Q786" s="1565"/>
      <c r="R786" s="1565"/>
      <c r="S786" s="1565"/>
      <c r="T786" s="1668"/>
      <c r="U786" s="1669"/>
      <c r="V786" s="1669"/>
      <c r="W786" s="1670"/>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1500</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1501</v>
      </c>
      <c r="DV786" s="3"/>
      <c r="DW786" s="3"/>
      <c r="DX786" s="3"/>
      <c r="DY786" s="3"/>
      <c r="DZ786" s="3"/>
      <c r="EA786" s="3"/>
      <c r="EB786" s="3"/>
      <c r="EC786" s="3"/>
      <c r="ED786" s="3"/>
      <c r="EE786" s="3"/>
      <c r="EF786" s="3"/>
      <c r="EG786" s="3"/>
      <c r="EH786" s="3"/>
    </row>
    <row r="787" spans="1:154" ht="13" customHeight="1">
      <c r="J787" s="1300"/>
      <c r="K787" s="1301"/>
      <c r="L787" s="1301"/>
      <c r="M787" s="1301"/>
      <c r="N787" s="1302"/>
      <c r="O787" s="1559"/>
      <c r="P787" s="1559"/>
      <c r="Q787" s="1559"/>
      <c r="R787" s="1559"/>
      <c r="S787" s="1559"/>
      <c r="T787" s="1306"/>
      <c r="U787" s="1307"/>
      <c r="V787" s="1307"/>
      <c r="W787" s="1308"/>
      <c r="X787" s="1303"/>
      <c r="Y787" s="1304"/>
      <c r="Z787" s="1304"/>
      <c r="AA787" s="1304"/>
      <c r="AB787" s="1305"/>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25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3" customFormat="1" ht="13" customHeight="1">
      <c r="A788"/>
      <c r="B788"/>
      <c r="C788"/>
      <c r="D788"/>
      <c r="E788"/>
      <c r="F788"/>
      <c r="G788"/>
      <c r="H788"/>
      <c r="I788"/>
      <c r="J788" s="1300"/>
      <c r="K788" s="1301"/>
      <c r="L788" s="1301"/>
      <c r="M788" s="1301"/>
      <c r="N788" s="1302"/>
      <c r="O788" s="1559"/>
      <c r="P788" s="1559"/>
      <c r="Q788" s="1559"/>
      <c r="R788" s="1559"/>
      <c r="S788" s="1559"/>
      <c r="T788" s="1306"/>
      <c r="U788" s="1307"/>
      <c r="V788" s="1307"/>
      <c r="W788" s="1308"/>
      <c r="X788" s="1303"/>
      <c r="Y788" s="1304"/>
      <c r="Z788" s="1304"/>
      <c r="AA788" s="1304"/>
      <c r="AB788" s="1305"/>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25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3" customFormat="1" ht="13" customHeight="1">
      <c r="A789"/>
      <c r="B789"/>
      <c r="C789"/>
      <c r="D789"/>
      <c r="E789"/>
      <c r="F789"/>
      <c r="G789"/>
      <c r="H789"/>
      <c r="I789"/>
      <c r="J789" s="1300"/>
      <c r="K789" s="1301"/>
      <c r="L789" s="1301"/>
      <c r="M789" s="1301"/>
      <c r="N789" s="1302"/>
      <c r="O789" s="1559"/>
      <c r="P789" s="1559"/>
      <c r="Q789" s="1559"/>
      <c r="R789" s="1559"/>
      <c r="S789" s="1559"/>
      <c r="T789" s="1306"/>
      <c r="U789" s="1307"/>
      <c r="V789" s="1307"/>
      <c r="W789" s="1308"/>
      <c r="X789" s="1303"/>
      <c r="Y789" s="1304"/>
      <c r="Z789" s="1304"/>
      <c r="AA789" s="1304"/>
      <c r="AB789" s="1305"/>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25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3" customFormat="1" ht="13" customHeight="1">
      <c r="A790"/>
      <c r="B790"/>
      <c r="C790"/>
      <c r="D790"/>
      <c r="E790"/>
      <c r="F790"/>
      <c r="G790"/>
      <c r="H790"/>
      <c r="I790"/>
      <c r="J790" s="1300"/>
      <c r="K790" s="1301"/>
      <c r="L790" s="1301"/>
      <c r="M790" s="1301"/>
      <c r="N790" s="1302"/>
      <c r="O790" s="1559"/>
      <c r="P790" s="1559"/>
      <c r="Q790" s="1559"/>
      <c r="R790" s="1559"/>
      <c r="S790" s="1559"/>
      <c r="T790" s="1306"/>
      <c r="U790" s="1307"/>
      <c r="V790" s="1307"/>
      <c r="W790" s="1308"/>
      <c r="X790" s="1303"/>
      <c r="Y790" s="1304"/>
      <c r="Z790" s="1304"/>
      <c r="AA790" s="1304"/>
      <c r="AB790" s="1305"/>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25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3" customFormat="1" ht="13" customHeight="1">
      <c r="A791"/>
      <c r="B791"/>
      <c r="C791"/>
      <c r="D791"/>
      <c r="E791"/>
      <c r="F791"/>
      <c r="G791"/>
      <c r="H791"/>
      <c r="I791"/>
      <c r="J791" s="1300"/>
      <c r="K791" s="1301"/>
      <c r="L791" s="1301"/>
      <c r="M791" s="1301"/>
      <c r="N791" s="1302"/>
      <c r="O791" s="1559"/>
      <c r="P791" s="1559"/>
      <c r="Q791" s="1559"/>
      <c r="R791" s="1559"/>
      <c r="S791" s="1559"/>
      <c r="T791" s="1306"/>
      <c r="U791" s="1307"/>
      <c r="V791" s="1307"/>
      <c r="W791" s="1308"/>
      <c r="X791" s="1303"/>
      <c r="Y791" s="1304"/>
      <c r="Z791" s="1304"/>
      <c r="AA791" s="1304"/>
      <c r="AB791" s="1305"/>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25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3" customFormat="1" ht="13" customHeight="1">
      <c r="A792"/>
      <c r="B792"/>
      <c r="C792"/>
      <c r="D792"/>
      <c r="E792"/>
      <c r="F792"/>
      <c r="G792"/>
      <c r="H792"/>
      <c r="I792"/>
      <c r="J792" s="1300"/>
      <c r="K792" s="1301"/>
      <c r="L792" s="1301"/>
      <c r="M792" s="1301"/>
      <c r="N792" s="1302"/>
      <c r="O792" s="1559"/>
      <c r="P792" s="1559"/>
      <c r="Q792" s="1559"/>
      <c r="R792" s="1559"/>
      <c r="S792" s="1559"/>
      <c r="T792" s="1306"/>
      <c r="U792" s="1307"/>
      <c r="V792" s="1307"/>
      <c r="W792" s="1308"/>
      <c r="X792" s="1303"/>
      <c r="Y792" s="1304"/>
      <c r="Z792" s="1304"/>
      <c r="AA792" s="1304"/>
      <c r="AB792" s="1305"/>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25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3" customFormat="1" ht="13" customHeight="1">
      <c r="A793"/>
      <c r="B793"/>
      <c r="C793"/>
      <c r="D793"/>
      <c r="E793"/>
      <c r="F793"/>
      <c r="G793"/>
      <c r="H793"/>
      <c r="I793"/>
      <c r="J793" s="1300"/>
      <c r="K793" s="1301"/>
      <c r="L793" s="1301"/>
      <c r="M793" s="1301"/>
      <c r="N793" s="1302"/>
      <c r="O793" s="1559"/>
      <c r="P793" s="1559"/>
      <c r="Q793" s="1559"/>
      <c r="R793" s="1559"/>
      <c r="S793" s="1559"/>
      <c r="T793" s="1306"/>
      <c r="U793" s="1307"/>
      <c r="V793" s="1307"/>
      <c r="W793" s="1308"/>
      <c r="X793" s="1303"/>
      <c r="Y793" s="1304"/>
      <c r="Z793" s="1304"/>
      <c r="AA793" s="1304"/>
      <c r="AB793" s="1305"/>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25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3" customFormat="1" ht="13" customHeight="1">
      <c r="A794"/>
      <c r="B794"/>
      <c r="C794"/>
      <c r="D794"/>
      <c r="E794"/>
      <c r="F794"/>
      <c r="G794"/>
      <c r="H794"/>
      <c r="I794"/>
      <c r="J794" s="1300"/>
      <c r="K794" s="1301"/>
      <c r="L794" s="1301"/>
      <c r="M794" s="1301"/>
      <c r="N794" s="1302"/>
      <c r="O794" s="1559"/>
      <c r="P794" s="1559"/>
      <c r="Q794" s="1559"/>
      <c r="R794" s="1559"/>
      <c r="S794" s="1559"/>
      <c r="T794" s="1306"/>
      <c r="U794" s="1307"/>
      <c r="V794" s="1307"/>
      <c r="W794" s="1308"/>
      <c r="X794" s="1303"/>
      <c r="Y794" s="1304"/>
      <c r="Z794" s="1304"/>
      <c r="AA794" s="1304"/>
      <c r="AB794" s="1305"/>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25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3" customFormat="1" ht="13" customHeight="1">
      <c r="A795"/>
      <c r="B795"/>
      <c r="C795"/>
      <c r="D795"/>
      <c r="E795"/>
      <c r="F795"/>
      <c r="G795"/>
      <c r="H795"/>
      <c r="I795"/>
      <c r="J795" s="1300"/>
      <c r="K795" s="1301"/>
      <c r="L795" s="1301"/>
      <c r="M795" s="1301"/>
      <c r="N795" s="1302"/>
      <c r="O795" s="1559"/>
      <c r="P795" s="1559"/>
      <c r="Q795" s="1559"/>
      <c r="R795" s="1559"/>
      <c r="S795" s="1559"/>
      <c r="T795" s="1306"/>
      <c r="U795" s="1307"/>
      <c r="V795" s="1307"/>
      <c r="W795" s="1308"/>
      <c r="X795" s="1303"/>
      <c r="Y795" s="1304"/>
      <c r="Z795" s="1304"/>
      <c r="AA795" s="1304"/>
      <c r="AB795" s="1305"/>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25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3" customHeight="1">
      <c r="A796"/>
      <c r="B796"/>
      <c r="C796"/>
      <c r="D796"/>
      <c r="E796"/>
      <c r="F796"/>
      <c r="G796"/>
      <c r="H796"/>
      <c r="I796"/>
      <c r="J796" s="1300"/>
      <c r="K796" s="1301"/>
      <c r="L796" s="1301"/>
      <c r="M796" s="1301"/>
      <c r="N796" s="1302"/>
      <c r="O796" s="1559"/>
      <c r="P796" s="1559"/>
      <c r="Q796" s="1559"/>
      <c r="R796" s="1559"/>
      <c r="S796" s="1559"/>
      <c r="T796" s="1306"/>
      <c r="U796" s="1307"/>
      <c r="V796" s="1307"/>
      <c r="W796" s="1308"/>
      <c r="X796" s="1303"/>
      <c r="Y796" s="1304"/>
      <c r="Z796" s="1304"/>
      <c r="AA796" s="1304"/>
      <c r="AB796" s="1305"/>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25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3" customHeight="1">
      <c r="A797"/>
      <c r="B797"/>
      <c r="C797"/>
      <c r="D797"/>
      <c r="E797"/>
      <c r="F797"/>
      <c r="G797"/>
      <c r="H797"/>
      <c r="I797"/>
      <c r="J797" s="1407" t="s">
        <v>1479</v>
      </c>
      <c r="K797" s="1408"/>
      <c r="L797" s="1408"/>
      <c r="M797" s="1408"/>
      <c r="N797" s="1409"/>
      <c r="O797" s="1419">
        <f>SUM(O787:S796)</f>
        <v>0</v>
      </c>
      <c r="P797" s="1419"/>
      <c r="Q797" s="1419"/>
      <c r="R797" s="1419"/>
      <c r="S797" s="1419"/>
      <c r="T797"/>
      <c r="U797"/>
      <c r="V797"/>
      <c r="W797"/>
      <c r="X797" s="798" t="s">
        <v>1480</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1502</v>
      </c>
      <c r="DW799" s="3"/>
      <c r="DX799" s="3"/>
      <c r="DY799" s="3"/>
      <c r="DZ799" s="3"/>
      <c r="EA799" s="3"/>
      <c r="EB799" s="3"/>
      <c r="EC799" s="3"/>
      <c r="ED799" s="3"/>
      <c r="EE799" s="3"/>
      <c r="EF799" s="3"/>
      <c r="EG799" s="3"/>
      <c r="EH799" s="3"/>
      <c r="EI799"/>
      <c r="EJ799"/>
      <c r="EK799"/>
      <c r="EL799"/>
      <c r="EM799"/>
      <c r="EN799"/>
      <c r="EO799"/>
      <c r="EP799"/>
      <c r="EQ799"/>
      <c r="ER799"/>
      <c r="ES799" s="48" t="s">
        <v>1503</v>
      </c>
      <c r="ET799" s="1786">
        <f>SUM(DU797:EX797)</f>
        <v>0</v>
      </c>
      <c r="EU799" s="1787"/>
      <c r="EV799" s="1787"/>
      <c r="EW799" s="1787"/>
      <c r="EX799" s="1788"/>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1504</v>
      </c>
      <c r="Y800" s="1646">
        <f>O753+AC777+AC797</f>
        <v>401680</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1505</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1506</v>
      </c>
      <c r="Y801" s="1646">
        <f>(O753+AC777+AC797)*12</f>
        <v>4820160</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1507</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48</v>
      </c>
      <c r="CV802" s="1423"/>
      <c r="CW802" s="1423"/>
      <c r="CX802" s="1423"/>
      <c r="CY802" s="1422"/>
      <c r="CZ802" s="1421">
        <f>CZ753+CZ777+CZ797</f>
        <v>59</v>
      </c>
      <c r="DA802" s="1423"/>
      <c r="DB802" s="1423"/>
      <c r="DC802" s="1423"/>
      <c r="DD802" s="1422"/>
      <c r="DE802" s="1421">
        <f>DE753+DE777+DE797</f>
        <v>92</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438</v>
      </c>
      <c r="DV802" s="49" t="s">
        <v>1508</v>
      </c>
    </row>
    <row r="803" spans="1:126" s="4" customFormat="1" ht="13" customHeight="1">
      <c r="A803" s="2" t="s">
        <v>1010</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1509</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1510</v>
      </c>
      <c r="I806" s="5"/>
      <c r="J806" s="5"/>
      <c r="K806" s="5"/>
      <c r="L806" s="5"/>
      <c r="M806" s="5"/>
      <c r="N806" s="5"/>
      <c r="O806" s="5"/>
      <c r="P806" s="5"/>
      <c r="Q806" s="5"/>
      <c r="R806" s="5"/>
      <c r="S806" s="5"/>
      <c r="T806" s="5"/>
      <c r="U806" s="5"/>
      <c r="V806" s="5"/>
      <c r="W806" s="5"/>
      <c r="X806" s="5"/>
      <c r="Y806" s="5"/>
      <c r="Z806" s="1511">
        <v>61</v>
      </c>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1511</v>
      </c>
      <c r="I807" s="5"/>
      <c r="J807" s="5"/>
      <c r="K807" s="5"/>
      <c r="L807" s="5"/>
      <c r="M807" s="5"/>
      <c r="N807" s="5"/>
      <c r="O807" s="5"/>
      <c r="P807" s="5"/>
      <c r="Q807" s="5"/>
      <c r="R807" s="5"/>
      <c r="S807" s="5"/>
      <c r="T807" s="5"/>
      <c r="U807" s="5"/>
      <c r="V807" s="5"/>
      <c r="W807" s="5"/>
      <c r="X807" s="5"/>
      <c r="Y807" s="5"/>
      <c r="Z807" s="1673">
        <v>20</v>
      </c>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1512</v>
      </c>
      <c r="I808" s="5"/>
      <c r="J808" s="5"/>
      <c r="K808" s="5"/>
      <c r="L808" s="5"/>
      <c r="M808" s="5"/>
      <c r="N808" s="5"/>
      <c r="O808" s="5"/>
      <c r="P808" s="5"/>
      <c r="Q808" s="5"/>
      <c r="R808" s="5"/>
      <c r="S808" s="5"/>
      <c r="T808" s="5"/>
      <c r="U808" s="5"/>
      <c r="V808" s="5"/>
      <c r="W808" s="5"/>
      <c r="X808" s="5"/>
      <c r="Y808" s="5"/>
      <c r="Z808" s="1671" t="s">
        <v>1513</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1514</v>
      </c>
      <c r="Z809" s="1561">
        <f>'Subsidy Contract Calculation'!J40</f>
        <v>1927980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1022</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1515</v>
      </c>
      <c r="I813" s="5"/>
      <c r="J813" s="5"/>
      <c r="K813" s="5"/>
      <c r="L813" s="5"/>
      <c r="M813" s="5"/>
      <c r="N813" s="5"/>
      <c r="O813" s="5"/>
      <c r="P813" s="5"/>
      <c r="Q813" s="5"/>
      <c r="R813" s="5"/>
      <c r="S813" s="5"/>
      <c r="T813" s="5"/>
      <c r="U813" s="5"/>
      <c r="V813" s="5"/>
      <c r="W813" s="5"/>
      <c r="X813" s="5"/>
      <c r="Y813" s="5"/>
      <c r="Z813" s="1424">
        <v>50000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1516</v>
      </c>
      <c r="I814" s="5"/>
      <c r="J814" s="5"/>
      <c r="K814" s="5"/>
      <c r="L814" s="5"/>
      <c r="M814" s="5"/>
      <c r="N814" s="5"/>
      <c r="O814" s="5"/>
      <c r="P814" s="5"/>
      <c r="Q814" s="5"/>
      <c r="R814" s="5"/>
      <c r="S814" s="5"/>
      <c r="T814" s="5"/>
      <c r="U814" s="5"/>
      <c r="V814" s="5"/>
      <c r="W814" s="5"/>
      <c r="X814" s="5"/>
      <c r="Y814" s="5"/>
      <c r="Z814" s="1424">
        <v>9750</v>
      </c>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1517</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1518</v>
      </c>
      <c r="I816" s="5"/>
      <c r="J816" s="5"/>
      <c r="K816" s="5"/>
      <c r="L816" s="5"/>
      <c r="M816" s="5"/>
      <c r="N816" s="5"/>
      <c r="O816" s="5"/>
      <c r="P816" s="1488" t="s">
        <v>1337</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1519</v>
      </c>
      <c r="Z817" s="1561">
        <f>SUM(Z813:AE816)</f>
        <v>59750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1520</v>
      </c>
      <c r="Z818" s="1561">
        <f>Z817+Y801+Z809</f>
        <v>6807890</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1049</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1521</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34" t="s">
        <v>1522</v>
      </c>
      <c r="N823" s="1534"/>
      <c r="O823" s="1534"/>
      <c r="P823" s="1598"/>
      <c r="Q823" s="1560" t="s">
        <v>1523</v>
      </c>
      <c r="R823" s="1560"/>
      <c r="S823" s="1560"/>
      <c r="T823" s="1560"/>
      <c r="U823" s="1560" t="s">
        <v>1524</v>
      </c>
      <c r="V823" s="1560"/>
      <c r="W823" s="1560"/>
      <c r="X823" s="1560"/>
      <c r="Y823" s="1560" t="s">
        <v>1525</v>
      </c>
      <c r="Z823" s="1560"/>
      <c r="AA823" s="1560"/>
      <c r="AB823" s="1560"/>
      <c r="AC823" s="1560" t="s">
        <v>1526</v>
      </c>
      <c r="AD823" s="1560"/>
      <c r="AE823" s="1560"/>
      <c r="AF823" s="1560"/>
      <c r="AG823" s="1672" t="s">
        <v>1527</v>
      </c>
      <c r="AH823" s="1672"/>
      <c r="AI823" s="1672"/>
      <c r="AJ823" s="1672"/>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2"/>
      <c r="AH824" s="1672"/>
      <c r="AI824" s="1672"/>
      <c r="AJ824" s="1672"/>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499" t="s">
        <v>1528</v>
      </c>
      <c r="D825" s="1320"/>
      <c r="E825" s="1320"/>
      <c r="F825" s="1320"/>
      <c r="G825" s="1320"/>
      <c r="H825" s="1320"/>
      <c r="I825" s="40"/>
      <c r="J825" s="40"/>
      <c r="K825" s="40"/>
      <c r="L825" s="41"/>
      <c r="M825" s="1587"/>
      <c r="N825" s="1587"/>
      <c r="O825" s="1587"/>
      <c r="P825" s="1587"/>
      <c r="Q825" s="1587">
        <v>34</v>
      </c>
      <c r="R825" s="1587"/>
      <c r="S825" s="1587"/>
      <c r="T825" s="1587"/>
      <c r="U825" s="1587">
        <v>43</v>
      </c>
      <c r="V825" s="1587"/>
      <c r="W825" s="1587"/>
      <c r="X825" s="1587"/>
      <c r="Y825" s="1587">
        <v>52</v>
      </c>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71" t="s">
        <v>1529</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71" t="s">
        <v>1530</v>
      </c>
      <c r="D827" s="1572"/>
      <c r="E827" s="1572"/>
      <c r="F827" s="1572"/>
      <c r="G827" s="1572"/>
      <c r="H827" s="1572"/>
      <c r="I827" s="52"/>
      <c r="J827" s="52"/>
      <c r="K827" s="52"/>
      <c r="L827" s="53"/>
      <c r="M827" s="1587"/>
      <c r="N827" s="1587"/>
      <c r="O827" s="1587"/>
      <c r="P827" s="1587"/>
      <c r="Q827" s="1587">
        <v>14</v>
      </c>
      <c r="R827" s="1587"/>
      <c r="S827" s="1587"/>
      <c r="T827" s="1587"/>
      <c r="U827" s="1587">
        <v>20</v>
      </c>
      <c r="V827" s="1587"/>
      <c r="W827" s="1587"/>
      <c r="X827" s="1587"/>
      <c r="Y827" s="1587">
        <v>31</v>
      </c>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71" t="s">
        <v>1531</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71" t="s">
        <v>1532</v>
      </c>
      <c r="D829" s="1572"/>
      <c r="E829" s="1572"/>
      <c r="F829" s="1572"/>
      <c r="G829" s="1572"/>
      <c r="H829" s="1572"/>
      <c r="I829" s="52"/>
      <c r="J829" s="52"/>
      <c r="K829" s="52"/>
      <c r="L829" s="53"/>
      <c r="M829" s="1587"/>
      <c r="N829" s="1587"/>
      <c r="O829" s="1587"/>
      <c r="P829" s="1587"/>
      <c r="Q829" s="1587">
        <v>53</v>
      </c>
      <c r="R829" s="1587"/>
      <c r="S829" s="1587"/>
      <c r="T829" s="1587"/>
      <c r="U829" s="1587">
        <v>74</v>
      </c>
      <c r="V829" s="1587"/>
      <c r="W829" s="1587"/>
      <c r="X829" s="1587"/>
      <c r="Y829" s="1587">
        <v>95</v>
      </c>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597" t="s">
        <v>1533</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1534</v>
      </c>
      <c r="D831" s="52"/>
      <c r="E831" s="52"/>
      <c r="F831" s="1488" t="s">
        <v>1337</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07" t="s">
        <v>1480</v>
      </c>
      <c r="D832" s="1408"/>
      <c r="E832" s="1408"/>
      <c r="F832" s="1408"/>
      <c r="G832" s="1408"/>
      <c r="H832" s="1408"/>
      <c r="I832" s="1408"/>
      <c r="J832" s="1408"/>
      <c r="K832" s="1408"/>
      <c r="L832" s="1409"/>
      <c r="M832" s="1581">
        <f>SUM(M825:P831)</f>
        <v>0</v>
      </c>
      <c r="N832" s="1581"/>
      <c r="O832" s="1581"/>
      <c r="P832" s="1581"/>
      <c r="Q832" s="1581">
        <f>SUM(Q825:T831)</f>
        <v>101</v>
      </c>
      <c r="R832" s="1581"/>
      <c r="S832" s="1581"/>
      <c r="T832" s="1581"/>
      <c r="U832" s="1581">
        <f>SUM(U825:X831)</f>
        <v>137</v>
      </c>
      <c r="V832" s="1581"/>
      <c r="W832" s="1581"/>
      <c r="X832" s="1581"/>
      <c r="Y832" s="1581">
        <f>SUM(Y825:AB831)</f>
        <v>178</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1535</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1536</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1537</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49" t="s">
        <v>1538</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1539</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1111</v>
      </c>
      <c r="B840"/>
      <c r="C840" s="2" t="s">
        <v>1540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 customHeight="1">
      <c r="A842"/>
      <c r="B842"/>
      <c r="C842" s="2" t="s">
        <v>1541</v>
      </c>
      <c r="D842"/>
      <c r="E842"/>
      <c r="F842"/>
      <c r="G842"/>
      <c r="H842"/>
      <c r="I842"/>
      <c r="J842" s="37" t="s">
        <v>1542</v>
      </c>
      <c r="K842" s="5"/>
      <c r="L842" s="5"/>
      <c r="M842" s="5"/>
      <c r="N842" s="5"/>
      <c r="O842" s="5"/>
      <c r="P842" s="5"/>
      <c r="Q842" s="5"/>
      <c r="R842" s="5"/>
      <c r="S842" s="5"/>
      <c r="T842" s="5"/>
      <c r="U842" s="5"/>
      <c r="V842" s="38"/>
      <c r="W842" s="1433">
        <v>5000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1543</v>
      </c>
      <c r="K843" s="5"/>
      <c r="L843" s="5"/>
      <c r="M843" s="5"/>
      <c r="N843" s="5"/>
      <c r="O843" s="5"/>
      <c r="P843" s="5"/>
      <c r="Q843" s="5"/>
      <c r="R843" s="5"/>
      <c r="S843" s="5"/>
      <c r="T843" s="5"/>
      <c r="U843" s="5"/>
      <c r="V843" s="38"/>
      <c r="W843" s="1433">
        <v>10000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1544</v>
      </c>
      <c r="K844" s="5"/>
      <c r="L844" s="5"/>
      <c r="M844" s="5"/>
      <c r="N844" s="5"/>
      <c r="O844" s="5"/>
      <c r="P844" s="5"/>
      <c r="Q844" s="5"/>
      <c r="R844" s="5"/>
      <c r="S844" s="5"/>
      <c r="T844" s="5"/>
      <c r="U844" s="5"/>
      <c r="V844" s="38"/>
      <c r="W844" s="1433">
        <v>12500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 customHeight="1">
      <c r="J845" s="37" t="s">
        <v>1545</v>
      </c>
      <c r="K845" s="5"/>
      <c r="L845" s="5"/>
      <c r="M845" s="5"/>
      <c r="N845" s="5"/>
      <c r="O845" s="5"/>
      <c r="P845" s="5"/>
      <c r="Q845" s="5"/>
      <c r="R845" s="5"/>
      <c r="S845" s="5"/>
      <c r="T845" s="5"/>
      <c r="U845" s="5"/>
      <c r="V845" s="38"/>
      <c r="W845" s="1433">
        <v>25000</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 customHeight="1">
      <c r="J846" s="37" t="s">
        <v>233</v>
      </c>
      <c r="K846" s="5"/>
      <c r="L846" s="5"/>
      <c r="M846" s="1488" t="s">
        <v>1337</v>
      </c>
      <c r="N846" s="1489"/>
      <c r="O846" s="1489"/>
      <c r="P846" s="1489"/>
      <c r="Q846" s="1489"/>
      <c r="R846" s="1489"/>
      <c r="S846" s="1489"/>
      <c r="T846" s="1489"/>
      <c r="U846" s="1489"/>
      <c r="V846" s="1490"/>
      <c r="W846" s="1433"/>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1546</v>
      </c>
      <c r="W847" s="1561">
        <f>SUM(W842:W846)</f>
        <v>52500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6"/>
      <c r="BH848" s="1296"/>
      <c r="BI848" s="1296"/>
      <c r="BJ848" s="1296"/>
      <c r="BK848" s="1296"/>
      <c r="BL848" s="1296"/>
    </row>
    <row r="849" spans="3:55" ht="13" customHeight="1">
      <c r="C849" s="2" t="s">
        <v>1547</v>
      </c>
      <c r="J849" s="1407" t="s">
        <v>1548</v>
      </c>
      <c r="K849" s="1408"/>
      <c r="L849" s="1408"/>
      <c r="M849" s="1408"/>
      <c r="N849" s="1408"/>
      <c r="O849" s="1408"/>
      <c r="P849" s="1408"/>
      <c r="Q849" s="1408"/>
      <c r="R849" s="1408"/>
      <c r="S849" s="1408"/>
      <c r="T849" s="1408"/>
      <c r="U849" s="1408"/>
      <c r="V849" s="1409"/>
      <c r="W849" s="1424">
        <v>141840</v>
      </c>
      <c r="X849" s="1425"/>
      <c r="Y849" s="1425"/>
      <c r="Z849" s="1425"/>
      <c r="AA849" s="1425"/>
      <c r="AB849" s="1425"/>
      <c r="AC849" s="1426"/>
      <c r="AD849" s="433"/>
      <c r="AZ849" s="25"/>
      <c r="BA849" s="25"/>
      <c r="BB849" s="13"/>
      <c r="BC849" s="13"/>
    </row>
    <row r="850" spans="3:55" ht="13" customHeight="1">
      <c r="AD850" s="433"/>
      <c r="AZ850" s="25"/>
      <c r="BA850" s="25"/>
      <c r="BB850" s="13"/>
      <c r="BC850" s="13"/>
    </row>
    <row r="851" spans="3:55" ht="13" customHeight="1">
      <c r="C851" s="2" t="s">
        <v>230</v>
      </c>
      <c r="J851" s="37" t="s">
        <v>1549</v>
      </c>
      <c r="K851" s="5"/>
      <c r="L851" s="5"/>
      <c r="M851" s="5"/>
      <c r="N851" s="5"/>
      <c r="O851" s="5"/>
      <c r="P851" s="5"/>
      <c r="Q851" s="5"/>
      <c r="R851" s="5"/>
      <c r="S851" s="5"/>
      <c r="T851" s="5"/>
      <c r="U851" s="5"/>
      <c r="V851" s="38"/>
      <c r="W851" s="1596"/>
      <c r="X851" s="1596"/>
      <c r="Y851" s="1596"/>
      <c r="Z851" s="1596"/>
      <c r="AA851" s="1596"/>
      <c r="AB851" s="1596"/>
      <c r="AC851" s="1596"/>
      <c r="AZ851" s="1661"/>
      <c r="BA851" s="1661"/>
      <c r="BB851" s="13"/>
      <c r="BC851" s="13"/>
    </row>
    <row r="852" spans="3:55" ht="13" customHeight="1">
      <c r="J852" s="37" t="s">
        <v>1550</v>
      </c>
      <c r="K852" s="5"/>
      <c r="L852" s="5"/>
      <c r="M852" s="5"/>
      <c r="N852" s="5"/>
      <c r="O852" s="5"/>
      <c r="P852" s="5"/>
      <c r="Q852" s="5"/>
      <c r="R852" s="5"/>
      <c r="S852" s="5"/>
      <c r="T852" s="5"/>
      <c r="U852" s="5"/>
      <c r="V852" s="38"/>
      <c r="W852" s="1596"/>
      <c r="X852" s="1596"/>
      <c r="Y852" s="1596"/>
      <c r="Z852" s="1596"/>
      <c r="AA852" s="1596"/>
      <c r="AB852" s="1596"/>
      <c r="AC852" s="1596"/>
      <c r="AZ852" s="25"/>
      <c r="BA852" s="25"/>
      <c r="BB852" s="13"/>
      <c r="BC852" s="13"/>
    </row>
    <row r="853" spans="3:55" ht="13" customHeight="1">
      <c r="J853" s="37" t="s">
        <v>1532</v>
      </c>
      <c r="K853" s="5"/>
      <c r="L853" s="5"/>
      <c r="M853" s="5"/>
      <c r="N853" s="5"/>
      <c r="O853" s="5"/>
      <c r="P853" s="5"/>
      <c r="Q853" s="5"/>
      <c r="R853" s="5"/>
      <c r="S853" s="5"/>
      <c r="T853" s="5"/>
      <c r="U853" s="5"/>
      <c r="V853" s="38"/>
      <c r="W853" s="1596">
        <v>212500</v>
      </c>
      <c r="X853" s="1596"/>
      <c r="Y853" s="1596"/>
      <c r="Z853" s="1596"/>
      <c r="AA853" s="1596"/>
      <c r="AB853" s="1596"/>
      <c r="AC853" s="1596"/>
      <c r="AZ853" s="25"/>
      <c r="BA853" s="25"/>
      <c r="BB853" s="13"/>
      <c r="BC853" s="13"/>
    </row>
    <row r="854" spans="3:55" ht="13" customHeight="1">
      <c r="J854" s="1175" t="s">
        <v>1551</v>
      </c>
      <c r="K854" s="5"/>
      <c r="L854" s="5"/>
      <c r="M854" s="5"/>
      <c r="N854" s="5"/>
      <c r="O854" s="5"/>
      <c r="P854" s="5"/>
      <c r="Q854" s="5"/>
      <c r="R854" s="5"/>
      <c r="S854" s="5"/>
      <c r="T854" s="5"/>
      <c r="U854" s="5"/>
      <c r="V854" s="38"/>
      <c r="W854" s="1596">
        <v>165000</v>
      </c>
      <c r="X854" s="1596"/>
      <c r="Y854" s="1596"/>
      <c r="Z854" s="1596"/>
      <c r="AA854" s="1596"/>
      <c r="AB854" s="1596"/>
      <c r="AC854" s="1596"/>
      <c r="AZ854" s="3"/>
      <c r="BA854" s="3"/>
      <c r="BB854" s="3"/>
      <c r="BC854" s="3"/>
    </row>
    <row r="855" spans="3:55" ht="13" customHeight="1">
      <c r="J855" s="54"/>
      <c r="K855" s="40"/>
      <c r="L855" s="40"/>
      <c r="M855" s="40"/>
      <c r="N855" s="40"/>
      <c r="O855" s="40"/>
      <c r="P855" s="40"/>
      <c r="Q855" s="40"/>
      <c r="R855" s="40"/>
      <c r="S855" s="40"/>
      <c r="T855" s="40"/>
      <c r="U855" s="40"/>
      <c r="V855" s="46" t="s">
        <v>1552</v>
      </c>
      <c r="W855" s="1648">
        <f>SUM(W851:W854)</f>
        <v>377500</v>
      </c>
      <c r="X855" s="1648"/>
      <c r="Y855" s="1648"/>
      <c r="Z855" s="1648"/>
      <c r="AA855" s="1648"/>
      <c r="AB855" s="1648"/>
      <c r="AC855" s="1648"/>
      <c r="AZ855" s="3"/>
      <c r="BA855" s="3"/>
      <c r="BB855" s="3"/>
      <c r="BC855" s="3"/>
    </row>
    <row r="856" spans="3:55" ht="13" customHeight="1">
      <c r="AZ856" s="3"/>
      <c r="BA856" s="3"/>
      <c r="BB856" s="3"/>
      <c r="BC856" s="3"/>
    </row>
    <row r="857" spans="3:55" ht="13" customHeight="1">
      <c r="C857" s="2" t="s">
        <v>1553</v>
      </c>
      <c r="J857" s="37" t="s">
        <v>1554</v>
      </c>
      <c r="K857" s="5"/>
      <c r="L857" s="5"/>
      <c r="M857" s="5"/>
      <c r="N857" s="5"/>
      <c r="O857" s="5"/>
      <c r="P857" s="5"/>
      <c r="Q857" s="5"/>
      <c r="R857" s="5"/>
      <c r="S857" s="5"/>
      <c r="T857" s="5"/>
      <c r="U857" s="5"/>
      <c r="V857" s="38"/>
      <c r="W857" s="1575">
        <v>211295</v>
      </c>
      <c r="X857" s="1576"/>
      <c r="Y857" s="1576"/>
      <c r="Z857" s="1576"/>
      <c r="AA857" s="1576"/>
      <c r="AB857" s="1576"/>
      <c r="AC857" s="1577"/>
      <c r="AD857" s="428"/>
      <c r="AZ857" s="3"/>
      <c r="BA857" s="3"/>
      <c r="BB857" s="3"/>
      <c r="BC857" s="3"/>
    </row>
    <row r="858" spans="3:55" ht="13" customHeight="1">
      <c r="C858" s="2" t="s">
        <v>1555</v>
      </c>
      <c r="J858" s="87" t="s">
        <v>1556</v>
      </c>
      <c r="K858" s="5"/>
      <c r="L858" s="5"/>
      <c r="M858" s="5"/>
      <c r="N858" s="5"/>
      <c r="O858" s="5"/>
      <c r="P858" s="5"/>
      <c r="Q858" s="5"/>
      <c r="R858" s="5"/>
      <c r="S858" s="5"/>
      <c r="T858" s="1652">
        <v>2</v>
      </c>
      <c r="U858" s="1639"/>
      <c r="V858" s="1653"/>
      <c r="W858" s="773"/>
      <c r="X858" s="774"/>
      <c r="Y858" s="774"/>
      <c r="Z858" s="774"/>
      <c r="AA858" s="774"/>
      <c r="AB858" s="774"/>
      <c r="AC858" s="775"/>
      <c r="AD858" s="428"/>
      <c r="AZ858" s="3"/>
      <c r="BA858" s="3"/>
      <c r="BB858" s="3"/>
      <c r="BC858" s="3"/>
    </row>
    <row r="859" spans="3:55" ht="13" customHeight="1">
      <c r="C859" s="2"/>
      <c r="J859" s="37" t="s">
        <v>1557</v>
      </c>
      <c r="K859" s="5"/>
      <c r="L859" s="5"/>
      <c r="M859" s="5"/>
      <c r="N859" s="5"/>
      <c r="O859" s="5"/>
      <c r="P859" s="5"/>
      <c r="Q859" s="5"/>
      <c r="R859" s="5"/>
      <c r="S859" s="5"/>
      <c r="T859" s="5"/>
      <c r="U859" s="5"/>
      <c r="V859" s="38"/>
      <c r="W859" s="1575">
        <v>65000</v>
      </c>
      <c r="X859" s="1576"/>
      <c r="Y859" s="1576"/>
      <c r="Z859" s="1576"/>
      <c r="AA859" s="1576"/>
      <c r="AB859" s="1576"/>
      <c r="AC859" s="1577"/>
      <c r="AD859" s="433"/>
      <c r="AZ859" s="3"/>
      <c r="BA859" s="3"/>
      <c r="BB859" s="3"/>
      <c r="BC859" s="3"/>
    </row>
    <row r="860" spans="3:55" ht="13" customHeight="1">
      <c r="C860" s="2"/>
      <c r="J860" s="87" t="s">
        <v>1558</v>
      </c>
      <c r="K860" s="5"/>
      <c r="L860" s="5"/>
      <c r="M860" s="5"/>
      <c r="N860" s="5"/>
      <c r="O860" s="5"/>
      <c r="P860" s="5"/>
      <c r="Q860" s="5"/>
      <c r="R860" s="5"/>
      <c r="S860" s="5"/>
      <c r="T860" s="1652">
        <v>2</v>
      </c>
      <c r="U860" s="1639"/>
      <c r="V860" s="1653"/>
      <c r="W860" s="773"/>
      <c r="X860" s="774"/>
      <c r="Y860" s="774"/>
      <c r="Z860" s="774"/>
      <c r="AA860" s="774"/>
      <c r="AB860" s="774"/>
      <c r="AC860" s="775"/>
      <c r="AD860" s="433"/>
      <c r="AZ860" s="3"/>
      <c r="BA860" s="3"/>
      <c r="BB860" s="3"/>
      <c r="BC860" s="3"/>
    </row>
    <row r="861" spans="3:55" ht="13" customHeight="1">
      <c r="J861" s="37" t="s">
        <v>233</v>
      </c>
      <c r="K861" s="5"/>
      <c r="L861" s="5"/>
      <c r="M861" s="1488" t="s">
        <v>1559</v>
      </c>
      <c r="N861" s="1489"/>
      <c r="O861" s="1489"/>
      <c r="P861" s="1489"/>
      <c r="Q861" s="1489"/>
      <c r="R861" s="1489"/>
      <c r="S861" s="1489"/>
      <c r="T861" s="1489"/>
      <c r="U861" s="1489"/>
      <c r="V861" s="1490"/>
      <c r="W861" s="1575">
        <v>35000</v>
      </c>
      <c r="X861" s="1576"/>
      <c r="Y861" s="1576"/>
      <c r="Z861" s="1576"/>
      <c r="AA861" s="1576"/>
      <c r="AB861" s="1576"/>
      <c r="AC861" s="1577"/>
      <c r="AD861" s="428"/>
      <c r="AU861" s="13"/>
      <c r="AZ861" s="3"/>
      <c r="BA861" s="3"/>
      <c r="BB861" s="3"/>
      <c r="BC861" s="3"/>
    </row>
    <row r="862" spans="3:55" ht="13" customHeight="1">
      <c r="J862" s="37"/>
      <c r="K862" s="5"/>
      <c r="L862" s="5"/>
      <c r="M862" s="5"/>
      <c r="N862" s="5"/>
      <c r="O862" s="5"/>
      <c r="P862" s="5"/>
      <c r="Q862" s="5"/>
      <c r="R862" s="5"/>
      <c r="S862" s="5"/>
      <c r="T862" s="5"/>
      <c r="U862" s="5"/>
      <c r="V862" s="46" t="s">
        <v>1560</v>
      </c>
      <c r="W862" s="1654">
        <f>SUM(W857:W861)</f>
        <v>311295</v>
      </c>
      <c r="X862" s="1655"/>
      <c r="Y862" s="1655"/>
      <c r="Z862" s="1655"/>
      <c r="AA862" s="1655"/>
      <c r="AB862" s="1655"/>
      <c r="AC862" s="1656"/>
      <c r="AD862" s="433"/>
      <c r="AU862" s="13"/>
      <c r="AZ862" s="3"/>
      <c r="BA862" s="3"/>
      <c r="BB862" s="3"/>
      <c r="BC862" s="3"/>
    </row>
    <row r="863" spans="3:55" ht="13" customHeight="1">
      <c r="J863" s="37"/>
      <c r="K863" s="5"/>
      <c r="L863" s="5"/>
      <c r="M863" s="5"/>
      <c r="N863" s="5"/>
      <c r="O863" s="5"/>
      <c r="P863" s="5"/>
      <c r="Q863" s="5"/>
      <c r="R863" s="5"/>
      <c r="S863" s="5"/>
      <c r="T863" s="5"/>
      <c r="U863" s="5"/>
      <c r="V863" s="46" t="s">
        <v>1561</v>
      </c>
      <c r="W863" s="1575">
        <v>127910</v>
      </c>
      <c r="X863" s="1576"/>
      <c r="Y863" s="1576"/>
      <c r="Z863" s="1576"/>
      <c r="AA863" s="1576"/>
      <c r="AB863" s="1576"/>
      <c r="AC863" s="1577"/>
      <c r="AU863" s="13"/>
      <c r="AZ863" s="3"/>
      <c r="BA863" s="3"/>
      <c r="BB863" s="3"/>
      <c r="BC863" s="3"/>
    </row>
    <row r="864" spans="3:55" ht="13" customHeight="1">
      <c r="J864" s="412"/>
      <c r="AU864" s="13"/>
      <c r="AZ864" s="3"/>
      <c r="BA864" s="3"/>
      <c r="BB864" s="3"/>
      <c r="BC864" s="3"/>
    </row>
    <row r="865" spans="3:55" ht="13" customHeight="1">
      <c r="C865" s="2" t="s">
        <v>232</v>
      </c>
      <c r="J865" s="37" t="s">
        <v>1562</v>
      </c>
      <c r="K865" s="5"/>
      <c r="L865" s="5"/>
      <c r="M865" s="5"/>
      <c r="N865" s="5"/>
      <c r="O865" s="5"/>
      <c r="P865" s="5"/>
      <c r="Q865" s="5"/>
      <c r="R865" s="5"/>
      <c r="S865" s="5"/>
      <c r="T865" s="5"/>
      <c r="U865" s="5"/>
      <c r="V865" s="38"/>
      <c r="W865" s="1433">
        <v>3500</v>
      </c>
      <c r="X865" s="1433"/>
      <c r="Y865" s="1433"/>
      <c r="Z865" s="1433"/>
      <c r="AA865" s="1433"/>
      <c r="AB865" s="1433"/>
      <c r="AC865" s="1433"/>
      <c r="AU865" s="13"/>
      <c r="AZ865" s="3"/>
      <c r="BA865" s="3"/>
      <c r="BB865" s="3"/>
      <c r="BC865" s="3"/>
    </row>
    <row r="866" spans="3:55" ht="13" customHeight="1">
      <c r="J866" s="37" t="s">
        <v>1563</v>
      </c>
      <c r="K866" s="5"/>
      <c r="L866" s="5"/>
      <c r="M866" s="5"/>
      <c r="N866" s="5"/>
      <c r="O866" s="5"/>
      <c r="P866" s="5"/>
      <c r="Q866" s="5"/>
      <c r="R866" s="5"/>
      <c r="S866" s="5"/>
      <c r="T866" s="5"/>
      <c r="U866" s="5"/>
      <c r="V866" s="38"/>
      <c r="W866" s="1433">
        <v>59080</v>
      </c>
      <c r="X866" s="1433"/>
      <c r="Y866" s="1433"/>
      <c r="Z866" s="1433"/>
      <c r="AA866" s="1433"/>
      <c r="AB866" s="1433"/>
      <c r="AC866" s="1433"/>
      <c r="AU866" s="3"/>
      <c r="AZ866" s="3"/>
      <c r="BA866" s="3"/>
      <c r="BB866" s="3"/>
      <c r="BC866" s="3"/>
    </row>
    <row r="867" spans="3:55" ht="13" customHeight="1">
      <c r="J867" s="37" t="s">
        <v>1564</v>
      </c>
      <c r="K867" s="5"/>
      <c r="L867" s="5"/>
      <c r="M867" s="5"/>
      <c r="N867" s="5"/>
      <c r="O867" s="5"/>
      <c r="P867" s="5"/>
      <c r="Q867" s="5"/>
      <c r="R867" s="5"/>
      <c r="S867" s="5"/>
      <c r="T867" s="5"/>
      <c r="U867" s="5"/>
      <c r="V867" s="38"/>
      <c r="W867" s="1433">
        <v>30000</v>
      </c>
      <c r="X867" s="1433"/>
      <c r="Y867" s="1433"/>
      <c r="Z867" s="1433"/>
      <c r="AA867" s="1433"/>
      <c r="AB867" s="1433"/>
      <c r="AC867" s="1433"/>
      <c r="AU867" s="3"/>
      <c r="AZ867" s="3"/>
      <c r="BA867" s="3"/>
      <c r="BB867" s="3"/>
      <c r="BC867" s="3"/>
    </row>
    <row r="868" spans="3:55" ht="13" customHeight="1">
      <c r="J868" s="37" t="s">
        <v>1565</v>
      </c>
      <c r="K868" s="5"/>
      <c r="L868" s="5"/>
      <c r="M868" s="5"/>
      <c r="N868" s="5"/>
      <c r="O868" s="5"/>
      <c r="P868" s="5"/>
      <c r="Q868" s="5"/>
      <c r="R868" s="5"/>
      <c r="S868" s="5"/>
      <c r="T868" s="5"/>
      <c r="U868" s="5"/>
      <c r="V868" s="38"/>
      <c r="W868" s="1433">
        <v>4155</v>
      </c>
      <c r="X868" s="1433"/>
      <c r="Y868" s="1433"/>
      <c r="Z868" s="1433"/>
      <c r="AA868" s="1433"/>
      <c r="AB868" s="1433"/>
      <c r="AC868" s="1433"/>
      <c r="AU868" s="3"/>
      <c r="AZ868" s="3"/>
      <c r="BA868" s="3"/>
      <c r="BB868" s="3"/>
      <c r="BC868" s="3"/>
    </row>
    <row r="869" spans="3:55" ht="13" customHeight="1">
      <c r="J869" s="37" t="s">
        <v>1566</v>
      </c>
      <c r="K869" s="5"/>
      <c r="L869" s="5"/>
      <c r="M869" s="5"/>
      <c r="N869" s="5"/>
      <c r="O869" s="5"/>
      <c r="P869" s="5"/>
      <c r="Q869" s="5"/>
      <c r="R869" s="5"/>
      <c r="S869" s="5"/>
      <c r="T869" s="5"/>
      <c r="U869" s="5"/>
      <c r="V869" s="38"/>
      <c r="W869" s="1433">
        <v>20000</v>
      </c>
      <c r="X869" s="1433"/>
      <c r="Y869" s="1433"/>
      <c r="Z869" s="1433"/>
      <c r="AA869" s="1433"/>
      <c r="AB869" s="1433"/>
      <c r="AC869" s="1433"/>
      <c r="AU869" s="3"/>
      <c r="AZ869" s="3"/>
      <c r="BA869" s="3"/>
      <c r="BB869" s="3"/>
      <c r="BC869" s="3"/>
    </row>
    <row r="870" spans="3:55" ht="13" customHeight="1">
      <c r="J870" s="37" t="s">
        <v>1567</v>
      </c>
      <c r="K870" s="5"/>
      <c r="L870" s="5"/>
      <c r="M870" s="5"/>
      <c r="N870" s="5"/>
      <c r="O870" s="5"/>
      <c r="P870" s="5"/>
      <c r="Q870" s="5"/>
      <c r="R870" s="5"/>
      <c r="S870" s="5"/>
      <c r="T870" s="5"/>
      <c r="U870" s="5"/>
      <c r="V870" s="38"/>
      <c r="W870" s="1433">
        <v>10500</v>
      </c>
      <c r="X870" s="1433"/>
      <c r="Y870" s="1433"/>
      <c r="Z870" s="1433"/>
      <c r="AA870" s="1433"/>
      <c r="AB870" s="1433"/>
      <c r="AC870" s="1433"/>
      <c r="AU870" s="3"/>
      <c r="AZ870" s="3"/>
      <c r="BA870" s="3"/>
      <c r="BB870" s="3"/>
      <c r="BC870" s="3"/>
    </row>
    <row r="871" spans="3:55" ht="13" customHeight="1">
      <c r="J871" s="37" t="s">
        <v>233</v>
      </c>
      <c r="K871" s="5"/>
      <c r="L871" s="5"/>
      <c r="M871" s="1488" t="s">
        <v>1337</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1568</v>
      </c>
      <c r="W872" s="1646">
        <f>SUM(W865:W871)</f>
        <v>127235</v>
      </c>
      <c r="X872" s="1646"/>
      <c r="Y872" s="1646"/>
      <c r="Z872" s="1646"/>
      <c r="AA872" s="1646"/>
      <c r="AB872" s="1646"/>
      <c r="AC872" s="1646"/>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1569</v>
      </c>
      <c r="J874" s="37" t="s">
        <v>233</v>
      </c>
      <c r="K874" s="5"/>
      <c r="L874" s="5"/>
      <c r="M874" s="1488" t="s">
        <v>1337</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3" customHeight="1">
      <c r="C875" s="2" t="s">
        <v>1570</v>
      </c>
      <c r="J875" s="37" t="s">
        <v>233</v>
      </c>
      <c r="K875" s="5"/>
      <c r="L875" s="5"/>
      <c r="M875" s="1488" t="s">
        <v>1337</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 customHeight="1">
      <c r="J876" s="37" t="s">
        <v>233</v>
      </c>
      <c r="K876" s="5"/>
      <c r="L876" s="5"/>
      <c r="M876" s="1488" t="s">
        <v>1337</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88" t="s">
        <v>1337</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88" t="s">
        <v>1337</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1571</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1572</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1573</v>
      </c>
      <c r="AC883" s="1562">
        <f>W847+W855+W862+W863+W872+W879+W849</f>
        <v>1138280</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1574</v>
      </c>
      <c r="AC884" s="1657">
        <f>O797+O777+G753</f>
        <v>199</v>
      </c>
      <c r="AD884" s="1657"/>
      <c r="AE884" s="1657"/>
      <c r="AF884" s="1657"/>
      <c r="AG884" s="1657"/>
      <c r="AH884" s="1658"/>
      <c r="AL884" s="3"/>
      <c r="AM884" s="3"/>
      <c r="AN884" s="3"/>
      <c r="AO884" s="3"/>
      <c r="AP884" s="3"/>
      <c r="AQ884" s="3"/>
      <c r="AR884" s="3"/>
      <c r="AS884" s="3"/>
      <c r="AT884" s="3"/>
      <c r="AZ884" s="3"/>
      <c r="BA884" s="3"/>
      <c r="BB884" s="3"/>
      <c r="BC884" s="3"/>
    </row>
    <row r="885" spans="3:55" ht="13" customHeight="1">
      <c r="C885" s="33"/>
      <c r="D885" s="34"/>
      <c r="E885" s="1591" t="s">
        <v>1575</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5720</v>
      </c>
      <c r="AD885" s="1646"/>
      <c r="AE885" s="1646"/>
      <c r="AF885" s="1646"/>
      <c r="AG885" s="1646"/>
      <c r="AH885" s="1646"/>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1576</v>
      </c>
      <c r="AC886" s="1659">
        <v>1500000</v>
      </c>
      <c r="AD886" s="1660"/>
      <c r="AE886" s="1660"/>
      <c r="AF886" s="1660"/>
      <c r="AG886" s="1660"/>
      <c r="AH886" s="1660"/>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1577</v>
      </c>
      <c r="AC887" s="1426"/>
      <c r="AD887" s="1433"/>
      <c r="AE887" s="1433"/>
      <c r="AF887" s="1433"/>
      <c r="AG887" s="1433"/>
      <c r="AH887" s="1433"/>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1578</v>
      </c>
      <c r="AC888" s="1425">
        <v>24360</v>
      </c>
      <c r="AD888" s="1425"/>
      <c r="AE888" s="1425"/>
      <c r="AF888" s="1425"/>
      <c r="AG888" s="1425"/>
      <c r="AH888" s="1426"/>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1579</v>
      </c>
      <c r="AC889" s="1425">
        <v>49750</v>
      </c>
      <c r="AD889" s="1425"/>
      <c r="AE889" s="1425"/>
      <c r="AF889" s="1425"/>
      <c r="AG889" s="1425"/>
      <c r="AH889" s="1426"/>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1580</v>
      </c>
      <c r="AC890" s="1427"/>
      <c r="AD890" s="1428"/>
      <c r="AE890" s="1428"/>
      <c r="AF890" s="1428"/>
      <c r="AG890" s="1428"/>
      <c r="AH890" s="1429"/>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1581</v>
      </c>
      <c r="AC891" s="1425">
        <v>3000</v>
      </c>
      <c r="AD891" s="1425"/>
      <c r="AE891" s="1425"/>
      <c r="AF891" s="1425"/>
      <c r="AG891" s="1425"/>
      <c r="AH891" s="1426"/>
      <c r="AZ891" s="3"/>
      <c r="BA891" s="3"/>
      <c r="BB891" s="3"/>
      <c r="BC891" s="3"/>
    </row>
    <row r="892" spans="3:55" ht="13" hidden="1" customHeight="1">
      <c r="C892" s="1407" t="s">
        <v>1582</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1583</v>
      </c>
      <c r="AC893" s="1425"/>
      <c r="AD893" s="1425"/>
      <c r="AE893" s="1425"/>
      <c r="AF893" s="1425"/>
      <c r="AG893" s="1425"/>
      <c r="AH893" s="1426"/>
      <c r="AZ893" s="3"/>
      <c r="BA893" s="3"/>
      <c r="BB893" s="3"/>
      <c r="BC893" s="3"/>
    </row>
    <row r="894" spans="3:55" ht="13" customHeight="1">
      <c r="C894" s="1578" t="s">
        <v>1584</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3" customHeight="1">
      <c r="C895" s="1578" t="s">
        <v>1584</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1292</v>
      </c>
      <c r="C897" s="2" t="s">
        <v>1585</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1586</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3" customHeight="1">
      <c r="H900" s="87" t="s">
        <v>1587</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 customHeight="1">
      <c r="H901" s="87" t="s">
        <v>1588</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6"/>
      <c r="BE901" s="1296"/>
      <c r="BF901" s="13"/>
    </row>
    <row r="902" spans="1:58" ht="13" customHeight="1">
      <c r="H902" s="37"/>
      <c r="I902" s="5"/>
      <c r="J902" s="5"/>
      <c r="K902" s="5"/>
      <c r="L902" s="5"/>
      <c r="M902" s="5"/>
      <c r="N902" s="5"/>
      <c r="O902" s="5"/>
      <c r="P902" s="5"/>
      <c r="Q902" s="5"/>
      <c r="R902" s="5"/>
      <c r="S902" s="5"/>
      <c r="T902" s="5"/>
      <c r="U902" s="5"/>
      <c r="V902" s="5"/>
      <c r="W902" s="5"/>
      <c r="X902" s="5"/>
      <c r="Y902" s="125" t="s">
        <v>1589</v>
      </c>
      <c r="Z902" s="1561">
        <f>Z899-(Z900+Z901)</f>
        <v>0</v>
      </c>
      <c r="AA902" s="1562"/>
      <c r="AB902" s="1562"/>
      <c r="AC902" s="1562"/>
      <c r="AD902" s="1562"/>
      <c r="AE902" s="1563"/>
      <c r="AZ902" s="3"/>
      <c r="BB902" s="25"/>
      <c r="BC902" s="716"/>
      <c r="BD902" s="1296"/>
      <c r="BE902" s="1296"/>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6"/>
      <c r="BE903" s="1296"/>
      <c r="BF903" s="13"/>
    </row>
    <row r="904" spans="1:58" ht="13" customHeight="1">
      <c r="C904" t="s">
        <v>1590</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6"/>
      <c r="BF904" s="13"/>
    </row>
    <row r="905" spans="1:58" ht="13" customHeight="1">
      <c r="C905" s="126" t="s">
        <v>1591</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3" customHeight="1">
      <c r="C906" s="126" t="s">
        <v>1592</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 customHeight="1">
      <c r="C907" s="243" t="s">
        <v>1593</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6"/>
      <c r="BE907" s="1296"/>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6"/>
      <c r="BF908" s="13"/>
    </row>
    <row r="909" spans="1:58" ht="13" customHeight="1">
      <c r="AZ909" s="3"/>
      <c r="BB909" s="25"/>
      <c r="BC909" s="716"/>
    </row>
    <row r="910" spans="1:58" ht="13" customHeight="1">
      <c r="A910" s="1381" t="s">
        <v>1594</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6"/>
      <c r="BF910" s="807"/>
    </row>
    <row r="911" spans="1:58" ht="13"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873</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593" t="s">
        <v>1595</v>
      </c>
      <c r="G915" s="1594"/>
      <c r="H915" s="1594"/>
      <c r="I915" s="1594"/>
      <c r="J915" s="1594"/>
      <c r="K915" s="1594"/>
      <c r="L915" s="1594"/>
      <c r="M915" s="1594"/>
      <c r="N915" s="1594"/>
      <c r="O915" s="1594"/>
      <c r="P915" s="1594"/>
      <c r="Q915" s="1594"/>
      <c r="R915" s="1594"/>
      <c r="S915" s="1594"/>
      <c r="T915" s="1595"/>
      <c r="U915" s="1533" t="s">
        <v>1596</v>
      </c>
      <c r="V915" s="1534"/>
      <c r="W915" s="1534"/>
      <c r="X915" s="1534"/>
      <c r="Y915" s="1534"/>
      <c r="Z915" s="1534"/>
      <c r="AA915" s="35"/>
      <c r="AB915" s="216"/>
      <c r="AC915" s="216"/>
      <c r="AD915" s="216"/>
      <c r="AE915" s="216"/>
      <c r="AF915" s="1176"/>
      <c r="AZ915" s="3"/>
      <c r="BA915" s="3"/>
      <c r="BB915" s="3"/>
      <c r="BC915" s="3"/>
    </row>
    <row r="916" spans="1:58" ht="13" customHeight="1">
      <c r="B916" s="2"/>
      <c r="F916" s="1535" t="s">
        <v>1597</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1598</v>
      </c>
      <c r="AC917" s="1582"/>
      <c r="AD917" s="1582"/>
      <c r="AE917" s="1582"/>
      <c r="AF917" s="1178"/>
      <c r="AZ917" s="3"/>
      <c r="BA917" s="3"/>
      <c r="BB917" s="3"/>
      <c r="BC917" s="3"/>
    </row>
    <row r="918" spans="1:58" ht="13" customHeight="1">
      <c r="B918" s="2"/>
      <c r="F918" s="37" t="s">
        <v>1599</v>
      </c>
      <c r="G918" s="40"/>
      <c r="H918" s="40"/>
      <c r="I918" s="40"/>
      <c r="J918" s="40"/>
      <c r="K918" s="40"/>
      <c r="L918" s="40"/>
      <c r="M918" s="40"/>
      <c r="N918" s="40"/>
      <c r="O918" s="40"/>
      <c r="P918" s="40"/>
      <c r="Q918" s="40"/>
      <c r="R918" s="40"/>
      <c r="S918" s="40"/>
      <c r="T918" s="41"/>
      <c r="U918" s="1363" t="s">
        <v>848</v>
      </c>
      <c r="V918" s="1364"/>
      <c r="W918" s="1364"/>
      <c r="X918" s="1364"/>
      <c r="Y918" s="1364"/>
      <c r="Z918" s="1365"/>
      <c r="AA918" s="1369">
        <v>80000000</v>
      </c>
      <c r="AB918" s="1370"/>
      <c r="AC918" s="1370"/>
      <c r="AD918" s="1370"/>
      <c r="AE918" s="1370"/>
      <c r="AF918" s="1371"/>
      <c r="AZ918" s="3"/>
      <c r="BA918" s="3"/>
      <c r="BB918" s="3"/>
      <c r="BC918" s="3"/>
    </row>
    <row r="919" spans="1:58" ht="13" customHeight="1">
      <c r="B919" s="2"/>
      <c r="F919" s="87" t="s">
        <v>1600</v>
      </c>
      <c r="G919" s="40"/>
      <c r="H919" s="40"/>
      <c r="I919" s="40"/>
      <c r="J919" s="40"/>
      <c r="K919" s="40"/>
      <c r="L919" s="40"/>
      <c r="M919" s="40"/>
      <c r="N919" s="40"/>
      <c r="O919" s="40"/>
      <c r="P919" s="40"/>
      <c r="Q919" s="40"/>
      <c r="R919" s="40"/>
      <c r="S919" s="40"/>
      <c r="T919" s="41"/>
      <c r="U919" s="1363" t="s">
        <v>848</v>
      </c>
      <c r="V919" s="1364"/>
      <c r="W919" s="1364"/>
      <c r="X919" s="1364"/>
      <c r="Y919" s="1364"/>
      <c r="Z919" s="1365"/>
      <c r="AA919" s="1369">
        <v>28000000</v>
      </c>
      <c r="AB919" s="1370"/>
      <c r="AC919" s="1370"/>
      <c r="AD919" s="1370"/>
      <c r="AE919" s="1370"/>
      <c r="AF919" s="1371"/>
      <c r="AZ919" s="3"/>
      <c r="BA919" s="3"/>
      <c r="BB919" s="3"/>
      <c r="BC919" s="3"/>
    </row>
    <row r="920" spans="1:58" ht="13" customHeight="1">
      <c r="F920" s="37" t="s">
        <v>1601</v>
      </c>
      <c r="G920" s="5"/>
      <c r="H920" s="5"/>
      <c r="I920" s="5"/>
      <c r="J920" s="5"/>
      <c r="K920" s="5"/>
      <c r="L920" s="5"/>
      <c r="M920" s="5"/>
      <c r="N920" s="5"/>
      <c r="O920" s="5"/>
      <c r="P920" s="5"/>
      <c r="Q920" s="5"/>
      <c r="R920" s="5"/>
      <c r="S920" s="5"/>
      <c r="T920" s="38"/>
      <c r="U920" s="1363" t="s">
        <v>813</v>
      </c>
      <c r="V920" s="1364"/>
      <c r="W920" s="1364"/>
      <c r="X920" s="1364"/>
      <c r="Y920" s="1364"/>
      <c r="Z920" s="1365"/>
      <c r="AA920" s="1369"/>
      <c r="AB920" s="1370"/>
      <c r="AC920" s="1370"/>
      <c r="AD920" s="1370"/>
      <c r="AE920" s="1370"/>
      <c r="AF920" s="1371"/>
      <c r="AZ920" s="3"/>
      <c r="BA920" s="3"/>
      <c r="BB920" s="3"/>
      <c r="BC920" s="3"/>
    </row>
    <row r="921" spans="1:58" ht="13" customHeight="1">
      <c r="F921" s="37" t="s">
        <v>1602</v>
      </c>
      <c r="G921" s="5"/>
      <c r="H921" s="5"/>
      <c r="I921" s="5"/>
      <c r="J921" s="5"/>
      <c r="K921" s="5"/>
      <c r="L921" s="5"/>
      <c r="M921" s="5"/>
      <c r="N921" s="5"/>
      <c r="O921" s="5"/>
      <c r="P921" s="5"/>
      <c r="Q921" s="5"/>
      <c r="R921" s="5"/>
      <c r="S921" s="5"/>
      <c r="T921" s="38"/>
      <c r="U921" s="1363" t="s">
        <v>813</v>
      </c>
      <c r="V921" s="1364"/>
      <c r="W921" s="1364"/>
      <c r="X921" s="1364"/>
      <c r="Y921" s="1364"/>
      <c r="Z921" s="1365"/>
      <c r="AA921" s="1369"/>
      <c r="AB921" s="1370"/>
      <c r="AC921" s="1370"/>
      <c r="AD921" s="1370"/>
      <c r="AE921" s="1370"/>
      <c r="AF921" s="1371"/>
      <c r="AZ921" s="3"/>
      <c r="BA921" s="3"/>
      <c r="BB921" s="3"/>
      <c r="BC921" s="3"/>
    </row>
    <row r="922" spans="1:58" ht="13" customHeight="1">
      <c r="F922" s="87" t="s">
        <v>1603</v>
      </c>
      <c r="G922" s="5"/>
      <c r="H922" s="5"/>
      <c r="I922" s="5"/>
      <c r="J922" s="5"/>
      <c r="K922" s="5"/>
      <c r="L922" s="5"/>
      <c r="M922" s="5"/>
      <c r="N922" s="5"/>
      <c r="O922" s="5"/>
      <c r="P922" s="5"/>
      <c r="Q922" s="5"/>
      <c r="R922" s="5"/>
      <c r="S922" s="5"/>
      <c r="T922" s="38"/>
      <c r="U922" s="1363" t="s">
        <v>813</v>
      </c>
      <c r="V922" s="1364"/>
      <c r="W922" s="1364"/>
      <c r="X922" s="1364"/>
      <c r="Y922" s="1364"/>
      <c r="Z922" s="1365"/>
      <c r="AA922" s="1369"/>
      <c r="AB922" s="1370"/>
      <c r="AC922" s="1370"/>
      <c r="AD922" s="1370"/>
      <c r="AE922" s="1370"/>
      <c r="AF922" s="1371"/>
      <c r="AZ922" s="3"/>
      <c r="BA922" s="3"/>
      <c r="BB922" s="3"/>
      <c r="BC922" s="3"/>
    </row>
    <row r="923" spans="1:58" ht="13" customHeight="1">
      <c r="F923" s="87" t="s">
        <v>1604</v>
      </c>
      <c r="G923" s="5"/>
      <c r="H923" s="5"/>
      <c r="I923" s="5"/>
      <c r="J923" s="5"/>
      <c r="K923" s="5"/>
      <c r="L923" s="5"/>
      <c r="M923" s="5"/>
      <c r="N923" s="5"/>
      <c r="O923" s="5"/>
      <c r="P923" s="5"/>
      <c r="Q923" s="5"/>
      <c r="R923" s="5"/>
      <c r="S923" s="5"/>
      <c r="T923" s="38"/>
      <c r="U923" s="1363" t="s">
        <v>813</v>
      </c>
      <c r="V923" s="1364"/>
      <c r="W923" s="1364"/>
      <c r="X923" s="1364"/>
      <c r="Y923" s="1364"/>
      <c r="Z923" s="1365"/>
      <c r="AA923" s="1369"/>
      <c r="AB923" s="1370"/>
      <c r="AC923" s="1370"/>
      <c r="AD923" s="1370"/>
      <c r="AE923" s="1370"/>
      <c r="AF923" s="1371"/>
      <c r="AZ923" s="3"/>
      <c r="BA923" s="3"/>
      <c r="BB923" s="3"/>
      <c r="BC923" s="3"/>
    </row>
    <row r="924" spans="1:58" ht="13" customHeight="1">
      <c r="F924" s="87" t="s">
        <v>1605</v>
      </c>
      <c r="G924" s="5"/>
      <c r="H924" s="5"/>
      <c r="I924" s="5"/>
      <c r="J924" s="5"/>
      <c r="K924" s="5"/>
      <c r="L924" s="5"/>
      <c r="M924" s="5"/>
      <c r="N924" s="5"/>
      <c r="O924" s="5"/>
      <c r="P924" s="5"/>
      <c r="Q924" s="5"/>
      <c r="R924" s="5"/>
      <c r="S924" s="5"/>
      <c r="T924" s="38"/>
      <c r="U924" s="1363" t="s">
        <v>813</v>
      </c>
      <c r="V924" s="1364"/>
      <c r="W924" s="1364"/>
      <c r="X924" s="1364"/>
      <c r="Y924" s="1364"/>
      <c r="Z924" s="1365"/>
      <c r="AA924" s="1369"/>
      <c r="AB924" s="1370"/>
      <c r="AC924" s="1370"/>
      <c r="AD924" s="1370"/>
      <c r="AE924" s="1370"/>
      <c r="AF924" s="1371"/>
      <c r="AZ924" s="3"/>
      <c r="BA924" s="3"/>
      <c r="BB924" s="3"/>
      <c r="BC924" s="3"/>
    </row>
    <row r="925" spans="1:58" ht="13" customHeight="1">
      <c r="F925" s="37" t="s">
        <v>1606</v>
      </c>
      <c r="G925" s="5"/>
      <c r="H925" s="5"/>
      <c r="I925" s="5"/>
      <c r="J925" s="5"/>
      <c r="K925" s="5"/>
      <c r="L925" s="5"/>
      <c r="M925" s="5"/>
      <c r="N925" s="5"/>
      <c r="O925" s="5"/>
      <c r="P925" s="5"/>
      <c r="Q925" s="5"/>
      <c r="R925" s="5"/>
      <c r="S925" s="5"/>
      <c r="T925" s="38"/>
      <c r="U925" s="1363" t="s">
        <v>813</v>
      </c>
      <c r="V925" s="1364"/>
      <c r="W925" s="1364"/>
      <c r="X925" s="1364"/>
      <c r="Y925" s="1364"/>
      <c r="Z925" s="1365"/>
      <c r="AA925" s="1369"/>
      <c r="AB925" s="1370"/>
      <c r="AC925" s="1370"/>
      <c r="AD925" s="1370"/>
      <c r="AE925" s="1370"/>
      <c r="AF925" s="1371"/>
      <c r="AZ925" s="3"/>
      <c r="BA925" s="3"/>
      <c r="BB925" s="3"/>
      <c r="BC925" s="3"/>
    </row>
    <row r="926" spans="1:58" ht="13" customHeight="1">
      <c r="F926" s="1547" t="s">
        <v>1607</v>
      </c>
      <c r="G926" s="1548"/>
      <c r="H926" s="1548"/>
      <c r="I926" s="1548"/>
      <c r="J926" s="1548"/>
      <c r="K926" s="1548"/>
      <c r="L926" s="1548"/>
      <c r="M926" s="1548"/>
      <c r="N926" s="1548"/>
      <c r="O926" s="1548"/>
      <c r="P926" s="1548"/>
      <c r="Q926" s="1548"/>
      <c r="R926" s="1548"/>
      <c r="S926" s="1548"/>
      <c r="T926" s="1549"/>
      <c r="U926" s="1363" t="s">
        <v>813</v>
      </c>
      <c r="V926" s="1364"/>
      <c r="W926" s="1364"/>
      <c r="X926" s="1364"/>
      <c r="Y926" s="1364"/>
      <c r="Z926" s="1365"/>
      <c r="AA926" s="1369"/>
      <c r="AB926" s="1370"/>
      <c r="AC926" s="1370"/>
      <c r="AD926" s="1370"/>
      <c r="AE926" s="1370"/>
      <c r="AF926" s="1371"/>
      <c r="AZ926" s="3"/>
      <c r="BA926" s="3"/>
      <c r="BB926" s="3"/>
      <c r="BC926" s="3"/>
    </row>
    <row r="927" spans="1:58" ht="13" customHeight="1">
      <c r="F927" s="1547" t="s">
        <v>1608</v>
      </c>
      <c r="G927" s="1548"/>
      <c r="H927" s="1548"/>
      <c r="I927" s="1548"/>
      <c r="J927" s="1548"/>
      <c r="K927" s="1548"/>
      <c r="L927" s="1548"/>
      <c r="M927" s="1548"/>
      <c r="N927" s="1548"/>
      <c r="O927" s="1548"/>
      <c r="P927" s="1548"/>
      <c r="Q927" s="1548"/>
      <c r="R927" s="1548"/>
      <c r="S927" s="1548"/>
      <c r="T927" s="1549"/>
      <c r="U927" s="1363" t="s">
        <v>813</v>
      </c>
      <c r="V927" s="1364"/>
      <c r="W927" s="1364"/>
      <c r="X927" s="1364"/>
      <c r="Y927" s="1364"/>
      <c r="Z927" s="1365"/>
      <c r="AA927" s="1369"/>
      <c r="AB927" s="1370"/>
      <c r="AC927" s="1370"/>
      <c r="AD927" s="1370"/>
      <c r="AE927" s="1370"/>
      <c r="AF927" s="1371"/>
      <c r="AU927" s="2"/>
      <c r="AZ927" s="3"/>
      <c r="BA927" s="3"/>
      <c r="BB927" s="3"/>
      <c r="BC927" s="3"/>
    </row>
    <row r="928" spans="1:58" ht="13" customHeight="1">
      <c r="F928" s="1547" t="s">
        <v>1609</v>
      </c>
      <c r="G928" s="1548"/>
      <c r="H928" s="1548"/>
      <c r="I928" s="1548"/>
      <c r="J928" s="1548"/>
      <c r="K928" s="1548"/>
      <c r="L928" s="1548"/>
      <c r="M928" s="1548"/>
      <c r="N928" s="1548"/>
      <c r="O928" s="1548"/>
      <c r="P928" s="1548"/>
      <c r="Q928" s="1548"/>
      <c r="R928" s="1548"/>
      <c r="S928" s="1548"/>
      <c r="T928" s="1549"/>
      <c r="U928" s="1363" t="s">
        <v>813</v>
      </c>
      <c r="V928" s="1364"/>
      <c r="W928" s="1364"/>
      <c r="X928" s="1364"/>
      <c r="Y928" s="1364"/>
      <c r="Z928" s="1365"/>
      <c r="AA928" s="1369"/>
      <c r="AB928" s="1370"/>
      <c r="AC928" s="1370"/>
      <c r="AD928" s="1370"/>
      <c r="AE928" s="1370"/>
      <c r="AF928" s="1371"/>
      <c r="AU928" s="2"/>
      <c r="AZ928" s="3"/>
      <c r="BA928" s="3"/>
      <c r="BB928" s="3"/>
      <c r="BC928" s="3"/>
    </row>
    <row r="929" spans="6:55" ht="13" customHeight="1">
      <c r="F929" s="1547" t="s">
        <v>1610</v>
      </c>
      <c r="G929" s="1548"/>
      <c r="H929" s="1548"/>
      <c r="I929" s="1548"/>
      <c r="J929" s="1548"/>
      <c r="K929" s="1548"/>
      <c r="L929" s="1548"/>
      <c r="M929" s="1548"/>
      <c r="N929" s="1548"/>
      <c r="O929" s="1548"/>
      <c r="P929" s="1548"/>
      <c r="Q929" s="1548"/>
      <c r="R929" s="1548"/>
      <c r="S929" s="1548"/>
      <c r="T929" s="1549"/>
      <c r="U929" s="1363" t="s">
        <v>813</v>
      </c>
      <c r="V929" s="1364"/>
      <c r="W929" s="1364"/>
      <c r="X929" s="1364"/>
      <c r="Y929" s="1364"/>
      <c r="Z929" s="1365"/>
      <c r="AA929" s="1369"/>
      <c r="AB929" s="1370"/>
      <c r="AC929" s="1370"/>
      <c r="AD929" s="1370"/>
      <c r="AE929" s="1370"/>
      <c r="AF929" s="1371"/>
      <c r="AU929" s="2"/>
      <c r="AZ929" s="3"/>
      <c r="BA929" s="3"/>
      <c r="BB929" s="3"/>
      <c r="BC929" s="3"/>
    </row>
    <row r="930" spans="6:55" ht="13" customHeight="1">
      <c r="F930" s="1547" t="s">
        <v>1611</v>
      </c>
      <c r="G930" s="1548"/>
      <c r="H930" s="1548"/>
      <c r="I930" s="1548"/>
      <c r="J930" s="1548"/>
      <c r="K930" s="1548"/>
      <c r="L930" s="1548"/>
      <c r="M930" s="1548"/>
      <c r="N930" s="1548"/>
      <c r="O930" s="1548"/>
      <c r="P930" s="1548"/>
      <c r="Q930" s="1548"/>
      <c r="R930" s="1548"/>
      <c r="S930" s="1548"/>
      <c r="T930" s="1549"/>
      <c r="U930" s="1363" t="s">
        <v>813</v>
      </c>
      <c r="V930" s="1364"/>
      <c r="W930" s="1364"/>
      <c r="X930" s="1364"/>
      <c r="Y930" s="1364"/>
      <c r="Z930" s="1365"/>
      <c r="AA930" s="1369"/>
      <c r="AB930" s="1370"/>
      <c r="AC930" s="1370"/>
      <c r="AD930" s="1370"/>
      <c r="AE930" s="1370"/>
      <c r="AF930" s="1371"/>
      <c r="AU930" s="2"/>
      <c r="AZ930" s="3"/>
      <c r="BA930" s="3"/>
      <c r="BB930" s="3"/>
      <c r="BC930" s="3"/>
    </row>
    <row r="931" spans="6:55" ht="13" customHeight="1">
      <c r="F931" s="1547" t="s">
        <v>1612</v>
      </c>
      <c r="G931" s="1548"/>
      <c r="H931" s="1548"/>
      <c r="I931" s="1548"/>
      <c r="J931" s="1548"/>
      <c r="K931" s="1548"/>
      <c r="L931" s="1548"/>
      <c r="M931" s="1548"/>
      <c r="N931" s="1548"/>
      <c r="O931" s="1548"/>
      <c r="P931" s="1548"/>
      <c r="Q931" s="1548"/>
      <c r="R931" s="1548"/>
      <c r="S931" s="1548"/>
      <c r="T931" s="1549"/>
      <c r="U931" s="1363" t="s">
        <v>813</v>
      </c>
      <c r="V931" s="1364"/>
      <c r="W931" s="1364"/>
      <c r="X931" s="1364"/>
      <c r="Y931" s="1364"/>
      <c r="Z931" s="1365"/>
      <c r="AA931" s="1369"/>
      <c r="AB931" s="1370"/>
      <c r="AC931" s="1370"/>
      <c r="AD931" s="1370"/>
      <c r="AE931" s="1370"/>
      <c r="AF931" s="1371"/>
      <c r="AU931" s="2"/>
      <c r="AZ931" s="3"/>
      <c r="BA931" s="3"/>
      <c r="BB931" s="3"/>
      <c r="BC931" s="3"/>
    </row>
    <row r="932" spans="6:55" ht="13" customHeight="1">
      <c r="F932" s="1547" t="s">
        <v>1613</v>
      </c>
      <c r="G932" s="1548"/>
      <c r="H932" s="1548"/>
      <c r="I932" s="1548"/>
      <c r="J932" s="1548"/>
      <c r="K932" s="1548"/>
      <c r="L932" s="1548"/>
      <c r="M932" s="1548"/>
      <c r="N932" s="1548"/>
      <c r="O932" s="1548"/>
      <c r="P932" s="1548"/>
      <c r="Q932" s="1548"/>
      <c r="R932" s="1548"/>
      <c r="S932" s="1548"/>
      <c r="T932" s="1549"/>
      <c r="U932" s="1363" t="s">
        <v>813</v>
      </c>
      <c r="V932" s="1364"/>
      <c r="W932" s="1364"/>
      <c r="X932" s="1364"/>
      <c r="Y932" s="1364"/>
      <c r="Z932" s="1365"/>
      <c r="AA932" s="1369"/>
      <c r="AB932" s="1370"/>
      <c r="AC932" s="1370"/>
      <c r="AD932" s="1370"/>
      <c r="AE932" s="1370"/>
      <c r="AF932" s="1371"/>
      <c r="AZ932" s="25"/>
      <c r="BA932" s="25"/>
    </row>
    <row r="933" spans="6:55" ht="13" customHeight="1">
      <c r="F933" s="123" t="s">
        <v>1614</v>
      </c>
      <c r="G933" s="5"/>
      <c r="H933" s="5"/>
      <c r="I933" s="5"/>
      <c r="J933" s="5"/>
      <c r="K933" s="5"/>
      <c r="L933" s="5"/>
      <c r="M933" s="5"/>
      <c r="N933" s="5"/>
      <c r="O933" s="5"/>
      <c r="P933" s="5"/>
      <c r="Q933" s="5"/>
      <c r="R933" s="5"/>
      <c r="S933" s="5"/>
      <c r="T933" s="38"/>
      <c r="U933" s="1363" t="s">
        <v>813</v>
      </c>
      <c r="V933" s="1364"/>
      <c r="W933" s="1364"/>
      <c r="X933" s="1364"/>
      <c r="Y933" s="1364"/>
      <c r="Z933" s="1365"/>
      <c r="AA933" s="1369"/>
      <c r="AB933" s="1370"/>
      <c r="AC933" s="1370"/>
      <c r="AD933" s="1370"/>
      <c r="AE933" s="1370"/>
      <c r="AF933" s="1371"/>
    </row>
    <row r="934" spans="6:55" ht="13" customHeight="1">
      <c r="F934" s="87" t="s">
        <v>1615</v>
      </c>
      <c r="G934" s="5"/>
      <c r="H934" s="5"/>
      <c r="I934" s="5"/>
      <c r="J934" s="5"/>
      <c r="K934" s="5"/>
      <c r="L934" s="5"/>
      <c r="M934" s="5"/>
      <c r="N934" s="5"/>
      <c r="O934" s="5"/>
      <c r="P934" s="5"/>
      <c r="Q934" s="5"/>
      <c r="R934" s="5"/>
      <c r="S934" s="5"/>
      <c r="T934" s="38"/>
      <c r="U934" s="1363" t="s">
        <v>813</v>
      </c>
      <c r="V934" s="1364"/>
      <c r="W934" s="1364"/>
      <c r="X934" s="1364"/>
      <c r="Y934" s="1364"/>
      <c r="Z934" s="1365"/>
      <c r="AA934" s="1369"/>
      <c r="AB934" s="1370"/>
      <c r="AC934" s="1370"/>
      <c r="AD934" s="1370"/>
      <c r="AE934" s="1370"/>
      <c r="AF934" s="1371"/>
      <c r="AZ934" s="25"/>
      <c r="BA934" s="13"/>
    </row>
    <row r="935" spans="6:55" ht="13" customHeight="1">
      <c r="F935" s="87" t="s">
        <v>1616</v>
      </c>
      <c r="G935" s="5"/>
      <c r="H935" s="5"/>
      <c r="I935" s="5"/>
      <c r="J935" s="5"/>
      <c r="K935" s="5"/>
      <c r="L935" s="5"/>
      <c r="M935" s="5"/>
      <c r="N935" s="5"/>
      <c r="O935" s="5"/>
      <c r="P935" s="5"/>
      <c r="Q935" s="5"/>
      <c r="R935" s="5"/>
      <c r="S935" s="5"/>
      <c r="T935" s="38"/>
      <c r="U935" s="1363" t="s">
        <v>813</v>
      </c>
      <c r="V935" s="1364"/>
      <c r="W935" s="1364"/>
      <c r="X935" s="1364"/>
      <c r="Y935" s="1364"/>
      <c r="Z935" s="1365"/>
      <c r="AA935" s="1369"/>
      <c r="AB935" s="1370"/>
      <c r="AC935" s="1370"/>
      <c r="AD935" s="1370"/>
      <c r="AE935" s="1370"/>
      <c r="AF935" s="1371"/>
      <c r="AZ935" s="25"/>
      <c r="BA935" s="13"/>
    </row>
    <row r="936" spans="6:55" ht="13" customHeight="1">
      <c r="F936" s="1584" t="s">
        <v>1617</v>
      </c>
      <c r="G936" s="1585"/>
      <c r="H936" s="1585"/>
      <c r="I936" s="1585"/>
      <c r="J936" s="1585"/>
      <c r="K936" s="1585"/>
      <c r="L936" s="1585"/>
      <c r="M936" s="1585"/>
      <c r="N936" s="1585"/>
      <c r="O936" s="1585"/>
      <c r="P936" s="1585"/>
      <c r="Q936" s="1585"/>
      <c r="R936" s="1585"/>
      <c r="S936" s="1585"/>
      <c r="T936" s="1586"/>
      <c r="U936" s="1363" t="s">
        <v>813</v>
      </c>
      <c r="V936" s="1364"/>
      <c r="W936" s="1364"/>
      <c r="X936" s="1364"/>
      <c r="Y936" s="1364"/>
      <c r="Z936" s="1365"/>
      <c r="AA936" s="1369"/>
      <c r="AB936" s="1370"/>
      <c r="AC936" s="1370"/>
      <c r="AD936" s="1370"/>
      <c r="AE936" s="1370"/>
      <c r="AF936" s="1371"/>
      <c r="AZ936" s="25"/>
      <c r="BA936" s="13"/>
    </row>
    <row r="937" spans="6:55" ht="13" customHeight="1">
      <c r="F937" s="1584" t="s">
        <v>1618</v>
      </c>
      <c r="G937" s="1585"/>
      <c r="H937" s="1585"/>
      <c r="I937" s="1585"/>
      <c r="J937" s="1585"/>
      <c r="K937" s="1585"/>
      <c r="L937" s="1585"/>
      <c r="M937" s="1585"/>
      <c r="N937" s="1585"/>
      <c r="O937" s="1585"/>
      <c r="P937" s="1585"/>
      <c r="Q937" s="1585"/>
      <c r="R937" s="1585"/>
      <c r="S937" s="1585"/>
      <c r="T937" s="1586"/>
      <c r="U937" s="1363" t="s">
        <v>813</v>
      </c>
      <c r="V937" s="1364"/>
      <c r="W937" s="1364"/>
      <c r="X937" s="1364"/>
      <c r="Y937" s="1364"/>
      <c r="Z937" s="1365"/>
      <c r="AA937" s="1369"/>
      <c r="AB937" s="1370"/>
      <c r="AC937" s="1370"/>
      <c r="AD937" s="1370"/>
      <c r="AE937" s="1370"/>
      <c r="AF937" s="1371"/>
      <c r="AZ937" s="25"/>
      <c r="BA937" s="25"/>
    </row>
    <row r="938" spans="6:55" ht="13" customHeight="1">
      <c r="F938" s="1547" t="s">
        <v>1619</v>
      </c>
      <c r="G938" s="1548"/>
      <c r="H938" s="1548"/>
      <c r="I938" s="1548"/>
      <c r="J938" s="1548"/>
      <c r="K938" s="1548"/>
      <c r="L938" s="1548"/>
      <c r="M938" s="1548"/>
      <c r="N938" s="1548"/>
      <c r="O938" s="1548"/>
      <c r="P938" s="1548"/>
      <c r="Q938" s="1548"/>
      <c r="R938" s="1548"/>
      <c r="S938" s="1548"/>
      <c r="T938" s="1549"/>
      <c r="U938" s="1363" t="s">
        <v>813</v>
      </c>
      <c r="V938" s="1364"/>
      <c r="W938" s="1364"/>
      <c r="X938" s="1364"/>
      <c r="Y938" s="1364"/>
      <c r="Z938" s="1365"/>
      <c r="AA938" s="1369"/>
      <c r="AB938" s="1370"/>
      <c r="AC938" s="1370"/>
      <c r="AD938" s="1370"/>
      <c r="AE938" s="1370"/>
      <c r="AF938" s="1371"/>
      <c r="AZ938" s="25"/>
      <c r="BA938" s="25"/>
    </row>
    <row r="939" spans="6:55" ht="13" customHeight="1">
      <c r="F939" s="1547" t="s">
        <v>1620</v>
      </c>
      <c r="G939" s="1548"/>
      <c r="H939" s="1548"/>
      <c r="I939" s="1548"/>
      <c r="J939" s="1548"/>
      <c r="K939" s="1548"/>
      <c r="L939" s="1548"/>
      <c r="M939" s="1548"/>
      <c r="N939" s="1548"/>
      <c r="O939" s="1548"/>
      <c r="P939" s="1548"/>
      <c r="Q939" s="1548"/>
      <c r="R939" s="1548"/>
      <c r="S939" s="1548"/>
      <c r="T939" s="1549"/>
      <c r="U939" s="1363" t="s">
        <v>813</v>
      </c>
      <c r="V939" s="1364"/>
      <c r="W939" s="1364"/>
      <c r="X939" s="1364"/>
      <c r="Y939" s="1364"/>
      <c r="Z939" s="1365"/>
      <c r="AA939" s="1369"/>
      <c r="AB939" s="1370"/>
      <c r="AC939" s="1370"/>
      <c r="AD939" s="1370"/>
      <c r="AE939" s="1370"/>
      <c r="AF939" s="1371"/>
      <c r="AZ939" s="25"/>
      <c r="BA939" s="25"/>
    </row>
    <row r="940" spans="6:55" ht="13" customHeight="1">
      <c r="F940" s="1547" t="s">
        <v>1621</v>
      </c>
      <c r="G940" s="1548"/>
      <c r="H940" s="1548"/>
      <c r="I940" s="1548"/>
      <c r="J940" s="1548"/>
      <c r="K940" s="1548"/>
      <c r="L940" s="1548"/>
      <c r="M940" s="1548"/>
      <c r="N940" s="1548"/>
      <c r="O940" s="1548"/>
      <c r="P940" s="1548"/>
      <c r="Q940" s="1548"/>
      <c r="R940" s="1548"/>
      <c r="S940" s="1548"/>
      <c r="T940" s="1549"/>
      <c r="U940" s="1363" t="s">
        <v>813</v>
      </c>
      <c r="V940" s="1364"/>
      <c r="W940" s="1364"/>
      <c r="X940" s="1364"/>
      <c r="Y940" s="1364"/>
      <c r="Z940" s="1365"/>
      <c r="AA940" s="1369"/>
      <c r="AB940" s="1370"/>
      <c r="AC940" s="1370"/>
      <c r="AD940" s="1370"/>
      <c r="AE940" s="1370"/>
      <c r="AF940" s="1371"/>
      <c r="AZ940" s="3"/>
      <c r="BA940" s="3"/>
      <c r="BB940" s="13"/>
      <c r="BC940" s="13"/>
    </row>
    <row r="941" spans="6:55" ht="13" customHeight="1">
      <c r="F941" s="87" t="s">
        <v>1622</v>
      </c>
      <c r="G941" s="5"/>
      <c r="H941" s="5"/>
      <c r="I941" s="5"/>
      <c r="J941" s="5"/>
      <c r="K941" s="5"/>
      <c r="L941" s="5"/>
      <c r="M941" s="5"/>
      <c r="N941" s="5"/>
      <c r="O941" s="5"/>
      <c r="P941" s="5"/>
      <c r="Q941" s="5"/>
      <c r="R941" s="5"/>
      <c r="S941" s="5"/>
      <c r="T941" s="38"/>
      <c r="U941" s="1363" t="s">
        <v>813</v>
      </c>
      <c r="V941" s="1364"/>
      <c r="W941" s="1364"/>
      <c r="X941" s="1364"/>
      <c r="Y941" s="1364"/>
      <c r="Z941" s="1365"/>
      <c r="AA941" s="1369"/>
      <c r="AB941" s="1370"/>
      <c r="AC941" s="1370"/>
      <c r="AD941" s="1370"/>
      <c r="AE941" s="1370"/>
      <c r="AF941" s="1371"/>
      <c r="AZ941" s="3"/>
      <c r="BA941" s="3"/>
      <c r="BB941" s="13"/>
      <c r="BC941" s="13"/>
    </row>
    <row r="942" spans="6:55" ht="13" customHeight="1">
      <c r="F942" s="1584" t="s">
        <v>1623</v>
      </c>
      <c r="G942" s="1585"/>
      <c r="H942" s="1585"/>
      <c r="I942" s="1585"/>
      <c r="J942" s="1585"/>
      <c r="K942" s="1585"/>
      <c r="L942" s="1585"/>
      <c r="M942" s="1585"/>
      <c r="N942" s="1585"/>
      <c r="O942" s="1585"/>
      <c r="P942" s="1585"/>
      <c r="Q942" s="1585"/>
      <c r="R942" s="1585"/>
      <c r="S942" s="1585"/>
      <c r="T942" s="1586"/>
      <c r="U942" s="1363" t="s">
        <v>813</v>
      </c>
      <c r="V942" s="1364"/>
      <c r="W942" s="1364"/>
      <c r="X942" s="1364"/>
      <c r="Y942" s="1364"/>
      <c r="Z942" s="1365"/>
      <c r="AA942" s="1369"/>
      <c r="AB942" s="1370"/>
      <c r="AC942" s="1370"/>
      <c r="AD942" s="1370"/>
      <c r="AE942" s="1370"/>
      <c r="AF942" s="1371"/>
      <c r="AZ942" s="3"/>
      <c r="BA942" s="3"/>
      <c r="BB942" s="3"/>
      <c r="BC942" s="3"/>
    </row>
    <row r="943" spans="6:55" ht="13" customHeight="1">
      <c r="F943" s="87" t="s">
        <v>1624</v>
      </c>
      <c r="G943" s="5"/>
      <c r="H943" s="5"/>
      <c r="I943" s="5"/>
      <c r="J943" s="5"/>
      <c r="K943" s="5"/>
      <c r="L943" s="5"/>
      <c r="M943" s="5"/>
      <c r="N943" s="5"/>
      <c r="O943" s="5"/>
      <c r="P943" s="5"/>
      <c r="Q943" s="5"/>
      <c r="R943" s="5"/>
      <c r="S943" s="5"/>
      <c r="T943" s="38"/>
      <c r="U943" s="1363" t="s">
        <v>813</v>
      </c>
      <c r="V943" s="1364"/>
      <c r="W943" s="1364"/>
      <c r="X943" s="1364"/>
      <c r="Y943" s="1364"/>
      <c r="Z943" s="1365"/>
      <c r="AA943" s="1369"/>
      <c r="AB943" s="1370"/>
      <c r="AC943" s="1370"/>
      <c r="AD943" s="1370"/>
      <c r="AE943" s="1370"/>
      <c r="AF943" s="1371"/>
      <c r="AZ943" s="3"/>
      <c r="BA943" s="3"/>
      <c r="BB943" s="3"/>
      <c r="BC943" s="3"/>
    </row>
    <row r="944" spans="6:55" ht="13" customHeight="1">
      <c r="F944" s="1584" t="s">
        <v>1625</v>
      </c>
      <c r="G944" s="1585"/>
      <c r="H944" s="1585"/>
      <c r="I944" s="1585"/>
      <c r="J944" s="1585"/>
      <c r="K944" s="1585"/>
      <c r="L944" s="1585"/>
      <c r="M944" s="1585"/>
      <c r="N944" s="1585"/>
      <c r="O944" s="1585"/>
      <c r="P944" s="1585"/>
      <c r="Q944" s="1585"/>
      <c r="R944" s="1585"/>
      <c r="S944" s="1585"/>
      <c r="T944" s="1586"/>
      <c r="U944" s="1363" t="s">
        <v>813</v>
      </c>
      <c r="V944" s="1364"/>
      <c r="W944" s="1364"/>
      <c r="X944" s="1364"/>
      <c r="Y944" s="1364"/>
      <c r="Z944" s="1365"/>
      <c r="AA944" s="1369"/>
      <c r="AB944" s="1370"/>
      <c r="AC944" s="1370"/>
      <c r="AD944" s="1370"/>
      <c r="AE944" s="1370"/>
      <c r="AF944" s="1371"/>
      <c r="AZ944" s="3"/>
      <c r="BA944" s="3"/>
      <c r="BB944" s="3"/>
      <c r="BC944" s="3"/>
    </row>
    <row r="945" spans="1:55" ht="13" customHeight="1">
      <c r="F945" s="37" t="s">
        <v>1626</v>
      </c>
      <c r="G945" s="5"/>
      <c r="H945" s="5"/>
      <c r="I945" s="5"/>
      <c r="J945" s="5"/>
      <c r="K945" s="5"/>
      <c r="L945" s="5"/>
      <c r="M945" s="5"/>
      <c r="N945" s="5"/>
      <c r="O945" s="5"/>
      <c r="P945" s="1363" t="s">
        <v>695</v>
      </c>
      <c r="Q945" s="1364"/>
      <c r="R945" s="1364"/>
      <c r="S945" s="1364"/>
      <c r="T945" s="1365"/>
      <c r="U945" s="1363" t="s">
        <v>813</v>
      </c>
      <c r="V945" s="1364"/>
      <c r="W945" s="1364"/>
      <c r="X945" s="1364"/>
      <c r="Y945" s="1364"/>
      <c r="Z945" s="1365"/>
      <c r="AA945" s="1369"/>
      <c r="AB945" s="1370"/>
      <c r="AC945" s="1370"/>
      <c r="AD945" s="1370"/>
      <c r="AE945" s="1370"/>
      <c r="AF945" s="1371"/>
      <c r="AZ945" s="3"/>
      <c r="BA945" s="3"/>
      <c r="BB945" s="3"/>
      <c r="BC945" s="3"/>
    </row>
    <row r="946" spans="1:55" ht="13" customHeight="1">
      <c r="F946" s="1547" t="s">
        <v>1627</v>
      </c>
      <c r="G946" s="1548"/>
      <c r="H946" s="1549"/>
      <c r="I946" s="1488" t="s">
        <v>1337</v>
      </c>
      <c r="J946" s="1489"/>
      <c r="K946" s="1489"/>
      <c r="L946" s="1489"/>
      <c r="M946" s="1489"/>
      <c r="N946" s="1489"/>
      <c r="O946" s="1489"/>
      <c r="P946" s="1489"/>
      <c r="Q946" s="1489"/>
      <c r="R946" s="1489"/>
      <c r="S946" s="1489"/>
      <c r="T946" s="1490"/>
      <c r="U946" s="1363" t="s">
        <v>813</v>
      </c>
      <c r="V946" s="1364"/>
      <c r="W946" s="1364"/>
      <c r="X946" s="1364"/>
      <c r="Y946" s="1364"/>
      <c r="Z946" s="1365"/>
      <c r="AA946" s="1369"/>
      <c r="AB946" s="1370"/>
      <c r="AC946" s="1370"/>
      <c r="AD946" s="1370"/>
      <c r="AE946" s="1370"/>
      <c r="AF946" s="1371"/>
      <c r="AZ946" s="3"/>
      <c r="BA946" s="3"/>
      <c r="BB946" s="3"/>
      <c r="BC946" s="3"/>
    </row>
    <row r="947" spans="1:55" ht="13" customHeight="1">
      <c r="F947" s="37" t="s">
        <v>1067</v>
      </c>
      <c r="G947" s="40"/>
      <c r="H947" s="40"/>
      <c r="I947" s="1488" t="s">
        <v>1337</v>
      </c>
      <c r="J947" s="1489"/>
      <c r="K947" s="1489"/>
      <c r="L947" s="1489"/>
      <c r="M947" s="1489"/>
      <c r="N947" s="1489"/>
      <c r="O947" s="1489"/>
      <c r="P947" s="1489"/>
      <c r="Q947" s="1489"/>
      <c r="R947" s="1489"/>
      <c r="S947" s="1489"/>
      <c r="T947" s="1490"/>
      <c r="U947" s="1363" t="s">
        <v>813</v>
      </c>
      <c r="V947" s="1364"/>
      <c r="W947" s="1364"/>
      <c r="X947" s="1364"/>
      <c r="Y947" s="1364"/>
      <c r="Z947" s="1365"/>
      <c r="AA947" s="1369"/>
      <c r="AB947" s="1370"/>
      <c r="AC947" s="1370"/>
      <c r="AD947" s="1370"/>
      <c r="AE947" s="1370"/>
      <c r="AF947" s="1371"/>
      <c r="AZ947" s="3"/>
      <c r="BA947" s="3"/>
      <c r="BB947" s="3"/>
      <c r="BC947" s="3"/>
    </row>
    <row r="948" spans="1:55" ht="13" customHeight="1">
      <c r="F948" s="37" t="s">
        <v>1628</v>
      </c>
      <c r="G948" s="40"/>
      <c r="H948" s="40"/>
      <c r="I948" s="1488" t="s">
        <v>804</v>
      </c>
      <c r="J948" s="1489"/>
      <c r="K948" s="1489"/>
      <c r="L948" s="1489"/>
      <c r="M948" s="1489"/>
      <c r="N948" s="1489"/>
      <c r="O948" s="1489"/>
      <c r="P948" s="1489"/>
      <c r="Q948" s="1489"/>
      <c r="R948" s="1489"/>
      <c r="S948" s="1489"/>
      <c r="T948" s="1490"/>
      <c r="U948" s="1363" t="s">
        <v>848</v>
      </c>
      <c r="V948" s="1364"/>
      <c r="W948" s="1364"/>
      <c r="X948" s="1364"/>
      <c r="Y948" s="1364"/>
      <c r="Z948" s="1365"/>
      <c r="AA948" s="1369">
        <v>6000000</v>
      </c>
      <c r="AB948" s="1370"/>
      <c r="AC948" s="1370"/>
      <c r="AD948" s="1370"/>
      <c r="AE948" s="1370"/>
      <c r="AF948" s="1371"/>
      <c r="AV948" s="2"/>
      <c r="AW948" s="2"/>
      <c r="AX948" s="2"/>
      <c r="AY948" s="2"/>
      <c r="AZ948" s="3"/>
      <c r="BA948" s="3"/>
      <c r="BB948" s="3"/>
      <c r="BC948" s="3"/>
    </row>
    <row r="949" spans="1:55" ht="13" customHeight="1">
      <c r="F949" s="39" t="s">
        <v>233</v>
      </c>
      <c r="G949" s="40"/>
      <c r="H949" s="40"/>
      <c r="I949" s="1488" t="s">
        <v>1629</v>
      </c>
      <c r="J949" s="1489"/>
      <c r="K949" s="1489"/>
      <c r="L949" s="1489"/>
      <c r="M949" s="1489"/>
      <c r="N949" s="1489"/>
      <c r="O949" s="1489"/>
      <c r="P949" s="1489"/>
      <c r="Q949" s="1489"/>
      <c r="R949" s="1489"/>
      <c r="S949" s="1489"/>
      <c r="T949" s="1490"/>
      <c r="U949" s="1363" t="s">
        <v>848</v>
      </c>
      <c r="V949" s="1364"/>
      <c r="W949" s="1364"/>
      <c r="X949" s="1364"/>
      <c r="Y949" s="1364"/>
      <c r="Z949" s="1365"/>
      <c r="AA949" s="1369">
        <v>15000000</v>
      </c>
      <c r="AB949" s="1370"/>
      <c r="AC949" s="1370"/>
      <c r="AD949" s="1370"/>
      <c r="AE949" s="1370"/>
      <c r="AF949" s="1371"/>
      <c r="AU949" s="2"/>
      <c r="AZ949" s="3"/>
      <c r="BA949" s="3"/>
      <c r="BB949" s="3"/>
      <c r="BC949" s="3"/>
    </row>
    <row r="950" spans="1:55" ht="13" customHeight="1">
      <c r="F950" s="39" t="s">
        <v>233</v>
      </c>
      <c r="G950" s="40"/>
      <c r="H950" s="40"/>
      <c r="I950" s="1488" t="s">
        <v>1337</v>
      </c>
      <c r="J950" s="1489"/>
      <c r="K950" s="1489"/>
      <c r="L950" s="1489"/>
      <c r="M950" s="1489"/>
      <c r="N950" s="1489"/>
      <c r="O950" s="1489"/>
      <c r="P950" s="1489"/>
      <c r="Q950" s="1489"/>
      <c r="R950" s="1489"/>
      <c r="S950" s="1489"/>
      <c r="T950" s="1490"/>
      <c r="U950" s="1363" t="s">
        <v>813</v>
      </c>
      <c r="V950" s="1364"/>
      <c r="W950" s="1364"/>
      <c r="X950" s="1364"/>
      <c r="Y950" s="1364"/>
      <c r="Z950" s="1365"/>
      <c r="AA950" s="1369"/>
      <c r="AB950" s="1370"/>
      <c r="AC950" s="1370"/>
      <c r="AD950" s="1370"/>
      <c r="AE950" s="1370"/>
      <c r="AF950" s="1371"/>
      <c r="AU950" s="2"/>
      <c r="AZ950" s="3"/>
      <c r="BA950" s="3"/>
      <c r="BB950" s="3"/>
      <c r="BC950" s="3"/>
    </row>
    <row r="951" spans="1:55" ht="13" customHeight="1">
      <c r="AU951" s="2"/>
      <c r="AZ951" s="3"/>
      <c r="BA951" s="3"/>
      <c r="BB951" s="3"/>
      <c r="BC951" s="3"/>
    </row>
    <row r="952" spans="1:55" ht="13" customHeight="1">
      <c r="A952" s="2" t="s">
        <v>914</v>
      </c>
      <c r="C952" s="2" t="s">
        <v>247</v>
      </c>
      <c r="AZ952" s="3"/>
      <c r="BA952" s="3"/>
      <c r="BB952" s="3"/>
      <c r="BC952" s="3"/>
    </row>
    <row r="953" spans="1:55" ht="13" customHeight="1">
      <c r="B953" s="2"/>
      <c r="C953" s="19" t="s">
        <v>1630</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1631</v>
      </c>
      <c r="D955" s="5"/>
      <c r="E955" s="5"/>
      <c r="F955" s="5"/>
      <c r="G955" s="5"/>
      <c r="H955" s="5"/>
      <c r="I955" s="5"/>
      <c r="J955" s="5"/>
      <c r="K955" s="5"/>
      <c r="L955" s="38"/>
      <c r="M955" s="1485"/>
      <c r="N955" s="1486"/>
      <c r="O955" s="1486"/>
      <c r="P955" s="1486"/>
      <c r="Q955" s="1486"/>
      <c r="R955" s="1486"/>
      <c r="S955" s="1487"/>
      <c r="U955" s="87" t="s">
        <v>1631</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 customHeight="1">
      <c r="C956" s="87" t="s">
        <v>1632</v>
      </c>
      <c r="D956" s="5"/>
      <c r="E956" s="5"/>
      <c r="F956" s="5"/>
      <c r="G956" s="5"/>
      <c r="H956" s="5"/>
      <c r="I956" s="5"/>
      <c r="J956" s="5"/>
      <c r="K956" s="5"/>
      <c r="L956" s="38"/>
      <c r="M956" s="1497" t="s">
        <v>1633</v>
      </c>
      <c r="N956" s="1395"/>
      <c r="O956" s="1395"/>
      <c r="P956" s="1395"/>
      <c r="Q956" s="1395"/>
      <c r="R956" s="1395"/>
      <c r="S956" s="1498"/>
      <c r="U956" s="87" t="s">
        <v>1632</v>
      </c>
      <c r="V956" s="5"/>
      <c r="W956" s="5"/>
      <c r="X956" s="5"/>
      <c r="Y956" s="5"/>
      <c r="Z956" s="5"/>
      <c r="AA956" s="5"/>
      <c r="AB956" s="5"/>
      <c r="AC956" s="5"/>
      <c r="AD956" s="38"/>
      <c r="AE956" s="1497" t="s">
        <v>1634</v>
      </c>
      <c r="AF956" s="1395"/>
      <c r="AG956" s="1395"/>
      <c r="AH956" s="1395"/>
      <c r="AI956" s="1395"/>
      <c r="AJ956" s="1395"/>
      <c r="AK956" s="1498"/>
      <c r="AZ956" s="3"/>
      <c r="BA956" s="3"/>
      <c r="BB956" s="3"/>
      <c r="BC956" s="3"/>
    </row>
    <row r="957" spans="1:55" ht="13" customHeight="1">
      <c r="C957" s="87" t="s">
        <v>1635</v>
      </c>
      <c r="D957" s="5"/>
      <c r="E957" s="5"/>
      <c r="J957" s="1504" t="s">
        <v>1636</v>
      </c>
      <c r="K957" s="1505"/>
      <c r="L957" s="1505"/>
      <c r="M957" s="1505"/>
      <c r="N957" s="1505"/>
      <c r="O957" s="1505"/>
      <c r="P957" s="1505"/>
      <c r="Q957" s="1505"/>
      <c r="R957" s="1505"/>
      <c r="S957" s="1506"/>
      <c r="U957" s="87" t="s">
        <v>1635</v>
      </c>
      <c r="V957" s="5"/>
      <c r="W957" s="5"/>
      <c r="AB957" s="1504" t="s">
        <v>1636</v>
      </c>
      <c r="AC957" s="1505"/>
      <c r="AD957" s="1505"/>
      <c r="AE957" s="1505"/>
      <c r="AF957" s="1505"/>
      <c r="AG957" s="1505"/>
      <c r="AH957" s="1505"/>
      <c r="AI957" s="1505"/>
      <c r="AJ957" s="1505"/>
      <c r="AK957" s="1506"/>
      <c r="AZ957" s="3"/>
      <c r="BA957" s="3"/>
      <c r="BB957" s="3"/>
      <c r="BC957" s="3"/>
    </row>
    <row r="958" spans="1:55" ht="13" customHeight="1">
      <c r="C958" s="87" t="s">
        <v>1637</v>
      </c>
      <c r="D958" s="5"/>
      <c r="E958" s="5"/>
      <c r="F958" s="5"/>
      <c r="G958" s="5"/>
      <c r="H958" s="5"/>
      <c r="I958" s="5"/>
      <c r="J958" s="5"/>
      <c r="K958" s="5"/>
      <c r="L958" s="38"/>
      <c r="M958" s="1583"/>
      <c r="N958" s="1543"/>
      <c r="O958" s="1543"/>
      <c r="P958" s="1543"/>
      <c r="Q958" s="1543"/>
      <c r="R958" s="1543"/>
      <c r="S958" s="1544"/>
      <c r="U958" s="87" t="s">
        <v>1637</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 customHeight="1">
      <c r="C959" s="87" t="s">
        <v>1638</v>
      </c>
      <c r="D959" s="5"/>
      <c r="E959" s="5"/>
      <c r="F959" s="5"/>
      <c r="G959" s="5"/>
      <c r="H959" s="5"/>
      <c r="I959" s="5"/>
      <c r="J959" s="5"/>
      <c r="K959" s="5"/>
      <c r="L959" s="38"/>
      <c r="M959" s="1511">
        <v>50</v>
      </c>
      <c r="N959" s="1512"/>
      <c r="O959" s="1512"/>
      <c r="P959" s="1512"/>
      <c r="Q959" s="1512"/>
      <c r="R959" s="1512"/>
      <c r="S959" s="1513"/>
      <c r="U959" s="87" t="s">
        <v>1638</v>
      </c>
      <c r="V959" s="5"/>
      <c r="W959" s="5"/>
      <c r="X959" s="5"/>
      <c r="Y959" s="5"/>
      <c r="Z959" s="5"/>
      <c r="AA959" s="5"/>
      <c r="AB959" s="5"/>
      <c r="AC959" s="5"/>
      <c r="AD959" s="38"/>
      <c r="AE959" s="1511">
        <v>11</v>
      </c>
      <c r="AF959" s="1512"/>
      <c r="AG959" s="1512"/>
      <c r="AH959" s="1512"/>
      <c r="AI959" s="1512"/>
      <c r="AJ959" s="1512"/>
      <c r="AK959" s="1513"/>
      <c r="AV959" s="2"/>
      <c r="AW959" s="2"/>
      <c r="AX959" s="2"/>
      <c r="AY959" s="2"/>
      <c r="AZ959" s="3"/>
      <c r="BA959" s="3"/>
      <c r="BB959" s="3"/>
      <c r="BC959" s="3"/>
    </row>
    <row r="960" spans="1:55" ht="13" customHeight="1">
      <c r="C960" s="87" t="s">
        <v>1639</v>
      </c>
      <c r="D960" s="5"/>
      <c r="E960" s="5"/>
      <c r="F960" s="5"/>
      <c r="G960" s="5"/>
      <c r="H960" s="5"/>
      <c r="I960" s="5"/>
      <c r="J960" s="5"/>
      <c r="K960" s="5"/>
      <c r="L960" s="38"/>
      <c r="M960" s="1369">
        <v>1763883</v>
      </c>
      <c r="N960" s="1370"/>
      <c r="O960" s="1370"/>
      <c r="P960" s="1370"/>
      <c r="Q960" s="1370"/>
      <c r="R960" s="1370"/>
      <c r="S960" s="1371"/>
      <c r="U960" s="87" t="s">
        <v>1639</v>
      </c>
      <c r="V960" s="5"/>
      <c r="W960" s="5"/>
      <c r="X960" s="5"/>
      <c r="Y960" s="5"/>
      <c r="Z960" s="5"/>
      <c r="AA960" s="5"/>
      <c r="AB960" s="5"/>
      <c r="AC960" s="5"/>
      <c r="AD960" s="38"/>
      <c r="AE960" s="1369">
        <v>238059</v>
      </c>
      <c r="AF960" s="1370"/>
      <c r="AG960" s="1370"/>
      <c r="AH960" s="1370"/>
      <c r="AI960" s="1370"/>
      <c r="AJ960" s="1370"/>
      <c r="AK960" s="1371"/>
      <c r="AV960" s="2"/>
      <c r="AW960" s="2"/>
      <c r="AX960" s="2"/>
      <c r="AY960" s="2"/>
      <c r="AZ960" s="3"/>
      <c r="BA960" s="3"/>
      <c r="BB960" s="3"/>
      <c r="BC960" s="3"/>
    </row>
    <row r="961" spans="1:64" ht="13" customHeight="1">
      <c r="C961" s="87" t="s">
        <v>1640</v>
      </c>
      <c r="D961" s="5"/>
      <c r="E961" s="5"/>
      <c r="F961" s="5"/>
      <c r="G961" s="5"/>
      <c r="H961" s="5"/>
      <c r="I961" s="5"/>
      <c r="J961" s="5"/>
      <c r="K961" s="5"/>
      <c r="L961" s="38"/>
      <c r="M961" s="1369">
        <v>35277660</v>
      </c>
      <c r="N961" s="1370"/>
      <c r="O961" s="1370"/>
      <c r="P961" s="1370"/>
      <c r="Q961" s="1370"/>
      <c r="R961" s="1370"/>
      <c r="S961" s="1371"/>
      <c r="U961" s="87" t="s">
        <v>1640</v>
      </c>
      <c r="V961" s="5"/>
      <c r="W961" s="5"/>
      <c r="X961" s="5"/>
      <c r="Y961" s="5"/>
      <c r="Z961" s="5"/>
      <c r="AA961" s="5"/>
      <c r="AB961" s="5"/>
      <c r="AC961" s="5"/>
      <c r="AD961" s="38"/>
      <c r="AE961" s="1369">
        <v>4761180</v>
      </c>
      <c r="AF961" s="1370"/>
      <c r="AG961" s="1370"/>
      <c r="AH961" s="1370"/>
      <c r="AI961" s="1370"/>
      <c r="AJ961" s="1370"/>
      <c r="AK961" s="1371"/>
      <c r="AV961" s="2"/>
      <c r="AW961" s="2"/>
      <c r="AX961" s="2"/>
      <c r="AY961" s="2"/>
      <c r="AZ961" s="3"/>
      <c r="BB961" s="3"/>
      <c r="BC961" s="3"/>
    </row>
    <row r="962" spans="1:64" ht="13" customHeight="1">
      <c r="C962" s="87" t="s">
        <v>1242</v>
      </c>
      <c r="D962" s="5"/>
      <c r="E962" s="5"/>
      <c r="F962" s="5"/>
      <c r="G962" s="5"/>
      <c r="H962" s="5"/>
      <c r="I962" s="5"/>
      <c r="J962" s="5"/>
      <c r="K962" s="5"/>
      <c r="L962" s="38"/>
      <c r="M962" s="1366">
        <v>20</v>
      </c>
      <c r="N962" s="1367"/>
      <c r="O962" s="1367"/>
      <c r="P962" s="1367"/>
      <c r="Q962" s="1367"/>
      <c r="R962" s="1367"/>
      <c r="S962" s="1368"/>
      <c r="U962" s="87" t="s">
        <v>1242</v>
      </c>
      <c r="V962" s="5"/>
      <c r="W962" s="5"/>
      <c r="X962" s="5"/>
      <c r="Y962" s="5"/>
      <c r="Z962" s="5"/>
      <c r="AA962" s="5"/>
      <c r="AB962" s="5"/>
      <c r="AC962" s="5"/>
      <c r="AD962" s="38"/>
      <c r="AE962" s="1366">
        <v>20</v>
      </c>
      <c r="AF962" s="1367"/>
      <c r="AG962" s="1367"/>
      <c r="AH962" s="1367"/>
      <c r="AI962" s="1367"/>
      <c r="AJ962" s="1367"/>
      <c r="AK962" s="1368"/>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992</v>
      </c>
      <c r="C964" s="2" t="s">
        <v>1641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1642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1643</v>
      </c>
      <c r="G967" s="5"/>
      <c r="H967" s="5"/>
      <c r="I967" s="5"/>
      <c r="J967" s="5"/>
      <c r="K967" s="5"/>
      <c r="L967" s="38"/>
      <c r="M967" s="1482"/>
      <c r="N967" s="1483"/>
      <c r="O967" s="1483"/>
      <c r="P967" s="1483"/>
      <c r="Q967" s="1483"/>
      <c r="R967" s="1483"/>
      <c r="S967" s="1484"/>
      <c r="T967" s="87" t="s">
        <v>1644</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1645</v>
      </c>
      <c r="G968" s="5"/>
      <c r="H968" s="5"/>
      <c r="I968" s="5"/>
      <c r="J968" s="5"/>
      <c r="K968" s="5"/>
      <c r="L968" s="38"/>
      <c r="M968" s="1482"/>
      <c r="N968" s="1483"/>
      <c r="O968" s="1483"/>
      <c r="P968" s="1483"/>
      <c r="Q968" s="1483"/>
      <c r="R968" s="1483"/>
      <c r="S968" s="1484"/>
      <c r="T968" s="87" t="s">
        <v>1646</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1647</v>
      </c>
      <c r="G969" s="5"/>
      <c r="H969" s="5"/>
      <c r="I969" s="5"/>
      <c r="J969" s="5"/>
      <c r="K969" s="5"/>
      <c r="L969" s="38"/>
      <c r="M969" s="1588" t="s">
        <v>813</v>
      </c>
      <c r="N969" s="1589"/>
      <c r="O969" s="1589"/>
      <c r="P969" s="1589"/>
      <c r="Q969" s="1589"/>
      <c r="R969" s="1589"/>
      <c r="S969" s="1590"/>
      <c r="T969" s="37" t="s">
        <v>1648</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1649</v>
      </c>
      <c r="G970" s="5"/>
      <c r="H970" s="5"/>
      <c r="I970" s="5"/>
      <c r="J970" s="5"/>
      <c r="K970" s="5"/>
      <c r="L970" s="38"/>
      <c r="M970" s="1482"/>
      <c r="N970" s="1483"/>
      <c r="O970" s="1483"/>
      <c r="P970" s="1483"/>
      <c r="Q970" s="1483"/>
      <c r="R970" s="1483"/>
      <c r="S970" s="1484"/>
      <c r="T970" s="37" t="s">
        <v>1650</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1651</v>
      </c>
      <c r="G971" s="5"/>
      <c r="H971" s="5"/>
      <c r="I971" s="5"/>
      <c r="J971" s="5"/>
      <c r="K971" s="5"/>
      <c r="L971" s="38"/>
      <c r="M971" s="1482"/>
      <c r="N971" s="1483"/>
      <c r="O971" s="1483"/>
      <c r="P971" s="1483"/>
      <c r="Q971" s="1483"/>
      <c r="R971" s="1483"/>
      <c r="S971" s="1484"/>
      <c r="T971" s="37" t="s">
        <v>1652</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1635</v>
      </c>
      <c r="G972" s="34"/>
      <c r="H972" s="34"/>
      <c r="I972" s="34"/>
      <c r="J972" s="34"/>
      <c r="K972" s="34"/>
      <c r="L972" s="50"/>
      <c r="M972" s="1504" t="s">
        <v>548</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1653</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1654</v>
      </c>
      <c r="G974" s="34"/>
      <c r="H974" s="34"/>
      <c r="I974" s="34"/>
      <c r="J974" s="34"/>
      <c r="K974" s="34"/>
      <c r="L974" s="34"/>
      <c r="M974" s="34"/>
      <c r="N974" s="34"/>
      <c r="O974" s="1526" t="s">
        <v>695</v>
      </c>
      <c r="P974" s="1527"/>
      <c r="Q974" s="67"/>
      <c r="R974" s="67"/>
      <c r="S974" s="68"/>
      <c r="T974" s="33" t="s">
        <v>233</v>
      </c>
      <c r="U974" s="34"/>
      <c r="V974" s="34"/>
      <c r="W974" s="1514" t="s">
        <v>1337</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 customHeight="1">
      <c r="F975" s="1499" t="s">
        <v>1655</v>
      </c>
      <c r="G975" s="1320"/>
      <c r="H975" s="1320"/>
      <c r="I975" s="1320"/>
      <c r="J975" s="1320"/>
      <c r="K975" s="1320"/>
      <c r="L975" s="1320"/>
      <c r="M975" s="1482"/>
      <c r="N975" s="1483"/>
      <c r="O975" s="1483"/>
      <c r="P975" s="1483"/>
      <c r="Q975" s="1483"/>
      <c r="R975" s="1483"/>
      <c r="S975" s="1484"/>
      <c r="T975" s="39"/>
      <c r="U975" s="40"/>
      <c r="V975" s="40"/>
      <c r="W975" s="40"/>
      <c r="X975" s="40"/>
      <c r="Y975" s="40"/>
      <c r="Z975" s="90" t="s">
        <v>1656</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296"/>
      <c r="BH976" s="1296"/>
      <c r="BI976" s="1296"/>
      <c r="BJ976" s="1296"/>
      <c r="BK976" s="1296"/>
      <c r="BL976" s="1296"/>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381" t="s">
        <v>1657</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873</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500" t="s">
        <v>1658</v>
      </c>
      <c r="E985" s="1501"/>
      <c r="F985" s="1501"/>
      <c r="G985" s="1501"/>
      <c r="H985" s="1501"/>
      <c r="I985" s="1501"/>
      <c r="J985" s="1501"/>
      <c r="K985" s="1501"/>
      <c r="L985" s="1501"/>
      <c r="M985" s="1501"/>
      <c r="N985" s="1501"/>
      <c r="O985" s="1501"/>
      <c r="P985" s="1501"/>
      <c r="Q985" s="1502"/>
      <c r="R985" s="1500" t="s">
        <v>1659</v>
      </c>
      <c r="S985" s="1501"/>
      <c r="T985" s="1501"/>
      <c r="U985" s="1501"/>
      <c r="V985" s="1501"/>
      <c r="W985" s="1501"/>
      <c r="X985" s="1501"/>
      <c r="Y985" s="1501"/>
      <c r="Z985" s="1501"/>
      <c r="AA985" s="1502"/>
      <c r="AB985" s="1500" t="s">
        <v>1660</v>
      </c>
      <c r="AC985" s="1501"/>
      <c r="AD985" s="1501"/>
      <c r="AE985" s="1501"/>
      <c r="AF985" s="1501"/>
      <c r="AG985" s="1501"/>
      <c r="AH985" s="1501"/>
      <c r="AI985" s="1502"/>
      <c r="AJ985" s="1500" t="s">
        <v>1661</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 customHeight="1">
      <c r="A986" s="13"/>
      <c r="B986" s="58"/>
      <c r="C986" s="823"/>
      <c r="D986" s="1348" t="s">
        <v>838</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353173</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 customHeight="1">
      <c r="A987" s="13"/>
      <c r="B987" s="58"/>
      <c r="C987" s="62"/>
      <c r="D987" s="1348" t="s">
        <v>833</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407205</v>
      </c>
      <c r="S987" s="1503"/>
      <c r="T987" s="1503"/>
      <c r="U987" s="1503"/>
      <c r="V987" s="1503"/>
      <c r="W987" s="1503"/>
      <c r="X987" s="1503"/>
      <c r="Y987" s="1503"/>
      <c r="Z987" s="1503"/>
      <c r="AA987" s="1503"/>
      <c r="AB987" s="1351">
        <f>CU802</f>
        <v>48</v>
      </c>
      <c r="AC987" s="1352"/>
      <c r="AD987" s="1352"/>
      <c r="AE987" s="1352"/>
      <c r="AF987" s="1352"/>
      <c r="AG987" s="1352"/>
      <c r="AH987" s="1352"/>
      <c r="AI987" s="1353"/>
      <c r="AJ987" s="1440">
        <f>IF(ISERROR((R987*AB987)),0,(R987*AB987))</f>
        <v>19545840</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 customHeight="1">
      <c r="A988" s="13"/>
      <c r="B988" s="58"/>
      <c r="C988" s="62"/>
      <c r="D988" s="1348" t="s">
        <v>834</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491200</v>
      </c>
      <c r="S988" s="1503"/>
      <c r="T988" s="1503"/>
      <c r="U988" s="1503"/>
      <c r="V988" s="1503"/>
      <c r="W988" s="1503"/>
      <c r="X988" s="1503"/>
      <c r="Y988" s="1503"/>
      <c r="Z988" s="1503"/>
      <c r="AA988" s="1503"/>
      <c r="AB988" s="1351">
        <f>CZ802</f>
        <v>59</v>
      </c>
      <c r="AC988" s="1352"/>
      <c r="AD988" s="1352"/>
      <c r="AE988" s="1352"/>
      <c r="AF988" s="1352"/>
      <c r="AG988" s="1352"/>
      <c r="AH988" s="1352"/>
      <c r="AI988" s="1353"/>
      <c r="AJ988" s="1440">
        <f>IF(ISERROR((R988*AB988)),0,(R988*AB988))</f>
        <v>28980800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 customHeight="1">
      <c r="A989" s="13"/>
      <c r="B989" s="58"/>
      <c r="C989" s="62"/>
      <c r="D989" s="1348" t="s">
        <v>835</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628736</v>
      </c>
      <c r="S989" s="1503"/>
      <c r="T989" s="1503"/>
      <c r="U989" s="1503"/>
      <c r="V989" s="1503"/>
      <c r="W989" s="1503"/>
      <c r="X989" s="1503"/>
      <c r="Y989" s="1503"/>
      <c r="Z989" s="1503"/>
      <c r="AA989" s="1503"/>
      <c r="AB989" s="1351">
        <f>DE802</f>
        <v>92</v>
      </c>
      <c r="AC989" s="1352"/>
      <c r="AD989" s="1352"/>
      <c r="AE989" s="1352"/>
      <c r="AF989" s="1352"/>
      <c r="AG989" s="1352"/>
      <c r="AH989" s="1352"/>
      <c r="AI989" s="1353"/>
      <c r="AJ989" s="1440">
        <f>IF(ISERROR((R989*AB989)),0,(R989*AB989))</f>
        <v>57843712</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 customHeight="1">
      <c r="A990" s="13"/>
      <c r="B990" s="39"/>
      <c r="C990" s="60"/>
      <c r="D990" s="1348" t="s">
        <v>839</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700451</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 customHeight="1">
      <c r="A991" s="13"/>
      <c r="B991" s="1553" t="s">
        <v>1662</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199</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 customHeight="1">
      <c r="A992" s="13"/>
      <c r="B992" s="1523" t="s">
        <v>1663</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106370352</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1664</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 customHeight="1">
      <c r="A994" s="13"/>
      <c r="B994" s="58"/>
      <c r="C994" s="1182" t="s">
        <v>1665</v>
      </c>
      <c r="D994" s="1456" t="s">
        <v>1666</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848</v>
      </c>
      <c r="AH994" s="1453"/>
      <c r="AI994" s="64"/>
      <c r="AJ994" s="1354">
        <f>ROUND(IF(AND(AG994="yes",D1000&gt;0),AJ992*0.2,0),0)</f>
        <v>21274070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 customHeight="1">
      <c r="A995" s="13"/>
      <c r="B995" s="1183"/>
      <c r="C995" s="1184"/>
      <c r="D995" s="1491" t="s">
        <v>1667</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 customHeight="1">
      <c r="A999" s="13"/>
      <c r="B999" s="1183"/>
      <c r="C999" s="1184"/>
      <c r="D999" s="1494" t="s">
        <v>1668</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 customHeight="1">
      <c r="A1000" s="13"/>
      <c r="B1000" s="1183"/>
      <c r="C1000" s="1184"/>
      <c r="D1000" s="1556" t="s">
        <v>1669</v>
      </c>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 customHeight="1">
      <c r="A1001" s="13"/>
      <c r="B1001" s="1185"/>
      <c r="C1001" s="1186"/>
      <c r="D1001" s="1446" t="s">
        <v>1670</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695</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 customHeight="1">
      <c r="A1002" s="13"/>
      <c r="B1002" s="1183"/>
      <c r="C1002" s="1187"/>
      <c r="D1002" s="1491" t="s">
        <v>1671</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197</v>
      </c>
      <c r="AZ1003" s="3"/>
      <c r="BB1003" s="3"/>
    </row>
    <row r="1004" spans="1:55" ht="13"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0.05</v>
      </c>
      <c r="AZ1005" s="3"/>
      <c r="BB1005" s="3"/>
    </row>
    <row r="1006" spans="1:55" ht="13"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0.25</v>
      </c>
      <c r="AZ1006" s="3"/>
      <c r="BB1006" s="3"/>
    </row>
    <row r="1007" spans="1:55" ht="13" customHeight="1">
      <c r="A1007" s="13"/>
      <c r="B1007" s="1185"/>
      <c r="C1007" s="242" t="s">
        <v>1672</v>
      </c>
      <c r="D1007" s="1446" t="s">
        <v>1673</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695</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3" customHeight="1">
      <c r="A1008" s="13"/>
      <c r="B1008" s="58"/>
      <c r="C1008" s="1190"/>
      <c r="D1008" s="1459" t="s">
        <v>1674</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 customHeight="1">
      <c r="A1011" s="13"/>
      <c r="B1011" s="61"/>
      <c r="C1011" s="242" t="s">
        <v>1675</v>
      </c>
      <c r="D1011" s="1446" t="s">
        <v>1676</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695</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1677</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1678</v>
      </c>
      <c r="AZ1012" s="3" t="s">
        <v>1679</v>
      </c>
    </row>
    <row r="1013" spans="1:52" ht="13" customHeight="1">
      <c r="A1013" s="13"/>
      <c r="B1013" s="61"/>
      <c r="C1013" s="242" t="s">
        <v>1680</v>
      </c>
      <c r="D1013" s="1446" t="s">
        <v>1681</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695</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0.2</v>
      </c>
      <c r="AZ1013" s="1144">
        <v>0.2</v>
      </c>
    </row>
    <row r="1014" spans="1:52" ht="13" customHeight="1">
      <c r="A1014" s="13"/>
      <c r="B1014" s="58"/>
      <c r="C1014" s="1190"/>
      <c r="D1014" s="1459" t="s">
        <v>1682</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3"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3" customHeight="1">
      <c r="A1016" s="13"/>
      <c r="B1016" s="61"/>
      <c r="C1016" s="242" t="s">
        <v>1683</v>
      </c>
      <c r="D1016" s="1456" t="s">
        <v>1684</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695</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3" customHeight="1">
      <c r="A1017" s="13"/>
      <c r="B1017" s="58"/>
      <c r="C1017" s="1190"/>
      <c r="D1017" s="1459" t="s">
        <v>1685</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3"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3"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3" customHeight="1">
      <c r="A1020" s="13"/>
      <c r="B1020" s="61"/>
      <c r="C1020" s="242" t="s">
        <v>1686</v>
      </c>
      <c r="D1020" s="1473" t="s">
        <v>1687</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695</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3"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3" customHeight="1">
      <c r="A1022" s="13"/>
      <c r="B1022" s="1193"/>
      <c r="C1022" s="1194"/>
      <c r="D1022" s="1459" t="s">
        <v>1688</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3"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3" customHeight="1">
      <c r="A1024" s="13"/>
      <c r="B1024" s="1193"/>
      <c r="C1024" s="1194"/>
      <c r="D1024" s="426" t="s">
        <v>1689</v>
      </c>
      <c r="E1024" s="66"/>
      <c r="F1024" s="66"/>
      <c r="G1024" s="792"/>
      <c r="H1024" s="792"/>
      <c r="I1024" s="41"/>
      <c r="J1024" s="1437" t="s">
        <v>813</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1690</v>
      </c>
      <c r="AY1024" s="1195">
        <f>IF(SUM(AY1015:AY1023)&lt;=0.2,SUM(AY1015:AY1023),0.2)</f>
        <v>0</v>
      </c>
    </row>
    <row r="1025" spans="1:57" ht="13" customHeight="1">
      <c r="A1025" s="13"/>
      <c r="B1025" s="61"/>
      <c r="C1025" s="242" t="s">
        <v>1691</v>
      </c>
      <c r="D1025" s="1446" t="s">
        <v>1692</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848</v>
      </c>
      <c r="AH1025" s="1455"/>
      <c r="AI1025" s="64"/>
      <c r="AJ1025" s="1354">
        <f>ROUND(IF(AG1025="Yes",AF1027,0),0)</f>
        <v>3161516</v>
      </c>
      <c r="AK1025" s="1355"/>
      <c r="AL1025" s="1355"/>
      <c r="AM1025" s="1355"/>
      <c r="AN1025" s="1355"/>
      <c r="AO1025" s="1355"/>
      <c r="AP1025" s="1355"/>
      <c r="AQ1025" s="1356"/>
      <c r="AR1025" s="1179"/>
      <c r="AS1025" s="1179"/>
      <c r="AT1025" s="1179"/>
      <c r="AU1025" s="1179"/>
      <c r="AV1025" s="1179"/>
      <c r="AW1025" s="1179"/>
      <c r="AX1025" s="1179"/>
      <c r="AY1025" s="1179"/>
    </row>
    <row r="1026" spans="1:57" ht="13" customHeight="1">
      <c r="A1026" s="13"/>
      <c r="B1026" s="58"/>
      <c r="C1026" s="1190"/>
      <c r="D1026" s="1459" t="s">
        <v>1693</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Enter Amount:</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v>3161516</v>
      </c>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 customHeight="1">
      <c r="A1029" s="13"/>
      <c r="B1029" s="61"/>
      <c r="C1029" s="242" t="s">
        <v>1694</v>
      </c>
      <c r="D1029" s="1456" t="s">
        <v>1695</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848</v>
      </c>
      <c r="AH1029" s="1455"/>
      <c r="AI1029" s="64"/>
      <c r="AJ1029" s="1354">
        <f>ROUND(IF(AG1029="yes",(AJ992*0.1),0),0)</f>
        <v>10637035</v>
      </c>
      <c r="AK1029" s="1355"/>
      <c r="AL1029" s="1355"/>
      <c r="AM1029" s="1355"/>
      <c r="AN1029" s="1355"/>
      <c r="AO1029" s="1355"/>
      <c r="AP1029" s="1355"/>
      <c r="AQ1029" s="1356"/>
      <c r="AR1029" s="1179"/>
      <c r="AS1029" s="1179"/>
      <c r="AT1029" s="1179"/>
      <c r="AU1029" s="1179"/>
      <c r="AV1029" s="1179"/>
      <c r="AW1029" s="1179"/>
      <c r="AX1029" s="1179"/>
      <c r="AY1029" s="1179"/>
    </row>
    <row r="1030" spans="1:57" ht="13" customHeight="1">
      <c r="A1030" s="13"/>
      <c r="B1030" s="58"/>
      <c r="C1030" s="1190"/>
      <c r="D1030" s="1459" t="s">
        <v>1696</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 customHeight="1">
      <c r="A1032" s="13"/>
      <c r="B1032" s="58"/>
      <c r="C1032" s="242" t="s">
        <v>22</v>
      </c>
      <c r="D1032" s="1446" t="s">
        <v>1697</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695</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3" customHeight="1">
      <c r="A1033" s="13"/>
      <c r="B1033" s="58"/>
      <c r="C1033" s="1190"/>
      <c r="D1033" s="1468" t="s">
        <v>1698</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 customHeight="1">
      <c r="A1036" s="13"/>
      <c r="B1036" s="58"/>
      <c r="C1036" s="242" t="s">
        <v>22</v>
      </c>
      <c r="D1036" s="1456" t="s">
        <v>1699</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848</v>
      </c>
      <c r="AH1036" s="1532"/>
      <c r="AI1036" s="62"/>
      <c r="AJ1036" s="1354">
        <f>ROUND(IF(AND(AG1036="yes",AJ1032=0),(AJ992*0.1),0),0)</f>
        <v>10637035</v>
      </c>
      <c r="AK1036" s="1355"/>
      <c r="AL1036" s="1355"/>
      <c r="AM1036" s="1355"/>
      <c r="AN1036" s="1355"/>
      <c r="AO1036" s="1355"/>
      <c r="AP1036" s="1355"/>
      <c r="AQ1036" s="1356"/>
      <c r="AR1036" s="1179"/>
      <c r="AS1036" s="1179"/>
      <c r="AT1036" s="1179"/>
      <c r="AU1036" s="1179"/>
      <c r="AV1036" s="1179"/>
      <c r="AW1036" s="1179"/>
      <c r="AX1036" s="1179"/>
      <c r="AY1036" s="1179"/>
    </row>
    <row r="1037" spans="1:57" ht="13" customHeight="1">
      <c r="A1037" s="13"/>
      <c r="B1037" s="58"/>
      <c r="C1037" s="1190"/>
      <c r="D1037" s="1468" t="s">
        <v>1700</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1701</v>
      </c>
      <c r="BC1038" s="1072"/>
      <c r="BD1038" s="1072"/>
      <c r="BE1038" s="1072"/>
    </row>
    <row r="1039" spans="1:57" ht="13"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0.30964467005076141</v>
      </c>
      <c r="BB1039" s="3" t="s">
        <v>1702</v>
      </c>
    </row>
    <row r="1040" spans="1:57" ht="13"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1703</v>
      </c>
    </row>
    <row r="1041" spans="1:56" ht="13" customHeight="1">
      <c r="A1041" s="13"/>
      <c r="B1041" s="61"/>
      <c r="C1041" s="96" t="s">
        <v>1704</v>
      </c>
      <c r="D1041" s="1446" t="s">
        <v>1705</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848</v>
      </c>
      <c r="AH1041" s="1455"/>
      <c r="AI1041" s="64"/>
      <c r="AJ1041" s="1354">
        <f>ROUND(IF(AG1041="yes",(AJ992*0.1),0),0)</f>
        <v>10637035</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1706</v>
      </c>
    </row>
    <row r="1042" spans="1:56" ht="13" customHeight="1">
      <c r="A1042" s="13"/>
      <c r="B1042" s="58"/>
      <c r="C1042" s="1190"/>
      <c r="D1042" s="1459" t="s">
        <v>1707</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1708</v>
      </c>
    </row>
    <row r="1043" spans="1:56" ht="13"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 customHeight="1">
      <c r="A1045" s="13"/>
      <c r="B1045" s="61"/>
      <c r="C1045" s="96" t="s">
        <v>1709</v>
      </c>
      <c r="D1045" s="1456" t="s">
        <v>1710</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5318517.6000000006</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1711</v>
      </c>
      <c r="BB1045" s="3"/>
      <c r="BC1045" s="3"/>
      <c r="BD1045" s="3"/>
    </row>
    <row r="1046" spans="1:56" ht="13" customHeight="1">
      <c r="A1046" s="13"/>
      <c r="B1046" s="58"/>
      <c r="C1046" s="345"/>
      <c r="D1046" s="1459" t="s">
        <v>1712</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19267469.399999999</v>
      </c>
      <c r="BA1046" s="1071">
        <f>IF(BA1040,20%,15%)</f>
        <v>0.15</v>
      </c>
      <c r="BB1046" s="3" t="s">
        <v>1713</v>
      </c>
      <c r="BC1046" s="3" t="s">
        <v>1714</v>
      </c>
      <c r="BD1046" s="3"/>
    </row>
    <row r="1047" spans="1:56" ht="13"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1713</v>
      </c>
      <c r="BC1047" s="3" t="s">
        <v>1715</v>
      </c>
      <c r="BD1047" s="3"/>
    </row>
    <row r="1048" spans="1:56" ht="13" customHeight="1">
      <c r="A1048" s="13"/>
      <c r="B1048" s="59"/>
      <c r="C1048" s="60"/>
      <c r="D1048" s="97" t="s">
        <v>1716</v>
      </c>
      <c r="E1048" s="6"/>
      <c r="F1048" s="6"/>
      <c r="G1048" s="6"/>
      <c r="H1048" s="6"/>
      <c r="I1048" s="1521">
        <f>AY1003</f>
        <v>197</v>
      </c>
      <c r="J1048" s="1522"/>
      <c r="K1048" s="6"/>
      <c r="L1048" s="6"/>
      <c r="M1048" s="6"/>
      <c r="N1048" s="6"/>
      <c r="O1048" s="6"/>
      <c r="P1048" s="6"/>
      <c r="Q1048" s="6"/>
      <c r="R1048" s="6"/>
      <c r="S1048" s="6"/>
      <c r="T1048" s="6"/>
      <c r="U1048" s="6"/>
      <c r="V1048" s="98" t="s">
        <v>1717</v>
      </c>
      <c r="W1048" s="40"/>
      <c r="X1048" s="1519">
        <f>CI753</f>
        <v>11</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1713</v>
      </c>
      <c r="BC1048" s="3" t="s">
        <v>1718</v>
      </c>
      <c r="BD1048" s="3"/>
    </row>
    <row r="1049" spans="1:56" ht="13" customHeight="1">
      <c r="A1049" s="13"/>
      <c r="B1049" s="61"/>
      <c r="C1049" s="96" t="s">
        <v>1719</v>
      </c>
      <c r="D1049" s="1446" t="s">
        <v>1720</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53185176</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1713</v>
      </c>
      <c r="BC1049" s="3" t="s">
        <v>1721</v>
      </c>
      <c r="BD1049" s="3"/>
    </row>
    <row r="1050" spans="1:56" ht="13" customHeight="1">
      <c r="A1050" s="13"/>
      <c r="B1050" s="58"/>
      <c r="C1050" s="345"/>
      <c r="D1050" s="1459" t="s">
        <v>1722</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1723</v>
      </c>
      <c r="BB1051" s="3"/>
      <c r="BC1051" s="3"/>
      <c r="BD1051" s="3" cm="1">
        <f t="array" ref="BD1051">_xlfn.IFS(BA1040,3000000,AND(BA1041&gt;=25%,BA1042&gt;=15),2800000,TRUE,2500000)</f>
        <v>2500000</v>
      </c>
    </row>
    <row r="1052" spans="1:56" ht="13" customHeight="1">
      <c r="A1052" s="13"/>
      <c r="B1052" s="59"/>
      <c r="C1052" s="60"/>
      <c r="D1052" s="97" t="s">
        <v>1716</v>
      </c>
      <c r="E1052" s="6"/>
      <c r="F1052" s="6"/>
      <c r="G1052" s="6"/>
      <c r="H1052" s="6"/>
      <c r="I1052" s="1521">
        <f>AY1003</f>
        <v>197</v>
      </c>
      <c r="J1052" s="1522"/>
      <c r="K1052" s="13"/>
      <c r="L1052" s="6"/>
      <c r="M1052" s="6"/>
      <c r="N1052" s="6"/>
      <c r="O1052" s="6"/>
      <c r="P1052" s="6"/>
      <c r="Q1052" s="6"/>
      <c r="R1052" s="6"/>
      <c r="S1052" s="6"/>
      <c r="T1052" s="6"/>
      <c r="U1052" s="6"/>
      <c r="V1052" s="98" t="s">
        <v>1724</v>
      </c>
      <c r="X1052" s="1519">
        <f>CM753</f>
        <v>50</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1725</v>
      </c>
      <c r="BC1052" s="3"/>
      <c r="BD1052" s="3">
        <v>6666667</v>
      </c>
    </row>
    <row r="1053" spans="1:56" ht="13" customHeight="1">
      <c r="A1053" s="13"/>
      <c r="B1053" s="77"/>
      <c r="C1053" s="1197"/>
      <c r="D1053" s="1517" t="s">
        <v>1726</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221220736.59999999</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1727</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1728</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1729</v>
      </c>
      <c r="BC1055" s="3"/>
      <c r="BD1055" s="3"/>
    </row>
    <row r="1056" spans="1:56" ht="13" customHeight="1">
      <c r="A1056" s="13"/>
      <c r="B1056" s="1179"/>
      <c r="C1056" s="1179"/>
      <c r="D1056" s="1179"/>
      <c r="E1056" s="1179"/>
      <c r="F1056" s="1179"/>
      <c r="G1056" s="1065" t="s">
        <v>1730</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1">
        <f>'Sources and Uses Budget'!S107+'Sources and Uses Budget'!T107</f>
        <v>147699796</v>
      </c>
      <c r="AB1056" s="1781"/>
      <c r="AC1056" s="1781"/>
      <c r="AD1056" s="1781"/>
      <c r="AE1056" s="1781"/>
      <c r="AF1056" s="1781"/>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19267469.399999999</v>
      </c>
      <c r="BB1056" s="3" t="s">
        <v>1731</v>
      </c>
      <c r="BC1056" s="3"/>
      <c r="BD1056" s="3"/>
    </row>
    <row r="1057" spans="1:54" ht="13" customHeight="1">
      <c r="A1057" s="13"/>
      <c r="B1057" s="1179"/>
      <c r="C1057" s="1179"/>
      <c r="D1057" s="1179"/>
      <c r="E1057" s="1179"/>
      <c r="F1057" s="1179"/>
      <c r="G1057" s="1065"/>
      <c r="H1057" s="1065" t="s">
        <v>1732</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2">
        <f>IFERROR((AA1056-BA1059)/(AJ1053-AJ1045-AJ1049),"")</f>
        <v>0.80477000801938126</v>
      </c>
      <c r="AB1057" s="1783"/>
      <c r="AC1057" s="1783"/>
      <c r="AD1057" s="1783"/>
      <c r="AE1057" s="1783"/>
      <c r="AF1057" s="1784"/>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78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5"/>
      <c r="I1058" s="1785"/>
      <c r="J1058" s="1785"/>
      <c r="K1058" s="1785"/>
      <c r="L1058" s="1785"/>
      <c r="M1058" s="1785"/>
      <c r="N1058" s="1785"/>
      <c r="O1058" s="1785"/>
      <c r="P1058" s="1785"/>
      <c r="Q1058" s="1785"/>
      <c r="R1058" s="1785"/>
      <c r="S1058" s="1785"/>
      <c r="T1058" s="1785"/>
      <c r="U1058" s="1785"/>
      <c r="V1058" s="1785"/>
      <c r="W1058" s="1785"/>
      <c r="X1058" s="1785"/>
      <c r="Y1058" s="1785"/>
      <c r="Z1058" s="1785"/>
      <c r="AA1058" s="1785"/>
      <c r="AB1058" s="1785"/>
      <c r="AC1058" s="1785"/>
      <c r="AD1058" s="1785"/>
      <c r="AE1058" s="1785"/>
      <c r="AF1058" s="1785"/>
      <c r="AG1058" s="1785"/>
      <c r="AH1058" s="1785"/>
      <c r="AI1058" s="1785"/>
      <c r="AJ1058" s="1785"/>
      <c r="AK1058" s="1785"/>
      <c r="AL1058" s="1785"/>
      <c r="AM1058" s="1785"/>
      <c r="AN1058" s="1785"/>
      <c r="AO1058" s="1179"/>
      <c r="AP1058" s="1179"/>
      <c r="AQ1058" s="1179"/>
      <c r="AR1058" s="1179"/>
      <c r="AS1058" s="1179"/>
      <c r="AT1058" s="1179"/>
      <c r="AU1058" s="1179"/>
      <c r="AV1058" s="13"/>
      <c r="AW1058" s="13"/>
      <c r="AX1058" s="13"/>
      <c r="AY1058" s="13"/>
      <c r="BA1058" s="1074">
        <f>'Sources and Uses Budget'!$S$104+'Sources and Uses Budget'!$T$104</f>
        <v>19250000</v>
      </c>
      <c r="BB1058" s="3" t="s">
        <v>1733</v>
      </c>
    </row>
    <row r="1059" spans="1:54" ht="13" customHeight="1">
      <c r="A1059" s="13"/>
      <c r="B1059" s="13"/>
      <c r="C1059" s="1198"/>
      <c r="D1059" s="1201"/>
      <c r="E1059" s="1201"/>
      <c r="F1059" s="1201"/>
      <c r="G1059" s="1785"/>
      <c r="H1059" s="1785"/>
      <c r="I1059" s="1785"/>
      <c r="J1059" s="1785"/>
      <c r="K1059" s="1785"/>
      <c r="L1059" s="1785"/>
      <c r="M1059" s="1785"/>
      <c r="N1059" s="1785"/>
      <c r="O1059" s="1785"/>
      <c r="P1059" s="1785"/>
      <c r="Q1059" s="1785"/>
      <c r="R1059" s="1785"/>
      <c r="S1059" s="1785"/>
      <c r="T1059" s="1785"/>
      <c r="U1059" s="1785"/>
      <c r="V1059" s="1785"/>
      <c r="W1059" s="1785"/>
      <c r="X1059" s="1785"/>
      <c r="Y1059" s="1785"/>
      <c r="Z1059" s="1785"/>
      <c r="AA1059" s="1785"/>
      <c r="AB1059" s="1785"/>
      <c r="AC1059" s="1785"/>
      <c r="AD1059" s="1785"/>
      <c r="AE1059" s="1785"/>
      <c r="AF1059" s="1785"/>
      <c r="AG1059" s="1785"/>
      <c r="AH1059" s="1785"/>
      <c r="AI1059" s="1785"/>
      <c r="AJ1059" s="1785"/>
      <c r="AK1059" s="1785"/>
      <c r="AL1059" s="1785"/>
      <c r="AM1059" s="1785"/>
      <c r="AN1059" s="1785"/>
      <c r="AO1059" s="1179"/>
      <c r="AP1059" s="1179"/>
      <c r="AQ1059" s="1179"/>
      <c r="AR1059" s="1179"/>
      <c r="AS1059" s="1179"/>
      <c r="AT1059" s="1179"/>
      <c r="AU1059" s="1179"/>
      <c r="AV1059" s="13"/>
      <c r="AW1059" s="13"/>
      <c r="AX1059" s="13"/>
      <c r="AY1059" s="13"/>
      <c r="BA1059" s="1075">
        <f>MAX($BA$1058-$BA$1055,0)</f>
        <v>16750000</v>
      </c>
      <c r="BB1059" s="3" t="s">
        <v>1734</v>
      </c>
    </row>
    <row r="1060" spans="1:54" ht="13" customHeight="1">
      <c r="A1060" s="1202"/>
      <c r="B1060" s="1061"/>
      <c r="C1060" s="1061"/>
      <c r="D1060" s="1061"/>
      <c r="E1060" s="1061"/>
      <c r="F1060" s="1061"/>
      <c r="G1060" s="1785"/>
      <c r="H1060" s="1785"/>
      <c r="I1060" s="1785"/>
      <c r="J1060" s="1785"/>
      <c r="K1060" s="1785"/>
      <c r="L1060" s="1785"/>
      <c r="M1060" s="1785"/>
      <c r="N1060" s="1785"/>
      <c r="O1060" s="1785"/>
      <c r="P1060" s="1785"/>
      <c r="Q1060" s="1785"/>
      <c r="R1060" s="1785"/>
      <c r="S1060" s="1785"/>
      <c r="T1060" s="1785"/>
      <c r="U1060" s="1785"/>
      <c r="V1060" s="1785"/>
      <c r="W1060" s="1785"/>
      <c r="X1060" s="1785"/>
      <c r="Y1060" s="1785"/>
      <c r="Z1060" s="1785"/>
      <c r="AA1060" s="1785"/>
      <c r="AB1060" s="1785"/>
      <c r="AC1060" s="1785"/>
      <c r="AD1060" s="1785"/>
      <c r="AE1060" s="1785"/>
      <c r="AF1060" s="1785"/>
      <c r="AG1060" s="1785"/>
      <c r="AH1060" s="1785"/>
      <c r="AI1060" s="1785"/>
      <c r="AJ1060" s="1785"/>
      <c r="AK1060" s="1785"/>
      <c r="AL1060" s="1785"/>
      <c r="AM1060" s="1785"/>
      <c r="AN1060" s="1785"/>
      <c r="AO1060" s="1061"/>
      <c r="AP1060" s="1061"/>
      <c r="AQ1060" s="1179"/>
      <c r="AR1060" s="1179"/>
      <c r="AS1060" s="1179"/>
      <c r="AT1060" s="1179"/>
      <c r="AU1060" s="1179"/>
      <c r="AV1060" s="1179"/>
      <c r="AW1060" s="1179"/>
      <c r="AX1060" s="1179"/>
      <c r="AY1060" s="1179"/>
    </row>
    <row r="1061" spans="1:54" ht="13" customHeight="1">
      <c r="A1061" s="1334" t="s">
        <v>1735</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1736</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1737</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295" t="s">
        <v>848</v>
      </c>
      <c r="B1065" s="1295"/>
      <c r="C1065" s="1296">
        <v>1</v>
      </c>
      <c r="D1065" s="1296"/>
      <c r="E1065" s="13" t="s">
        <v>1738</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296"/>
      <c r="D1066" s="1296"/>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295" t="s">
        <v>813</v>
      </c>
      <c r="B1067" s="1295"/>
      <c r="C1067" s="1296">
        <v>2</v>
      </c>
      <c r="D1067" s="1296"/>
      <c r="E1067" s="1299" t="s">
        <v>1739</v>
      </c>
      <c r="F1067" s="1299"/>
      <c r="G1067" s="1299"/>
      <c r="H1067" s="1299"/>
      <c r="I1067" s="1299"/>
      <c r="J1067" s="1299"/>
      <c r="K1067" s="1299"/>
      <c r="L1067" s="1299"/>
      <c r="M1067" s="1299"/>
      <c r="N1067" s="1299"/>
      <c r="O1067" s="1299"/>
      <c r="P1067" s="1299"/>
      <c r="Q1067" s="1299"/>
      <c r="R1067" s="1299"/>
      <c r="S1067" s="1299"/>
      <c r="T1067" s="1299"/>
      <c r="U1067" s="1299"/>
      <c r="V1067" s="1299"/>
      <c r="W1067" s="1299"/>
      <c r="X1067" s="1299"/>
      <c r="Y1067" s="1299"/>
      <c r="Z1067" s="1299"/>
      <c r="AA1067" s="1299"/>
      <c r="AB1067" s="1299"/>
      <c r="AC1067" s="1299"/>
      <c r="AD1067" s="1299"/>
      <c r="AE1067" s="1299"/>
      <c r="AF1067" s="1299"/>
      <c r="AG1067" s="1299"/>
      <c r="AH1067" s="1299"/>
      <c r="AI1067" s="1299"/>
      <c r="AJ1067" s="1299"/>
      <c r="AK1067" s="1299"/>
      <c r="AL1067" s="1299"/>
      <c r="AM1067" s="1299"/>
      <c r="AN1067" s="1299"/>
      <c r="AO1067" s="1299"/>
      <c r="AP1067" s="1299"/>
      <c r="AQ1067" s="1299"/>
      <c r="AR1067" s="1299"/>
      <c r="AS1067" s="13"/>
      <c r="AT1067" s="13"/>
      <c r="AV1067" s="1179"/>
      <c r="AW1067" s="1179"/>
      <c r="AX1067" s="1179"/>
      <c r="AY1067" s="1179"/>
    </row>
    <row r="1068" spans="1:54" ht="13" customHeight="1">
      <c r="A1068" s="133"/>
      <c r="B1068" s="13"/>
      <c r="C1068" s="1296"/>
      <c r="D1068" s="1296"/>
      <c r="E1068" s="1299"/>
      <c r="F1068" s="1299"/>
      <c r="G1068" s="1299"/>
      <c r="H1068" s="1299"/>
      <c r="I1068" s="1299"/>
      <c r="J1068" s="1299"/>
      <c r="K1068" s="1299"/>
      <c r="L1068" s="1299"/>
      <c r="M1068" s="1299"/>
      <c r="N1068" s="1299"/>
      <c r="O1068" s="1299"/>
      <c r="P1068" s="1299"/>
      <c r="Q1068" s="1299"/>
      <c r="R1068" s="1299"/>
      <c r="S1068" s="1299"/>
      <c r="T1068" s="1299"/>
      <c r="U1068" s="1299"/>
      <c r="V1068" s="1299"/>
      <c r="W1068" s="1299"/>
      <c r="X1068" s="1299"/>
      <c r="Y1068" s="1299"/>
      <c r="Z1068" s="1299"/>
      <c r="AA1068" s="1299"/>
      <c r="AB1068" s="1299"/>
      <c r="AC1068" s="1299"/>
      <c r="AD1068" s="1299"/>
      <c r="AE1068" s="1299"/>
      <c r="AF1068" s="1299"/>
      <c r="AG1068" s="1299"/>
      <c r="AH1068" s="1299"/>
      <c r="AI1068" s="1299"/>
      <c r="AJ1068" s="1299"/>
      <c r="AK1068" s="1299"/>
      <c r="AL1068" s="1299"/>
      <c r="AM1068" s="1299"/>
      <c r="AN1068" s="1299"/>
      <c r="AO1068" s="1299"/>
      <c r="AP1068" s="1299"/>
      <c r="AQ1068" s="1299"/>
      <c r="AR1068" s="1299"/>
      <c r="AS1068" s="13"/>
      <c r="AT1068" s="13"/>
      <c r="AV1068" s="1179"/>
      <c r="AW1068" s="1179"/>
      <c r="AX1068" s="1179"/>
      <c r="AY1068" s="1179"/>
    </row>
    <row r="1069" spans="1:54" ht="13" customHeight="1">
      <c r="A1069" s="133"/>
      <c r="B1069" s="13"/>
      <c r="C1069" s="1296"/>
      <c r="D1069" s="1296"/>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295" t="s">
        <v>813</v>
      </c>
      <c r="B1070" s="1295"/>
      <c r="C1070" s="1298">
        <v>3</v>
      </c>
      <c r="D1070" s="1298"/>
      <c r="E1070" s="1254" t="s">
        <v>1740</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 customHeight="1">
      <c r="A1071" s="1"/>
      <c r="B1071" s="1"/>
      <c r="C1071" s="1298"/>
      <c r="D1071" s="1298"/>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 customHeight="1">
      <c r="A1072" s="1"/>
      <c r="B1072" s="1"/>
      <c r="C1072" s="1298"/>
      <c r="D1072" s="1298"/>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 customHeight="1">
      <c r="A1073" s="1"/>
      <c r="B1073" s="1"/>
      <c r="C1073" s="1298"/>
      <c r="D1073" s="1298"/>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 customHeight="1">
      <c r="A1074" s="2"/>
      <c r="B1074" s="21"/>
      <c r="C1074" s="1298"/>
      <c r="D1074" s="129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295" t="s">
        <v>813</v>
      </c>
      <c r="B1075" s="1295"/>
      <c r="C1075" s="1298">
        <v>4</v>
      </c>
      <c r="D1075" s="1298"/>
      <c r="E1075" s="1254" t="s">
        <v>1741</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 customHeight="1">
      <c r="A1076" s="1"/>
      <c r="B1076" s="1"/>
      <c r="C1076" s="1298"/>
      <c r="D1076" s="1298"/>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 customHeight="1">
      <c r="A1077" s="1"/>
      <c r="B1077" s="1"/>
      <c r="C1077" s="1298"/>
      <c r="D1077" s="1298"/>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 customHeight="1">
      <c r="A1078" s="1"/>
      <c r="B1078" s="1"/>
      <c r="C1078" s="1298"/>
      <c r="D1078" s="1298"/>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 customHeight="1">
      <c r="A1079" s="1"/>
      <c r="B1079" s="1"/>
      <c r="C1079" s="1298"/>
      <c r="D1079" s="1298"/>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 customHeight="1">
      <c r="A1080" s="1"/>
      <c r="B1080" s="1"/>
      <c r="C1080" s="1298"/>
      <c r="D1080" s="129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5" t="s">
        <v>813</v>
      </c>
      <c r="B1081" s="1295"/>
      <c r="C1081" s="1298">
        <v>5</v>
      </c>
      <c r="D1081" s="1298"/>
      <c r="E1081" s="1254" t="s">
        <v>1742</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 customHeight="1">
      <c r="A1082" s="3"/>
      <c r="B1082" s="3"/>
      <c r="C1082" s="1298"/>
      <c r="D1082" s="1298"/>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 customHeight="1">
      <c r="A1083" s="3"/>
      <c r="B1083" s="3"/>
      <c r="C1083" s="1298"/>
      <c r="D1083" s="1298"/>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 customHeight="1">
      <c r="A1084" s="84"/>
      <c r="B1084" s="21"/>
      <c r="C1084" s="1298"/>
      <c r="D1084" s="129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5" t="s">
        <v>813</v>
      </c>
      <c r="B1085" s="1295"/>
      <c r="C1085" s="1298">
        <v>6</v>
      </c>
      <c r="D1085" s="1298"/>
      <c r="E1085" s="1254" t="s">
        <v>1743</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 customHeight="1">
      <c r="A1087" s="1"/>
      <c r="B1087" s="1"/>
      <c r="C1087" s="1298"/>
      <c r="D1087" s="1298"/>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 customHeight="1">
      <c r="A1088" s="84"/>
      <c r="B1088" s="21"/>
      <c r="C1088" s="1298"/>
      <c r="D1088" s="129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5" t="s">
        <v>813</v>
      </c>
      <c r="B1089" s="1295"/>
      <c r="C1089" s="1298">
        <v>7</v>
      </c>
      <c r="D1089" s="1298"/>
      <c r="E1089" s="1254" t="s">
        <v>1744</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 customHeight="1">
      <c r="A1090" s="1"/>
      <c r="B1090" s="1"/>
      <c r="C1090" s="1298"/>
      <c r="D1090" s="1298"/>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 customHeight="1">
      <c r="A1091" s="1"/>
      <c r="B1091" s="1"/>
      <c r="C1091" s="1298"/>
      <c r="D1091" s="1298"/>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 customHeight="1">
      <c r="A1092" s="1"/>
      <c r="B1092" s="1"/>
      <c r="C1092" s="1298"/>
      <c r="D1092" s="129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298"/>
      <c r="D1093" s="129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5" t="s">
        <v>813</v>
      </c>
      <c r="B1094" s="1295"/>
      <c r="C1094" s="1298">
        <v>8</v>
      </c>
      <c r="D1094" s="1298"/>
      <c r="E1094" s="1254" t="s">
        <v>1745</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 customHeight="1">
      <c r="A1095" s="84"/>
      <c r="B1095" s="21"/>
      <c r="C1095" s="1298"/>
      <c r="D1095" s="1298"/>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 customHeight="1">
      <c r="A1096" s="84"/>
      <c r="B1096" s="21"/>
      <c r="C1096" s="1298"/>
      <c r="D1096" s="129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5" t="s">
        <v>813</v>
      </c>
      <c r="B1097" s="1295"/>
      <c r="C1097" s="1296">
        <v>9</v>
      </c>
      <c r="D1097" s="1296"/>
      <c r="E1097" s="1254" t="s">
        <v>1746</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 customHeight="1">
      <c r="A1098" s="1"/>
      <c r="B1098" s="1"/>
      <c r="C1098" s="1296"/>
      <c r="D1098" s="1296"/>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 customHeight="1">
      <c r="A1099" s="84"/>
      <c r="B1099" s="21"/>
      <c r="C1099" s="1296"/>
      <c r="D1099" s="1296"/>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5" t="s">
        <v>813</v>
      </c>
      <c r="B1100" s="1295"/>
      <c r="C1100" s="1296">
        <v>10</v>
      </c>
      <c r="D1100" s="1296"/>
      <c r="E1100" s="1297" t="s">
        <v>1747</v>
      </c>
      <c r="F1100" s="1297"/>
      <c r="G1100" s="1297"/>
      <c r="H1100" s="1297"/>
      <c r="I1100" s="1297"/>
      <c r="J1100" s="1297"/>
      <c r="K1100" s="1297"/>
      <c r="L1100" s="1297"/>
      <c r="M1100" s="1297"/>
      <c r="N1100" s="1297"/>
      <c r="O1100" s="1297"/>
      <c r="P1100" s="1297"/>
      <c r="Q1100" s="1297"/>
      <c r="R1100" s="1297"/>
      <c r="S1100" s="1297"/>
      <c r="T1100" s="1297"/>
      <c r="U1100" s="1297"/>
      <c r="V1100" s="1297"/>
      <c r="W1100" s="1297"/>
      <c r="X1100" s="1297"/>
      <c r="Y1100" s="1297"/>
      <c r="Z1100" s="1297"/>
      <c r="AA1100" s="1297"/>
      <c r="AB1100" s="1297"/>
      <c r="AC1100" s="1297"/>
      <c r="AD1100" s="1297"/>
      <c r="AE1100" s="1297"/>
      <c r="AF1100" s="1297"/>
      <c r="AG1100" s="1297"/>
      <c r="AH1100" s="1297"/>
      <c r="AI1100" s="1297"/>
      <c r="AJ1100" s="1297"/>
      <c r="AK1100" s="1297"/>
      <c r="AL1100" s="1297"/>
      <c r="AM1100" s="1297"/>
      <c r="AN1100" s="1297"/>
      <c r="AO1100" s="1297"/>
      <c r="AP1100" s="1297"/>
      <c r="AQ1100" s="1297"/>
      <c r="AR1100" s="1297"/>
    </row>
    <row r="1101" spans="1:45" ht="13" customHeight="1">
      <c r="A1101" s="1"/>
      <c r="B1101" s="1"/>
      <c r="C1101" s="1203"/>
      <c r="D1101" s="1050"/>
      <c r="E1101" s="1297"/>
      <c r="F1101" s="1297"/>
      <c r="G1101" s="1297"/>
      <c r="H1101" s="1297"/>
      <c r="I1101" s="1297"/>
      <c r="J1101" s="1297"/>
      <c r="K1101" s="1297"/>
      <c r="L1101" s="1297"/>
      <c r="M1101" s="1297"/>
      <c r="N1101" s="1297"/>
      <c r="O1101" s="1297"/>
      <c r="P1101" s="1297"/>
      <c r="Q1101" s="1297"/>
      <c r="R1101" s="1297"/>
      <c r="S1101" s="1297"/>
      <c r="T1101" s="1297"/>
      <c r="U1101" s="1297"/>
      <c r="V1101" s="1297"/>
      <c r="W1101" s="1297"/>
      <c r="X1101" s="1297"/>
      <c r="Y1101" s="1297"/>
      <c r="Z1101" s="1297"/>
      <c r="AA1101" s="1297"/>
      <c r="AB1101" s="1297"/>
      <c r="AC1101" s="1297"/>
      <c r="AD1101" s="1297"/>
      <c r="AE1101" s="1297"/>
      <c r="AF1101" s="1297"/>
      <c r="AG1101" s="1297"/>
      <c r="AH1101" s="1297"/>
      <c r="AI1101" s="1297"/>
      <c r="AJ1101" s="1297"/>
      <c r="AK1101" s="1297"/>
      <c r="AL1101" s="1297"/>
      <c r="AM1101" s="1297"/>
      <c r="AN1101" s="1297"/>
      <c r="AO1101" s="1297"/>
      <c r="AP1101" s="1297"/>
      <c r="AQ1101" s="1297"/>
      <c r="AR1101" s="1297"/>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295" t="s">
        <v>813</v>
      </c>
      <c r="B1103" s="1295"/>
      <c r="C1103" s="1296">
        <v>11</v>
      </c>
      <c r="D1103" s="1296"/>
      <c r="E1103" s="1297" t="s">
        <v>1748</v>
      </c>
      <c r="F1103" s="1297"/>
      <c r="G1103" s="1297"/>
      <c r="H1103" s="1297"/>
      <c r="I1103" s="1297"/>
      <c r="J1103" s="1297"/>
      <c r="K1103" s="1297"/>
      <c r="L1103" s="1297"/>
      <c r="M1103" s="1297"/>
      <c r="N1103" s="1297"/>
      <c r="O1103" s="1297"/>
      <c r="P1103" s="1297"/>
      <c r="Q1103" s="1297"/>
      <c r="R1103" s="1297"/>
      <c r="S1103" s="1297"/>
      <c r="T1103" s="1297"/>
      <c r="U1103" s="1297"/>
      <c r="V1103" s="1297"/>
      <c r="W1103" s="1297"/>
      <c r="X1103" s="1297"/>
      <c r="Y1103" s="1297"/>
      <c r="Z1103" s="1297"/>
      <c r="AA1103" s="1297"/>
      <c r="AB1103" s="1297"/>
      <c r="AC1103" s="1297"/>
      <c r="AD1103" s="1297"/>
      <c r="AE1103" s="1297"/>
      <c r="AF1103" s="1297"/>
      <c r="AG1103" s="1297"/>
      <c r="AH1103" s="1297"/>
      <c r="AI1103" s="1297"/>
      <c r="AJ1103" s="1297"/>
      <c r="AK1103" s="1297"/>
      <c r="AL1103" s="1297"/>
      <c r="AM1103" s="1297"/>
      <c r="AN1103" s="1297"/>
      <c r="AO1103" s="1297"/>
      <c r="AP1103" s="1297"/>
      <c r="AQ1103" s="1297"/>
      <c r="AR1103" s="1297"/>
    </row>
    <row r="1104" spans="1:45" ht="13" customHeight="1">
      <c r="A1104" s="1"/>
      <c r="B1104" s="1"/>
      <c r="C1104" s="1203"/>
      <c r="D1104" s="1050"/>
      <c r="E1104" s="1297"/>
      <c r="F1104" s="1297"/>
      <c r="G1104" s="1297"/>
      <c r="H1104" s="1297"/>
      <c r="I1104" s="1297"/>
      <c r="J1104" s="1297"/>
      <c r="K1104" s="1297"/>
      <c r="L1104" s="1297"/>
      <c r="M1104" s="1297"/>
      <c r="N1104" s="1297"/>
      <c r="O1104" s="1297"/>
      <c r="P1104" s="1297"/>
      <c r="Q1104" s="1297"/>
      <c r="R1104" s="1297"/>
      <c r="S1104" s="1297"/>
      <c r="T1104" s="1297"/>
      <c r="U1104" s="1297"/>
      <c r="V1104" s="1297"/>
      <c r="W1104" s="1297"/>
      <c r="X1104" s="1297"/>
      <c r="Y1104" s="1297"/>
      <c r="Z1104" s="1297"/>
      <c r="AA1104" s="1297"/>
      <c r="AB1104" s="1297"/>
      <c r="AC1104" s="1297"/>
      <c r="AD1104" s="1297"/>
      <c r="AE1104" s="1297"/>
      <c r="AF1104" s="1297"/>
      <c r="AG1104" s="1297"/>
      <c r="AH1104" s="1297"/>
      <c r="AI1104" s="1297"/>
      <c r="AJ1104" s="1297"/>
      <c r="AK1104" s="1297"/>
      <c r="AL1104" s="1297"/>
      <c r="AM1104" s="1297"/>
      <c r="AN1104" s="1297"/>
      <c r="AO1104" s="1297"/>
      <c r="AP1104" s="1297"/>
      <c r="AQ1104" s="1297"/>
      <c r="AR1104" s="1297"/>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5" t="s">
        <v>813</v>
      </c>
      <c r="B1125" s="1295"/>
      <c r="C1125" s="1203">
        <v>9</v>
      </c>
      <c r="D1125" s="1224" t="s">
        <v>1749</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CK752:CL752"/>
    <mergeCell ref="CP747:CT747"/>
    <mergeCell ref="CG748:CH748"/>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P663:R663"/>
    <mergeCell ref="AC370:AF370"/>
    <mergeCell ref="C558:L558"/>
    <mergeCell ref="AC507:AF507"/>
    <mergeCell ref="AE402:AJ402"/>
    <mergeCell ref="AC385:AJ385"/>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X728:AB728"/>
    <mergeCell ref="O719:S719"/>
    <mergeCell ref="AO640:AS640"/>
    <mergeCell ref="W636:Y636"/>
    <mergeCell ref="CI717:CJ717"/>
    <mergeCell ref="AA680:AK680"/>
    <mergeCell ref="Q638:S638"/>
    <mergeCell ref="H648:R648"/>
    <mergeCell ref="G646:R646"/>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H336:R336"/>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1750</v>
      </c>
      <c r="B1" s="91"/>
      <c r="C1" s="91"/>
      <c r="D1" s="91"/>
      <c r="E1" s="92"/>
      <c r="F1" s="1789" t="s">
        <v>1751</v>
      </c>
      <c r="G1" s="1790"/>
      <c r="H1" s="1790"/>
      <c r="I1" s="1790"/>
      <c r="J1" s="1790"/>
      <c r="K1" s="1790"/>
      <c r="L1" s="1790"/>
      <c r="M1" s="1790"/>
      <c r="N1" s="1790"/>
      <c r="O1" s="1790"/>
      <c r="P1" s="1790"/>
      <c r="Q1" s="1790"/>
      <c r="R1" s="1791"/>
      <c r="S1" s="80"/>
      <c r="T1" s="79"/>
      <c r="U1" s="81"/>
    </row>
    <row r="2" spans="1:21" s="101" customFormat="1" ht="71.25" customHeight="1">
      <c r="A2" s="100"/>
      <c r="B2" s="101" t="s">
        <v>1752</v>
      </c>
      <c r="C2" s="101" t="s">
        <v>1753</v>
      </c>
      <c r="D2" s="101" t="s">
        <v>1754</v>
      </c>
      <c r="E2" s="101" t="s">
        <v>1755</v>
      </c>
      <c r="F2" s="102" t="str">
        <f>Application!B627&amp;Application!C627</f>
        <v>1)Citi Permanent Loan - Tax</v>
      </c>
      <c r="G2" s="102" t="str">
        <f>Application!B628&amp;Application!C628</f>
        <v>2)City of Oceanside</v>
      </c>
      <c r="H2" s="102" t="str">
        <f>Application!B629&amp;Application!C629</f>
        <v>3)Deferred Developer Fee</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1756</v>
      </c>
      <c r="S2" s="101" t="s">
        <v>1757</v>
      </c>
      <c r="T2" s="101" t="s">
        <v>1758</v>
      </c>
      <c r="U2" s="103"/>
    </row>
    <row r="3" spans="1:21" s="105" customFormat="1" ht="13">
      <c r="A3" s="104" t="s">
        <v>1759</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1760</v>
      </c>
      <c r="B4" s="245">
        <f>SUM(C4+D4)</f>
        <v>7417500</v>
      </c>
      <c r="C4" s="873">
        <v>7417500</v>
      </c>
      <c r="D4" s="873"/>
      <c r="E4" s="873"/>
      <c r="F4" s="873">
        <f>C4</f>
        <v>7417500</v>
      </c>
      <c r="G4" s="873"/>
      <c r="H4" s="873"/>
      <c r="I4" s="873"/>
      <c r="J4" s="873"/>
      <c r="K4" s="873"/>
      <c r="L4" s="873"/>
      <c r="M4" s="873"/>
      <c r="N4" s="873"/>
      <c r="O4" s="873"/>
      <c r="P4" s="873"/>
      <c r="Q4" s="873"/>
      <c r="R4" s="416">
        <f>SUM(E4:Q4)</f>
        <v>7417500</v>
      </c>
      <c r="S4" s="1206"/>
      <c r="T4" s="1206"/>
      <c r="U4" s="1205"/>
    </row>
    <row r="5" spans="1:21" s="105" customFormat="1" ht="13">
      <c r="A5" s="195" t="s">
        <v>691</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ht="13">
      <c r="A6" s="195" t="s">
        <v>1761</v>
      </c>
      <c r="B6" s="245">
        <f>SUM(C6+D6)</f>
        <v>20500</v>
      </c>
      <c r="C6" s="873">
        <v>20500</v>
      </c>
      <c r="D6" s="873"/>
      <c r="E6" s="873">
        <f>C6</f>
        <v>20500</v>
      </c>
      <c r="F6" s="873"/>
      <c r="G6" s="873"/>
      <c r="H6" s="873"/>
      <c r="I6" s="873"/>
      <c r="J6" s="873"/>
      <c r="K6" s="873"/>
      <c r="L6" s="873"/>
      <c r="M6" s="873"/>
      <c r="N6" s="873"/>
      <c r="O6" s="873"/>
      <c r="P6" s="873"/>
      <c r="Q6" s="873"/>
      <c r="R6" s="416">
        <f>SUM(E6:Q6)</f>
        <v>20500</v>
      </c>
      <c r="S6" s="1206"/>
      <c r="T6" s="1206"/>
      <c r="U6" s="1205"/>
    </row>
    <row r="7" spans="1:21" s="105" customFormat="1" ht="13">
      <c r="A7" s="195" t="s">
        <v>1762</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ht="13">
      <c r="A8" s="106" t="s">
        <v>1763</v>
      </c>
      <c r="B8" s="245">
        <f>SUM(C8:D8)</f>
        <v>7438000</v>
      </c>
      <c r="C8" s="245">
        <f t="shared" ref="C8:Q8" si="0">SUM(C4:C7)</f>
        <v>7438000</v>
      </c>
      <c r="D8" s="245">
        <f t="shared" si="0"/>
        <v>0</v>
      </c>
      <c r="E8" s="245">
        <f t="shared" si="0"/>
        <v>20500</v>
      </c>
      <c r="F8" s="245">
        <f t="shared" si="0"/>
        <v>7417500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7438000</v>
      </c>
      <c r="S8" s="1206"/>
      <c r="T8" s="1206"/>
      <c r="U8" s="1205"/>
    </row>
    <row r="9" spans="1:21" s="105" customFormat="1" ht="13">
      <c r="A9" s="195" t="s">
        <v>1764</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ht="13">
      <c r="A10" s="195" t="s">
        <v>1765</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ht="13">
      <c r="A11" s="106" t="s">
        <v>1766</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ht="13">
      <c r="A12" s="106" t="s">
        <v>1767</v>
      </c>
      <c r="B12" s="245">
        <f t="shared" ref="B12:Q12" si="2">SUM(B8+B11)</f>
        <v>7438000</v>
      </c>
      <c r="C12" s="245">
        <f t="shared" si="2"/>
        <v>7438000</v>
      </c>
      <c r="D12" s="245">
        <f t="shared" si="2"/>
        <v>0</v>
      </c>
      <c r="E12" s="245">
        <f t="shared" si="2"/>
        <v>20500</v>
      </c>
      <c r="F12" s="245">
        <f t="shared" si="2"/>
        <v>7417500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7438000</v>
      </c>
      <c r="S12" s="1206"/>
      <c r="T12" s="1206"/>
      <c r="U12" s="1205"/>
    </row>
    <row r="13" spans="1:21" s="105" customFormat="1">
      <c r="A13" s="197" t="s">
        <v>1768</v>
      </c>
      <c r="B13" s="245">
        <f>SUM(C13+D13)</f>
        <v>530496</v>
      </c>
      <c r="C13" s="873">
        <v>530496</v>
      </c>
      <c r="D13" s="873"/>
      <c r="E13" s="873">
        <f>C13</f>
        <v>530496</v>
      </c>
      <c r="F13" s="873"/>
      <c r="G13" s="873"/>
      <c r="H13" s="873"/>
      <c r="I13" s="873"/>
      <c r="J13" s="873"/>
      <c r="K13" s="873"/>
      <c r="L13" s="873"/>
      <c r="M13" s="873"/>
      <c r="N13" s="873"/>
      <c r="O13" s="873"/>
      <c r="P13" s="873"/>
      <c r="Q13" s="873"/>
      <c r="R13" s="416">
        <f>SUM(E13:Q13)</f>
        <v>530496</v>
      </c>
      <c r="S13" s="873">
        <v>300000</v>
      </c>
      <c r="T13" s="873"/>
      <c r="U13" s="1205"/>
    </row>
    <row r="14" spans="1:21" s="105" customFormat="1" ht="26">
      <c r="A14" s="198" t="s">
        <v>1769</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ht="13">
      <c r="A15" s="198" t="s">
        <v>1770</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3">
      <c r="A16" s="104" t="s">
        <v>1771</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1772</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ht="13">
      <c r="A18" s="195" t="s">
        <v>1773</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ht="13">
      <c r="A19" s="195" t="s">
        <v>1774</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ht="13">
      <c r="A20" s="195" t="s">
        <v>1775</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ht="13">
      <c r="A21" s="195" t="s">
        <v>1776</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ht="13">
      <c r="A22" s="195" t="s">
        <v>1777</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ht="13">
      <c r="A23" s="195" t="s">
        <v>1778</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ht="13">
      <c r="A24" s="409" t="s">
        <v>1779</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ht="13">
      <c r="A25" s="1038" t="s">
        <v>1780</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ht="13">
      <c r="A26" s="106" t="s">
        <v>1781</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ht="13">
      <c r="A27" s="106" t="s">
        <v>1782</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ht="13">
      <c r="A28" s="104" t="s">
        <v>1783</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1772</v>
      </c>
      <c r="B29" s="245">
        <f t="shared" ref="B29:B38" si="6">SUM(C29+D29)</f>
        <v>10132000</v>
      </c>
      <c r="C29" s="873">
        <v>10132000</v>
      </c>
      <c r="D29" s="873"/>
      <c r="E29" s="873">
        <f>C29-G29</f>
        <v>4132000</v>
      </c>
      <c r="F29" s="873"/>
      <c r="G29" s="873">
        <v>6000000</v>
      </c>
      <c r="H29" s="873"/>
      <c r="I29" s="873"/>
      <c r="J29" s="873"/>
      <c r="K29" s="873"/>
      <c r="L29" s="873"/>
      <c r="M29" s="873"/>
      <c r="N29" s="873"/>
      <c r="O29" s="873"/>
      <c r="P29" s="873"/>
      <c r="Q29" s="873"/>
      <c r="R29" s="416">
        <f t="shared" ref="R29:R37" si="7">SUM(E29:Q29)</f>
        <v>10132000</v>
      </c>
      <c r="S29" s="873">
        <f>R29</f>
        <v>10132000</v>
      </c>
      <c r="T29" s="873"/>
      <c r="U29" s="1205"/>
    </row>
    <row r="30" spans="1:21" s="105" customFormat="1" ht="13">
      <c r="A30" s="195" t="s">
        <v>1773</v>
      </c>
      <c r="B30" s="245">
        <f t="shared" si="6"/>
        <v>70165473</v>
      </c>
      <c r="C30" s="873">
        <f>91765473-21600000</f>
        <v>70165473</v>
      </c>
      <c r="D30" s="873"/>
      <c r="E30" s="873">
        <f>C30-F30</f>
        <v>8392550</v>
      </c>
      <c r="F30" s="873">
        <f>69190423-7417500</f>
        <v>61772923</v>
      </c>
      <c r="G30" s="873"/>
      <c r="H30" s="873"/>
      <c r="I30" s="873"/>
      <c r="J30" s="873"/>
      <c r="K30" s="873"/>
      <c r="L30" s="873"/>
      <c r="M30" s="873"/>
      <c r="N30" s="873"/>
      <c r="O30" s="873"/>
      <c r="P30" s="873"/>
      <c r="Q30" s="873"/>
      <c r="R30" s="416">
        <f t="shared" si="7"/>
        <v>70165473</v>
      </c>
      <c r="S30" s="873">
        <f t="shared" ref="S30:S36" si="8">R30</f>
        <v>70165473</v>
      </c>
      <c r="T30" s="873"/>
      <c r="U30" s="1205"/>
    </row>
    <row r="31" spans="1:21" s="105" customFormat="1" ht="13">
      <c r="A31" s="195" t="s">
        <v>1774</v>
      </c>
      <c r="B31" s="245">
        <f t="shared" si="6"/>
        <v>3250000</v>
      </c>
      <c r="C31" s="873">
        <v>3250000</v>
      </c>
      <c r="D31" s="873"/>
      <c r="E31" s="873">
        <f>C31</f>
        <v>3250000</v>
      </c>
      <c r="F31" s="873"/>
      <c r="G31" s="873"/>
      <c r="H31" s="873"/>
      <c r="I31" s="873"/>
      <c r="J31" s="873"/>
      <c r="K31" s="873"/>
      <c r="L31" s="873"/>
      <c r="M31" s="873"/>
      <c r="N31" s="873"/>
      <c r="O31" s="873"/>
      <c r="P31" s="873"/>
      <c r="Q31" s="873"/>
      <c r="R31" s="416">
        <f t="shared" si="7"/>
        <v>3250000</v>
      </c>
      <c r="S31" s="873">
        <f t="shared" si="8"/>
        <v>3250000</v>
      </c>
      <c r="T31" s="873"/>
      <c r="U31" s="1205"/>
    </row>
    <row r="32" spans="1:21" s="105" customFormat="1" ht="13">
      <c r="A32" s="195" t="s">
        <v>1775</v>
      </c>
      <c r="B32" s="245">
        <f t="shared" si="6"/>
        <v>2400000</v>
      </c>
      <c r="C32" s="873">
        <v>2400000</v>
      </c>
      <c r="D32" s="873"/>
      <c r="E32" s="873">
        <f>C32</f>
        <v>2400000</v>
      </c>
      <c r="F32" s="873"/>
      <c r="G32" s="873"/>
      <c r="H32" s="873"/>
      <c r="I32" s="873"/>
      <c r="J32" s="873"/>
      <c r="K32" s="873"/>
      <c r="L32" s="873"/>
      <c r="M32" s="873"/>
      <c r="N32" s="873"/>
      <c r="O32" s="873"/>
      <c r="P32" s="873"/>
      <c r="Q32" s="873"/>
      <c r="R32" s="416">
        <f t="shared" si="7"/>
        <v>2400000</v>
      </c>
      <c r="S32" s="873">
        <f t="shared" si="8"/>
        <v>2400000</v>
      </c>
      <c r="T32" s="873"/>
      <c r="U32" s="1205"/>
    </row>
    <row r="33" spans="1:21" s="105" customFormat="1" ht="13">
      <c r="A33" s="195" t="s">
        <v>1776</v>
      </c>
      <c r="B33" s="245">
        <f t="shared" si="6"/>
        <v>4936920</v>
      </c>
      <c r="C33" s="873">
        <v>4936920</v>
      </c>
      <c r="D33" s="873"/>
      <c r="E33" s="873">
        <f>C33</f>
        <v>4936920</v>
      </c>
      <c r="F33" s="873"/>
      <c r="G33" s="873"/>
      <c r="H33" s="873"/>
      <c r="I33" s="873"/>
      <c r="J33" s="873"/>
      <c r="K33" s="873"/>
      <c r="L33" s="873"/>
      <c r="M33" s="873"/>
      <c r="N33" s="873"/>
      <c r="O33" s="873"/>
      <c r="P33" s="873"/>
      <c r="Q33" s="873"/>
      <c r="R33" s="416">
        <f t="shared" si="7"/>
        <v>4936920</v>
      </c>
      <c r="S33" s="873">
        <f t="shared" si="8"/>
        <v>4936920</v>
      </c>
      <c r="T33" s="873"/>
      <c r="U33" s="1205"/>
    </row>
    <row r="34" spans="1:21" s="105" customFormat="1" ht="13">
      <c r="A34" s="195" t="s">
        <v>1777</v>
      </c>
      <c r="B34" s="245">
        <f t="shared" si="6"/>
        <v>0</v>
      </c>
      <c r="C34" s="873"/>
      <c r="D34" s="873"/>
      <c r="E34" s="873"/>
      <c r="F34" s="873"/>
      <c r="G34" s="873"/>
      <c r="H34" s="873"/>
      <c r="I34" s="873"/>
      <c r="J34" s="873"/>
      <c r="K34" s="873"/>
      <c r="L34" s="873"/>
      <c r="M34" s="873"/>
      <c r="N34" s="873"/>
      <c r="O34" s="873"/>
      <c r="P34" s="873"/>
      <c r="Q34" s="873"/>
      <c r="R34" s="416">
        <f t="shared" si="7"/>
        <v>0</v>
      </c>
      <c r="S34" s="873"/>
      <c r="T34" s="873"/>
      <c r="U34" s="1205"/>
    </row>
    <row r="35" spans="1:21" s="105" customFormat="1" ht="13">
      <c r="A35" s="195" t="s">
        <v>1778</v>
      </c>
      <c r="B35" s="245">
        <f t="shared" si="6"/>
        <v>881080</v>
      </c>
      <c r="C35" s="873">
        <v>881080</v>
      </c>
      <c r="D35" s="873"/>
      <c r="E35" s="873">
        <f>C35</f>
        <v>881080</v>
      </c>
      <c r="F35" s="873"/>
      <c r="G35" s="873"/>
      <c r="H35" s="873"/>
      <c r="I35" s="873"/>
      <c r="J35" s="873"/>
      <c r="K35" s="873"/>
      <c r="L35" s="873"/>
      <c r="M35" s="873"/>
      <c r="N35" s="873"/>
      <c r="O35" s="873"/>
      <c r="P35" s="873"/>
      <c r="Q35" s="873"/>
      <c r="R35" s="416">
        <f t="shared" si="7"/>
        <v>881080</v>
      </c>
      <c r="S35" s="873">
        <f t="shared" si="8"/>
        <v>881080</v>
      </c>
      <c r="T35" s="873"/>
      <c r="U35" s="1205"/>
    </row>
    <row r="36" spans="1:21" s="105" customFormat="1" ht="13">
      <c r="A36" s="195" t="s">
        <v>1779</v>
      </c>
      <c r="B36" s="245">
        <f t="shared" si="6"/>
        <v>450000</v>
      </c>
      <c r="C36" s="873">
        <v>450000</v>
      </c>
      <c r="D36" s="873"/>
      <c r="E36" s="873">
        <f>C36</f>
        <v>450000</v>
      </c>
      <c r="F36" s="873"/>
      <c r="G36" s="873"/>
      <c r="H36" s="873"/>
      <c r="I36" s="873"/>
      <c r="J36" s="873"/>
      <c r="K36" s="873"/>
      <c r="L36" s="873"/>
      <c r="M36" s="873"/>
      <c r="N36" s="873"/>
      <c r="O36" s="873"/>
      <c r="P36" s="873"/>
      <c r="Q36" s="873"/>
      <c r="R36" s="416">
        <f t="shared" si="7"/>
        <v>450000</v>
      </c>
      <c r="S36" s="873">
        <f t="shared" si="8"/>
        <v>450000</v>
      </c>
      <c r="T36" s="873"/>
      <c r="U36" s="1205"/>
    </row>
    <row r="37" spans="1:21" s="105" customFormat="1" ht="13">
      <c r="A37" s="1038" t="s">
        <v>1780</v>
      </c>
      <c r="B37" s="245">
        <f t="shared" si="6"/>
        <v>0</v>
      </c>
      <c r="C37" s="873"/>
      <c r="D37" s="873"/>
      <c r="E37" s="873"/>
      <c r="F37" s="873"/>
      <c r="G37" s="873"/>
      <c r="H37" s="873"/>
      <c r="I37" s="873"/>
      <c r="J37" s="873"/>
      <c r="K37" s="873"/>
      <c r="L37" s="873"/>
      <c r="M37" s="873"/>
      <c r="N37" s="873"/>
      <c r="O37" s="873"/>
      <c r="P37" s="873"/>
      <c r="Q37" s="873"/>
      <c r="R37" s="416">
        <f t="shared" si="7"/>
        <v>0</v>
      </c>
      <c r="S37" s="873"/>
      <c r="T37" s="873"/>
      <c r="U37" s="1205"/>
    </row>
    <row r="38" spans="1:21" s="105" customFormat="1" ht="13">
      <c r="A38" s="106" t="s">
        <v>1784</v>
      </c>
      <c r="B38" s="245">
        <f t="shared" si="6"/>
        <v>92215473</v>
      </c>
      <c r="C38" s="245">
        <f>SUM(C29:C37)</f>
        <v>92215473</v>
      </c>
      <c r="D38" s="245">
        <f t="shared" ref="D38:Q38" si="9">SUM(D29:D37)</f>
        <v>0</v>
      </c>
      <c r="E38" s="245">
        <f t="shared" si="9"/>
        <v>24442550</v>
      </c>
      <c r="F38" s="245">
        <f t="shared" si="9"/>
        <v>61772923</v>
      </c>
      <c r="G38" s="245">
        <f t="shared" si="9"/>
        <v>6000000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92215473</v>
      </c>
      <c r="S38" s="107">
        <f>SUM(S29:S37)</f>
        <v>92215473</v>
      </c>
      <c r="T38" s="107">
        <f>SUM(T29:T37)</f>
        <v>0</v>
      </c>
      <c r="U38" s="1205"/>
    </row>
    <row r="39" spans="1:21" s="105" customFormat="1" ht="13">
      <c r="A39" s="104" t="s">
        <v>1785</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1786</v>
      </c>
      <c r="B40" s="245">
        <f>SUM(C40+D40)</f>
        <v>3046590</v>
      </c>
      <c r="C40" s="873">
        <v>3046590</v>
      </c>
      <c r="D40" s="873"/>
      <c r="E40" s="873">
        <f>C40</f>
        <v>3046590</v>
      </c>
      <c r="F40" s="873"/>
      <c r="G40" s="873"/>
      <c r="H40" s="873"/>
      <c r="I40" s="873"/>
      <c r="J40" s="873"/>
      <c r="K40" s="873"/>
      <c r="L40" s="873"/>
      <c r="M40" s="873"/>
      <c r="N40" s="873"/>
      <c r="O40" s="873"/>
      <c r="P40" s="873"/>
      <c r="Q40" s="873"/>
      <c r="R40" s="416">
        <f>SUM(E40:Q40)</f>
        <v>3046590</v>
      </c>
      <c r="S40" s="873">
        <v>3046590</v>
      </c>
      <c r="T40" s="873"/>
      <c r="U40" s="1205"/>
    </row>
    <row r="41" spans="1:21" s="105" customFormat="1" ht="13">
      <c r="A41" s="195" t="s">
        <v>1787</v>
      </c>
      <c r="B41" s="245">
        <f>SUM(C41+D41)</f>
        <v>750000</v>
      </c>
      <c r="C41" s="873">
        <v>750000</v>
      </c>
      <c r="D41" s="873"/>
      <c r="E41" s="873">
        <f>C41</f>
        <v>750000</v>
      </c>
      <c r="F41" s="873"/>
      <c r="G41" s="873"/>
      <c r="H41" s="873"/>
      <c r="I41" s="873"/>
      <c r="J41" s="873"/>
      <c r="K41" s="873"/>
      <c r="L41" s="873"/>
      <c r="M41" s="873"/>
      <c r="N41" s="873"/>
      <c r="O41" s="873"/>
      <c r="P41" s="873"/>
      <c r="Q41" s="873"/>
      <c r="R41" s="416">
        <f>SUM(E41:Q41)</f>
        <v>750000</v>
      </c>
      <c r="S41" s="873">
        <v>750000</v>
      </c>
      <c r="T41" s="873"/>
      <c r="U41" s="1205"/>
    </row>
    <row r="42" spans="1:21" s="105" customFormat="1" ht="13">
      <c r="A42" s="106" t="s">
        <v>1788</v>
      </c>
      <c r="B42" s="245">
        <f>SUM(C42:D42)</f>
        <v>3796590</v>
      </c>
      <c r="C42" s="245">
        <f>SUM(C39:C41)</f>
        <v>3796590</v>
      </c>
      <c r="D42" s="245">
        <f>SUM(D39:D41)</f>
        <v>0</v>
      </c>
      <c r="E42" s="245">
        <f t="shared" ref="E42:T42" si="10">SUM(E40:E41)</f>
        <v>3796590</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3796590</v>
      </c>
      <c r="S42" s="107">
        <f t="shared" si="10"/>
        <v>3796590</v>
      </c>
      <c r="T42" s="107">
        <f t="shared" si="10"/>
        <v>0</v>
      </c>
      <c r="U42" s="1205"/>
    </row>
    <row r="43" spans="1:21" s="105" customFormat="1" ht="13">
      <c r="A43" s="106" t="s">
        <v>1789</v>
      </c>
      <c r="B43" s="245">
        <f>SUM(C43:D43)</f>
        <v>1712100</v>
      </c>
      <c r="C43" s="873">
        <v>1712100</v>
      </c>
      <c r="D43" s="873"/>
      <c r="E43" s="873">
        <f>C43</f>
        <v>1712100</v>
      </c>
      <c r="F43" s="873"/>
      <c r="G43" s="873"/>
      <c r="H43" s="873"/>
      <c r="I43" s="873"/>
      <c r="J43" s="873"/>
      <c r="K43" s="873"/>
      <c r="L43" s="873"/>
      <c r="M43" s="873"/>
      <c r="N43" s="873"/>
      <c r="O43" s="873"/>
      <c r="P43" s="873"/>
      <c r="Q43" s="873"/>
      <c r="R43" s="416">
        <f>SUM(E43:Q43)</f>
        <v>1712100</v>
      </c>
      <c r="S43" s="873">
        <v>1712100</v>
      </c>
      <c r="T43" s="873"/>
      <c r="U43" s="1205"/>
    </row>
    <row r="44" spans="1:21" s="105" customFormat="1" ht="13">
      <c r="A44" s="104" t="s">
        <v>1790</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1791</v>
      </c>
      <c r="B45" s="245">
        <f t="shared" ref="B45:B53" si="11">SUM(C45+D45)</f>
        <v>14000000</v>
      </c>
      <c r="C45" s="873">
        <v>14000000</v>
      </c>
      <c r="D45" s="873"/>
      <c r="E45" s="873">
        <f>C45</f>
        <v>14000000</v>
      </c>
      <c r="F45" s="873"/>
      <c r="G45" s="873"/>
      <c r="H45" s="873"/>
      <c r="I45" s="873"/>
      <c r="J45" s="873"/>
      <c r="K45" s="873"/>
      <c r="L45" s="873"/>
      <c r="M45" s="873"/>
      <c r="N45" s="873"/>
      <c r="O45" s="873"/>
      <c r="P45" s="873"/>
      <c r="Q45" s="873"/>
      <c r="R45" s="416">
        <f t="shared" ref="R45:R53" si="12">SUM(E45:Q45)</f>
        <v>14000000</v>
      </c>
      <c r="S45" s="873">
        <f>147504296-137083150</f>
        <v>10421146</v>
      </c>
      <c r="T45" s="873"/>
      <c r="U45" s="1205"/>
    </row>
    <row r="46" spans="1:21" s="105" customFormat="1" ht="13">
      <c r="A46" s="195" t="s">
        <v>1792</v>
      </c>
      <c r="B46" s="245">
        <f t="shared" si="11"/>
        <v>1060000</v>
      </c>
      <c r="C46" s="873">
        <v>1060000</v>
      </c>
      <c r="D46" s="873"/>
      <c r="E46" s="873">
        <f>C46</f>
        <v>1060000</v>
      </c>
      <c r="F46" s="873"/>
      <c r="G46" s="873"/>
      <c r="H46" s="873"/>
      <c r="I46" s="873"/>
      <c r="J46" s="873"/>
      <c r="K46" s="873"/>
      <c r="L46" s="873"/>
      <c r="M46" s="873"/>
      <c r="N46" s="873"/>
      <c r="O46" s="873"/>
      <c r="P46" s="873"/>
      <c r="Q46" s="873"/>
      <c r="R46" s="416">
        <f t="shared" si="12"/>
        <v>1060000</v>
      </c>
      <c r="S46" s="873">
        <f t="shared" ref="S46" si="13">R46</f>
        <v>1060000</v>
      </c>
      <c r="T46" s="873"/>
      <c r="U46" s="1205"/>
    </row>
    <row r="47" spans="1:21" s="105" customFormat="1">
      <c r="A47" s="1207" t="s">
        <v>1793</v>
      </c>
      <c r="B47" s="245">
        <f t="shared" si="11"/>
        <v>0</v>
      </c>
      <c r="C47" s="873"/>
      <c r="D47" s="873"/>
      <c r="E47" s="873"/>
      <c r="F47" s="873"/>
      <c r="G47" s="873"/>
      <c r="H47" s="873"/>
      <c r="I47" s="873"/>
      <c r="J47" s="873"/>
      <c r="K47" s="873"/>
      <c r="L47" s="873"/>
      <c r="M47" s="873"/>
      <c r="N47" s="873"/>
      <c r="O47" s="873"/>
      <c r="P47" s="873"/>
      <c r="Q47" s="873"/>
      <c r="R47" s="416">
        <f t="shared" si="12"/>
        <v>0</v>
      </c>
      <c r="S47" s="873"/>
      <c r="T47" s="873"/>
      <c r="U47" s="1205"/>
    </row>
    <row r="48" spans="1:21" s="105" customFormat="1" ht="13">
      <c r="A48" s="195" t="s">
        <v>1794</v>
      </c>
      <c r="B48" s="245">
        <f t="shared" si="11"/>
        <v>650000</v>
      </c>
      <c r="C48" s="873">
        <v>650000</v>
      </c>
      <c r="D48" s="873"/>
      <c r="E48" s="873">
        <f>C48</f>
        <v>650000</v>
      </c>
      <c r="F48" s="873"/>
      <c r="G48" s="873"/>
      <c r="H48" s="873"/>
      <c r="I48" s="873"/>
      <c r="J48" s="873"/>
      <c r="K48" s="873"/>
      <c r="L48" s="873"/>
      <c r="M48" s="873"/>
      <c r="N48" s="873"/>
      <c r="O48" s="873"/>
      <c r="P48" s="873"/>
      <c r="Q48" s="873"/>
      <c r="R48" s="416">
        <f t="shared" si="12"/>
        <v>650000</v>
      </c>
      <c r="S48" s="873">
        <v>250000</v>
      </c>
      <c r="T48" s="873"/>
      <c r="U48" s="1205"/>
    </row>
    <row r="49" spans="1:21" s="105" customFormat="1" ht="13">
      <c r="A49" s="195" t="s">
        <v>1795</v>
      </c>
      <c r="B49" s="245">
        <f t="shared" si="11"/>
        <v>540000</v>
      </c>
      <c r="C49" s="873">
        <v>540000</v>
      </c>
      <c r="D49" s="873"/>
      <c r="E49" s="873">
        <f>C49</f>
        <v>540000</v>
      </c>
      <c r="F49" s="873"/>
      <c r="G49" s="873"/>
      <c r="H49" s="873"/>
      <c r="I49" s="873"/>
      <c r="J49" s="873"/>
      <c r="K49" s="873"/>
      <c r="L49" s="873"/>
      <c r="M49" s="873"/>
      <c r="N49" s="873"/>
      <c r="O49" s="873"/>
      <c r="P49" s="873"/>
      <c r="Q49" s="873"/>
      <c r="R49" s="416">
        <f t="shared" si="12"/>
        <v>540000</v>
      </c>
      <c r="S49" s="873">
        <v>215000</v>
      </c>
      <c r="T49" s="873"/>
      <c r="U49" s="1205"/>
    </row>
    <row r="50" spans="1:21" s="105" customFormat="1" ht="13">
      <c r="A50" s="195" t="s">
        <v>1796</v>
      </c>
      <c r="B50" s="245">
        <f t="shared" si="11"/>
        <v>150000</v>
      </c>
      <c r="C50" s="873">
        <v>150000</v>
      </c>
      <c r="D50" s="873"/>
      <c r="E50" s="873">
        <f>C50</f>
        <v>150000</v>
      </c>
      <c r="F50" s="873"/>
      <c r="G50" s="873"/>
      <c r="H50" s="873"/>
      <c r="I50" s="873"/>
      <c r="J50" s="873"/>
      <c r="K50" s="873"/>
      <c r="L50" s="873"/>
      <c r="M50" s="873"/>
      <c r="N50" s="873"/>
      <c r="O50" s="873"/>
      <c r="P50" s="873"/>
      <c r="Q50" s="873"/>
      <c r="R50" s="416">
        <f t="shared" si="12"/>
        <v>150000</v>
      </c>
      <c r="S50" s="873">
        <v>150000</v>
      </c>
      <c r="T50" s="873"/>
      <c r="U50" s="1205"/>
    </row>
    <row r="51" spans="1:21" s="105" customFormat="1" ht="13">
      <c r="A51" s="195" t="s">
        <v>1797</v>
      </c>
      <c r="B51" s="245">
        <f t="shared" si="11"/>
        <v>250000</v>
      </c>
      <c r="C51" s="873">
        <v>250000</v>
      </c>
      <c r="D51" s="873"/>
      <c r="E51" s="873">
        <f>C51</f>
        <v>250000</v>
      </c>
      <c r="F51" s="873"/>
      <c r="G51" s="873"/>
      <c r="H51" s="873"/>
      <c r="I51" s="873"/>
      <c r="J51" s="873"/>
      <c r="K51" s="873"/>
      <c r="L51" s="873"/>
      <c r="M51" s="873"/>
      <c r="N51" s="873"/>
      <c r="O51" s="873"/>
      <c r="P51" s="873"/>
      <c r="Q51" s="873"/>
      <c r="R51" s="416">
        <f t="shared" si="12"/>
        <v>250000</v>
      </c>
      <c r="S51" s="873"/>
      <c r="T51" s="873"/>
      <c r="U51" s="1205"/>
    </row>
    <row r="52" spans="1:21" s="105" customFormat="1" ht="13">
      <c r="A52" s="195" t="s">
        <v>1798</v>
      </c>
      <c r="B52" s="245">
        <f t="shared" si="11"/>
        <v>1500000</v>
      </c>
      <c r="C52" s="873">
        <v>1500000</v>
      </c>
      <c r="D52" s="873"/>
      <c r="E52" s="873">
        <f>C52</f>
        <v>1500000</v>
      </c>
      <c r="F52" s="873"/>
      <c r="G52" s="873"/>
      <c r="H52" s="873"/>
      <c r="I52" s="873"/>
      <c r="J52" s="873"/>
      <c r="K52" s="873"/>
      <c r="L52" s="873"/>
      <c r="M52" s="873"/>
      <c r="N52" s="873"/>
      <c r="O52" s="873"/>
      <c r="P52" s="873"/>
      <c r="Q52" s="873"/>
      <c r="R52" s="416">
        <f t="shared" si="12"/>
        <v>1500000</v>
      </c>
      <c r="S52" s="873">
        <v>1500000</v>
      </c>
      <c r="T52" s="873"/>
      <c r="U52" s="1205"/>
    </row>
    <row r="53" spans="1:21" s="105" customFormat="1" ht="13">
      <c r="A53" s="1038" t="s">
        <v>1780</v>
      </c>
      <c r="B53" s="245">
        <f t="shared" si="11"/>
        <v>0</v>
      </c>
      <c r="C53" s="873"/>
      <c r="D53" s="873"/>
      <c r="E53" s="873"/>
      <c r="F53" s="873"/>
      <c r="G53" s="873"/>
      <c r="H53" s="873"/>
      <c r="I53" s="873"/>
      <c r="J53" s="873"/>
      <c r="K53" s="873"/>
      <c r="L53" s="873"/>
      <c r="M53" s="873"/>
      <c r="N53" s="873"/>
      <c r="O53" s="873"/>
      <c r="P53" s="873"/>
      <c r="Q53" s="873"/>
      <c r="R53" s="416">
        <f t="shared" si="12"/>
        <v>0</v>
      </c>
      <c r="S53" s="873"/>
      <c r="T53" s="873"/>
      <c r="U53" s="1205"/>
    </row>
    <row r="54" spans="1:21" s="109" customFormat="1" ht="13">
      <c r="A54" s="106" t="s">
        <v>1799</v>
      </c>
      <c r="B54" s="107">
        <f>SUM(C54:D54)</f>
        <v>18150000</v>
      </c>
      <c r="C54" s="107">
        <f t="shared" ref="C54:T54" si="14">SUM(C45:C53)</f>
        <v>18150000</v>
      </c>
      <c r="D54" s="107">
        <f t="shared" si="14"/>
        <v>0</v>
      </c>
      <c r="E54" s="107">
        <f t="shared" si="14"/>
        <v>18150000</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18150000</v>
      </c>
      <c r="S54" s="107">
        <f t="shared" si="14"/>
        <v>13596146</v>
      </c>
      <c r="T54" s="107">
        <f t="shared" si="14"/>
        <v>0</v>
      </c>
      <c r="U54" s="108"/>
    </row>
    <row r="55" spans="1:21" s="105" customFormat="1" ht="13">
      <c r="A55" s="104" t="s">
        <v>1350</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1800</v>
      </c>
      <c r="B56" s="245">
        <f t="shared" ref="B56:B61" si="15">SUM(C56+D56)</f>
        <v>55000</v>
      </c>
      <c r="C56" s="873">
        <v>55000</v>
      </c>
      <c r="D56" s="873"/>
      <c r="E56" s="873">
        <f>C56</f>
        <v>55000</v>
      </c>
      <c r="F56" s="873"/>
      <c r="G56" s="873"/>
      <c r="H56" s="873"/>
      <c r="I56" s="873"/>
      <c r="J56" s="873"/>
      <c r="K56" s="873"/>
      <c r="L56" s="873"/>
      <c r="M56" s="873"/>
      <c r="N56" s="873"/>
      <c r="O56" s="873"/>
      <c r="P56" s="873"/>
      <c r="Q56" s="873"/>
      <c r="R56" s="416">
        <f t="shared" ref="R56:R61" si="16">SUM(E56:Q56)</f>
        <v>55000</v>
      </c>
      <c r="S56" s="1206"/>
      <c r="T56" s="1206"/>
      <c r="U56" s="1205"/>
    </row>
    <row r="57" spans="1:21" s="130" customFormat="1">
      <c r="A57" s="1207" t="s">
        <v>1793</v>
      </c>
      <c r="B57" s="1208">
        <f t="shared" si="15"/>
        <v>0</v>
      </c>
      <c r="C57" s="1209"/>
      <c r="D57" s="1209"/>
      <c r="E57" s="1209"/>
      <c r="F57" s="1209"/>
      <c r="G57" s="1209"/>
      <c r="H57" s="1209"/>
      <c r="I57" s="1209"/>
      <c r="J57" s="1209"/>
      <c r="K57" s="1209"/>
      <c r="L57" s="1209"/>
      <c r="M57" s="1209"/>
      <c r="N57" s="1209"/>
      <c r="O57" s="1209"/>
      <c r="P57" s="1209"/>
      <c r="Q57" s="1209"/>
      <c r="R57" s="416">
        <f t="shared" si="16"/>
        <v>0</v>
      </c>
      <c r="S57" s="1210"/>
      <c r="T57" s="1210"/>
      <c r="U57" s="1211"/>
    </row>
    <row r="58" spans="1:21" s="105" customFormat="1" ht="13">
      <c r="A58" s="195" t="s">
        <v>1796</v>
      </c>
      <c r="B58" s="245">
        <f t="shared" si="15"/>
        <v>50000</v>
      </c>
      <c r="C58" s="873">
        <v>50000</v>
      </c>
      <c r="D58" s="873"/>
      <c r="E58" s="873">
        <f>C58</f>
        <v>50000</v>
      </c>
      <c r="F58" s="873"/>
      <c r="G58" s="873"/>
      <c r="H58" s="873"/>
      <c r="I58" s="873"/>
      <c r="J58" s="873"/>
      <c r="K58" s="873"/>
      <c r="L58" s="873"/>
      <c r="M58" s="873"/>
      <c r="N58" s="873"/>
      <c r="O58" s="873"/>
      <c r="P58" s="873"/>
      <c r="Q58" s="873"/>
      <c r="R58" s="416">
        <f t="shared" si="16"/>
        <v>50000</v>
      </c>
      <c r="S58" s="1206"/>
      <c r="T58" s="1206"/>
      <c r="U58" s="1205"/>
    </row>
    <row r="59" spans="1:21" s="105" customFormat="1" ht="13">
      <c r="A59" s="195" t="s">
        <v>1797</v>
      </c>
      <c r="B59" s="245">
        <f t="shared" si="15"/>
        <v>281250</v>
      </c>
      <c r="C59" s="873">
        <v>281250</v>
      </c>
      <c r="D59" s="873"/>
      <c r="E59" s="873">
        <f>C59</f>
        <v>281250</v>
      </c>
      <c r="F59" s="873"/>
      <c r="G59" s="873"/>
      <c r="H59" s="873"/>
      <c r="I59" s="873"/>
      <c r="J59" s="873"/>
      <c r="K59" s="873"/>
      <c r="L59" s="873"/>
      <c r="M59" s="873"/>
      <c r="N59" s="873"/>
      <c r="O59" s="873"/>
      <c r="P59" s="873"/>
      <c r="Q59" s="873"/>
      <c r="R59" s="416">
        <f t="shared" si="16"/>
        <v>281250</v>
      </c>
      <c r="S59" s="1206"/>
      <c r="T59" s="1206"/>
      <c r="U59" s="1205"/>
    </row>
    <row r="60" spans="1:21" s="105" customFormat="1" ht="13">
      <c r="A60" s="195" t="s">
        <v>1798</v>
      </c>
      <c r="B60" s="245">
        <f t="shared" si="15"/>
        <v>0</v>
      </c>
      <c r="C60" s="873"/>
      <c r="D60" s="873"/>
      <c r="E60" s="873"/>
      <c r="F60" s="873"/>
      <c r="G60" s="873"/>
      <c r="H60" s="873"/>
      <c r="I60" s="873"/>
      <c r="J60" s="873"/>
      <c r="K60" s="873"/>
      <c r="L60" s="873"/>
      <c r="M60" s="873"/>
      <c r="N60" s="873"/>
      <c r="O60" s="873"/>
      <c r="P60" s="873"/>
      <c r="Q60" s="873"/>
      <c r="R60" s="416">
        <f t="shared" si="16"/>
        <v>0</v>
      </c>
      <c r="S60" s="1206"/>
      <c r="T60" s="1206"/>
      <c r="U60" s="1205"/>
    </row>
    <row r="61" spans="1:21" s="105" customFormat="1" ht="13">
      <c r="A61" s="1038" t="s">
        <v>1780</v>
      </c>
      <c r="B61" s="245">
        <f t="shared" si="15"/>
        <v>0</v>
      </c>
      <c r="C61" s="873"/>
      <c r="D61" s="873"/>
      <c r="E61" s="873"/>
      <c r="F61" s="873"/>
      <c r="G61" s="873"/>
      <c r="H61" s="873"/>
      <c r="I61" s="873"/>
      <c r="J61" s="873"/>
      <c r="K61" s="873"/>
      <c r="L61" s="873"/>
      <c r="M61" s="873"/>
      <c r="N61" s="873"/>
      <c r="O61" s="873"/>
      <c r="P61" s="873"/>
      <c r="Q61" s="873"/>
      <c r="R61" s="416">
        <f t="shared" si="16"/>
        <v>0</v>
      </c>
      <c r="S61" s="1206"/>
      <c r="T61" s="1206"/>
      <c r="U61" s="1205"/>
    </row>
    <row r="62" spans="1:21" s="105" customFormat="1" ht="13.75" customHeight="1">
      <c r="A62" s="106" t="s">
        <v>1801</v>
      </c>
      <c r="B62" s="245">
        <f>SUM(C62:D62)</f>
        <v>386250</v>
      </c>
      <c r="C62" s="245">
        <f t="shared" ref="C62:R62" si="17">SUM(C56:C61)</f>
        <v>386250</v>
      </c>
      <c r="D62" s="245">
        <f t="shared" si="17"/>
        <v>0</v>
      </c>
      <c r="E62" s="245">
        <f t="shared" si="17"/>
        <v>386250</v>
      </c>
      <c r="F62" s="245">
        <f t="shared" si="17"/>
        <v>0</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386250</v>
      </c>
      <c r="S62" s="1206"/>
      <c r="T62" s="1206"/>
      <c r="U62" s="1205"/>
    </row>
    <row r="63" spans="1:21" s="105" customFormat="1" ht="13">
      <c r="A63" s="110" t="s">
        <v>1802</v>
      </c>
      <c r="B63" s="245">
        <f t="shared" ref="B63:R63" si="18">SUM(B8+B11+B13+B14+B15+B26+B27+B38+B42+B43+B54+B62)</f>
        <v>124228909</v>
      </c>
      <c r="C63" s="245">
        <f t="shared" si="18"/>
        <v>124228909</v>
      </c>
      <c r="D63" s="245">
        <f t="shared" si="18"/>
        <v>0</v>
      </c>
      <c r="E63" s="245">
        <f t="shared" si="18"/>
        <v>49038486</v>
      </c>
      <c r="F63" s="245">
        <f t="shared" si="18"/>
        <v>69190423</v>
      </c>
      <c r="G63" s="245">
        <f t="shared" si="18"/>
        <v>6000000</v>
      </c>
      <c r="H63" s="245">
        <f t="shared" si="18"/>
        <v>0</v>
      </c>
      <c r="I63" s="245">
        <f t="shared" si="18"/>
        <v>0</v>
      </c>
      <c r="J63" s="245">
        <f t="shared" si="18"/>
        <v>0</v>
      </c>
      <c r="K63" s="245">
        <f t="shared" si="18"/>
        <v>0</v>
      </c>
      <c r="L63" s="245">
        <f t="shared" si="18"/>
        <v>0</v>
      </c>
      <c r="M63" s="245">
        <f t="shared" si="18"/>
        <v>0</v>
      </c>
      <c r="N63" s="245">
        <f t="shared" si="18"/>
        <v>0</v>
      </c>
      <c r="O63" s="245">
        <f t="shared" si="18"/>
        <v>0</v>
      </c>
      <c r="P63" s="245">
        <f t="shared" si="18"/>
        <v>0</v>
      </c>
      <c r="Q63" s="245">
        <f t="shared" si="18"/>
        <v>0</v>
      </c>
      <c r="R63" s="245">
        <f t="shared" si="18"/>
        <v>124228909</v>
      </c>
      <c r="S63" s="245">
        <f>SUM(S10+S13+S14+S15+S26+S27+S38+S42+S43+S54)</f>
        <v>111620309</v>
      </c>
      <c r="T63" s="245">
        <f>SUM(T11+T13+T14+T15+T26+T27+T38+T42+T43+T54)</f>
        <v>0</v>
      </c>
      <c r="U63" s="1205"/>
    </row>
    <row r="64" spans="1:21" s="105" customFormat="1" ht="26">
      <c r="A64" s="104" t="s">
        <v>1803</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1804</v>
      </c>
      <c r="B65" s="245">
        <f>SUM(C65+D65)</f>
        <v>100000</v>
      </c>
      <c r="C65" s="873">
        <v>100000</v>
      </c>
      <c r="D65" s="873"/>
      <c r="E65" s="873">
        <f>C65</f>
        <v>100000</v>
      </c>
      <c r="F65" s="873"/>
      <c r="G65" s="873"/>
      <c r="H65" s="873"/>
      <c r="I65" s="873"/>
      <c r="J65" s="873"/>
      <c r="K65" s="873"/>
      <c r="L65" s="873"/>
      <c r="M65" s="873"/>
      <c r="N65" s="873"/>
      <c r="O65" s="873"/>
      <c r="P65" s="873"/>
      <c r="Q65" s="873"/>
      <c r="R65" s="416">
        <f>SUM(E65:Q65)</f>
        <v>100000</v>
      </c>
      <c r="S65" s="873">
        <v>100000</v>
      </c>
      <c r="T65" s="873"/>
      <c r="U65" s="1205"/>
    </row>
    <row r="66" spans="1:21" s="105" customFormat="1" ht="24" customHeight="1">
      <c r="A66" s="195" t="s">
        <v>1805</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1806</v>
      </c>
      <c r="B67" s="245">
        <f>SUM(C67+D67)</f>
        <v>300000</v>
      </c>
      <c r="C67" s="873">
        <v>300000</v>
      </c>
      <c r="D67" s="873"/>
      <c r="E67" s="873">
        <f>C67</f>
        <v>300000</v>
      </c>
      <c r="F67" s="873"/>
      <c r="G67" s="873"/>
      <c r="H67" s="873"/>
      <c r="I67" s="873"/>
      <c r="J67" s="873"/>
      <c r="K67" s="873"/>
      <c r="L67" s="873"/>
      <c r="M67" s="873"/>
      <c r="N67" s="873"/>
      <c r="O67" s="873"/>
      <c r="P67" s="873"/>
      <c r="Q67" s="873"/>
      <c r="R67" s="416">
        <f>SUM(E67:Q67)</f>
        <v>300000</v>
      </c>
      <c r="S67" s="873">
        <v>300000</v>
      </c>
      <c r="T67" s="873"/>
      <c r="U67" s="1205"/>
    </row>
    <row r="68" spans="1:21" s="105" customFormat="1" ht="12" customHeight="1">
      <c r="A68" s="195" t="s">
        <v>1807</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3">
      <c r="A69" s="1038" t="s">
        <v>1808</v>
      </c>
      <c r="B69" s="245">
        <f>SUM(C69+D69)</f>
        <v>200000</v>
      </c>
      <c r="C69" s="873">
        <v>200000</v>
      </c>
      <c r="D69" s="873"/>
      <c r="E69" s="873">
        <f>C69</f>
        <v>200000</v>
      </c>
      <c r="F69" s="873"/>
      <c r="G69" s="873"/>
      <c r="H69" s="873"/>
      <c r="I69" s="873"/>
      <c r="J69" s="873"/>
      <c r="K69" s="873"/>
      <c r="L69" s="873"/>
      <c r="M69" s="873"/>
      <c r="N69" s="873"/>
      <c r="O69" s="873"/>
      <c r="P69" s="873"/>
      <c r="Q69" s="873"/>
      <c r="R69" s="416">
        <f>SUM(E69:Q69)</f>
        <v>200000</v>
      </c>
      <c r="S69" s="873">
        <v>200000</v>
      </c>
      <c r="T69" s="873"/>
      <c r="U69" s="1205"/>
    </row>
    <row r="70" spans="1:21" s="105" customFormat="1" ht="13">
      <c r="A70" s="106" t="s">
        <v>1809</v>
      </c>
      <c r="B70" s="245">
        <f>SUM(C70:D70)</f>
        <v>600000</v>
      </c>
      <c r="C70" s="245">
        <f>SUM(C65:C69)</f>
        <v>600000</v>
      </c>
      <c r="D70" s="245">
        <f>SUM(D65:D69)</f>
        <v>0</v>
      </c>
      <c r="E70" s="245">
        <f t="shared" ref="E70:T70" si="19">SUM(E65:E69)</f>
        <v>600000</v>
      </c>
      <c r="F70" s="245">
        <f t="shared" si="19"/>
        <v>0</v>
      </c>
      <c r="G70" s="245">
        <f t="shared" si="19"/>
        <v>0</v>
      </c>
      <c r="H70" s="245">
        <f t="shared" si="19"/>
        <v>0</v>
      </c>
      <c r="I70" s="245">
        <f t="shared" si="19"/>
        <v>0</v>
      </c>
      <c r="J70" s="245">
        <f t="shared" si="19"/>
        <v>0</v>
      </c>
      <c r="K70" s="245">
        <f t="shared" si="19"/>
        <v>0</v>
      </c>
      <c r="L70" s="245">
        <f t="shared" si="19"/>
        <v>0</v>
      </c>
      <c r="M70" s="245">
        <f t="shared" si="19"/>
        <v>0</v>
      </c>
      <c r="N70" s="245">
        <f t="shared" si="19"/>
        <v>0</v>
      </c>
      <c r="O70" s="245">
        <f t="shared" si="19"/>
        <v>0</v>
      </c>
      <c r="P70" s="245">
        <f t="shared" si="19"/>
        <v>0</v>
      </c>
      <c r="Q70" s="245">
        <f t="shared" si="19"/>
        <v>0</v>
      </c>
      <c r="R70" s="245">
        <f t="shared" si="19"/>
        <v>600000</v>
      </c>
      <c r="S70" s="107">
        <f t="shared" si="19"/>
        <v>600000</v>
      </c>
      <c r="T70" s="107">
        <f t="shared" si="19"/>
        <v>0</v>
      </c>
      <c r="U70" s="1205"/>
    </row>
    <row r="71" spans="1:21" s="105" customFormat="1" ht="13">
      <c r="A71" s="104" t="s">
        <v>1810</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1811</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3">
      <c r="A73" s="195" t="s">
        <v>1812</v>
      </c>
      <c r="B73" s="245">
        <f>SUM(C73+D73)</f>
        <v>325000</v>
      </c>
      <c r="C73" s="873">
        <v>325000</v>
      </c>
      <c r="D73" s="873"/>
      <c r="E73" s="873">
        <f>C73</f>
        <v>325000</v>
      </c>
      <c r="F73" s="873"/>
      <c r="G73" s="873"/>
      <c r="H73" s="873"/>
      <c r="I73" s="873"/>
      <c r="J73" s="873"/>
      <c r="K73" s="873"/>
      <c r="L73" s="873"/>
      <c r="M73" s="873"/>
      <c r="N73" s="873"/>
      <c r="O73" s="873"/>
      <c r="P73" s="873"/>
      <c r="Q73" s="873"/>
      <c r="R73" s="416">
        <f>SUM(E73:Q73)</f>
        <v>325000</v>
      </c>
      <c r="S73" s="1206"/>
      <c r="T73" s="1206"/>
      <c r="U73" s="1205"/>
    </row>
    <row r="74" spans="1:21" s="105" customFormat="1">
      <c r="A74" s="352" t="s">
        <v>1813</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3">
      <c r="A75" s="195" t="s">
        <v>1814</v>
      </c>
      <c r="B75" s="245">
        <f>SUM(C75+D75)</f>
        <v>1500000</v>
      </c>
      <c r="C75" s="873">
        <v>1500000</v>
      </c>
      <c r="D75" s="873"/>
      <c r="E75" s="873">
        <f>C75</f>
        <v>1500000</v>
      </c>
      <c r="F75" s="873"/>
      <c r="G75" s="873"/>
      <c r="H75" s="873"/>
      <c r="I75" s="873"/>
      <c r="J75" s="873"/>
      <c r="K75" s="873"/>
      <c r="L75" s="873"/>
      <c r="M75" s="873"/>
      <c r="N75" s="873"/>
      <c r="O75" s="873"/>
      <c r="P75" s="873"/>
      <c r="Q75" s="873"/>
      <c r="R75" s="416">
        <f>SUM(E75:Q75)</f>
        <v>1500000</v>
      </c>
      <c r="S75" s="1206"/>
      <c r="T75" s="1206"/>
      <c r="U75" s="1205"/>
    </row>
    <row r="76" spans="1:21" s="105" customFormat="1" ht="13">
      <c r="A76" s="1038" t="s">
        <v>1815</v>
      </c>
      <c r="B76" s="245">
        <f>SUM(C76+D76)</f>
        <v>500000</v>
      </c>
      <c r="C76" s="873">
        <v>500000</v>
      </c>
      <c r="D76" s="873"/>
      <c r="E76" s="873">
        <f>C76</f>
        <v>500000</v>
      </c>
      <c r="F76" s="873"/>
      <c r="G76" s="873"/>
      <c r="H76" s="873"/>
      <c r="I76" s="873"/>
      <c r="J76" s="873"/>
      <c r="K76" s="873"/>
      <c r="L76" s="873"/>
      <c r="M76" s="873"/>
      <c r="N76" s="873"/>
      <c r="O76" s="873"/>
      <c r="P76" s="873"/>
      <c r="Q76" s="873"/>
      <c r="R76" s="416">
        <f>SUM(E76:Q76)</f>
        <v>500000</v>
      </c>
      <c r="S76" s="1206"/>
      <c r="T76" s="1206"/>
      <c r="U76" s="1205"/>
    </row>
    <row r="77" spans="1:21" s="105" customFormat="1" ht="13">
      <c r="A77" s="106" t="s">
        <v>1816</v>
      </c>
      <c r="B77" s="245">
        <f>SUM(C77:D77)</f>
        <v>2325000</v>
      </c>
      <c r="C77" s="245">
        <f>SUM(C72:C76)</f>
        <v>2325000</v>
      </c>
      <c r="D77" s="245">
        <f>SUM(D72:D76)</f>
        <v>0</v>
      </c>
      <c r="E77" s="245">
        <f t="shared" ref="E77:Q77" si="20">SUM(E72:E76)</f>
        <v>2325000</v>
      </c>
      <c r="F77" s="245">
        <f t="shared" si="20"/>
        <v>0</v>
      </c>
      <c r="G77" s="245">
        <f t="shared" si="20"/>
        <v>0</v>
      </c>
      <c r="H77" s="245">
        <f t="shared" si="20"/>
        <v>0</v>
      </c>
      <c r="I77" s="245">
        <f t="shared" si="20"/>
        <v>0</v>
      </c>
      <c r="J77" s="245">
        <f t="shared" si="20"/>
        <v>0</v>
      </c>
      <c r="K77" s="245">
        <f t="shared" si="20"/>
        <v>0</v>
      </c>
      <c r="L77" s="245">
        <f t="shared" si="20"/>
        <v>0</v>
      </c>
      <c r="M77" s="245">
        <f t="shared" si="20"/>
        <v>0</v>
      </c>
      <c r="N77" s="245">
        <f t="shared" si="20"/>
        <v>0</v>
      </c>
      <c r="O77" s="245">
        <f t="shared" si="20"/>
        <v>0</v>
      </c>
      <c r="P77" s="245">
        <f t="shared" si="20"/>
        <v>0</v>
      </c>
      <c r="Q77" s="245">
        <f t="shared" si="20"/>
        <v>0</v>
      </c>
      <c r="R77" s="245">
        <f>SUM(R72:R76)</f>
        <v>2325000</v>
      </c>
      <c r="S77" s="1206"/>
      <c r="T77" s="1206"/>
      <c r="U77" s="1205"/>
    </row>
    <row r="78" spans="1:21" s="105" customFormat="1" ht="13">
      <c r="A78" s="104" t="s">
        <v>1817</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1818</v>
      </c>
      <c r="B79" s="245">
        <f>SUM(C79:D79)</f>
        <v>9041954</v>
      </c>
      <c r="C79" s="873">
        <f>162858396-153816442</f>
        <v>9041954</v>
      </c>
      <c r="D79" s="873"/>
      <c r="E79" s="873">
        <f>C79</f>
        <v>9041954</v>
      </c>
      <c r="F79" s="873"/>
      <c r="G79" s="873"/>
      <c r="H79" s="873"/>
      <c r="I79" s="873"/>
      <c r="J79" s="873"/>
      <c r="K79" s="873"/>
      <c r="L79" s="873"/>
      <c r="M79" s="873"/>
      <c r="N79" s="873"/>
      <c r="O79" s="873"/>
      <c r="P79" s="873"/>
      <c r="Q79" s="873"/>
      <c r="R79" s="416">
        <f>SUM(E79:Q79)</f>
        <v>9041954</v>
      </c>
      <c r="S79" s="873">
        <f>R79</f>
        <v>9041954</v>
      </c>
      <c r="T79" s="873"/>
      <c r="U79" s="1205"/>
    </row>
    <row r="80" spans="1:21" s="105" customFormat="1" ht="13">
      <c r="A80" s="195" t="s">
        <v>1819</v>
      </c>
      <c r="B80" s="245">
        <f>SUM(C80:D80)</f>
        <v>1091809</v>
      </c>
      <c r="C80" s="873">
        <v>1091809</v>
      </c>
      <c r="D80" s="873"/>
      <c r="E80" s="873">
        <f>C80</f>
        <v>1091809</v>
      </c>
      <c r="F80" s="873"/>
      <c r="G80" s="873"/>
      <c r="H80" s="873"/>
      <c r="I80" s="873"/>
      <c r="J80" s="873"/>
      <c r="K80" s="873"/>
      <c r="L80" s="873"/>
      <c r="M80" s="873"/>
      <c r="N80" s="873"/>
      <c r="O80" s="873"/>
      <c r="P80" s="873"/>
      <c r="Q80" s="873"/>
      <c r="R80" s="416">
        <f>SUM(E80:Q80)</f>
        <v>1091809</v>
      </c>
      <c r="S80" s="873">
        <f>R80</f>
        <v>1091809</v>
      </c>
      <c r="T80" s="873"/>
      <c r="U80" s="1205"/>
    </row>
    <row r="81" spans="1:21" s="105" customFormat="1" ht="13">
      <c r="A81" s="106" t="s">
        <v>1820</v>
      </c>
      <c r="B81" s="245">
        <f>SUM(C81:D81)</f>
        <v>10133763</v>
      </c>
      <c r="C81" s="1212">
        <f>SUM(C79:C80)</f>
        <v>10133763</v>
      </c>
      <c r="D81" s="1212">
        <f t="shared" ref="D81:T81" si="21">SUM(D79:D80)</f>
        <v>0</v>
      </c>
      <c r="E81" s="1212">
        <f t="shared" si="21"/>
        <v>10133763</v>
      </c>
      <c r="F81" s="1212">
        <f t="shared" si="21"/>
        <v>0</v>
      </c>
      <c r="G81" s="1212">
        <f t="shared" si="21"/>
        <v>0</v>
      </c>
      <c r="H81" s="1212">
        <f t="shared" si="21"/>
        <v>0</v>
      </c>
      <c r="I81" s="1212">
        <f t="shared" si="21"/>
        <v>0</v>
      </c>
      <c r="J81" s="1212">
        <f t="shared" si="21"/>
        <v>0</v>
      </c>
      <c r="K81" s="1212">
        <f t="shared" si="21"/>
        <v>0</v>
      </c>
      <c r="L81" s="1212">
        <f t="shared" si="21"/>
        <v>0</v>
      </c>
      <c r="M81" s="1212">
        <f t="shared" si="21"/>
        <v>0</v>
      </c>
      <c r="N81" s="1212">
        <f t="shared" si="21"/>
        <v>0</v>
      </c>
      <c r="O81" s="1212">
        <f t="shared" si="21"/>
        <v>0</v>
      </c>
      <c r="P81" s="1212">
        <f t="shared" si="21"/>
        <v>0</v>
      </c>
      <c r="Q81" s="1212">
        <f t="shared" si="21"/>
        <v>0</v>
      </c>
      <c r="R81" s="1212">
        <f t="shared" si="21"/>
        <v>10133763</v>
      </c>
      <c r="S81" s="1212">
        <f t="shared" si="21"/>
        <v>10133763</v>
      </c>
      <c r="T81" s="1212">
        <f t="shared" si="21"/>
        <v>0</v>
      </c>
      <c r="U81" s="1205"/>
    </row>
    <row r="82" spans="1:21" s="105" customFormat="1" ht="13">
      <c r="A82" s="104" t="s">
        <v>1821</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1822</v>
      </c>
      <c r="B83" s="245">
        <f t="shared" ref="B83:B95" si="22">SUM(C83+D83)</f>
        <v>75000</v>
      </c>
      <c r="C83" s="873">
        <v>75000</v>
      </c>
      <c r="D83" s="873"/>
      <c r="E83" s="873">
        <f>C83</f>
        <v>75000</v>
      </c>
      <c r="F83" s="873"/>
      <c r="G83" s="873"/>
      <c r="H83" s="873"/>
      <c r="I83" s="873"/>
      <c r="J83" s="873"/>
      <c r="K83" s="873"/>
      <c r="L83" s="873"/>
      <c r="M83" s="873"/>
      <c r="N83" s="873"/>
      <c r="O83" s="873"/>
      <c r="P83" s="873"/>
      <c r="Q83" s="873"/>
      <c r="R83" s="416">
        <f t="shared" ref="R83:R95" si="23">SUM(E83:Q83)</f>
        <v>75000</v>
      </c>
      <c r="S83" s="1206"/>
      <c r="T83" s="1206"/>
      <c r="U83" s="1205"/>
    </row>
    <row r="84" spans="1:21" s="105" customFormat="1" ht="13">
      <c r="A84" s="195" t="s">
        <v>1823</v>
      </c>
      <c r="B84" s="245">
        <f t="shared" si="22"/>
        <v>500000</v>
      </c>
      <c r="C84" s="873">
        <v>500000</v>
      </c>
      <c r="D84" s="873"/>
      <c r="E84" s="873">
        <f>C84</f>
        <v>500000</v>
      </c>
      <c r="F84" s="873"/>
      <c r="G84" s="873"/>
      <c r="H84" s="873"/>
      <c r="I84" s="873"/>
      <c r="J84" s="873"/>
      <c r="K84" s="873"/>
      <c r="L84" s="873"/>
      <c r="M84" s="873"/>
      <c r="N84" s="873"/>
      <c r="O84" s="873"/>
      <c r="P84" s="873"/>
      <c r="Q84" s="873"/>
      <c r="R84" s="416">
        <f t="shared" si="23"/>
        <v>500000</v>
      </c>
      <c r="S84" s="873">
        <f>R84</f>
        <v>500000</v>
      </c>
      <c r="T84" s="873"/>
      <c r="U84" s="1205"/>
    </row>
    <row r="85" spans="1:21" s="105" customFormat="1" ht="13">
      <c r="A85" s="195" t="s">
        <v>1824</v>
      </c>
      <c r="B85" s="245">
        <f t="shared" si="22"/>
        <v>3161516</v>
      </c>
      <c r="C85" s="873">
        <v>3161516</v>
      </c>
      <c r="D85" s="873"/>
      <c r="E85" s="873">
        <f>C85</f>
        <v>3161516</v>
      </c>
      <c r="F85" s="873"/>
      <c r="G85" s="873"/>
      <c r="H85" s="873"/>
      <c r="I85" s="873"/>
      <c r="J85" s="873"/>
      <c r="K85" s="873"/>
      <c r="L85" s="873"/>
      <c r="M85" s="873"/>
      <c r="N85" s="873"/>
      <c r="O85" s="873"/>
      <c r="P85" s="873"/>
      <c r="Q85" s="873"/>
      <c r="R85" s="416">
        <f t="shared" si="23"/>
        <v>3161516</v>
      </c>
      <c r="S85" s="873">
        <f t="shared" ref="S85:S86" si="24">R85</f>
        <v>3161516</v>
      </c>
      <c r="T85" s="873"/>
      <c r="U85" s="1205"/>
    </row>
    <row r="86" spans="1:21" s="105" customFormat="1" ht="13">
      <c r="A86" s="195" t="s">
        <v>1825</v>
      </c>
      <c r="B86" s="245">
        <f t="shared" si="22"/>
        <v>950000</v>
      </c>
      <c r="C86" s="873">
        <v>950000</v>
      </c>
      <c r="D86" s="873"/>
      <c r="E86" s="873">
        <f>C86</f>
        <v>950000</v>
      </c>
      <c r="F86" s="873"/>
      <c r="G86" s="873"/>
      <c r="H86" s="873"/>
      <c r="I86" s="873"/>
      <c r="J86" s="873"/>
      <c r="K86" s="873"/>
      <c r="L86" s="873"/>
      <c r="M86" s="873"/>
      <c r="N86" s="873"/>
      <c r="O86" s="873"/>
      <c r="P86" s="873"/>
      <c r="Q86" s="873"/>
      <c r="R86" s="416">
        <f t="shared" si="23"/>
        <v>950000</v>
      </c>
      <c r="S86" s="873">
        <f t="shared" si="24"/>
        <v>950000</v>
      </c>
      <c r="T86" s="873"/>
      <c r="U86" s="1205"/>
    </row>
    <row r="87" spans="1:21" s="105" customFormat="1" ht="13">
      <c r="A87" s="195" t="s">
        <v>1826</v>
      </c>
      <c r="B87" s="245">
        <f t="shared" si="22"/>
        <v>0</v>
      </c>
      <c r="C87" s="873"/>
      <c r="D87" s="873"/>
      <c r="E87" s="873"/>
      <c r="F87" s="873"/>
      <c r="G87" s="873"/>
      <c r="H87" s="873"/>
      <c r="I87" s="873"/>
      <c r="J87" s="873"/>
      <c r="K87" s="873"/>
      <c r="L87" s="873"/>
      <c r="M87" s="873"/>
      <c r="N87" s="873"/>
      <c r="O87" s="873"/>
      <c r="P87" s="873"/>
      <c r="Q87" s="873"/>
      <c r="R87" s="416">
        <f t="shared" si="23"/>
        <v>0</v>
      </c>
      <c r="S87" s="873"/>
      <c r="T87" s="873"/>
      <c r="U87" s="1205"/>
    </row>
    <row r="88" spans="1:21" s="105" customFormat="1" ht="13">
      <c r="A88" s="195" t="s">
        <v>1827</v>
      </c>
      <c r="B88" s="245">
        <f t="shared" si="22"/>
        <v>150000</v>
      </c>
      <c r="C88" s="873">
        <v>150000</v>
      </c>
      <c r="D88" s="873"/>
      <c r="E88" s="873">
        <f>C88</f>
        <v>150000</v>
      </c>
      <c r="F88" s="873"/>
      <c r="G88" s="873"/>
      <c r="H88" s="873"/>
      <c r="I88" s="873"/>
      <c r="J88" s="873"/>
      <c r="K88" s="873"/>
      <c r="L88" s="873"/>
      <c r="M88" s="873"/>
      <c r="N88" s="873"/>
      <c r="O88" s="873"/>
      <c r="P88" s="873"/>
      <c r="Q88" s="873"/>
      <c r="R88" s="416">
        <f t="shared" si="23"/>
        <v>150000</v>
      </c>
      <c r="S88" s="1206"/>
      <c r="T88" s="1206"/>
      <c r="U88" s="1205"/>
    </row>
    <row r="89" spans="1:21" s="105" customFormat="1" ht="13">
      <c r="A89" s="195" t="s">
        <v>1828</v>
      </c>
      <c r="B89" s="245">
        <f t="shared" si="22"/>
        <v>350000</v>
      </c>
      <c r="C89" s="873">
        <v>350000</v>
      </c>
      <c r="D89" s="873"/>
      <c r="E89" s="873">
        <f>C89</f>
        <v>350000</v>
      </c>
      <c r="F89" s="873"/>
      <c r="G89" s="873"/>
      <c r="H89" s="873"/>
      <c r="I89" s="873"/>
      <c r="J89" s="873"/>
      <c r="K89" s="873"/>
      <c r="L89" s="873"/>
      <c r="M89" s="873"/>
      <c r="N89" s="873"/>
      <c r="O89" s="873"/>
      <c r="P89" s="873"/>
      <c r="Q89" s="873"/>
      <c r="R89" s="416">
        <f t="shared" si="23"/>
        <v>350000</v>
      </c>
      <c r="S89" s="873">
        <f t="shared" ref="S89:S93" si="25">R89</f>
        <v>350000</v>
      </c>
      <c r="T89" s="873"/>
      <c r="U89" s="1205"/>
    </row>
    <row r="90" spans="1:21" s="105" customFormat="1" ht="13">
      <c r="A90" s="195" t="s">
        <v>1829</v>
      </c>
      <c r="B90" s="245">
        <f t="shared" si="22"/>
        <v>0</v>
      </c>
      <c r="C90" s="873"/>
      <c r="D90" s="873"/>
      <c r="E90" s="873"/>
      <c r="F90" s="873"/>
      <c r="G90" s="873"/>
      <c r="H90" s="873"/>
      <c r="I90" s="873"/>
      <c r="J90" s="873"/>
      <c r="K90" s="873"/>
      <c r="L90" s="873"/>
      <c r="M90" s="873"/>
      <c r="N90" s="873"/>
      <c r="O90" s="873"/>
      <c r="P90" s="873"/>
      <c r="Q90" s="873"/>
      <c r="R90" s="416">
        <f t="shared" si="23"/>
        <v>0</v>
      </c>
      <c r="S90" s="873"/>
      <c r="T90" s="873"/>
      <c r="U90" s="1205"/>
    </row>
    <row r="91" spans="1:21" s="105" customFormat="1" ht="13">
      <c r="A91" s="195" t="s">
        <v>1830</v>
      </c>
      <c r="B91" s="245">
        <f t="shared" si="22"/>
        <v>20000</v>
      </c>
      <c r="C91" s="873">
        <v>20000</v>
      </c>
      <c r="D91" s="873"/>
      <c r="E91" s="873">
        <f>C91</f>
        <v>20000</v>
      </c>
      <c r="F91" s="873"/>
      <c r="G91" s="873"/>
      <c r="H91" s="873"/>
      <c r="I91" s="873"/>
      <c r="J91" s="873"/>
      <c r="K91" s="873"/>
      <c r="L91" s="873"/>
      <c r="M91" s="873"/>
      <c r="N91" s="873"/>
      <c r="O91" s="873"/>
      <c r="P91" s="873"/>
      <c r="Q91" s="873"/>
      <c r="R91" s="416">
        <f t="shared" si="23"/>
        <v>20000</v>
      </c>
      <c r="S91" s="873">
        <f t="shared" si="25"/>
        <v>20000</v>
      </c>
      <c r="T91" s="873"/>
      <c r="U91" s="1205"/>
    </row>
    <row r="92" spans="1:21" s="105" customFormat="1" ht="13">
      <c r="A92" s="195" t="s">
        <v>1831</v>
      </c>
      <c r="B92" s="245">
        <f t="shared" si="22"/>
        <v>15000</v>
      </c>
      <c r="C92" s="873">
        <v>15000</v>
      </c>
      <c r="D92" s="873"/>
      <c r="E92" s="873">
        <f>C92</f>
        <v>15000</v>
      </c>
      <c r="F92" s="873"/>
      <c r="G92" s="873"/>
      <c r="H92" s="873"/>
      <c r="I92" s="873"/>
      <c r="J92" s="873"/>
      <c r="K92" s="873"/>
      <c r="L92" s="873"/>
      <c r="M92" s="873"/>
      <c r="N92" s="873"/>
      <c r="O92" s="873"/>
      <c r="P92" s="873"/>
      <c r="Q92" s="873"/>
      <c r="R92" s="416">
        <f t="shared" si="23"/>
        <v>15000</v>
      </c>
      <c r="S92" s="873">
        <f t="shared" si="25"/>
        <v>15000</v>
      </c>
      <c r="T92" s="873"/>
      <c r="U92" s="1205"/>
    </row>
    <row r="93" spans="1:21" s="105" customFormat="1" ht="13">
      <c r="A93" s="1038" t="s">
        <v>1832</v>
      </c>
      <c r="B93" s="245">
        <f t="shared" si="22"/>
        <v>1099208</v>
      </c>
      <c r="C93" s="873">
        <v>1099208</v>
      </c>
      <c r="D93" s="873"/>
      <c r="E93" s="873">
        <f>C93</f>
        <v>1099208</v>
      </c>
      <c r="F93" s="873"/>
      <c r="G93" s="873"/>
      <c r="H93" s="873"/>
      <c r="I93" s="873"/>
      <c r="J93" s="873"/>
      <c r="K93" s="873"/>
      <c r="L93" s="873"/>
      <c r="M93" s="873"/>
      <c r="N93" s="873"/>
      <c r="O93" s="873"/>
      <c r="P93" s="873"/>
      <c r="Q93" s="873"/>
      <c r="R93" s="416">
        <f t="shared" si="23"/>
        <v>1099208</v>
      </c>
      <c r="S93" s="873">
        <f t="shared" si="25"/>
        <v>1099208</v>
      </c>
      <c r="T93" s="873"/>
      <c r="U93" s="1205"/>
    </row>
    <row r="94" spans="1:21" s="105" customFormat="1" ht="13">
      <c r="A94" s="1038" t="s">
        <v>1780</v>
      </c>
      <c r="B94" s="245">
        <f t="shared" si="22"/>
        <v>0</v>
      </c>
      <c r="C94" s="873"/>
      <c r="D94" s="873"/>
      <c r="E94" s="873"/>
      <c r="F94" s="873"/>
      <c r="G94" s="873"/>
      <c r="H94" s="873"/>
      <c r="I94" s="873"/>
      <c r="J94" s="873"/>
      <c r="K94" s="873"/>
      <c r="L94" s="873"/>
      <c r="M94" s="873"/>
      <c r="N94" s="873"/>
      <c r="O94" s="873"/>
      <c r="P94" s="873"/>
      <c r="Q94" s="873"/>
      <c r="R94" s="416">
        <f t="shared" si="23"/>
        <v>0</v>
      </c>
      <c r="S94" s="873"/>
      <c r="T94" s="873"/>
      <c r="U94" s="1205"/>
    </row>
    <row r="95" spans="1:21" s="105" customFormat="1" ht="13">
      <c r="A95" s="1038" t="s">
        <v>1780</v>
      </c>
      <c r="B95" s="245">
        <f t="shared" si="22"/>
        <v>0</v>
      </c>
      <c r="C95" s="873"/>
      <c r="D95" s="873"/>
      <c r="E95" s="873"/>
      <c r="F95" s="873"/>
      <c r="G95" s="873"/>
      <c r="H95" s="873"/>
      <c r="I95" s="873"/>
      <c r="J95" s="873"/>
      <c r="K95" s="873"/>
      <c r="L95" s="873"/>
      <c r="M95" s="873"/>
      <c r="N95" s="873"/>
      <c r="O95" s="873"/>
      <c r="P95" s="873"/>
      <c r="Q95" s="873"/>
      <c r="R95" s="416">
        <f t="shared" si="23"/>
        <v>0</v>
      </c>
      <c r="S95" s="873"/>
      <c r="T95" s="873"/>
      <c r="U95" s="1205"/>
    </row>
    <row r="96" spans="1:21" s="105" customFormat="1" ht="13">
      <c r="A96" s="106" t="s">
        <v>1833</v>
      </c>
      <c r="B96" s="245">
        <f>SUM(C96:D96)</f>
        <v>6320724</v>
      </c>
      <c r="C96" s="245">
        <f t="shared" ref="C96:R96" si="26">SUM(C83:C95)</f>
        <v>6320724</v>
      </c>
      <c r="D96" s="245">
        <f t="shared" si="26"/>
        <v>0</v>
      </c>
      <c r="E96" s="245">
        <f t="shared" si="26"/>
        <v>6320724</v>
      </c>
      <c r="F96" s="245">
        <f t="shared" si="26"/>
        <v>0</v>
      </c>
      <c r="G96" s="245">
        <f t="shared" si="26"/>
        <v>0</v>
      </c>
      <c r="H96" s="245">
        <f t="shared" si="26"/>
        <v>0</v>
      </c>
      <c r="I96" s="245">
        <f t="shared" si="26"/>
        <v>0</v>
      </c>
      <c r="J96" s="245">
        <f t="shared" si="26"/>
        <v>0</v>
      </c>
      <c r="K96" s="245">
        <f t="shared" si="26"/>
        <v>0</v>
      </c>
      <c r="L96" s="245">
        <f t="shared" si="26"/>
        <v>0</v>
      </c>
      <c r="M96" s="245">
        <f t="shared" si="26"/>
        <v>0</v>
      </c>
      <c r="N96" s="245">
        <f t="shared" si="26"/>
        <v>0</v>
      </c>
      <c r="O96" s="245">
        <f t="shared" si="26"/>
        <v>0</v>
      </c>
      <c r="P96" s="245">
        <f t="shared" si="26"/>
        <v>0</v>
      </c>
      <c r="Q96" s="245">
        <f t="shared" si="26"/>
        <v>0</v>
      </c>
      <c r="R96" s="245">
        <f t="shared" si="26"/>
        <v>6320724</v>
      </c>
      <c r="S96" s="107">
        <f>SUM(S84:S87,S89:S95)</f>
        <v>6095724</v>
      </c>
      <c r="T96" s="245">
        <f>SUM(T84:T87,T89:T95)</f>
        <v>0</v>
      </c>
      <c r="U96" s="1205"/>
    </row>
    <row r="97" spans="1:21" s="105" customFormat="1" ht="13">
      <c r="A97" s="106" t="s">
        <v>1834</v>
      </c>
      <c r="B97" s="245">
        <f>SUM(C97:D97)</f>
        <v>143608396</v>
      </c>
      <c r="C97" s="245">
        <f t="shared" ref="C97:R97" si="27">SUM(C63+C70+C77+C81+C96)</f>
        <v>143608396</v>
      </c>
      <c r="D97" s="245">
        <f t="shared" si="27"/>
        <v>0</v>
      </c>
      <c r="E97" s="245">
        <f t="shared" si="27"/>
        <v>68417973</v>
      </c>
      <c r="F97" s="245">
        <f t="shared" si="27"/>
        <v>69190423</v>
      </c>
      <c r="G97" s="245">
        <f t="shared" si="27"/>
        <v>6000000</v>
      </c>
      <c r="H97" s="245">
        <f t="shared" si="27"/>
        <v>0</v>
      </c>
      <c r="I97" s="245">
        <f t="shared" si="27"/>
        <v>0</v>
      </c>
      <c r="J97" s="245">
        <f t="shared" si="27"/>
        <v>0</v>
      </c>
      <c r="K97" s="245">
        <f t="shared" si="27"/>
        <v>0</v>
      </c>
      <c r="L97" s="245">
        <f t="shared" si="27"/>
        <v>0</v>
      </c>
      <c r="M97" s="245">
        <f t="shared" si="27"/>
        <v>0</v>
      </c>
      <c r="N97" s="245">
        <f t="shared" si="27"/>
        <v>0</v>
      </c>
      <c r="O97" s="245">
        <f t="shared" si="27"/>
        <v>0</v>
      </c>
      <c r="P97" s="245">
        <f t="shared" si="27"/>
        <v>0</v>
      </c>
      <c r="Q97" s="245">
        <f t="shared" si="27"/>
        <v>0</v>
      </c>
      <c r="R97" s="245">
        <f t="shared" si="27"/>
        <v>143608396</v>
      </c>
      <c r="S97" s="245">
        <f>SUM(S63+S70+S81+S96)</f>
        <v>128449796</v>
      </c>
      <c r="T97" s="245">
        <f>SUM(T63+T70+T81+T96)</f>
        <v>0</v>
      </c>
      <c r="U97" s="1205"/>
    </row>
    <row r="98" spans="1:21" s="105" customFormat="1" ht="13">
      <c r="A98" s="104" t="s">
        <v>1835</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1836</v>
      </c>
      <c r="B99" s="245">
        <f>SUM(C99+D99)</f>
        <v>19250000</v>
      </c>
      <c r="C99" s="873">
        <v>19250000</v>
      </c>
      <c r="D99" s="873"/>
      <c r="E99" s="873">
        <f>C99-H99</f>
        <v>705531</v>
      </c>
      <c r="F99" s="873"/>
      <c r="G99" s="873"/>
      <c r="H99" s="873">
        <v>18544469</v>
      </c>
      <c r="I99" s="873"/>
      <c r="J99" s="873"/>
      <c r="K99" s="873"/>
      <c r="L99" s="873"/>
      <c r="M99" s="873"/>
      <c r="N99" s="873"/>
      <c r="O99" s="873"/>
      <c r="P99" s="873"/>
      <c r="Q99" s="873"/>
      <c r="R99" s="416">
        <f>SUM(E99:Q99)</f>
        <v>19250000</v>
      </c>
      <c r="S99" s="873">
        <f>R99</f>
        <v>19250000</v>
      </c>
      <c r="T99" s="873"/>
      <c r="U99" s="1205"/>
    </row>
    <row r="100" spans="1:21" s="105" customFormat="1" ht="13">
      <c r="A100" s="195" t="s">
        <v>1837</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1838</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1839</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1780</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1840</v>
      </c>
      <c r="B104" s="245">
        <f>SUM(C104:D104)</f>
        <v>19250000</v>
      </c>
      <c r="C104" s="245">
        <f>SUM(C99:C103)</f>
        <v>19250000</v>
      </c>
      <c r="D104" s="245">
        <f t="shared" ref="D104:T104" si="28">SUM(D99:D103)</f>
        <v>0</v>
      </c>
      <c r="E104" s="245">
        <f t="shared" si="28"/>
        <v>705531</v>
      </c>
      <c r="F104" s="245">
        <f t="shared" si="28"/>
        <v>0</v>
      </c>
      <c r="G104" s="245">
        <f t="shared" si="28"/>
        <v>0</v>
      </c>
      <c r="H104" s="245">
        <f t="shared" si="28"/>
        <v>18544469</v>
      </c>
      <c r="I104" s="245">
        <f t="shared" si="28"/>
        <v>0</v>
      </c>
      <c r="J104" s="245">
        <f t="shared" si="28"/>
        <v>0</v>
      </c>
      <c r="K104" s="245">
        <f t="shared" si="28"/>
        <v>0</v>
      </c>
      <c r="L104" s="245">
        <f t="shared" si="28"/>
        <v>0</v>
      </c>
      <c r="M104" s="245">
        <f t="shared" si="28"/>
        <v>0</v>
      </c>
      <c r="N104" s="245">
        <f t="shared" si="28"/>
        <v>0</v>
      </c>
      <c r="O104" s="245">
        <f t="shared" si="28"/>
        <v>0</v>
      </c>
      <c r="P104" s="245">
        <f t="shared" si="28"/>
        <v>0</v>
      </c>
      <c r="Q104" s="245">
        <f t="shared" si="28"/>
        <v>0</v>
      </c>
      <c r="R104" s="245">
        <f t="shared" si="28"/>
        <v>19250000</v>
      </c>
      <c r="S104" s="107">
        <f t="shared" si="28"/>
        <v>19250000</v>
      </c>
      <c r="T104" s="107">
        <f t="shared" si="28"/>
        <v>0</v>
      </c>
      <c r="U104" s="1205"/>
    </row>
    <row r="105" spans="1:21" s="105" customFormat="1" ht="13">
      <c r="A105" s="106" t="s">
        <v>1841</v>
      </c>
      <c r="B105" s="107">
        <f>SUM(C105:D105)</f>
        <v>162858396</v>
      </c>
      <c r="C105" s="107">
        <f t="shared" ref="C105:R105" si="29">SUM(C97+C104)</f>
        <v>162858396</v>
      </c>
      <c r="D105" s="107">
        <f t="shared" si="29"/>
        <v>0</v>
      </c>
      <c r="E105" s="107">
        <f t="shared" si="29"/>
        <v>69123504</v>
      </c>
      <c r="F105" s="107">
        <f t="shared" si="29"/>
        <v>69190423</v>
      </c>
      <c r="G105" s="107">
        <f t="shared" si="29"/>
        <v>6000000</v>
      </c>
      <c r="H105" s="107">
        <f t="shared" si="29"/>
        <v>18544469</v>
      </c>
      <c r="I105" s="107">
        <f t="shared" si="29"/>
        <v>0</v>
      </c>
      <c r="J105" s="107">
        <f t="shared" si="29"/>
        <v>0</v>
      </c>
      <c r="K105" s="107">
        <f t="shared" si="29"/>
        <v>0</v>
      </c>
      <c r="L105" s="107">
        <f t="shared" si="29"/>
        <v>0</v>
      </c>
      <c r="M105" s="107">
        <f t="shared" si="29"/>
        <v>0</v>
      </c>
      <c r="N105" s="107">
        <f t="shared" si="29"/>
        <v>0</v>
      </c>
      <c r="O105" s="107">
        <f t="shared" si="29"/>
        <v>0</v>
      </c>
      <c r="P105" s="107">
        <f t="shared" si="29"/>
        <v>0</v>
      </c>
      <c r="Q105" s="107">
        <f t="shared" si="29"/>
        <v>0</v>
      </c>
      <c r="R105" s="245">
        <f t="shared" si="29"/>
        <v>162858396</v>
      </c>
      <c r="S105" s="107">
        <f>S97+S104</f>
        <v>147699796</v>
      </c>
      <c r="T105" s="107">
        <f>T97+T104</f>
        <v>0</v>
      </c>
      <c r="U105" s="1205"/>
    </row>
    <row r="106" spans="1:21">
      <c r="A106" s="414" t="s">
        <v>1842</v>
      </c>
      <c r="B106" s="1213"/>
      <c r="C106" s="1213"/>
      <c r="D106" s="1213"/>
      <c r="E106" s="229"/>
      <c r="F106" s="229"/>
      <c r="G106" s="229"/>
      <c r="H106" s="230" t="s">
        <v>1843</v>
      </c>
      <c r="I106" s="230"/>
      <c r="J106" s="230"/>
      <c r="K106" s="229"/>
      <c r="L106" s="229"/>
      <c r="M106" s="229"/>
      <c r="N106" s="229"/>
      <c r="O106" s="229"/>
      <c r="P106" s="229"/>
      <c r="Q106" s="229"/>
      <c r="R106" s="113" t="s">
        <v>1844</v>
      </c>
      <c r="S106" s="873"/>
      <c r="T106" s="873"/>
      <c r="U106" s="231"/>
    </row>
    <row r="107" spans="1:21">
      <c r="A107" s="1213" t="s">
        <v>1845</v>
      </c>
      <c r="B107" s="229"/>
      <c r="C107" s="1213"/>
      <c r="D107" s="1213"/>
      <c r="E107" s="229"/>
      <c r="F107" s="229"/>
      <c r="G107" s="229"/>
      <c r="H107" s="229"/>
      <c r="I107" s="115" t="s">
        <v>1846</v>
      </c>
      <c r="J107" s="115"/>
      <c r="K107" s="229"/>
      <c r="L107" s="229"/>
      <c r="M107" s="229"/>
      <c r="N107" s="229"/>
      <c r="O107" s="229"/>
      <c r="P107" s="229"/>
      <c r="Q107" s="229"/>
      <c r="R107" s="113" t="s">
        <v>1847</v>
      </c>
      <c r="S107" s="107">
        <f>S105+S106</f>
        <v>147699796</v>
      </c>
      <c r="T107" s="107">
        <f>T105+T106</f>
        <v>0</v>
      </c>
      <c r="U107" s="231"/>
    </row>
    <row r="108" spans="1:21" s="129" customFormat="1">
      <c r="A108" s="115" t="s">
        <v>1848</v>
      </c>
      <c r="B108" s="1213"/>
      <c r="C108" s="1213"/>
      <c r="D108" s="1213"/>
      <c r="E108" s="1214">
        <f>Application!AO640</f>
        <v>69123504</v>
      </c>
      <c r="F108" s="1214">
        <f>Application!AO627</f>
        <v>69190423</v>
      </c>
      <c r="G108" s="1214">
        <f>Application!AO628</f>
        <v>6000000</v>
      </c>
      <c r="H108" s="1214">
        <f>Application!AO629</f>
        <v>18544469</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1849</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1850</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1851</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1852</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1853</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1854</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1855</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1856</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1857</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1858</v>
      </c>
      <c r="B122" s="229"/>
      <c r="C122" s="229"/>
      <c r="D122" s="1795" t="s">
        <v>1859</v>
      </c>
      <c r="E122" s="1795"/>
      <c r="F122" s="1795"/>
      <c r="G122" s="229"/>
      <c r="H122" s="229"/>
      <c r="I122" s="229"/>
      <c r="J122" s="229"/>
      <c r="K122" s="229"/>
      <c r="L122" s="229"/>
      <c r="M122" s="229"/>
      <c r="N122" s="229"/>
      <c r="O122" s="229"/>
      <c r="P122" s="229"/>
      <c r="Q122" s="229"/>
      <c r="R122" s="229"/>
      <c r="S122" s="229"/>
      <c r="T122" s="229"/>
      <c r="U122" s="231"/>
    </row>
    <row r="123" spans="1:21" ht="13">
      <c r="A123" s="229" t="s">
        <v>1860</v>
      </c>
      <c r="B123" s="238"/>
      <c r="C123" s="229"/>
      <c r="D123" s="1797" t="s">
        <v>1861</v>
      </c>
      <c r="E123" s="1723"/>
      <c r="F123" s="1723"/>
      <c r="G123" s="1723"/>
      <c r="H123" s="1723"/>
      <c r="I123" s="1723"/>
      <c r="J123" s="1723"/>
      <c r="K123" s="1723"/>
      <c r="L123" s="1723"/>
      <c r="M123" s="1723"/>
      <c r="N123" s="1723"/>
      <c r="O123" s="1723"/>
      <c r="P123" s="1723"/>
      <c r="Q123" s="1723"/>
      <c r="R123" s="1723"/>
      <c r="S123" s="1723"/>
      <c r="T123" s="229"/>
      <c r="U123" s="231"/>
    </row>
    <row r="124" spans="1:21" ht="14">
      <c r="A124" s="357" t="s">
        <v>1862</v>
      </c>
      <c r="B124" s="238"/>
      <c r="C124" s="357"/>
      <c r="D124" s="1723"/>
      <c r="E124" s="1723"/>
      <c r="F124" s="1723"/>
      <c r="G124" s="1723"/>
      <c r="H124" s="1723"/>
      <c r="I124" s="1723"/>
      <c r="J124" s="1723"/>
      <c r="K124" s="1723"/>
      <c r="L124" s="1723"/>
      <c r="M124" s="1723"/>
      <c r="N124" s="1723"/>
      <c r="O124" s="1723"/>
      <c r="P124" s="1723"/>
      <c r="Q124" s="1723"/>
      <c r="R124" s="1723"/>
      <c r="S124" s="1723"/>
      <c r="T124" s="229"/>
      <c r="U124" s="231"/>
    </row>
    <row r="125" spans="1:21" ht="14">
      <c r="A125" s="357" t="s">
        <v>1863</v>
      </c>
      <c r="B125" s="238"/>
      <c r="C125" s="357"/>
      <c r="D125" s="1723"/>
      <c r="E125" s="1723"/>
      <c r="F125" s="1723"/>
      <c r="G125" s="1723"/>
      <c r="H125" s="1723"/>
      <c r="I125" s="1723"/>
      <c r="J125" s="1723"/>
      <c r="K125" s="1723"/>
      <c r="L125" s="1723"/>
      <c r="M125" s="1723"/>
      <c r="N125" s="1723"/>
      <c r="O125" s="1723"/>
      <c r="P125" s="1723"/>
      <c r="Q125" s="1723"/>
      <c r="R125" s="1723"/>
      <c r="S125" s="1723"/>
      <c r="T125" s="229"/>
      <c r="U125" s="231"/>
    </row>
    <row r="126" spans="1:21" ht="14">
      <c r="A126" s="357" t="s">
        <v>1864</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1865</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1866</v>
      </c>
      <c r="B128" s="238"/>
      <c r="C128" s="357"/>
      <c r="D128" s="1792"/>
      <c r="E128" s="1792"/>
      <c r="F128" s="1792"/>
      <c r="G128" s="1792"/>
      <c r="H128" s="1792"/>
      <c r="I128" s="357"/>
      <c r="J128" s="1793"/>
      <c r="K128" s="1793"/>
      <c r="L128" s="357"/>
      <c r="M128" s="357"/>
      <c r="N128" s="357"/>
      <c r="O128" s="357"/>
      <c r="P128" s="357"/>
      <c r="Q128" s="357"/>
      <c r="R128" s="357"/>
      <c r="S128" s="357"/>
      <c r="T128" s="229"/>
      <c r="U128" s="231"/>
    </row>
    <row r="129" spans="1:21" ht="14">
      <c r="A129" s="357" t="s">
        <v>1055</v>
      </c>
      <c r="B129" s="238"/>
      <c r="C129" s="357"/>
      <c r="D129" s="1794" t="s">
        <v>1867</v>
      </c>
      <c r="E129" s="1794"/>
      <c r="F129" s="1794"/>
      <c r="G129" s="1794"/>
      <c r="H129" s="1794"/>
      <c r="I129" s="357"/>
      <c r="J129" s="357" t="s">
        <v>1868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1869</v>
      </c>
      <c r="B131" s="239">
        <f>SUM(B123:B129)</f>
        <v>0</v>
      </c>
      <c r="C131" s="357"/>
      <c r="D131" s="1749"/>
      <c r="E131" s="1749"/>
      <c r="F131" s="1749"/>
      <c r="G131" s="1749"/>
      <c r="H131" s="1749"/>
      <c r="I131" s="357"/>
      <c r="J131" s="1749"/>
      <c r="K131" s="1749"/>
      <c r="L131" s="1749"/>
      <c r="M131" s="1749"/>
      <c r="N131" s="357"/>
      <c r="O131" s="357"/>
      <c r="P131" s="357"/>
      <c r="Q131" s="357"/>
      <c r="R131" s="357"/>
      <c r="S131" s="357"/>
      <c r="T131" s="229"/>
      <c r="U131" s="231"/>
    </row>
    <row r="132" spans="1:21" ht="12" customHeight="1">
      <c r="A132" s="1216"/>
      <c r="B132" s="357"/>
      <c r="C132" s="357"/>
      <c r="D132" s="1254" t="s">
        <v>1870</v>
      </c>
      <c r="E132" s="1254"/>
      <c r="F132" s="1254"/>
      <c r="G132" s="1254"/>
      <c r="H132" s="1254"/>
      <c r="I132" s="357"/>
      <c r="J132" s="1254" t="s">
        <v>1871</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1872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1873</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8"/>
      <c r="B138" s="1792"/>
      <c r="C138" s="1792"/>
      <c r="D138" s="233"/>
      <c r="E138" s="1793"/>
      <c r="F138" s="1793"/>
      <c r="G138" s="357"/>
      <c r="H138" s="357"/>
      <c r="I138" s="357"/>
      <c r="J138" s="357"/>
      <c r="K138" s="357"/>
      <c r="L138" s="357"/>
      <c r="M138" s="357"/>
      <c r="N138" s="357"/>
      <c r="O138" s="357"/>
      <c r="P138" s="357"/>
      <c r="Q138" s="357"/>
      <c r="R138" s="357"/>
      <c r="S138" s="357"/>
      <c r="T138" s="235"/>
      <c r="U138" s="236"/>
    </row>
    <row r="139" spans="1:21" ht="14">
      <c r="A139" s="1796" t="s">
        <v>1874</v>
      </c>
      <c r="B139" s="1796"/>
      <c r="C139" s="1796"/>
      <c r="D139" s="233"/>
      <c r="E139" s="357" t="s">
        <v>1868</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107" activeCellId="1" sqref="C4 F107"/>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1" t="s">
        <v>1875</v>
      </c>
      <c r="B1" s="1802"/>
      <c r="C1" s="1802"/>
      <c r="D1" s="1802"/>
      <c r="E1" s="1802"/>
      <c r="F1" s="1802"/>
      <c r="G1" s="1802"/>
      <c r="H1" s="1802"/>
      <c r="I1" s="1802"/>
      <c r="J1" s="1803"/>
      <c r="K1" s="258"/>
    </row>
    <row r="2" spans="1:11" s="304" customFormat="1" ht="78">
      <c r="A2" s="301"/>
      <c r="B2" s="302" t="s">
        <v>1876</v>
      </c>
      <c r="C2" s="302" t="s">
        <v>1877</v>
      </c>
      <c r="D2" s="302" t="s">
        <v>1878</v>
      </c>
      <c r="E2" s="302" t="s">
        <v>1879</v>
      </c>
      <c r="F2" s="302" t="s">
        <v>1880</v>
      </c>
      <c r="G2" s="302" t="s">
        <v>1881</v>
      </c>
      <c r="H2" s="302" t="s">
        <v>1882</v>
      </c>
      <c r="I2" s="302" t="s">
        <v>1883</v>
      </c>
      <c r="J2" s="302" t="s">
        <v>1884</v>
      </c>
      <c r="K2" s="303"/>
    </row>
    <row r="3" spans="1:11" s="263" customFormat="1" ht="13">
      <c r="A3" s="260" t="s">
        <v>1759</v>
      </c>
      <c r="B3" s="261"/>
      <c r="C3" s="261"/>
      <c r="D3" s="261"/>
      <c r="E3" s="261"/>
      <c r="F3" s="261"/>
      <c r="G3" s="261"/>
      <c r="H3" s="261"/>
      <c r="I3" s="261"/>
      <c r="J3" s="261"/>
      <c r="K3" s="262"/>
    </row>
    <row r="4" spans="1:11" s="263" customFormat="1" ht="13">
      <c r="A4" s="267" t="s">
        <v>1760</v>
      </c>
      <c r="B4" s="264">
        <f>'Sources and Uses Budget'!C4</f>
        <v>7417500</v>
      </c>
      <c r="C4" s="265">
        <f>B4</f>
        <v>7417500</v>
      </c>
      <c r="D4" s="265"/>
      <c r="E4" s="266"/>
      <c r="F4" s="266"/>
      <c r="G4" s="266"/>
      <c r="H4" s="266"/>
      <c r="I4" s="266"/>
      <c r="J4" s="266"/>
      <c r="K4" s="262"/>
    </row>
    <row r="5" spans="1:11" s="263" customFormat="1" ht="13">
      <c r="A5" s="267" t="s">
        <v>691</v>
      </c>
      <c r="B5" s="264">
        <f>'Sources and Uses Budget'!C5</f>
        <v>0</v>
      </c>
      <c r="C5" s="265"/>
      <c r="D5" s="265"/>
      <c r="E5" s="266"/>
      <c r="F5" s="266"/>
      <c r="G5" s="266"/>
      <c r="H5" s="266"/>
      <c r="I5" s="266"/>
      <c r="J5" s="266"/>
      <c r="K5" s="262"/>
    </row>
    <row r="6" spans="1:11" s="263" customFormat="1" ht="13">
      <c r="A6" s="267" t="s">
        <v>1761</v>
      </c>
      <c r="B6" s="264">
        <f>'Sources and Uses Budget'!C6</f>
        <v>20500</v>
      </c>
      <c r="C6" s="265">
        <f>B6</f>
        <v>20500</v>
      </c>
      <c r="D6" s="265"/>
      <c r="E6" s="266"/>
      <c r="F6" s="266"/>
      <c r="G6" s="266"/>
      <c r="H6" s="266"/>
      <c r="I6" s="266"/>
      <c r="J6" s="266"/>
      <c r="K6" s="262"/>
    </row>
    <row r="7" spans="1:11" s="263" customFormat="1" ht="13">
      <c r="A7" s="267" t="s">
        <v>1762</v>
      </c>
      <c r="B7" s="264">
        <f>'Sources and Uses Budget'!C7</f>
        <v>0</v>
      </c>
      <c r="C7" s="265"/>
      <c r="D7" s="265"/>
      <c r="E7" s="266"/>
      <c r="F7" s="266"/>
      <c r="G7" s="266"/>
      <c r="H7" s="266"/>
      <c r="I7" s="266"/>
      <c r="J7" s="266"/>
      <c r="K7" s="262"/>
    </row>
    <row r="8" spans="1:11" s="263" customFormat="1" ht="13">
      <c r="A8" s="268" t="s">
        <v>1763</v>
      </c>
      <c r="B8" s="264">
        <f>'Sources and Uses Budget'!C8</f>
        <v>7438000</v>
      </c>
      <c r="C8" s="264">
        <f>SUM(C4:C7)</f>
        <v>7438000</v>
      </c>
      <c r="D8" s="264">
        <f>SUM(D4:D7)</f>
        <v>0</v>
      </c>
      <c r="E8" s="266"/>
      <c r="F8" s="266"/>
      <c r="G8" s="266"/>
      <c r="H8" s="266"/>
      <c r="I8" s="266"/>
      <c r="J8" s="266"/>
      <c r="K8" s="262"/>
    </row>
    <row r="9" spans="1:11" s="263" customFormat="1" ht="13">
      <c r="A9" s="267" t="s">
        <v>1764</v>
      </c>
      <c r="B9" s="264">
        <f>'Sources and Uses Budget'!C9</f>
        <v>0</v>
      </c>
      <c r="C9" s="265"/>
      <c r="D9" s="265"/>
      <c r="E9" s="266"/>
      <c r="F9" s="266"/>
      <c r="G9" s="266"/>
      <c r="H9" s="264">
        <f>'Sources and Uses Budget'!T9</f>
        <v>0</v>
      </c>
      <c r="I9" s="265"/>
      <c r="J9" s="265"/>
      <c r="K9" s="262"/>
    </row>
    <row r="10" spans="1:11" s="263" customFormat="1" ht="13">
      <c r="A10" s="267" t="s">
        <v>1765</v>
      </c>
      <c r="B10" s="264">
        <f>'Sources and Uses Budget'!C10</f>
        <v>0</v>
      </c>
      <c r="C10" s="265"/>
      <c r="D10" s="265"/>
      <c r="E10" s="264">
        <f>'Sources and Uses Budget'!S10</f>
        <v>0</v>
      </c>
      <c r="F10" s="265"/>
      <c r="G10" s="265"/>
      <c r="H10" s="264">
        <f>'Sources and Uses Budget'!T10</f>
        <v>0</v>
      </c>
      <c r="I10" s="265"/>
      <c r="J10" s="265"/>
      <c r="K10" s="262"/>
    </row>
    <row r="11" spans="1:11" s="263" customFormat="1" ht="13">
      <c r="A11" s="268" t="s">
        <v>1766</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ht="13">
      <c r="A12" s="268" t="s">
        <v>1767</v>
      </c>
      <c r="B12" s="264">
        <f>'Sources and Uses Budget'!C12</f>
        <v>7438000</v>
      </c>
      <c r="C12" s="264">
        <f>SUM(C8+C11)</f>
        <v>7438000</v>
      </c>
      <c r="D12" s="264">
        <f>SUM(D8+D11)</f>
        <v>0</v>
      </c>
      <c r="E12" s="266"/>
      <c r="F12" s="266"/>
      <c r="G12" s="266"/>
      <c r="H12" s="266"/>
      <c r="I12" s="266"/>
      <c r="J12" s="266"/>
      <c r="K12" s="262"/>
    </row>
    <row r="13" spans="1:11" s="263" customFormat="1">
      <c r="A13" s="269" t="s">
        <v>1768</v>
      </c>
      <c r="B13" s="264">
        <f>'Sources and Uses Budget'!C13</f>
        <v>530496</v>
      </c>
      <c r="C13" s="265">
        <f>B13</f>
        <v>530496</v>
      </c>
      <c r="D13" s="265"/>
      <c r="E13" s="264">
        <f>'Sources and Uses Budget'!S13</f>
        <v>300000</v>
      </c>
      <c r="F13" s="265">
        <f>E13</f>
        <v>300000</v>
      </c>
      <c r="G13" s="265"/>
      <c r="H13" s="264">
        <f>'Sources and Uses Budget'!T13</f>
        <v>0</v>
      </c>
      <c r="I13" s="265"/>
      <c r="J13" s="265"/>
      <c r="K13" s="262"/>
    </row>
    <row r="14" spans="1:11" s="263" customFormat="1" ht="26">
      <c r="A14" s="267" t="s">
        <v>1885</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1770</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1771</v>
      </c>
      <c r="B16" s="261"/>
      <c r="C16" s="261"/>
      <c r="D16" s="261"/>
      <c r="E16" s="261"/>
      <c r="F16" s="261"/>
      <c r="G16" s="261"/>
      <c r="H16" s="261"/>
      <c r="I16" s="261"/>
      <c r="J16" s="261"/>
      <c r="K16" s="262"/>
    </row>
    <row r="17" spans="1:11" s="263" customFormat="1" ht="13">
      <c r="A17" s="267" t="s">
        <v>1772</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1773</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1774</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1775</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1776</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1777</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1778</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1779</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1781</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1782</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1783</v>
      </c>
      <c r="B28" s="261"/>
      <c r="C28" s="261"/>
      <c r="D28" s="261"/>
      <c r="E28" s="261"/>
      <c r="F28" s="261"/>
      <c r="G28" s="261"/>
      <c r="H28" s="261"/>
      <c r="I28" s="261"/>
      <c r="J28" s="261"/>
      <c r="K28" s="262"/>
    </row>
    <row r="29" spans="1:11" s="263" customFormat="1" ht="13">
      <c r="A29" s="195" t="s">
        <v>1772</v>
      </c>
      <c r="B29" s="264">
        <f>'Sources and Uses Budget'!C29</f>
        <v>10132000</v>
      </c>
      <c r="C29" s="265">
        <f>B29</f>
        <v>10132000</v>
      </c>
      <c r="D29" s="265"/>
      <c r="E29" s="264">
        <f>'Sources and Uses Budget'!S29</f>
        <v>10132000</v>
      </c>
      <c r="F29" s="265">
        <f>E29</f>
        <v>10132000</v>
      </c>
      <c r="G29" s="265"/>
      <c r="H29" s="264">
        <f>'Sources and Uses Budget'!T29</f>
        <v>0</v>
      </c>
      <c r="I29" s="265"/>
      <c r="J29" s="265"/>
      <c r="K29" s="262"/>
    </row>
    <row r="30" spans="1:11" s="263" customFormat="1" ht="13">
      <c r="A30" s="195" t="s">
        <v>1773</v>
      </c>
      <c r="B30" s="264">
        <f>'Sources and Uses Budget'!C30</f>
        <v>70165473</v>
      </c>
      <c r="C30" s="265">
        <f t="shared" ref="C30:C36" si="0">B30</f>
        <v>70165473</v>
      </c>
      <c r="D30" s="265"/>
      <c r="E30" s="264">
        <f>'Sources and Uses Budget'!S30</f>
        <v>70165473</v>
      </c>
      <c r="F30" s="265">
        <f t="shared" ref="F30:F36" si="1">E30</f>
        <v>70165473</v>
      </c>
      <c r="G30" s="265"/>
      <c r="H30" s="264">
        <f>'Sources and Uses Budget'!T30</f>
        <v>0</v>
      </c>
      <c r="I30" s="265"/>
      <c r="J30" s="265"/>
      <c r="K30" s="262"/>
    </row>
    <row r="31" spans="1:11" s="263" customFormat="1" ht="13">
      <c r="A31" s="195" t="s">
        <v>1774</v>
      </c>
      <c r="B31" s="264">
        <f>'Sources and Uses Budget'!C31</f>
        <v>3250000</v>
      </c>
      <c r="C31" s="265">
        <f t="shared" si="0"/>
        <v>3250000</v>
      </c>
      <c r="D31" s="265"/>
      <c r="E31" s="264">
        <f>'Sources and Uses Budget'!S31</f>
        <v>3250000</v>
      </c>
      <c r="F31" s="265">
        <f t="shared" si="1"/>
        <v>3250000</v>
      </c>
      <c r="G31" s="265"/>
      <c r="H31" s="264">
        <f>'Sources and Uses Budget'!T31</f>
        <v>0</v>
      </c>
      <c r="I31" s="265"/>
      <c r="J31" s="265"/>
      <c r="K31" s="262"/>
    </row>
    <row r="32" spans="1:11" s="263" customFormat="1" ht="13">
      <c r="A32" s="195" t="s">
        <v>1775</v>
      </c>
      <c r="B32" s="264">
        <f>'Sources and Uses Budget'!C32</f>
        <v>2400000</v>
      </c>
      <c r="C32" s="265">
        <f t="shared" si="0"/>
        <v>2400000</v>
      </c>
      <c r="D32" s="265"/>
      <c r="E32" s="264">
        <f>'Sources and Uses Budget'!S32</f>
        <v>2400000</v>
      </c>
      <c r="F32" s="265">
        <f t="shared" si="1"/>
        <v>2400000</v>
      </c>
      <c r="G32" s="265"/>
      <c r="H32" s="264">
        <f>'Sources and Uses Budget'!T32</f>
        <v>0</v>
      </c>
      <c r="I32" s="265"/>
      <c r="J32" s="265"/>
      <c r="K32" s="262"/>
    </row>
    <row r="33" spans="1:11" s="263" customFormat="1" ht="13">
      <c r="A33" s="195" t="s">
        <v>1776</v>
      </c>
      <c r="B33" s="264">
        <f>'Sources and Uses Budget'!C33</f>
        <v>4936920</v>
      </c>
      <c r="C33" s="265">
        <f t="shared" si="0"/>
        <v>4936920</v>
      </c>
      <c r="D33" s="265"/>
      <c r="E33" s="264">
        <f>'Sources and Uses Budget'!S33</f>
        <v>4936920</v>
      </c>
      <c r="F33" s="265">
        <f t="shared" si="1"/>
        <v>4936920</v>
      </c>
      <c r="G33" s="265"/>
      <c r="H33" s="264">
        <f>'Sources and Uses Budget'!T33</f>
        <v>0</v>
      </c>
      <c r="I33" s="265"/>
      <c r="J33" s="265"/>
      <c r="K33" s="262"/>
    </row>
    <row r="34" spans="1:11" s="263" customFormat="1" ht="13">
      <c r="A34" s="195" t="s">
        <v>1777</v>
      </c>
      <c r="B34" s="264">
        <f>'Sources and Uses Budget'!C34</f>
        <v>0</v>
      </c>
      <c r="C34" s="265"/>
      <c r="D34" s="265"/>
      <c r="E34" s="264">
        <f>'Sources and Uses Budget'!S34</f>
        <v>0</v>
      </c>
      <c r="F34" s="265">
        <f t="shared" si="1"/>
        <v>0</v>
      </c>
      <c r="G34" s="265"/>
      <c r="H34" s="264">
        <f>'Sources and Uses Budget'!T34</f>
        <v>0</v>
      </c>
      <c r="I34" s="265"/>
      <c r="J34" s="265"/>
      <c r="K34" s="262"/>
    </row>
    <row r="35" spans="1:11" s="263" customFormat="1" ht="13">
      <c r="A35" s="195" t="s">
        <v>1778</v>
      </c>
      <c r="B35" s="264">
        <f>'Sources and Uses Budget'!C35</f>
        <v>881080</v>
      </c>
      <c r="C35" s="265">
        <f t="shared" si="0"/>
        <v>881080</v>
      </c>
      <c r="D35" s="265"/>
      <c r="E35" s="264">
        <f>'Sources and Uses Budget'!S35</f>
        <v>881080</v>
      </c>
      <c r="F35" s="265">
        <f t="shared" si="1"/>
        <v>881080</v>
      </c>
      <c r="G35" s="265"/>
      <c r="H35" s="264">
        <f>'Sources and Uses Budget'!T35</f>
        <v>0</v>
      </c>
      <c r="I35" s="265"/>
      <c r="J35" s="265"/>
      <c r="K35" s="262"/>
    </row>
    <row r="36" spans="1:11" s="263" customFormat="1" ht="13">
      <c r="A36" s="409" t="s">
        <v>1779</v>
      </c>
      <c r="B36" s="264">
        <f>'Sources and Uses Budget'!C36</f>
        <v>450000</v>
      </c>
      <c r="C36" s="265">
        <f t="shared" si="0"/>
        <v>450000</v>
      </c>
      <c r="D36" s="265"/>
      <c r="E36" s="264">
        <f>'Sources and Uses Budget'!S36</f>
        <v>450000</v>
      </c>
      <c r="F36" s="265">
        <f t="shared" si="1"/>
        <v>450000</v>
      </c>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1784</v>
      </c>
      <c r="B38" s="264">
        <f>'Sources and Uses Budget'!C38</f>
        <v>92215473</v>
      </c>
      <c r="C38" s="264">
        <f>SUM(C29:C37)</f>
        <v>92215473</v>
      </c>
      <c r="D38" s="264">
        <f>SUM(D29:D37)</f>
        <v>0</v>
      </c>
      <c r="E38" s="264">
        <f>'Sources and Uses Budget'!S38</f>
        <v>92215473</v>
      </c>
      <c r="F38" s="270">
        <f>SUM(F29:F37)</f>
        <v>92215473</v>
      </c>
      <c r="G38" s="270">
        <f>SUM(G29:G37)</f>
        <v>0</v>
      </c>
      <c r="H38" s="264">
        <f>'Sources and Uses Budget'!T38</f>
        <v>0</v>
      </c>
      <c r="I38" s="270">
        <f>SUM(I29:I37)</f>
        <v>0</v>
      </c>
      <c r="J38" s="270">
        <f>SUM(J29:J37)</f>
        <v>0</v>
      </c>
      <c r="K38" s="262"/>
    </row>
    <row r="39" spans="1:11" s="263" customFormat="1" ht="13">
      <c r="A39" s="260" t="s">
        <v>1785</v>
      </c>
      <c r="B39" s="261"/>
      <c r="C39" s="261"/>
      <c r="D39" s="261"/>
      <c r="E39" s="261"/>
      <c r="F39" s="261"/>
      <c r="G39" s="261"/>
      <c r="H39" s="261"/>
      <c r="I39" s="261"/>
      <c r="J39" s="261"/>
      <c r="K39" s="262"/>
    </row>
    <row r="40" spans="1:11" s="263" customFormat="1" ht="13">
      <c r="A40" s="267" t="s">
        <v>1786</v>
      </c>
      <c r="B40" s="264">
        <f>'Sources and Uses Budget'!C40</f>
        <v>3046590</v>
      </c>
      <c r="C40" s="265">
        <f t="shared" ref="C40:C41" si="2">B40</f>
        <v>3046590</v>
      </c>
      <c r="D40" s="265"/>
      <c r="E40" s="264">
        <f>'Sources and Uses Budget'!S40</f>
        <v>3046590</v>
      </c>
      <c r="F40" s="265">
        <f>E40</f>
        <v>3046590</v>
      </c>
      <c r="G40" s="265"/>
      <c r="H40" s="264">
        <f>'Sources and Uses Budget'!T40</f>
        <v>0</v>
      </c>
      <c r="I40" s="265"/>
      <c r="J40" s="265"/>
      <c r="K40" s="262"/>
    </row>
    <row r="41" spans="1:11" s="263" customFormat="1" ht="13">
      <c r="A41" s="267" t="s">
        <v>1787</v>
      </c>
      <c r="B41" s="264">
        <f>'Sources and Uses Budget'!C41</f>
        <v>750000</v>
      </c>
      <c r="C41" s="265">
        <f t="shared" si="2"/>
        <v>750000</v>
      </c>
      <c r="D41" s="265"/>
      <c r="E41" s="264">
        <f>'Sources and Uses Budget'!S41</f>
        <v>750000</v>
      </c>
      <c r="F41" s="265">
        <f>E41</f>
        <v>750000</v>
      </c>
      <c r="G41" s="265"/>
      <c r="H41" s="264">
        <f>'Sources and Uses Budget'!T41</f>
        <v>0</v>
      </c>
      <c r="I41" s="265"/>
      <c r="J41" s="265"/>
      <c r="K41" s="262"/>
    </row>
    <row r="42" spans="1:11" s="263" customFormat="1" ht="13">
      <c r="A42" s="268" t="s">
        <v>1788</v>
      </c>
      <c r="B42" s="264">
        <f>'Sources and Uses Budget'!C42</f>
        <v>3796590</v>
      </c>
      <c r="C42" s="264">
        <f>SUM(C39:C41)</f>
        <v>3796590</v>
      </c>
      <c r="D42" s="264">
        <f>SUM(D39:D41)</f>
        <v>0</v>
      </c>
      <c r="E42" s="264">
        <f>'Sources and Uses Budget'!S42</f>
        <v>3796590</v>
      </c>
      <c r="F42" s="270">
        <f>SUM(F40:F41)</f>
        <v>3796590</v>
      </c>
      <c r="G42" s="270">
        <f>SUM(G40:G41)</f>
        <v>0</v>
      </c>
      <c r="H42" s="264">
        <f>'Sources and Uses Budget'!T42</f>
        <v>0</v>
      </c>
      <c r="I42" s="270">
        <f>SUM(I40:I41)</f>
        <v>0</v>
      </c>
      <c r="J42" s="270">
        <f>SUM(J40:J41)</f>
        <v>0</v>
      </c>
      <c r="K42" s="262"/>
    </row>
    <row r="43" spans="1:11" s="263" customFormat="1" ht="13">
      <c r="A43" s="268" t="s">
        <v>1789</v>
      </c>
      <c r="B43" s="264">
        <f>'Sources and Uses Budget'!C43</f>
        <v>1712100</v>
      </c>
      <c r="C43" s="265">
        <f t="shared" ref="C43" si="3">B43</f>
        <v>1712100</v>
      </c>
      <c r="D43" s="265"/>
      <c r="E43" s="264">
        <f>'Sources and Uses Budget'!S43</f>
        <v>1712100</v>
      </c>
      <c r="F43" s="265">
        <f>E43</f>
        <v>1712100</v>
      </c>
      <c r="G43" s="265"/>
      <c r="H43" s="264">
        <f>'Sources and Uses Budget'!T43</f>
        <v>0</v>
      </c>
      <c r="I43" s="265"/>
      <c r="J43" s="265"/>
      <c r="K43" s="262"/>
    </row>
    <row r="44" spans="1:11" s="263" customFormat="1" ht="13">
      <c r="A44" s="260" t="s">
        <v>1790</v>
      </c>
      <c r="B44" s="261"/>
      <c r="C44" s="261"/>
      <c r="D44" s="261"/>
      <c r="E44" s="261"/>
      <c r="F44" s="261"/>
      <c r="G44" s="261"/>
      <c r="H44" s="261"/>
      <c r="I44" s="261"/>
      <c r="J44" s="261"/>
      <c r="K44" s="262"/>
    </row>
    <row r="45" spans="1:11" s="263" customFormat="1" ht="13">
      <c r="A45" s="267" t="s">
        <v>1791</v>
      </c>
      <c r="B45" s="264">
        <f>'Sources and Uses Budget'!C45</f>
        <v>14000000</v>
      </c>
      <c r="C45" s="265">
        <f t="shared" ref="C45:C46" si="4">B45</f>
        <v>14000000</v>
      </c>
      <c r="D45" s="265"/>
      <c r="E45" s="264">
        <f>'Sources and Uses Budget'!S45</f>
        <v>10421146</v>
      </c>
      <c r="F45" s="265">
        <f>E45</f>
        <v>10421146</v>
      </c>
      <c r="G45" s="265"/>
      <c r="H45" s="264">
        <f>'Sources and Uses Budget'!T45</f>
        <v>0</v>
      </c>
      <c r="I45" s="265"/>
      <c r="J45" s="265"/>
      <c r="K45" s="262"/>
    </row>
    <row r="46" spans="1:11" s="263" customFormat="1" ht="13">
      <c r="A46" s="267" t="s">
        <v>1792</v>
      </c>
      <c r="B46" s="264">
        <f>'Sources and Uses Budget'!C46</f>
        <v>1060000</v>
      </c>
      <c r="C46" s="265">
        <f t="shared" si="4"/>
        <v>1060000</v>
      </c>
      <c r="D46" s="265"/>
      <c r="E46" s="264">
        <f>'Sources and Uses Budget'!S46</f>
        <v>1060000</v>
      </c>
      <c r="F46" s="265">
        <f t="shared" ref="F46:F53" si="5">E46</f>
        <v>1060000</v>
      </c>
      <c r="G46" s="265"/>
      <c r="H46" s="264">
        <f>'Sources and Uses Budget'!T46</f>
        <v>0</v>
      </c>
      <c r="I46" s="265"/>
      <c r="J46" s="265"/>
      <c r="K46" s="262"/>
    </row>
    <row r="47" spans="1:11" s="263" customFormat="1" ht="12" customHeight="1">
      <c r="A47" s="267" t="s">
        <v>1793</v>
      </c>
      <c r="B47" s="264">
        <f>'Sources and Uses Budget'!C47</f>
        <v>0</v>
      </c>
      <c r="C47" s="265"/>
      <c r="D47" s="265"/>
      <c r="E47" s="264">
        <f>'Sources and Uses Budget'!S47</f>
        <v>0</v>
      </c>
      <c r="F47" s="265">
        <f t="shared" si="5"/>
        <v>0</v>
      </c>
      <c r="G47" s="265"/>
      <c r="H47" s="264">
        <f>'Sources and Uses Budget'!T47</f>
        <v>0</v>
      </c>
      <c r="I47" s="265"/>
      <c r="J47" s="265"/>
      <c r="K47" s="262"/>
    </row>
    <row r="48" spans="1:11" s="263" customFormat="1" ht="13">
      <c r="A48" s="267" t="s">
        <v>1794</v>
      </c>
      <c r="B48" s="264">
        <f>'Sources and Uses Budget'!C48</f>
        <v>650000</v>
      </c>
      <c r="C48" s="265">
        <f t="shared" ref="C48:C53" si="6">B48</f>
        <v>650000</v>
      </c>
      <c r="D48" s="265"/>
      <c r="E48" s="264">
        <f>'Sources and Uses Budget'!S48</f>
        <v>250000</v>
      </c>
      <c r="F48" s="265">
        <f t="shared" si="5"/>
        <v>250000</v>
      </c>
      <c r="G48" s="265"/>
      <c r="H48" s="264">
        <f>'Sources and Uses Budget'!T48</f>
        <v>0</v>
      </c>
      <c r="I48" s="265"/>
      <c r="J48" s="265"/>
      <c r="K48" s="262"/>
    </row>
    <row r="49" spans="1:11" s="263" customFormat="1" ht="13">
      <c r="A49" s="195" t="s">
        <v>1795</v>
      </c>
      <c r="B49" s="264">
        <f>'Sources and Uses Budget'!C49</f>
        <v>540000</v>
      </c>
      <c r="C49" s="265">
        <f t="shared" si="6"/>
        <v>540000</v>
      </c>
      <c r="D49" s="265"/>
      <c r="E49" s="264">
        <f>'Sources and Uses Budget'!S49</f>
        <v>215000</v>
      </c>
      <c r="F49" s="265">
        <f t="shared" si="5"/>
        <v>215000</v>
      </c>
      <c r="G49" s="265"/>
      <c r="H49" s="264">
        <f>'Sources and Uses Budget'!T49</f>
        <v>0</v>
      </c>
      <c r="I49" s="265"/>
      <c r="J49" s="265"/>
      <c r="K49" s="262"/>
    </row>
    <row r="50" spans="1:11" s="263" customFormat="1" ht="13">
      <c r="A50" s="267" t="s">
        <v>1796</v>
      </c>
      <c r="B50" s="264">
        <f>'Sources and Uses Budget'!C50</f>
        <v>150000</v>
      </c>
      <c r="C50" s="265">
        <f t="shared" si="6"/>
        <v>150000</v>
      </c>
      <c r="D50" s="265"/>
      <c r="E50" s="264">
        <f>'Sources and Uses Budget'!S50</f>
        <v>150000</v>
      </c>
      <c r="F50" s="265">
        <f t="shared" si="5"/>
        <v>150000</v>
      </c>
      <c r="G50" s="265"/>
      <c r="H50" s="264">
        <f>'Sources and Uses Budget'!T50</f>
        <v>0</v>
      </c>
      <c r="I50" s="265"/>
      <c r="J50" s="265"/>
      <c r="K50" s="262"/>
    </row>
    <row r="51" spans="1:11" s="263" customFormat="1" ht="13">
      <c r="A51" s="267" t="s">
        <v>1797</v>
      </c>
      <c r="B51" s="264">
        <f>'Sources and Uses Budget'!C51</f>
        <v>250000</v>
      </c>
      <c r="C51" s="265">
        <f t="shared" si="6"/>
        <v>250000</v>
      </c>
      <c r="D51" s="265"/>
      <c r="E51" s="264">
        <f>'Sources and Uses Budget'!S51</f>
        <v>0</v>
      </c>
      <c r="F51" s="265">
        <f t="shared" si="5"/>
        <v>0</v>
      </c>
      <c r="G51" s="265"/>
      <c r="H51" s="264">
        <f>'Sources and Uses Budget'!T51</f>
        <v>0</v>
      </c>
      <c r="I51" s="265"/>
      <c r="J51" s="265"/>
      <c r="K51" s="262"/>
    </row>
    <row r="52" spans="1:11" s="263" customFormat="1" ht="13">
      <c r="A52" s="267" t="s">
        <v>1798</v>
      </c>
      <c r="B52" s="264">
        <f>'Sources and Uses Budget'!C52</f>
        <v>1500000</v>
      </c>
      <c r="C52" s="265">
        <f t="shared" si="6"/>
        <v>1500000</v>
      </c>
      <c r="D52" s="265"/>
      <c r="E52" s="264">
        <f>'Sources and Uses Budget'!S52</f>
        <v>1500000</v>
      </c>
      <c r="F52" s="265">
        <f t="shared" si="5"/>
        <v>1500000</v>
      </c>
      <c r="G52" s="265"/>
      <c r="H52" s="264">
        <f>'Sources and Uses Budget'!T52</f>
        <v>0</v>
      </c>
      <c r="I52" s="265"/>
      <c r="J52" s="265"/>
      <c r="K52" s="262"/>
    </row>
    <row r="53" spans="1:11" s="263" customFormat="1" ht="13">
      <c r="A53" s="267" t="str">
        <f>'Sources and Uses Budget'!$A53</f>
        <v>Other: (Specify)</v>
      </c>
      <c r="B53" s="264">
        <f>'Sources and Uses Budget'!C53</f>
        <v>0</v>
      </c>
      <c r="C53" s="265">
        <f t="shared" si="6"/>
        <v>0</v>
      </c>
      <c r="D53" s="265"/>
      <c r="E53" s="264">
        <f>'Sources and Uses Budget'!S53</f>
        <v>0</v>
      </c>
      <c r="F53" s="265">
        <f t="shared" si="5"/>
        <v>0</v>
      </c>
      <c r="G53" s="265"/>
      <c r="H53" s="264">
        <f>'Sources and Uses Budget'!T53</f>
        <v>0</v>
      </c>
      <c r="I53" s="265"/>
      <c r="J53" s="265"/>
      <c r="K53" s="262"/>
    </row>
    <row r="54" spans="1:11" s="272" customFormat="1" ht="13">
      <c r="A54" s="268" t="s">
        <v>1799</v>
      </c>
      <c r="B54" s="264">
        <f>'Sources and Uses Budget'!C54</f>
        <v>18150000</v>
      </c>
      <c r="C54" s="270">
        <f>SUM(C45:C53)</f>
        <v>18150000</v>
      </c>
      <c r="D54" s="270">
        <f>SUM(D45:D53)</f>
        <v>0</v>
      </c>
      <c r="E54" s="264">
        <f>'Sources and Uses Budget'!S54</f>
        <v>13596146</v>
      </c>
      <c r="F54" s="270">
        <f>SUM(F45:F53)</f>
        <v>13596146</v>
      </c>
      <c r="G54" s="270">
        <f>SUM(G45:G53)</f>
        <v>0</v>
      </c>
      <c r="H54" s="264">
        <f>'Sources and Uses Budget'!T54</f>
        <v>0</v>
      </c>
      <c r="I54" s="270">
        <f>SUM(I45:I53)</f>
        <v>0</v>
      </c>
      <c r="J54" s="270">
        <f>SUM(J45:J53)</f>
        <v>0</v>
      </c>
      <c r="K54" s="271"/>
    </row>
    <row r="55" spans="1:11" s="263" customFormat="1" ht="13">
      <c r="A55" s="260" t="s">
        <v>1350</v>
      </c>
      <c r="B55" s="261"/>
      <c r="C55" s="261"/>
      <c r="D55" s="261"/>
      <c r="E55" s="261"/>
      <c r="F55" s="261"/>
      <c r="G55" s="261"/>
      <c r="H55" s="261"/>
      <c r="I55" s="261"/>
      <c r="J55" s="261"/>
      <c r="K55" s="262"/>
    </row>
    <row r="56" spans="1:11" s="263" customFormat="1" ht="13">
      <c r="A56" s="267" t="s">
        <v>1800</v>
      </c>
      <c r="B56" s="264">
        <f>'Sources and Uses Budget'!C56</f>
        <v>55000</v>
      </c>
      <c r="C56" s="265">
        <f t="shared" ref="C56" si="7">B56</f>
        <v>55000</v>
      </c>
      <c r="D56" s="265"/>
      <c r="E56" s="266"/>
      <c r="F56" s="266"/>
      <c r="G56" s="266"/>
      <c r="H56" s="266"/>
      <c r="I56" s="266"/>
      <c r="J56" s="266"/>
      <c r="K56" s="262"/>
    </row>
    <row r="57" spans="1:11" s="263" customFormat="1" ht="12" customHeight="1">
      <c r="A57" s="267" t="s">
        <v>1793</v>
      </c>
      <c r="B57" s="264">
        <f>'Sources and Uses Budget'!C57</f>
        <v>0</v>
      </c>
      <c r="C57" s="265"/>
      <c r="D57" s="265"/>
      <c r="E57" s="266"/>
      <c r="F57" s="266"/>
      <c r="G57" s="266"/>
      <c r="H57" s="266"/>
      <c r="I57" s="266"/>
      <c r="J57" s="266"/>
      <c r="K57" s="262"/>
    </row>
    <row r="58" spans="1:11" s="263" customFormat="1" ht="13">
      <c r="A58" s="267" t="s">
        <v>1796</v>
      </c>
      <c r="B58" s="264">
        <f>'Sources and Uses Budget'!C58</f>
        <v>50000</v>
      </c>
      <c r="C58" s="265">
        <f t="shared" ref="C58:C59" si="8">B58</f>
        <v>50000</v>
      </c>
      <c r="D58" s="265"/>
      <c r="E58" s="266"/>
      <c r="F58" s="266"/>
      <c r="G58" s="266"/>
      <c r="H58" s="266"/>
      <c r="I58" s="266"/>
      <c r="J58" s="266"/>
      <c r="K58" s="262"/>
    </row>
    <row r="59" spans="1:11" s="263" customFormat="1" ht="13">
      <c r="A59" s="267" t="s">
        <v>1797</v>
      </c>
      <c r="B59" s="264">
        <f>'Sources and Uses Budget'!C59</f>
        <v>281250</v>
      </c>
      <c r="C59" s="265">
        <f t="shared" si="8"/>
        <v>281250</v>
      </c>
      <c r="D59" s="265"/>
      <c r="E59" s="266"/>
      <c r="F59" s="266"/>
      <c r="G59" s="266"/>
      <c r="H59" s="266"/>
      <c r="I59" s="266"/>
      <c r="J59" s="266"/>
      <c r="K59" s="262"/>
    </row>
    <row r="60" spans="1:11" s="263" customFormat="1" ht="13">
      <c r="A60" s="267" t="s">
        <v>1798</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1801</v>
      </c>
      <c r="B62" s="264">
        <f>'Sources and Uses Budget'!C62</f>
        <v>386250</v>
      </c>
      <c r="C62" s="264">
        <f>SUM(C56:C61)</f>
        <v>386250</v>
      </c>
      <c r="D62" s="264">
        <f>SUM(D56:D61)</f>
        <v>0</v>
      </c>
      <c r="E62" s="266"/>
      <c r="F62" s="266"/>
      <c r="G62" s="266"/>
      <c r="H62" s="266"/>
      <c r="I62" s="266"/>
      <c r="J62" s="266"/>
      <c r="K62" s="262"/>
    </row>
    <row r="63" spans="1:11" s="263" customFormat="1" ht="13">
      <c r="A63" s="273" t="s">
        <v>1802</v>
      </c>
      <c r="B63" s="264">
        <f>'Sources and Uses Budget'!C63</f>
        <v>124228909</v>
      </c>
      <c r="C63" s="264">
        <f>SUM(C8+C11+C13+C14+C15+C26+C27+C38+C42+C43+C54+C62)</f>
        <v>124228909</v>
      </c>
      <c r="D63" s="264">
        <f>SUM(D8+D11+D13+D14+D15+D26+D27+D38+D42+D43+D54+D62)</f>
        <v>0</v>
      </c>
      <c r="E63" s="264">
        <f>'Sources and Uses Budget'!S63</f>
        <v>111620309</v>
      </c>
      <c r="F63" s="264">
        <f>SUM(F10+F13+F14+F15+F26+F27+F38+F42+F43+F54)</f>
        <v>111620309</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1803</v>
      </c>
      <c r="B64" s="261"/>
      <c r="C64" s="261"/>
      <c r="D64" s="261"/>
      <c r="E64" s="261"/>
      <c r="F64" s="261"/>
      <c r="G64" s="261"/>
      <c r="H64" s="261"/>
      <c r="I64" s="261"/>
      <c r="J64" s="261"/>
      <c r="K64" s="262"/>
    </row>
    <row r="65" spans="1:11" s="263" customFormat="1" ht="13">
      <c r="A65" s="195" t="s">
        <v>1804</v>
      </c>
      <c r="B65" s="264">
        <f>'Sources and Uses Budget'!C65</f>
        <v>100000</v>
      </c>
      <c r="C65" s="265">
        <f t="shared" ref="C65" si="9">B65</f>
        <v>100000</v>
      </c>
      <c r="D65" s="265"/>
      <c r="E65" s="264">
        <f>'Sources and Uses Budget'!S65</f>
        <v>100000</v>
      </c>
      <c r="F65" s="265">
        <f t="shared" ref="F65:F66" si="10">E65</f>
        <v>100000</v>
      </c>
      <c r="G65" s="265"/>
      <c r="H65" s="264">
        <f>'Sources and Uses Budget'!T65</f>
        <v>0</v>
      </c>
      <c r="I65" s="265"/>
      <c r="J65" s="265"/>
      <c r="K65" s="262"/>
    </row>
    <row r="66" spans="1:11" s="263" customFormat="1" ht="26">
      <c r="A66" s="195" t="s">
        <v>1805</v>
      </c>
      <c r="B66" s="264">
        <f>'Sources and Uses Budget'!C66</f>
        <v>0</v>
      </c>
      <c r="C66" s="265"/>
      <c r="D66" s="265"/>
      <c r="E66" s="264">
        <f>'Sources and Uses Budget'!S66</f>
        <v>0</v>
      </c>
      <c r="F66" s="265">
        <f t="shared" si="10"/>
        <v>0</v>
      </c>
      <c r="G66" s="265"/>
      <c r="H66" s="264">
        <f>'Sources and Uses Budget'!T66</f>
        <v>0</v>
      </c>
      <c r="I66" s="265"/>
      <c r="J66" s="265"/>
      <c r="K66" s="262"/>
    </row>
    <row r="67" spans="1:11" s="263" customFormat="1" ht="26">
      <c r="A67" s="195" t="s">
        <v>1806</v>
      </c>
      <c r="B67" s="264">
        <f>'Sources and Uses Budget'!C67</f>
        <v>300000</v>
      </c>
      <c r="C67" s="265">
        <f t="shared" ref="C67" si="11">B67</f>
        <v>300000</v>
      </c>
      <c r="D67" s="265"/>
      <c r="E67" s="264">
        <f>'Sources and Uses Budget'!S67</f>
        <v>300000</v>
      </c>
      <c r="F67" s="265">
        <f>E67</f>
        <v>300000</v>
      </c>
      <c r="G67" s="265"/>
      <c r="H67" s="264">
        <f>'Sources and Uses Budget'!T67</f>
        <v>0</v>
      </c>
      <c r="I67" s="265"/>
      <c r="J67" s="265"/>
      <c r="K67" s="262"/>
    </row>
    <row r="68" spans="1:11" s="263" customFormat="1" ht="13">
      <c r="A68" s="195" t="s">
        <v>1807</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Transaction Legal</v>
      </c>
      <c r="B69" s="264">
        <f>'Sources and Uses Budget'!C69</f>
        <v>200000</v>
      </c>
      <c r="C69" s="265">
        <f t="shared" ref="C69" si="12">B69</f>
        <v>200000</v>
      </c>
      <c r="D69" s="265"/>
      <c r="E69" s="264">
        <f>'Sources and Uses Budget'!S69</f>
        <v>200000</v>
      </c>
      <c r="F69" s="265">
        <f>E69</f>
        <v>200000</v>
      </c>
      <c r="G69" s="265"/>
      <c r="H69" s="264">
        <f>'Sources and Uses Budget'!T69</f>
        <v>0</v>
      </c>
      <c r="I69" s="265"/>
      <c r="J69" s="265"/>
      <c r="K69" s="262"/>
    </row>
    <row r="70" spans="1:11" s="263" customFormat="1" ht="13">
      <c r="A70" s="268" t="s">
        <v>1886</v>
      </c>
      <c r="B70" s="264">
        <f>'Sources and Uses Budget'!C70</f>
        <v>600000</v>
      </c>
      <c r="C70" s="264">
        <f>SUM(C64:C69)</f>
        <v>600000</v>
      </c>
      <c r="D70" s="264">
        <f>SUM(D64:D69)</f>
        <v>0</v>
      </c>
      <c r="E70" s="264">
        <f>'Sources and Uses Budget'!S70</f>
        <v>600000</v>
      </c>
      <c r="F70" s="270">
        <f>SUM(F65:F69)</f>
        <v>600000</v>
      </c>
      <c r="G70" s="270">
        <f>SUM(G65:G69)</f>
        <v>0</v>
      </c>
      <c r="H70" s="264">
        <f>'Sources and Uses Budget'!T70</f>
        <v>0</v>
      </c>
      <c r="I70" s="270">
        <f>SUM(I65:I69)</f>
        <v>0</v>
      </c>
      <c r="J70" s="270">
        <f>SUM(J65:J69)</f>
        <v>0</v>
      </c>
      <c r="K70" s="262"/>
    </row>
    <row r="71" spans="1:11" s="263" customFormat="1" ht="13">
      <c r="A71" s="260" t="s">
        <v>1810</v>
      </c>
      <c r="B71" s="261"/>
      <c r="C71" s="261"/>
      <c r="D71" s="261"/>
      <c r="E71" s="261"/>
      <c r="F71" s="261"/>
      <c r="G71" s="261"/>
      <c r="H71" s="261"/>
      <c r="I71" s="261"/>
      <c r="J71" s="261"/>
      <c r="K71" s="262"/>
    </row>
    <row r="72" spans="1:11" s="263" customFormat="1" ht="13">
      <c r="A72" s="267" t="s">
        <v>1811</v>
      </c>
      <c r="B72" s="264">
        <f>'Sources and Uses Budget'!C72</f>
        <v>0</v>
      </c>
      <c r="C72" s="265"/>
      <c r="D72" s="265"/>
      <c r="E72" s="266"/>
      <c r="F72" s="266"/>
      <c r="G72" s="266"/>
      <c r="H72" s="266"/>
      <c r="I72" s="266"/>
      <c r="J72" s="266"/>
      <c r="K72" s="262"/>
    </row>
    <row r="73" spans="1:11" s="263" customFormat="1" ht="13">
      <c r="A73" s="267" t="s">
        <v>1812</v>
      </c>
      <c r="B73" s="264">
        <f>'Sources and Uses Budget'!C73</f>
        <v>325000</v>
      </c>
      <c r="C73" s="265">
        <f t="shared" ref="C73" si="13">B73</f>
        <v>325000</v>
      </c>
      <c r="D73" s="265"/>
      <c r="E73" s="266"/>
      <c r="F73" s="266"/>
      <c r="G73" s="266"/>
      <c r="H73" s="266"/>
      <c r="I73" s="266"/>
      <c r="J73" s="266"/>
      <c r="K73" s="262"/>
    </row>
    <row r="74" spans="1:11" s="263" customFormat="1">
      <c r="A74" s="269" t="s">
        <v>1813</v>
      </c>
      <c r="B74" s="264">
        <f>'Sources and Uses Budget'!C74</f>
        <v>0</v>
      </c>
      <c r="C74" s="265"/>
      <c r="D74" s="265"/>
      <c r="E74" s="266"/>
      <c r="F74" s="266"/>
      <c r="G74" s="266"/>
      <c r="H74" s="266"/>
      <c r="I74" s="266"/>
      <c r="J74" s="266"/>
      <c r="K74" s="262"/>
    </row>
    <row r="75" spans="1:11" s="263" customFormat="1" ht="13">
      <c r="A75" s="267" t="s">
        <v>1814</v>
      </c>
      <c r="B75" s="264">
        <f>'Sources and Uses Budget'!C75</f>
        <v>1500000</v>
      </c>
      <c r="C75" s="265">
        <f t="shared" ref="C75:C76" si="14">B75</f>
        <v>1500000</v>
      </c>
      <c r="D75" s="265"/>
      <c r="E75" s="266"/>
      <c r="F75" s="266"/>
      <c r="G75" s="266"/>
      <c r="H75" s="266"/>
      <c r="I75" s="266"/>
      <c r="J75" s="266"/>
      <c r="K75" s="262"/>
    </row>
    <row r="76" spans="1:11" s="263" customFormat="1" ht="13">
      <c r="A76" s="267" t="str">
        <f>'Sources and Uses Budget'!$A76</f>
        <v>Partnership Reserve</v>
      </c>
      <c r="B76" s="264">
        <f>'Sources and Uses Budget'!C76</f>
        <v>500000</v>
      </c>
      <c r="C76" s="265">
        <f t="shared" si="14"/>
        <v>500000</v>
      </c>
      <c r="D76" s="265"/>
      <c r="E76" s="266"/>
      <c r="F76" s="266"/>
      <c r="G76" s="266"/>
      <c r="H76" s="266"/>
      <c r="I76" s="266"/>
      <c r="J76" s="266"/>
      <c r="K76" s="262"/>
    </row>
    <row r="77" spans="1:11" s="263" customFormat="1" ht="13">
      <c r="A77" s="268" t="s">
        <v>1816</v>
      </c>
      <c r="B77" s="264">
        <f>'Sources and Uses Budget'!C77</f>
        <v>2325000</v>
      </c>
      <c r="C77" s="264">
        <f>SUM(C72:C76)</f>
        <v>2325000</v>
      </c>
      <c r="D77" s="264">
        <f>SUM(D72:D76)</f>
        <v>0</v>
      </c>
      <c r="E77" s="266"/>
      <c r="F77" s="266"/>
      <c r="G77" s="266"/>
      <c r="H77" s="266"/>
      <c r="I77" s="266"/>
      <c r="J77" s="266"/>
      <c r="K77" s="262"/>
    </row>
    <row r="78" spans="1:11" s="263" customFormat="1" ht="13">
      <c r="A78" s="260" t="s">
        <v>1817</v>
      </c>
      <c r="B78" s="261"/>
      <c r="C78" s="261"/>
      <c r="D78" s="261"/>
      <c r="E78" s="261"/>
      <c r="F78" s="261"/>
      <c r="G78" s="261"/>
      <c r="H78" s="261"/>
      <c r="I78" s="261"/>
      <c r="J78" s="261"/>
      <c r="K78" s="262"/>
    </row>
    <row r="79" spans="1:11" s="263" customFormat="1" ht="13">
      <c r="A79" s="267" t="s">
        <v>1818</v>
      </c>
      <c r="B79" s="264">
        <f>'Sources and Uses Budget'!C79</f>
        <v>9041954</v>
      </c>
      <c r="C79" s="265">
        <f t="shared" ref="C79:C80" si="15">B79</f>
        <v>9041954</v>
      </c>
      <c r="D79" s="265"/>
      <c r="E79" s="264">
        <f>'Sources and Uses Budget'!S79</f>
        <v>9041954</v>
      </c>
      <c r="F79" s="265">
        <f>E79</f>
        <v>9041954</v>
      </c>
      <c r="G79" s="265"/>
      <c r="H79" s="264">
        <f>'Sources and Uses Budget'!T79</f>
        <v>0</v>
      </c>
      <c r="I79" s="265"/>
      <c r="J79" s="265"/>
      <c r="K79" s="262"/>
    </row>
    <row r="80" spans="1:11" s="263" customFormat="1" ht="13">
      <c r="A80" s="267" t="s">
        <v>1819</v>
      </c>
      <c r="B80" s="264">
        <f>'Sources and Uses Budget'!C80</f>
        <v>1091809</v>
      </c>
      <c r="C80" s="265">
        <f t="shared" si="15"/>
        <v>1091809</v>
      </c>
      <c r="D80" s="265"/>
      <c r="E80" s="264">
        <f>'Sources and Uses Budget'!S80</f>
        <v>1091809</v>
      </c>
      <c r="F80" s="265">
        <f>E80</f>
        <v>1091809</v>
      </c>
      <c r="G80" s="265"/>
      <c r="H80" s="264">
        <f>'Sources and Uses Budget'!T80</f>
        <v>0</v>
      </c>
      <c r="I80" s="265"/>
      <c r="J80" s="265"/>
      <c r="K80" s="262"/>
    </row>
    <row r="81" spans="1:11" s="263" customFormat="1" ht="13">
      <c r="A81" s="268" t="s">
        <v>1820</v>
      </c>
      <c r="B81" s="264">
        <f>'Sources and Uses Budget'!C81</f>
        <v>10133763</v>
      </c>
      <c r="C81" s="264">
        <f>SUM(C79:C80)</f>
        <v>10133763</v>
      </c>
      <c r="D81" s="264">
        <f>SUM(D79:D80)</f>
        <v>0</v>
      </c>
      <c r="E81" s="264">
        <f>'Sources and Uses Budget'!S81</f>
        <v>10133763</v>
      </c>
      <c r="F81" s="264">
        <f>SUM(F79:F80)</f>
        <v>10133763</v>
      </c>
      <c r="G81" s="264">
        <f>SUM(G79:G80)</f>
        <v>0</v>
      </c>
      <c r="H81" s="264">
        <f>'Sources and Uses Budget'!T81</f>
        <v>0</v>
      </c>
      <c r="I81" s="264">
        <f>SUM(I79:I80)</f>
        <v>0</v>
      </c>
      <c r="J81" s="264">
        <f>SUM(J79:J80)</f>
        <v>0</v>
      </c>
      <c r="K81" s="262"/>
    </row>
    <row r="82" spans="1:11" s="263" customFormat="1" ht="13">
      <c r="A82" s="260" t="s">
        <v>1821</v>
      </c>
      <c r="B82" s="261"/>
      <c r="C82" s="261"/>
      <c r="D82" s="261"/>
      <c r="E82" s="261"/>
      <c r="F82" s="261"/>
      <c r="G82" s="261"/>
      <c r="H82" s="261"/>
      <c r="I82" s="261"/>
      <c r="J82" s="261"/>
      <c r="K82" s="262"/>
    </row>
    <row r="83" spans="1:11" s="263" customFormat="1" ht="13.75" customHeight="1">
      <c r="A83" s="195" t="s">
        <v>1822</v>
      </c>
      <c r="B83" s="264">
        <f>'Sources and Uses Budget'!C83</f>
        <v>75000</v>
      </c>
      <c r="C83" s="265">
        <f t="shared" ref="C83:C95" si="16">B83</f>
        <v>75000</v>
      </c>
      <c r="D83" s="265"/>
      <c r="E83" s="266"/>
      <c r="F83" s="266"/>
      <c r="G83" s="266"/>
      <c r="H83" s="266"/>
      <c r="I83" s="266"/>
      <c r="J83" s="266"/>
      <c r="K83" s="262"/>
    </row>
    <row r="84" spans="1:11" s="263" customFormat="1" ht="13">
      <c r="A84" s="195" t="s">
        <v>1823</v>
      </c>
      <c r="B84" s="264">
        <f>'Sources and Uses Budget'!C84</f>
        <v>500000</v>
      </c>
      <c r="C84" s="265">
        <f t="shared" si="16"/>
        <v>500000</v>
      </c>
      <c r="D84" s="265"/>
      <c r="E84" s="264">
        <f>'Sources and Uses Budget'!S84</f>
        <v>500000</v>
      </c>
      <c r="F84" s="265">
        <f>E84</f>
        <v>500000</v>
      </c>
      <c r="G84" s="265"/>
      <c r="H84" s="264">
        <f>'Sources and Uses Budget'!T84</f>
        <v>0</v>
      </c>
      <c r="I84" s="265"/>
      <c r="J84" s="265"/>
      <c r="K84" s="262"/>
    </row>
    <row r="85" spans="1:11" s="263" customFormat="1" ht="13">
      <c r="A85" s="195" t="s">
        <v>1824</v>
      </c>
      <c r="B85" s="264">
        <f>'Sources and Uses Budget'!C85</f>
        <v>3161516</v>
      </c>
      <c r="C85" s="265">
        <f t="shared" si="16"/>
        <v>3161516</v>
      </c>
      <c r="D85" s="265"/>
      <c r="E85" s="264">
        <f>'Sources and Uses Budget'!S85</f>
        <v>3161516</v>
      </c>
      <c r="F85" s="265">
        <f>E85</f>
        <v>3161516</v>
      </c>
      <c r="G85" s="265"/>
      <c r="H85" s="264">
        <f>'Sources and Uses Budget'!T85</f>
        <v>0</v>
      </c>
      <c r="I85" s="265"/>
      <c r="J85" s="265"/>
      <c r="K85" s="262"/>
    </row>
    <row r="86" spans="1:11" s="263" customFormat="1" ht="13">
      <c r="A86" s="195" t="s">
        <v>1825</v>
      </c>
      <c r="B86" s="264">
        <f>'Sources and Uses Budget'!C86</f>
        <v>950000</v>
      </c>
      <c r="C86" s="265">
        <f t="shared" si="16"/>
        <v>950000</v>
      </c>
      <c r="D86" s="265"/>
      <c r="E86" s="264">
        <f>'Sources and Uses Budget'!S86</f>
        <v>950000</v>
      </c>
      <c r="F86" s="265">
        <f>E86</f>
        <v>950000</v>
      </c>
      <c r="G86" s="265"/>
      <c r="H86" s="264">
        <f>'Sources and Uses Budget'!T86</f>
        <v>0</v>
      </c>
      <c r="I86" s="265"/>
      <c r="J86" s="265"/>
      <c r="K86" s="262"/>
    </row>
    <row r="87" spans="1:11" s="263" customFormat="1" ht="13">
      <c r="A87" s="195" t="s">
        <v>1826</v>
      </c>
      <c r="B87" s="264">
        <f>'Sources and Uses Budget'!C87</f>
        <v>0</v>
      </c>
      <c r="C87" s="265">
        <f t="shared" si="16"/>
        <v>0</v>
      </c>
      <c r="D87" s="265"/>
      <c r="E87" s="264">
        <f>'Sources and Uses Budget'!S87</f>
        <v>0</v>
      </c>
      <c r="F87" s="265"/>
      <c r="G87" s="265"/>
      <c r="H87" s="264">
        <f>'Sources and Uses Budget'!T87</f>
        <v>0</v>
      </c>
      <c r="I87" s="265"/>
      <c r="J87" s="265"/>
      <c r="K87" s="262"/>
    </row>
    <row r="88" spans="1:11" s="263" customFormat="1" ht="13">
      <c r="A88" s="195" t="s">
        <v>1827</v>
      </c>
      <c r="B88" s="264">
        <f>'Sources and Uses Budget'!C88</f>
        <v>150000</v>
      </c>
      <c r="C88" s="265">
        <f t="shared" si="16"/>
        <v>150000</v>
      </c>
      <c r="D88" s="265"/>
      <c r="E88" s="266"/>
      <c r="F88" s="266"/>
      <c r="G88" s="266"/>
      <c r="H88" s="266"/>
      <c r="I88" s="266"/>
      <c r="J88" s="266"/>
      <c r="K88" s="262"/>
    </row>
    <row r="89" spans="1:11" s="263" customFormat="1" ht="13">
      <c r="A89" s="195" t="s">
        <v>1828</v>
      </c>
      <c r="B89" s="264">
        <f>'Sources and Uses Budget'!C89</f>
        <v>350000</v>
      </c>
      <c r="C89" s="265">
        <f t="shared" si="16"/>
        <v>350000</v>
      </c>
      <c r="D89" s="265"/>
      <c r="E89" s="264">
        <f>'Sources and Uses Budget'!S89</f>
        <v>350000</v>
      </c>
      <c r="F89" s="265">
        <f>E89</f>
        <v>350000</v>
      </c>
      <c r="G89" s="265"/>
      <c r="H89" s="264">
        <f>'Sources and Uses Budget'!T89</f>
        <v>0</v>
      </c>
      <c r="I89" s="265"/>
      <c r="J89" s="265"/>
      <c r="K89" s="262"/>
    </row>
    <row r="90" spans="1:11" s="263" customFormat="1" ht="13">
      <c r="A90" s="195" t="s">
        <v>1829</v>
      </c>
      <c r="B90" s="264">
        <f>'Sources and Uses Budget'!C90</f>
        <v>0</v>
      </c>
      <c r="C90" s="265">
        <f t="shared" si="16"/>
        <v>0</v>
      </c>
      <c r="D90" s="265"/>
      <c r="E90" s="264">
        <f>'Sources and Uses Budget'!S90</f>
        <v>0</v>
      </c>
      <c r="F90" s="265">
        <f t="shared" ref="F90:F93" si="17">E90</f>
        <v>0</v>
      </c>
      <c r="G90" s="265"/>
      <c r="H90" s="264">
        <f>'Sources and Uses Budget'!T90</f>
        <v>0</v>
      </c>
      <c r="I90" s="265"/>
      <c r="J90" s="265"/>
      <c r="K90" s="262"/>
    </row>
    <row r="91" spans="1:11" s="263" customFormat="1" ht="13">
      <c r="A91" s="409" t="s">
        <v>1830</v>
      </c>
      <c r="B91" s="264">
        <f>'Sources and Uses Budget'!C91</f>
        <v>20000</v>
      </c>
      <c r="C91" s="265">
        <f t="shared" si="16"/>
        <v>20000</v>
      </c>
      <c r="D91" s="265"/>
      <c r="E91" s="264">
        <f>'Sources and Uses Budget'!S91</f>
        <v>20000</v>
      </c>
      <c r="F91" s="265">
        <f t="shared" si="17"/>
        <v>20000</v>
      </c>
      <c r="G91" s="265"/>
      <c r="H91" s="264">
        <f>'Sources and Uses Budget'!T91</f>
        <v>0</v>
      </c>
      <c r="I91" s="265"/>
      <c r="J91" s="265"/>
      <c r="K91" s="262"/>
    </row>
    <row r="92" spans="1:11" s="263" customFormat="1" ht="13">
      <c r="A92" s="409" t="s">
        <v>1831</v>
      </c>
      <c r="B92" s="264">
        <f>'Sources and Uses Budget'!C92</f>
        <v>15000</v>
      </c>
      <c r="C92" s="265">
        <f t="shared" si="16"/>
        <v>15000</v>
      </c>
      <c r="D92" s="265"/>
      <c r="E92" s="264">
        <f>'Sources and Uses Budget'!S92</f>
        <v>15000</v>
      </c>
      <c r="F92" s="265">
        <f t="shared" si="17"/>
        <v>15000</v>
      </c>
      <c r="G92" s="265"/>
      <c r="H92" s="264">
        <f>'Sources and Uses Budget'!T92</f>
        <v>0</v>
      </c>
      <c r="I92" s="265"/>
      <c r="J92" s="265"/>
      <c r="K92" s="262"/>
    </row>
    <row r="93" spans="1:11" s="263" customFormat="1" ht="13">
      <c r="A93" s="267" t="str">
        <f>'Sources and Uses Budget'!$A93</f>
        <v>Utility Hookups</v>
      </c>
      <c r="B93" s="264">
        <f>'Sources and Uses Budget'!C93</f>
        <v>1099208</v>
      </c>
      <c r="C93" s="265">
        <f t="shared" si="16"/>
        <v>1099208</v>
      </c>
      <c r="D93" s="265"/>
      <c r="E93" s="264">
        <f>'Sources and Uses Budget'!S93</f>
        <v>1099208</v>
      </c>
      <c r="F93" s="265">
        <f t="shared" si="17"/>
        <v>1099208</v>
      </c>
      <c r="G93" s="265"/>
      <c r="H93" s="264">
        <f>'Sources and Uses Budget'!T93</f>
        <v>0</v>
      </c>
      <c r="I93" s="265"/>
      <c r="J93" s="265"/>
      <c r="K93" s="262"/>
    </row>
    <row r="94" spans="1:11" s="263" customFormat="1" ht="13">
      <c r="A94" s="267" t="str">
        <f>'Sources and Uses Budget'!$A94</f>
        <v>Other: (Specify)</v>
      </c>
      <c r="B94" s="264">
        <f>'Sources and Uses Budget'!C94</f>
        <v>0</v>
      </c>
      <c r="C94" s="265">
        <f t="shared" si="16"/>
        <v>0</v>
      </c>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f t="shared" si="16"/>
        <v>0</v>
      </c>
      <c r="D95" s="265"/>
      <c r="E95" s="264">
        <f>'Sources and Uses Budget'!S95</f>
        <v>0</v>
      </c>
      <c r="F95" s="265"/>
      <c r="G95" s="265"/>
      <c r="H95" s="264">
        <f>'Sources and Uses Budget'!T95</f>
        <v>0</v>
      </c>
      <c r="I95" s="265"/>
      <c r="J95" s="265"/>
      <c r="K95" s="262"/>
    </row>
    <row r="96" spans="1:11" s="263" customFormat="1" ht="13">
      <c r="A96" s="268" t="s">
        <v>1833</v>
      </c>
      <c r="B96" s="264">
        <f>'Sources and Uses Budget'!C96</f>
        <v>6320724</v>
      </c>
      <c r="C96" s="264">
        <f>SUM(C83:C95)</f>
        <v>6320724</v>
      </c>
      <c r="D96" s="264">
        <f>SUM(D83:D95)</f>
        <v>0</v>
      </c>
      <c r="E96" s="264">
        <f>'Sources and Uses Budget'!S96</f>
        <v>6095724</v>
      </c>
      <c r="F96" s="270">
        <f>SUM(F84:F87,F89:F95)</f>
        <v>6095724</v>
      </c>
      <c r="G96" s="270">
        <f>SUM(G84:G87,G89:G95)</f>
        <v>0</v>
      </c>
      <c r="H96" s="264">
        <f>'Sources and Uses Budget'!T96</f>
        <v>0</v>
      </c>
      <c r="I96" s="264">
        <f>SUM(I84:I87,I89:I95)</f>
        <v>0</v>
      </c>
      <c r="J96" s="264">
        <f>SUM(J84:J87,J89:J95)</f>
        <v>0</v>
      </c>
      <c r="K96" s="262"/>
    </row>
    <row r="97" spans="1:11" s="263" customFormat="1" ht="13">
      <c r="A97" s="268" t="s">
        <v>1887</v>
      </c>
      <c r="B97" s="264">
        <f>'Sources and Uses Budget'!C97</f>
        <v>143608396</v>
      </c>
      <c r="C97" s="264">
        <f>SUM(C63+C70+C77+C81+C96)</f>
        <v>143608396</v>
      </c>
      <c r="D97" s="264">
        <f>SUM(D63+D70+D77+D81+D96)</f>
        <v>0</v>
      </c>
      <c r="E97" s="264">
        <f>'Sources and Uses Budget'!S97</f>
        <v>128449796</v>
      </c>
      <c r="F97" s="270">
        <f>SUM(+F63+F70+F81+F96)</f>
        <v>128449796</v>
      </c>
      <c r="G97" s="270">
        <f>SUM(+G63+G70+G81+G96)</f>
        <v>0</v>
      </c>
      <c r="H97" s="264">
        <f>'Sources and Uses Budget'!T97</f>
        <v>0</v>
      </c>
      <c r="I97" s="270">
        <f>SUM(I63+I70+I81+I96)</f>
        <v>0</v>
      </c>
      <c r="J97" s="270">
        <f>SUM(J63+J70+J81+J96)</f>
        <v>0</v>
      </c>
      <c r="K97" s="262"/>
    </row>
    <row r="98" spans="1:11" s="263" customFormat="1" ht="13">
      <c r="A98" s="260" t="s">
        <v>1835</v>
      </c>
      <c r="B98" s="261"/>
      <c r="C98" s="261"/>
      <c r="D98" s="261"/>
      <c r="E98" s="261"/>
      <c r="F98" s="261"/>
      <c r="G98" s="261"/>
      <c r="H98" s="261"/>
      <c r="I98" s="261"/>
      <c r="J98" s="261"/>
      <c r="K98" s="262"/>
    </row>
    <row r="99" spans="1:11" s="263" customFormat="1" ht="13">
      <c r="A99" s="195" t="s">
        <v>1836</v>
      </c>
      <c r="B99" s="264">
        <f>'Sources and Uses Budget'!C99</f>
        <v>19250000</v>
      </c>
      <c r="C99" s="265">
        <f>B99</f>
        <v>19250000</v>
      </c>
      <c r="D99" s="265"/>
      <c r="E99" s="264">
        <f>'Sources and Uses Budget'!S99</f>
        <v>19250000</v>
      </c>
      <c r="F99" s="265">
        <f>E99</f>
        <v>19250000</v>
      </c>
      <c r="G99" s="265"/>
      <c r="H99" s="264">
        <f>'Sources and Uses Budget'!T99</f>
        <v>0</v>
      </c>
      <c r="I99" s="265"/>
      <c r="J99" s="265"/>
      <c r="K99" s="262"/>
    </row>
    <row r="100" spans="1:11" s="263" customFormat="1" ht="13">
      <c r="A100" s="195" t="s">
        <v>1837</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1838</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1839</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1840</v>
      </c>
      <c r="B104" s="264">
        <f>'Sources and Uses Budget'!C104</f>
        <v>19250000</v>
      </c>
      <c r="C104" s="264">
        <f>SUM(C99:C103)</f>
        <v>19250000</v>
      </c>
      <c r="D104" s="264">
        <f>SUM(D99:D103)</f>
        <v>0</v>
      </c>
      <c r="E104" s="264">
        <f>'Sources and Uses Budget'!S104</f>
        <v>19250000</v>
      </c>
      <c r="F104" s="270">
        <f>SUM(F99:F103)</f>
        <v>19250000</v>
      </c>
      <c r="G104" s="270">
        <f>SUM(G99:G103)</f>
        <v>0</v>
      </c>
      <c r="H104" s="264">
        <f>'Sources and Uses Budget'!T104</f>
        <v>0</v>
      </c>
      <c r="I104" s="270">
        <f>SUM(I99:I103)</f>
        <v>0</v>
      </c>
      <c r="J104" s="270">
        <f>SUM(J99:J103)</f>
        <v>0</v>
      </c>
      <c r="K104" s="262"/>
    </row>
    <row r="105" spans="1:11" s="263" customFormat="1" ht="13">
      <c r="A105" s="268" t="s">
        <v>1888</v>
      </c>
      <c r="B105" s="264">
        <f>'Sources and Uses Budget'!C105</f>
        <v>162858396</v>
      </c>
      <c r="C105" s="270">
        <f>SUM(C97+C104)</f>
        <v>162858396</v>
      </c>
      <c r="D105" s="270">
        <f>SUM(D97+D104)</f>
        <v>0</v>
      </c>
      <c r="E105" s="264">
        <f>'Sources and Uses Budget'!S105</f>
        <v>147699796</v>
      </c>
      <c r="F105" s="270">
        <f>F97+F104</f>
        <v>147699796</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1889</v>
      </c>
      <c r="E107" s="264">
        <f>'Sources and Uses Budget'!S107</f>
        <v>147699796</v>
      </c>
      <c r="F107" s="270">
        <f>F105+F106</f>
        <v>147699796</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799"/>
      <c r="E124" s="1276"/>
      <c r="F124" s="1276"/>
      <c r="G124" s="1276"/>
      <c r="H124" s="1276"/>
      <c r="I124" s="1276"/>
      <c r="J124" s="279"/>
      <c r="K124" s="262"/>
    </row>
    <row r="125" spans="1:11" s="263" customFormat="1" ht="13">
      <c r="A125" s="288"/>
      <c r="B125" s="287"/>
      <c r="C125" s="288"/>
      <c r="D125" s="1276"/>
      <c r="E125" s="1276"/>
      <c r="F125" s="1276"/>
      <c r="G125" s="1276"/>
      <c r="H125" s="1276"/>
      <c r="I125" s="1276"/>
      <c r="J125" s="279"/>
      <c r="K125" s="262"/>
    </row>
    <row r="126" spans="1:11" s="263" customFormat="1" ht="13">
      <c r="A126" s="288"/>
      <c r="B126" s="287"/>
      <c r="C126" s="288"/>
      <c r="D126" s="1276"/>
      <c r="E126" s="1276"/>
      <c r="F126" s="1276"/>
      <c r="G126" s="1276"/>
      <c r="H126" s="1276"/>
      <c r="I126" s="1276"/>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0"/>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2249" t="s">
        <v>1890</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c r="AO1" s="2250"/>
      <c r="AP1" s="2250"/>
      <c r="AQ1" s="2250"/>
      <c r="AR1" s="2250"/>
      <c r="AS1" s="2250"/>
      <c r="AT1" s="2250"/>
      <c r="AU1" s="2250"/>
      <c r="AV1" s="2250"/>
      <c r="AW1" s="2250"/>
      <c r="AX1" s="2250"/>
      <c r="AY1" s="2250"/>
      <c r="AZ1" s="2250"/>
      <c r="BA1" s="2250"/>
      <c r="BB1" s="2250"/>
      <c r="BC1" s="2250"/>
      <c r="BD1" s="2250"/>
      <c r="BE1" s="2251"/>
    </row>
    <row r="2" spans="1:65" ht="15.75" customHeight="1">
      <c r="A2" s="2252" t="s">
        <v>1891</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c r="AO2" s="2253"/>
      <c r="AP2" s="2253"/>
      <c r="AQ2" s="2253"/>
      <c r="AR2" s="2253"/>
      <c r="AS2" s="2253"/>
      <c r="AT2" s="2253"/>
      <c r="AU2" s="2253"/>
      <c r="AV2" s="2253"/>
      <c r="AW2" s="2253"/>
      <c r="AX2" s="2253"/>
      <c r="AY2" s="2253"/>
      <c r="AZ2" s="2253"/>
      <c r="BA2" s="2253"/>
      <c r="BB2" s="2253"/>
      <c r="BC2" s="2253"/>
      <c r="BD2" s="2253"/>
      <c r="BE2" s="2254"/>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1" t="str">
        <f>IF(Application!H18="","",Application!H18)</f>
        <v>Olive Park Apartments</v>
      </c>
      <c r="M4" s="2242"/>
      <c r="N4" s="2242"/>
      <c r="O4" s="2242"/>
      <c r="P4" s="2242"/>
      <c r="Q4" s="2242"/>
      <c r="R4" s="2242"/>
      <c r="S4" s="2242"/>
      <c r="T4" s="2242"/>
      <c r="U4" s="2242"/>
      <c r="V4" s="2242"/>
      <c r="W4" s="2242"/>
      <c r="X4" s="2242"/>
      <c r="Y4" s="2242"/>
      <c r="Z4" s="2242"/>
      <c r="AA4" s="2242"/>
      <c r="AB4" s="2242"/>
      <c r="AC4" s="2243"/>
      <c r="AD4" s="1079"/>
      <c r="AE4" s="1079"/>
      <c r="AF4" s="2237" t="s">
        <v>1892</v>
      </c>
      <c r="AG4" s="2237"/>
      <c r="AH4" s="2237"/>
      <c r="AI4" s="2237"/>
      <c r="AJ4" s="2237"/>
      <c r="AK4" s="2237"/>
      <c r="AL4" s="2237"/>
      <c r="AM4" s="2237"/>
      <c r="AN4" s="2237"/>
      <c r="AO4" s="2237"/>
      <c r="AP4" s="2238"/>
      <c r="AQ4" s="2239"/>
      <c r="AR4" s="2239"/>
      <c r="AS4" s="2239"/>
      <c r="AT4" s="2239"/>
      <c r="AU4" s="2239"/>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7" t="s">
        <v>1893</v>
      </c>
      <c r="AG5" s="2237"/>
      <c r="AH5" s="2237"/>
      <c r="AI5" s="2237"/>
      <c r="AJ5" s="2237"/>
      <c r="AK5" s="2237"/>
      <c r="AL5" s="2237"/>
      <c r="AM5" s="2237"/>
      <c r="AN5" s="2237"/>
      <c r="AO5" s="2237"/>
      <c r="AP5" s="2238"/>
      <c r="AQ5" s="2239"/>
      <c r="AR5" s="2239"/>
      <c r="AS5" s="2239"/>
      <c r="AT5" s="2239"/>
      <c r="AU5" s="2239"/>
      <c r="AV5" s="1079"/>
      <c r="AW5" s="1079"/>
      <c r="AX5" s="1079"/>
      <c r="AY5" s="1079"/>
      <c r="AZ5" s="1079"/>
      <c r="BA5" s="1079"/>
      <c r="BB5" s="1079"/>
      <c r="BC5" s="1079"/>
      <c r="BD5" s="1079"/>
      <c r="BE5" s="1080"/>
    </row>
    <row r="6" spans="1:65" ht="15.75" customHeight="1" thickBot="1">
      <c r="A6" s="1078"/>
      <c r="B6" s="1081" t="s">
        <v>1894</v>
      </c>
      <c r="C6" s="1079"/>
      <c r="D6" s="1079"/>
      <c r="E6" s="1079"/>
      <c r="F6" s="1079"/>
      <c r="G6" s="1079"/>
      <c r="H6" s="1079"/>
      <c r="I6" s="1079"/>
      <c r="J6" s="1079"/>
      <c r="K6" s="1079"/>
      <c r="L6" s="2241" t="str">
        <f>IF(Application!H16="","",Application!H16)</f>
        <v>Capstone Equities, LLC</v>
      </c>
      <c r="M6" s="2242"/>
      <c r="N6" s="2242"/>
      <c r="O6" s="2242"/>
      <c r="P6" s="2242"/>
      <c r="Q6" s="2242"/>
      <c r="R6" s="2242"/>
      <c r="S6" s="2242"/>
      <c r="T6" s="2242"/>
      <c r="U6" s="2242"/>
      <c r="V6" s="2242"/>
      <c r="W6" s="2242"/>
      <c r="X6" s="2242"/>
      <c r="Y6" s="2242"/>
      <c r="Z6" s="2242"/>
      <c r="AA6" s="2242"/>
      <c r="AB6" s="2242"/>
      <c r="AC6" s="2243"/>
      <c r="AD6" s="1079"/>
      <c r="AE6" s="1079"/>
      <c r="AF6" s="2244" t="s">
        <v>1895</v>
      </c>
      <c r="AG6" s="2244"/>
      <c r="AH6" s="2244"/>
      <c r="AI6" s="2244"/>
      <c r="AJ6" s="2244"/>
      <c r="AK6" s="2244"/>
      <c r="AL6" s="2244"/>
      <c r="AM6" s="2244"/>
      <c r="AN6" s="2244"/>
      <c r="AO6" s="2244"/>
      <c r="AP6" s="2245"/>
      <c r="AQ6" s="2245"/>
      <c r="AR6" s="2245"/>
      <c r="AS6" s="2245"/>
      <c r="AT6" s="2245"/>
      <c r="AU6" s="2245"/>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4" t="s">
        <v>1896</v>
      </c>
      <c r="AG7" s="2244"/>
      <c r="AH7" s="2244"/>
      <c r="AI7" s="2244"/>
      <c r="AJ7" s="2244"/>
      <c r="AK7" s="2244"/>
      <c r="AL7" s="2244"/>
      <c r="AM7" s="2244"/>
      <c r="AN7" s="2244"/>
      <c r="AO7" s="2244"/>
      <c r="AP7" s="2245"/>
      <c r="AQ7" s="2245"/>
      <c r="AR7" s="2245"/>
      <c r="AS7" s="2245"/>
      <c r="AT7" s="2245"/>
      <c r="AU7" s="2245"/>
      <c r="AV7" s="1079"/>
      <c r="AW7" s="1079"/>
      <c r="AX7" s="1079"/>
      <c r="AY7" s="1079"/>
      <c r="AZ7" s="1079"/>
      <c r="BA7" s="1079"/>
      <c r="BB7" s="1079"/>
      <c r="BC7" s="1079"/>
      <c r="BD7" s="1079"/>
      <c r="BE7" s="1080"/>
    </row>
    <row r="8" spans="1:65" ht="16" thickBot="1">
      <c r="A8" s="1078"/>
      <c r="B8" s="1081" t="s">
        <v>1897</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6" t="str">
        <f>Application!T197</f>
        <v>No</v>
      </c>
      <c r="AC8" s="2247"/>
      <c r="AD8" s="2248"/>
      <c r="AE8" s="1079"/>
      <c r="AF8" s="2244" t="s">
        <v>1898</v>
      </c>
      <c r="AG8" s="2244"/>
      <c r="AH8" s="2244"/>
      <c r="AI8" s="2244"/>
      <c r="AJ8" s="2244"/>
      <c r="AK8" s="2244"/>
      <c r="AL8" s="2244"/>
      <c r="AM8" s="2244"/>
      <c r="AN8" s="2244"/>
      <c r="AO8" s="2244"/>
      <c r="AP8" s="2245" t="s">
        <v>687</v>
      </c>
      <c r="AQ8" s="2245"/>
      <c r="AR8" s="2245"/>
      <c r="AS8" s="2245"/>
      <c r="AT8" s="2245"/>
      <c r="AU8" s="2245"/>
      <c r="AV8" s="1079"/>
      <c r="AW8" s="1079"/>
      <c r="AX8" s="1079"/>
      <c r="AY8" s="1079"/>
      <c r="AZ8" s="1079"/>
      <c r="BA8" s="1079"/>
      <c r="BB8" s="1079"/>
      <c r="BC8" s="1079"/>
      <c r="BD8" s="1079"/>
      <c r="BE8" s="1080"/>
      <c r="BM8" s="1076" t="s">
        <v>1899</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7" t="s">
        <v>1900</v>
      </c>
      <c r="AG9" s="2237"/>
      <c r="AH9" s="2237"/>
      <c r="AI9" s="2237"/>
      <c r="AJ9" s="2237"/>
      <c r="AK9" s="2237"/>
      <c r="AL9" s="2237"/>
      <c r="AM9" s="2237"/>
      <c r="AN9" s="2237"/>
      <c r="AO9" s="2237"/>
      <c r="AP9" s="2238"/>
      <c r="AQ9" s="2239"/>
      <c r="AR9" s="2239"/>
      <c r="AS9" s="2239"/>
      <c r="AT9" s="2239"/>
      <c r="AU9" s="2239"/>
      <c r="AV9" s="1079"/>
      <c r="AW9" s="1079"/>
      <c r="AX9" s="1079"/>
      <c r="AY9" s="1079"/>
      <c r="AZ9" s="1079"/>
      <c r="BA9" s="1079"/>
      <c r="BB9" s="1079"/>
      <c r="BC9" s="1079"/>
      <c r="BD9" s="1079"/>
      <c r="BE9" s="1080"/>
      <c r="BM9" s="1076" t="s">
        <v>1901</v>
      </c>
    </row>
    <row r="10" spans="1:65" ht="15">
      <c r="A10" s="1078"/>
      <c r="B10" s="1081" t="s">
        <v>1902</v>
      </c>
      <c r="C10" s="1081"/>
      <c r="D10" s="1081"/>
      <c r="E10" s="1081"/>
      <c r="F10" s="1081"/>
      <c r="G10" s="1081"/>
      <c r="H10" s="1081"/>
      <c r="I10" s="1081"/>
      <c r="J10" s="1081"/>
      <c r="K10" s="1081"/>
      <c r="L10" s="1081"/>
      <c r="M10" s="1079"/>
      <c r="N10" s="2240">
        <f>Application!AO627</f>
        <v>69190423</v>
      </c>
      <c r="O10" s="2240"/>
      <c r="P10" s="2240"/>
      <c r="Q10" s="2240"/>
      <c r="R10" s="2240"/>
      <c r="S10" s="2240"/>
      <c r="T10" s="2240"/>
      <c r="U10" s="1079"/>
      <c r="V10" s="1079"/>
      <c r="W10" s="1079"/>
      <c r="X10" s="1082"/>
      <c r="Y10" s="1082"/>
      <c r="Z10" s="1082"/>
      <c r="AA10" s="1082"/>
      <c r="AB10" s="1082"/>
      <c r="AC10" s="1082"/>
      <c r="AD10" s="1082"/>
      <c r="AE10" s="1082"/>
      <c r="AF10" s="2237" t="s">
        <v>1903</v>
      </c>
      <c r="AG10" s="2237"/>
      <c r="AH10" s="2237"/>
      <c r="AI10" s="2237"/>
      <c r="AJ10" s="2237"/>
      <c r="AK10" s="2237"/>
      <c r="AL10" s="2237"/>
      <c r="AM10" s="2237"/>
      <c r="AN10" s="2237"/>
      <c r="AO10" s="2237"/>
      <c r="AP10" s="2238"/>
      <c r="AQ10" s="2239"/>
      <c r="AR10" s="2239"/>
      <c r="AS10" s="2239"/>
      <c r="AT10" s="2239"/>
      <c r="AU10" s="2239"/>
      <c r="AV10" s="1082"/>
      <c r="AW10" s="1082"/>
      <c r="AX10" s="1079"/>
      <c r="AY10" s="1079"/>
      <c r="AZ10" s="1079"/>
      <c r="BA10" s="1079"/>
      <c r="BB10" s="1079"/>
      <c r="BC10" s="1079"/>
      <c r="BD10" s="1079"/>
      <c r="BE10" s="1080"/>
      <c r="BM10" s="1076" t="s">
        <v>1904</v>
      </c>
    </row>
    <row r="11" spans="1:65" ht="15">
      <c r="A11" s="1078"/>
      <c r="B11" s="1081" t="s">
        <v>1905</v>
      </c>
      <c r="C11" s="1081"/>
      <c r="D11" s="1081"/>
      <c r="E11" s="1081"/>
      <c r="F11" s="1081"/>
      <c r="G11" s="1081"/>
      <c r="H11" s="1081"/>
      <c r="I11" s="1081"/>
      <c r="J11" s="1081"/>
      <c r="K11" s="1081"/>
      <c r="L11" s="1081"/>
      <c r="M11" s="1079"/>
      <c r="N11" s="2240">
        <f>Application!AA934</f>
        <v>0</v>
      </c>
      <c r="O11" s="2240"/>
      <c r="P11" s="2240"/>
      <c r="Q11" s="2240"/>
      <c r="R11" s="2240"/>
      <c r="S11" s="2240"/>
      <c r="T11" s="2240"/>
      <c r="U11" s="1079"/>
      <c r="V11" s="1079"/>
      <c r="W11" s="1079"/>
      <c r="X11" s="1082"/>
      <c r="Y11" s="1082"/>
      <c r="Z11" s="1082"/>
      <c r="AA11" s="1082"/>
      <c r="AB11" s="1082"/>
      <c r="AC11" s="1082"/>
      <c r="AD11" s="1082"/>
      <c r="AE11" s="1082"/>
      <c r="AF11" s="2237" t="s">
        <v>1906</v>
      </c>
      <c r="AG11" s="2237"/>
      <c r="AH11" s="2237"/>
      <c r="AI11" s="2237"/>
      <c r="AJ11" s="2237"/>
      <c r="AK11" s="2237"/>
      <c r="AL11" s="2237"/>
      <c r="AM11" s="2237"/>
      <c r="AN11" s="2237"/>
      <c r="AO11" s="2237"/>
      <c r="AP11" s="2238"/>
      <c r="AQ11" s="2239"/>
      <c r="AR11" s="2239"/>
      <c r="AS11" s="2239"/>
      <c r="AT11" s="2239"/>
      <c r="AU11" s="2239"/>
      <c r="AV11" s="1082"/>
      <c r="AW11" s="1082"/>
      <c r="AX11" s="1079"/>
      <c r="AY11" s="1079"/>
      <c r="AZ11" s="1079"/>
      <c r="BA11" s="1079"/>
      <c r="BB11" s="1079"/>
      <c r="BC11" s="1079"/>
      <c r="BD11" s="1079"/>
      <c r="BE11" s="1080"/>
      <c r="BM11" s="1076" t="s">
        <v>687</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1907</v>
      </c>
    </row>
    <row r="13" spans="1:65" ht="16" thickBot="1">
      <c r="A13" s="1079"/>
      <c r="B13" s="2228" t="s">
        <v>1908</v>
      </c>
      <c r="C13" s="2229"/>
      <c r="D13" s="2229"/>
      <c r="E13" s="2229"/>
      <c r="F13" s="2229"/>
      <c r="G13" s="2229"/>
      <c r="H13" s="2229"/>
      <c r="I13" s="2229"/>
      <c r="J13" s="2229"/>
      <c r="K13" s="2229"/>
      <c r="L13" s="2229"/>
      <c r="M13" s="2229"/>
      <c r="N13" s="2229"/>
      <c r="O13" s="2229"/>
      <c r="P13" s="2230"/>
      <c r="Q13" s="2231" t="s">
        <v>695</v>
      </c>
      <c r="R13" s="2232"/>
      <c r="S13" s="2232"/>
      <c r="T13" s="2233"/>
      <c r="U13" s="1082"/>
      <c r="V13" s="1079"/>
      <c r="W13" s="1079"/>
      <c r="X13" s="1079"/>
      <c r="Y13" s="1079"/>
      <c r="Z13" s="1079"/>
      <c r="AA13" s="2218" t="s">
        <v>1909</v>
      </c>
      <c r="AB13" s="2218"/>
      <c r="AC13" s="2218"/>
      <c r="AD13" s="2218"/>
      <c r="AE13" s="2218"/>
      <c r="AF13" s="2218"/>
      <c r="AG13" s="2218"/>
      <c r="AH13" s="2218"/>
      <c r="AI13" s="2218"/>
      <c r="AJ13" s="2218"/>
      <c r="AK13" s="2218"/>
      <c r="AL13" s="2218"/>
      <c r="AM13" s="2218"/>
      <c r="AN13" s="2218"/>
      <c r="AO13" s="2234">
        <f>Application!W473</f>
        <v>0</v>
      </c>
      <c r="AP13" s="2235"/>
      <c r="AQ13" s="2235"/>
      <c r="AR13" s="2235"/>
      <c r="AS13" s="2235"/>
      <c r="AT13" s="1082"/>
      <c r="AU13" s="1082"/>
      <c r="AV13" s="1082"/>
      <c r="AW13" s="1082"/>
      <c r="AX13" s="1082"/>
      <c r="AY13" s="1082"/>
      <c r="AZ13" s="1082"/>
      <c r="BA13" s="1082"/>
      <c r="BB13" s="1082"/>
      <c r="BC13" s="1082"/>
      <c r="BD13" s="1082"/>
      <c r="BE13" s="1083"/>
      <c r="BM13" s="1076" t="s">
        <v>1910</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6" t="s">
        <v>1911</v>
      </c>
      <c r="AB14" s="2236"/>
      <c r="AC14" s="2236"/>
      <c r="AD14" s="2236"/>
      <c r="AE14" s="2236"/>
      <c r="AF14" s="2236"/>
      <c r="AG14" s="2236"/>
      <c r="AH14" s="2236"/>
      <c r="AI14" s="2236"/>
      <c r="AJ14" s="2236"/>
      <c r="AK14" s="2236"/>
      <c r="AL14" s="2236"/>
      <c r="AM14" s="2236"/>
      <c r="AN14" s="2236"/>
      <c r="AO14" s="2219"/>
      <c r="AP14" s="2220"/>
      <c r="AQ14" s="2220"/>
      <c r="AR14" s="2220"/>
      <c r="AS14" s="2220"/>
      <c r="AT14" s="1082"/>
      <c r="AU14" s="1082"/>
      <c r="AV14" s="1082"/>
      <c r="AW14" s="1082"/>
      <c r="AX14" s="1082"/>
      <c r="AY14" s="1082"/>
      <c r="AZ14" s="1082"/>
      <c r="BA14" s="1082"/>
      <c r="BB14" s="1082"/>
      <c r="BC14" s="1082"/>
      <c r="BD14" s="1082"/>
      <c r="BE14" s="1083"/>
    </row>
    <row r="15" spans="1:65" ht="16" thickBot="1">
      <c r="A15" s="1079"/>
      <c r="B15" s="2213" t="s">
        <v>1912</v>
      </c>
      <c r="C15" s="2214"/>
      <c r="D15" s="2214"/>
      <c r="E15" s="2214"/>
      <c r="F15" s="2214"/>
      <c r="G15" s="2214"/>
      <c r="H15" s="2214"/>
      <c r="I15" s="2214"/>
      <c r="J15" s="2214"/>
      <c r="K15" s="2214"/>
      <c r="L15" s="2214"/>
      <c r="M15" s="2214"/>
      <c r="N15" s="2214"/>
      <c r="O15" s="2214"/>
      <c r="P15" s="2214"/>
      <c r="Q15" s="2214"/>
      <c r="R15" s="2215"/>
      <c r="S15" s="2216" t="str">
        <f>IF(Application!AB214="","",Application!AB214)</f>
        <v/>
      </c>
      <c r="T15" s="2216"/>
      <c r="U15" s="2216"/>
      <c r="V15" s="2216"/>
      <c r="W15" s="2217"/>
      <c r="X15" s="1082"/>
      <c r="Y15" s="1079"/>
      <c r="Z15" s="1079"/>
      <c r="AA15" s="2218" t="s">
        <v>1913</v>
      </c>
      <c r="AB15" s="2218"/>
      <c r="AC15" s="2218"/>
      <c r="AD15" s="2218"/>
      <c r="AE15" s="2218"/>
      <c r="AF15" s="2218"/>
      <c r="AG15" s="2218"/>
      <c r="AH15" s="2218"/>
      <c r="AI15" s="2218"/>
      <c r="AJ15" s="2218"/>
      <c r="AK15" s="2218"/>
      <c r="AL15" s="2218"/>
      <c r="AM15" s="2218"/>
      <c r="AN15" s="2218"/>
      <c r="AO15" s="2219"/>
      <c r="AP15" s="2220"/>
      <c r="AQ15" s="2220"/>
      <c r="AR15" s="2220"/>
      <c r="AS15" s="2220"/>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6" t="s">
        <v>1914</v>
      </c>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c r="AS17" s="2027"/>
      <c r="AT17" s="2027"/>
      <c r="AU17" s="2027"/>
      <c r="AV17" s="2027"/>
      <c r="AW17" s="2027"/>
      <c r="AX17" s="2027"/>
      <c r="AY17" s="2028"/>
      <c r="AZ17" s="1079"/>
      <c r="BA17" s="1079"/>
      <c r="BB17" s="1079"/>
      <c r="BC17" s="1079"/>
      <c r="BD17" s="1079"/>
      <c r="BE17" s="1083"/>
      <c r="BF17" s="1077"/>
    </row>
    <row r="18" spans="1:58" ht="15.75" customHeight="1">
      <c r="A18" s="1079"/>
      <c r="B18" s="2221" t="s">
        <v>1915</v>
      </c>
      <c r="C18" s="2222"/>
      <c r="D18" s="2222"/>
      <c r="E18" s="2222"/>
      <c r="F18" s="2222"/>
      <c r="G18" s="2222"/>
      <c r="H18" s="2222"/>
      <c r="I18" s="2223"/>
      <c r="J18" s="2224" t="s">
        <v>1916</v>
      </c>
      <c r="K18" s="2225"/>
      <c r="L18" s="2225"/>
      <c r="M18" s="2225"/>
      <c r="N18" s="2225"/>
      <c r="O18" s="2226"/>
      <c r="P18" s="2224" t="s">
        <v>832</v>
      </c>
      <c r="Q18" s="2225"/>
      <c r="R18" s="2225"/>
      <c r="S18" s="2225"/>
      <c r="T18" s="2225"/>
      <c r="U18" s="2226"/>
      <c r="V18" s="2224" t="s">
        <v>833</v>
      </c>
      <c r="W18" s="2225"/>
      <c r="X18" s="2225"/>
      <c r="Y18" s="2225"/>
      <c r="Z18" s="2225"/>
      <c r="AA18" s="2226"/>
      <c r="AB18" s="2224" t="s">
        <v>834</v>
      </c>
      <c r="AC18" s="2225"/>
      <c r="AD18" s="2225"/>
      <c r="AE18" s="2225"/>
      <c r="AF18" s="2225"/>
      <c r="AG18" s="2226"/>
      <c r="AH18" s="2224" t="s">
        <v>835</v>
      </c>
      <c r="AI18" s="2225"/>
      <c r="AJ18" s="2225"/>
      <c r="AK18" s="2225"/>
      <c r="AL18" s="2225"/>
      <c r="AM18" s="2226"/>
      <c r="AN18" s="2224" t="s">
        <v>836</v>
      </c>
      <c r="AO18" s="2225"/>
      <c r="AP18" s="2225"/>
      <c r="AQ18" s="2225"/>
      <c r="AR18" s="2225"/>
      <c r="AS18" s="2226"/>
      <c r="AT18" s="2224" t="s">
        <v>1917</v>
      </c>
      <c r="AU18" s="2225"/>
      <c r="AV18" s="2225"/>
      <c r="AW18" s="2225"/>
      <c r="AX18" s="2225"/>
      <c r="AY18" s="2227"/>
      <c r="AZ18" s="1079"/>
      <c r="BA18" s="1079"/>
      <c r="BB18" s="1079"/>
      <c r="BC18" s="1079"/>
      <c r="BD18" s="1079"/>
      <c r="BE18" s="1083"/>
    </row>
    <row r="19" spans="1:58" ht="15">
      <c r="A19" s="1079"/>
      <c r="B19" s="2207">
        <v>0.3</v>
      </c>
      <c r="C19" s="2208"/>
      <c r="D19" s="2208"/>
      <c r="E19" s="2208"/>
      <c r="F19" s="2208"/>
      <c r="G19" s="2208"/>
      <c r="H19" s="2208"/>
      <c r="I19" s="2209"/>
      <c r="J19" s="2210">
        <f t="shared" ref="J19:J24" si="0">SUM(P19:AS19)</f>
        <v>50</v>
      </c>
      <c r="K19" s="2211"/>
      <c r="L19" s="2211"/>
      <c r="M19" s="2211"/>
      <c r="N19" s="2211"/>
      <c r="O19" s="2212"/>
      <c r="P19" s="2210" cm="1">
        <f t="array" ref="P19">SUMPRODUCT((Application!$B$718:$B$752 = 'CalHFA Addendum'!P$18)*(Application!$AC$718:$AC$752 = 'CalHFA Addendum'!$B19),Application!$G$718:$G$752)</f>
        <v>0</v>
      </c>
      <c r="Q19" s="2211"/>
      <c r="R19" s="2211"/>
      <c r="S19" s="2211"/>
      <c r="T19" s="2211"/>
      <c r="U19" s="2212"/>
      <c r="V19" s="2210" cm="1">
        <f t="array" ref="V19">SUMPRODUCT((Application!$B$714:$B$738 = 'CalHFA Addendum'!V$18)*(Application!$AC$714:$AC$738 = 'CalHFA Addendum'!$B19),Application!$G$714:$G$738)</f>
        <v>5</v>
      </c>
      <c r="W19" s="2211"/>
      <c r="X19" s="2211"/>
      <c r="Y19" s="2211"/>
      <c r="Z19" s="2211"/>
      <c r="AA19" s="2212"/>
      <c r="AB19" s="2210" cm="1">
        <f t="array" ref="AB19">SUMPRODUCT((Application!$B$714:$B$738 = 'CalHFA Addendum'!AB$18)*(Application!$AC$714:$AC$738 = 'CalHFA Addendum'!$B19),Application!$G$714:$G$738)</f>
        <v>15</v>
      </c>
      <c r="AC19" s="2211"/>
      <c r="AD19" s="2211"/>
      <c r="AE19" s="2211"/>
      <c r="AF19" s="2211"/>
      <c r="AG19" s="2212"/>
      <c r="AH19" s="2210" cm="1">
        <f t="array" ref="AH19">SUMPRODUCT((Application!$B$714:$B$738 = 'CalHFA Addendum'!AH$18)*(Application!$AC$714:$AC$738 = 'CalHFA Addendum'!$B19),Application!$G$714:$G$738)</f>
        <v>30</v>
      </c>
      <c r="AI19" s="2211"/>
      <c r="AJ19" s="2211"/>
      <c r="AK19" s="2211"/>
      <c r="AL19" s="2211"/>
      <c r="AM19" s="2212"/>
      <c r="AN19" s="2210" cm="1">
        <f t="array" ref="AN19">SUMPRODUCT((Application!$B$714:$B$738 = 'CalHFA Addendum'!AN$18)*(Application!$AC$714:$AC$738 = 'CalHFA Addendum'!$B19),Application!$G$714:$G$738)</f>
        <v>0</v>
      </c>
      <c r="AO19" s="2211"/>
      <c r="AP19" s="2211"/>
      <c r="AQ19" s="2211"/>
      <c r="AR19" s="2211"/>
      <c r="AS19" s="2212"/>
      <c r="AT19" s="2195">
        <f t="shared" ref="AT19:AT29" si="1">J19/$J$29</f>
        <v>0.25125628140703515</v>
      </c>
      <c r="AU19" s="2196"/>
      <c r="AV19" s="2196"/>
      <c r="AW19" s="2196"/>
      <c r="AX19" s="2196"/>
      <c r="AY19" s="2197"/>
      <c r="AZ19" s="1084"/>
      <c r="BA19" s="1079"/>
      <c r="BB19" s="1079"/>
      <c r="BC19" s="1079"/>
      <c r="BD19" s="1079"/>
      <c r="BE19" s="1083"/>
    </row>
    <row r="20" spans="1:58" ht="15" customHeight="1">
      <c r="A20" s="1079"/>
      <c r="B20" s="2207">
        <v>0.4</v>
      </c>
      <c r="C20" s="2208"/>
      <c r="D20" s="2208"/>
      <c r="E20" s="2208"/>
      <c r="F20" s="2208"/>
      <c r="G20" s="2208"/>
      <c r="H20" s="2208"/>
      <c r="I20" s="2209"/>
      <c r="J20" s="2210">
        <f t="shared" si="0"/>
        <v>11</v>
      </c>
      <c r="K20" s="2211"/>
      <c r="L20" s="2211"/>
      <c r="M20" s="2211"/>
      <c r="N20" s="2211"/>
      <c r="O20" s="2212"/>
      <c r="P20" s="2210" cm="1">
        <f t="array" ref="P20">SUMPRODUCT((Application!$B$718:$B$752 = 'CalHFA Addendum'!P$18)*(Application!$AC$718:$AC$752 = 'CalHFA Addendum'!$B20),Application!$G$718:$G$752)</f>
        <v>0</v>
      </c>
      <c r="Q20" s="2211"/>
      <c r="R20" s="2211"/>
      <c r="S20" s="2211"/>
      <c r="T20" s="2211"/>
      <c r="U20" s="2212"/>
      <c r="V20" s="2210" cm="1">
        <f t="array" ref="V20">SUMPRODUCT((Application!$B$714:$B$738 = 'CalHFA Addendum'!V$18)*(Application!$AC$714:$AC$738 = 'CalHFA Addendum'!$B20),Application!$G$714:$G$738)</f>
        <v>11</v>
      </c>
      <c r="W20" s="2211"/>
      <c r="X20" s="2211"/>
      <c r="Y20" s="2211"/>
      <c r="Z20" s="2211"/>
      <c r="AA20" s="2212"/>
      <c r="AB20" s="2210" cm="1">
        <f t="array" ref="AB20">SUMPRODUCT((Application!$B$714:$B$738 = 'CalHFA Addendum'!AB$18)*(Application!$AC$714:$AC$738 = 'CalHFA Addendum'!$B20),Application!$G$714:$G$738)</f>
        <v>0</v>
      </c>
      <c r="AC20" s="2211"/>
      <c r="AD20" s="2211"/>
      <c r="AE20" s="2211"/>
      <c r="AF20" s="2211"/>
      <c r="AG20" s="2212"/>
      <c r="AH20" s="2210" cm="1">
        <f t="array" ref="AH20">SUMPRODUCT((Application!$B$714:$B$738 = 'CalHFA Addendum'!AH$18)*(Application!$AC$714:$AC$738 = 'CalHFA Addendum'!$B20),Application!$G$714:$G$738)</f>
        <v>0</v>
      </c>
      <c r="AI20" s="2211"/>
      <c r="AJ20" s="2211"/>
      <c r="AK20" s="2211"/>
      <c r="AL20" s="2211"/>
      <c r="AM20" s="2212"/>
      <c r="AN20" s="2210" cm="1">
        <f t="array" ref="AN20">SUMPRODUCT((Application!$B$714:$B$738 = 'CalHFA Addendum'!AN$18)*(Application!$AC$714:$AC$738 = 'CalHFA Addendum'!$B20),Application!$G$714:$G$738)</f>
        <v>0</v>
      </c>
      <c r="AO20" s="2211"/>
      <c r="AP20" s="2211"/>
      <c r="AQ20" s="2211"/>
      <c r="AR20" s="2211"/>
      <c r="AS20" s="2212"/>
      <c r="AT20" s="2195">
        <f t="shared" si="1"/>
        <v>5.5276381909547742E-2</v>
      </c>
      <c r="AU20" s="2196"/>
      <c r="AV20" s="2196"/>
      <c r="AW20" s="2196"/>
      <c r="AX20" s="2196"/>
      <c r="AY20" s="2197"/>
      <c r="AZ20" s="1079"/>
      <c r="BA20" s="1079"/>
      <c r="BB20" s="1079"/>
      <c r="BC20" s="1079"/>
      <c r="BD20" s="1079"/>
      <c r="BE20" s="1083"/>
    </row>
    <row r="21" spans="1:58" ht="15">
      <c r="A21" s="1079"/>
      <c r="B21" s="2207">
        <v>0.5</v>
      </c>
      <c r="C21" s="2208"/>
      <c r="D21" s="2208"/>
      <c r="E21" s="2208"/>
      <c r="F21" s="2208"/>
      <c r="G21" s="2208"/>
      <c r="H21" s="2208"/>
      <c r="I21" s="2209"/>
      <c r="J21" s="2210">
        <f t="shared" si="0"/>
        <v>0</v>
      </c>
      <c r="K21" s="2211"/>
      <c r="L21" s="2211"/>
      <c r="M21" s="2211"/>
      <c r="N21" s="2211"/>
      <c r="O21" s="2212"/>
      <c r="P21" s="2210" cm="1">
        <f t="array" ref="P21">SUMPRODUCT((Application!$B$714:$B$738 = 'CalHFA Addendum'!P$18)*(Application!$AC$714:$AC$738 = 'CalHFA Addendum'!$B21),Application!$G$714:$G$738)</f>
        <v>0</v>
      </c>
      <c r="Q21" s="2211"/>
      <c r="R21" s="2211"/>
      <c r="S21" s="2211"/>
      <c r="T21" s="2211"/>
      <c r="U21" s="2212"/>
      <c r="V21" s="2210" cm="1">
        <f t="array" ref="V21">SUMPRODUCT((Application!$B$714:$B$738 = 'CalHFA Addendum'!V$18)*(Application!$AC$714:$AC$738 = 'CalHFA Addendum'!$B21),Application!$G$714:$G$738)</f>
        <v>0</v>
      </c>
      <c r="W21" s="2211"/>
      <c r="X21" s="2211"/>
      <c r="Y21" s="2211"/>
      <c r="Z21" s="2211"/>
      <c r="AA21" s="2212"/>
      <c r="AB21" s="2210" cm="1">
        <f t="array" ref="AB21">SUMPRODUCT((Application!$B$714:$B$738 = 'CalHFA Addendum'!AB$18)*(Application!$AC$714:$AC$738 = 'CalHFA Addendum'!$B21),Application!$G$714:$G$738)</f>
        <v>0</v>
      </c>
      <c r="AC21" s="2211"/>
      <c r="AD21" s="2211"/>
      <c r="AE21" s="2211"/>
      <c r="AF21" s="2211"/>
      <c r="AG21" s="2212"/>
      <c r="AH21" s="2210" cm="1">
        <f t="array" ref="AH21">SUMPRODUCT((Application!$B$714:$B$738 = 'CalHFA Addendum'!AH$18)*(Application!$AC$714:$AC$738 = 'CalHFA Addendum'!$B21),Application!$G$714:$G$738)</f>
        <v>0</v>
      </c>
      <c r="AI21" s="2211"/>
      <c r="AJ21" s="2211"/>
      <c r="AK21" s="2211"/>
      <c r="AL21" s="2211"/>
      <c r="AM21" s="2212"/>
      <c r="AN21" s="2210" cm="1">
        <f t="array" ref="AN21">SUMPRODUCT((Application!$B$714:$B$738 = 'CalHFA Addendum'!AN$18)*(Application!$AC$714:$AC$738 = 'CalHFA Addendum'!$B21),Application!$G$714:$G$738)</f>
        <v>0</v>
      </c>
      <c r="AO21" s="2211"/>
      <c r="AP21" s="2211"/>
      <c r="AQ21" s="2211"/>
      <c r="AR21" s="2211"/>
      <c r="AS21" s="2212"/>
      <c r="AT21" s="2195">
        <f t="shared" si="1"/>
        <v>0</v>
      </c>
      <c r="AU21" s="2196"/>
      <c r="AV21" s="2196"/>
      <c r="AW21" s="2196"/>
      <c r="AX21" s="2196"/>
      <c r="AY21" s="2197"/>
      <c r="AZ21" s="1079"/>
      <c r="BA21" s="1079"/>
      <c r="BB21" s="1079"/>
      <c r="BC21" s="1079"/>
      <c r="BD21" s="1079"/>
      <c r="BE21" s="1083"/>
    </row>
    <row r="22" spans="1:58" ht="15">
      <c r="A22" s="1079"/>
      <c r="B22" s="2207">
        <v>0.6</v>
      </c>
      <c r="C22" s="2208"/>
      <c r="D22" s="2208"/>
      <c r="E22" s="2208"/>
      <c r="F22" s="2208"/>
      <c r="G22" s="2208"/>
      <c r="H22" s="2208"/>
      <c r="I22" s="2209"/>
      <c r="J22" s="2210">
        <f t="shared" si="0"/>
        <v>77</v>
      </c>
      <c r="K22" s="2211"/>
      <c r="L22" s="2211"/>
      <c r="M22" s="2211"/>
      <c r="N22" s="2211"/>
      <c r="O22" s="2212"/>
      <c r="P22" s="2210" cm="1">
        <f t="array" ref="P22">SUMPRODUCT((Application!$B$714:$B$738 = 'CalHFA Addendum'!P$18)*(Application!$AC$714:$AC$738 = 'CalHFA Addendum'!$B22),Application!$G$714:$G$738)</f>
        <v>0</v>
      </c>
      <c r="Q22" s="2211"/>
      <c r="R22" s="2211"/>
      <c r="S22" s="2211"/>
      <c r="T22" s="2211"/>
      <c r="U22" s="2212"/>
      <c r="V22" s="2210" cm="1">
        <f t="array" ref="V22">SUMPRODUCT((Application!$B$714:$B$738 = 'CalHFA Addendum'!V$18)*(Application!$AC$714:$AC$738 = 'CalHFA Addendum'!$B22),Application!$G$714:$G$738)</f>
        <v>32</v>
      </c>
      <c r="W22" s="2211"/>
      <c r="X22" s="2211"/>
      <c r="Y22" s="2211"/>
      <c r="Z22" s="2211"/>
      <c r="AA22" s="2212"/>
      <c r="AB22" s="2210" cm="1">
        <f t="array" ref="AB22">SUMPRODUCT((Application!$B$714:$B$738 = 'CalHFA Addendum'!AB$18)*(Application!$AC$714:$AC$738 = 'CalHFA Addendum'!$B22),Application!$G$714:$G$738)</f>
        <v>42</v>
      </c>
      <c r="AC22" s="2211"/>
      <c r="AD22" s="2211"/>
      <c r="AE22" s="2211"/>
      <c r="AF22" s="2211"/>
      <c r="AG22" s="2212"/>
      <c r="AH22" s="2210" cm="1">
        <f t="array" ref="AH22">SUMPRODUCT((Application!$B$714:$B$738 = 'CalHFA Addendum'!AH$18)*(Application!$AC$714:$AC$738 = 'CalHFA Addendum'!$B22),Application!$G$714:$G$738)</f>
        <v>3</v>
      </c>
      <c r="AI22" s="2211"/>
      <c r="AJ22" s="2211"/>
      <c r="AK22" s="2211"/>
      <c r="AL22" s="2211"/>
      <c r="AM22" s="2212"/>
      <c r="AN22" s="2210" cm="1">
        <f t="array" ref="AN22">SUMPRODUCT((Application!$B$714:$B$738 = 'CalHFA Addendum'!AN$18)*(Application!$AC$714:$AC$738 = 'CalHFA Addendum'!$B22),Application!$G$714:$G$738)</f>
        <v>0</v>
      </c>
      <c r="AO22" s="2211"/>
      <c r="AP22" s="2211"/>
      <c r="AQ22" s="2211"/>
      <c r="AR22" s="2211"/>
      <c r="AS22" s="2212"/>
      <c r="AT22" s="2195">
        <f t="shared" si="1"/>
        <v>0.38693467336683418</v>
      </c>
      <c r="AU22" s="2196"/>
      <c r="AV22" s="2196"/>
      <c r="AW22" s="2196"/>
      <c r="AX22" s="2196"/>
      <c r="AY22" s="2197"/>
      <c r="AZ22" s="1079"/>
      <c r="BA22" s="1079"/>
      <c r="BB22" s="1079"/>
      <c r="BC22" s="1079"/>
      <c r="BD22" s="1079"/>
      <c r="BE22" s="1083"/>
    </row>
    <row r="23" spans="1:58" ht="15">
      <c r="A23" s="1079"/>
      <c r="B23" s="2207">
        <v>0.7</v>
      </c>
      <c r="C23" s="2208"/>
      <c r="D23" s="2208"/>
      <c r="E23" s="2208"/>
      <c r="F23" s="2208"/>
      <c r="G23" s="2208"/>
      <c r="H23" s="2208"/>
      <c r="I23" s="2209"/>
      <c r="J23" s="2210">
        <f t="shared" si="0"/>
        <v>0</v>
      </c>
      <c r="K23" s="2211"/>
      <c r="L23" s="2211"/>
      <c r="M23" s="2211"/>
      <c r="N23" s="2211"/>
      <c r="O23" s="2212"/>
      <c r="P23" s="2210" cm="1">
        <f t="array" ref="P23">SUMPRODUCT((Application!$B$714:$B$738 = 'CalHFA Addendum'!P$18)*(Application!$AC$714:$AC$738 = 'CalHFA Addendum'!$B23),Application!$G$714:$G$738)</f>
        <v>0</v>
      </c>
      <c r="Q23" s="2211"/>
      <c r="R23" s="2211"/>
      <c r="S23" s="2211"/>
      <c r="T23" s="2211"/>
      <c r="U23" s="2212"/>
      <c r="V23" s="2210" cm="1">
        <f t="array" ref="V23">SUMPRODUCT((Application!$B$714:$B$738 = 'CalHFA Addendum'!V$18)*(Application!$AC$714:$AC$738 = 'CalHFA Addendum'!$B23),Application!$G$714:$G$738)</f>
        <v>0</v>
      </c>
      <c r="W23" s="2211"/>
      <c r="X23" s="2211"/>
      <c r="Y23" s="2211"/>
      <c r="Z23" s="2211"/>
      <c r="AA23" s="2212"/>
      <c r="AB23" s="2210" cm="1">
        <f t="array" ref="AB23">SUMPRODUCT((Application!$B$714:$B$738 = 'CalHFA Addendum'!AB$18)*(Application!$AC$714:$AC$738 = 'CalHFA Addendum'!$B23),Application!$G$714:$G$738)</f>
        <v>0</v>
      </c>
      <c r="AC23" s="2211"/>
      <c r="AD23" s="2211"/>
      <c r="AE23" s="2211"/>
      <c r="AF23" s="2211"/>
      <c r="AG23" s="2212"/>
      <c r="AH23" s="2210" cm="1">
        <f t="array" ref="AH23">SUMPRODUCT((Application!$B$714:$B$738 = 'CalHFA Addendum'!AH$18)*(Application!$AC$714:$AC$738 = 'CalHFA Addendum'!$B23),Application!$G$714:$G$738)</f>
        <v>0</v>
      </c>
      <c r="AI23" s="2211"/>
      <c r="AJ23" s="2211"/>
      <c r="AK23" s="2211"/>
      <c r="AL23" s="2211"/>
      <c r="AM23" s="2212"/>
      <c r="AN23" s="2210" cm="1">
        <f t="array" ref="AN23">SUMPRODUCT((Application!$B$714:$B$738 = 'CalHFA Addendum'!AN$18)*(Application!$AC$714:$AC$738 = 'CalHFA Addendum'!$B23),Application!$G$714:$G$738)</f>
        <v>0</v>
      </c>
      <c r="AO23" s="2211"/>
      <c r="AP23" s="2211"/>
      <c r="AQ23" s="2211"/>
      <c r="AR23" s="2211"/>
      <c r="AS23" s="2212"/>
      <c r="AT23" s="2195">
        <f t="shared" si="1"/>
        <v>0</v>
      </c>
      <c r="AU23" s="2196"/>
      <c r="AV23" s="2196"/>
      <c r="AW23" s="2196"/>
      <c r="AX23" s="2196"/>
      <c r="AY23" s="2197"/>
      <c r="AZ23" s="1079"/>
      <c r="BA23" s="1079"/>
      <c r="BB23" s="1079"/>
      <c r="BC23" s="1079"/>
      <c r="BD23" s="1079"/>
      <c r="BE23" s="1083"/>
    </row>
    <row r="24" spans="1:58" ht="15">
      <c r="A24" s="1079"/>
      <c r="B24" s="2207">
        <v>0.8</v>
      </c>
      <c r="C24" s="2208"/>
      <c r="D24" s="2208"/>
      <c r="E24" s="2208"/>
      <c r="F24" s="2208"/>
      <c r="G24" s="2208"/>
      <c r="H24" s="2208"/>
      <c r="I24" s="2209"/>
      <c r="J24" s="2210">
        <f t="shared" si="0"/>
        <v>59</v>
      </c>
      <c r="K24" s="2211"/>
      <c r="L24" s="2211"/>
      <c r="M24" s="2211"/>
      <c r="N24" s="2211"/>
      <c r="O24" s="2212"/>
      <c r="P24" s="2210" cm="1">
        <f t="array" ref="P24">SUMPRODUCT((Application!$B$714:$B$738 = 'CalHFA Addendum'!P$18)*(Application!$AC$714:$AC$738 = 'CalHFA Addendum'!$B24),Application!$G$714:$G$738)</f>
        <v>0</v>
      </c>
      <c r="Q24" s="2211"/>
      <c r="R24" s="2211"/>
      <c r="S24" s="2211"/>
      <c r="T24" s="2211"/>
      <c r="U24" s="2212"/>
      <c r="V24" s="2210" cm="1">
        <f t="array" ref="V24">SUMPRODUCT((Application!$B$714:$B$738 = 'CalHFA Addendum'!V$18)*(Application!$AC$714:$AC$738 = 'CalHFA Addendum'!$B24),Application!$G$714:$G$738)</f>
        <v>0</v>
      </c>
      <c r="W24" s="2211"/>
      <c r="X24" s="2211"/>
      <c r="Y24" s="2211"/>
      <c r="Z24" s="2211"/>
      <c r="AA24" s="2212"/>
      <c r="AB24" s="2210" cm="1">
        <f t="array" ref="AB24">SUMPRODUCT((Application!$B$714:$B$738 = 'CalHFA Addendum'!AB$18)*(Application!$AC$714:$AC$738 = 'CalHFA Addendum'!$B24),Application!$G$714:$G$738)</f>
        <v>0</v>
      </c>
      <c r="AC24" s="2211"/>
      <c r="AD24" s="2211"/>
      <c r="AE24" s="2211"/>
      <c r="AF24" s="2211"/>
      <c r="AG24" s="2212"/>
      <c r="AH24" s="2210" cm="1">
        <f t="array" ref="AH24">SUMPRODUCT((Application!$B$714:$B$738 = 'CalHFA Addendum'!AH$18)*(Application!$AC$714:$AC$738 = 'CalHFA Addendum'!$B24),Application!$G$714:$G$738)</f>
        <v>59</v>
      </c>
      <c r="AI24" s="2211"/>
      <c r="AJ24" s="2211"/>
      <c r="AK24" s="2211"/>
      <c r="AL24" s="2211"/>
      <c r="AM24" s="2212"/>
      <c r="AN24" s="2210" cm="1">
        <f t="array" ref="AN24">SUMPRODUCT((Application!$B$714:$B$738 = 'CalHFA Addendum'!AN$18)*(Application!$AC$714:$AC$738 = 'CalHFA Addendum'!$B24),Application!$G$714:$G$738)</f>
        <v>0</v>
      </c>
      <c r="AO24" s="2211"/>
      <c r="AP24" s="2211"/>
      <c r="AQ24" s="2211"/>
      <c r="AR24" s="2211"/>
      <c r="AS24" s="2212"/>
      <c r="AT24" s="2195">
        <f t="shared" si="1"/>
        <v>0.29648241206030151</v>
      </c>
      <c r="AU24" s="2196"/>
      <c r="AV24" s="2196"/>
      <c r="AW24" s="2196"/>
      <c r="AX24" s="2196"/>
      <c r="AY24" s="2197"/>
      <c r="AZ24" s="1079"/>
      <c r="BA24" s="1079"/>
      <c r="BB24" s="1079"/>
      <c r="BC24" s="1079"/>
      <c r="BD24" s="1079"/>
      <c r="BE24" s="1083"/>
    </row>
    <row r="25" spans="1:58" ht="15">
      <c r="A25" s="1079"/>
      <c r="B25" s="2207">
        <v>0.9</v>
      </c>
      <c r="C25" s="2208"/>
      <c r="D25" s="2208"/>
      <c r="E25" s="2208"/>
      <c r="F25" s="2208"/>
      <c r="G25" s="2208"/>
      <c r="H25" s="2208"/>
      <c r="I25" s="2209"/>
      <c r="J25" s="2192"/>
      <c r="K25" s="2193"/>
      <c r="L25" s="2193"/>
      <c r="M25" s="2193"/>
      <c r="N25" s="2193"/>
      <c r="O25" s="2194"/>
      <c r="P25" s="2192"/>
      <c r="Q25" s="2193"/>
      <c r="R25" s="2193"/>
      <c r="S25" s="2193"/>
      <c r="T25" s="2193"/>
      <c r="U25" s="2194"/>
      <c r="V25" s="2192"/>
      <c r="W25" s="2193"/>
      <c r="X25" s="2193"/>
      <c r="Y25" s="2193"/>
      <c r="Z25" s="2193"/>
      <c r="AA25" s="2194"/>
      <c r="AB25" s="2192"/>
      <c r="AC25" s="2193"/>
      <c r="AD25" s="2193"/>
      <c r="AE25" s="2193"/>
      <c r="AF25" s="2193"/>
      <c r="AG25" s="2194"/>
      <c r="AH25" s="2192"/>
      <c r="AI25" s="2193"/>
      <c r="AJ25" s="2193"/>
      <c r="AK25" s="2193"/>
      <c r="AL25" s="2193"/>
      <c r="AM25" s="2194"/>
      <c r="AN25" s="2192"/>
      <c r="AO25" s="2193"/>
      <c r="AP25" s="2193"/>
      <c r="AQ25" s="2193"/>
      <c r="AR25" s="2193"/>
      <c r="AS25" s="2194"/>
      <c r="AT25" s="2195">
        <f t="shared" si="1"/>
        <v>0</v>
      </c>
      <c r="AU25" s="2196"/>
      <c r="AV25" s="2196"/>
      <c r="AW25" s="2196"/>
      <c r="AX25" s="2196"/>
      <c r="AY25" s="2197"/>
      <c r="AZ25" s="1079"/>
      <c r="BA25" s="1079"/>
      <c r="BB25" s="1079"/>
      <c r="BC25" s="1079"/>
      <c r="BD25" s="1079"/>
      <c r="BE25" s="1083"/>
    </row>
    <row r="26" spans="1:58" ht="15">
      <c r="A26" s="1079"/>
      <c r="B26" s="2207">
        <v>1</v>
      </c>
      <c r="C26" s="2208"/>
      <c r="D26" s="2208"/>
      <c r="E26" s="2208"/>
      <c r="F26" s="2208"/>
      <c r="G26" s="2208"/>
      <c r="H26" s="2208"/>
      <c r="I26" s="2209"/>
      <c r="J26" s="2192"/>
      <c r="K26" s="2193"/>
      <c r="L26" s="2193"/>
      <c r="M26" s="2193"/>
      <c r="N26" s="2193"/>
      <c r="O26" s="2194"/>
      <c r="P26" s="2192"/>
      <c r="Q26" s="2193"/>
      <c r="R26" s="2193"/>
      <c r="S26" s="2193"/>
      <c r="T26" s="2193"/>
      <c r="U26" s="2194"/>
      <c r="V26" s="2192"/>
      <c r="W26" s="2193"/>
      <c r="X26" s="2193"/>
      <c r="Y26" s="2193"/>
      <c r="Z26" s="2193"/>
      <c r="AA26" s="2194"/>
      <c r="AB26" s="2192"/>
      <c r="AC26" s="2193"/>
      <c r="AD26" s="2193"/>
      <c r="AE26" s="2193"/>
      <c r="AF26" s="2193"/>
      <c r="AG26" s="2194"/>
      <c r="AH26" s="2192"/>
      <c r="AI26" s="2193"/>
      <c r="AJ26" s="2193"/>
      <c r="AK26" s="2193"/>
      <c r="AL26" s="2193"/>
      <c r="AM26" s="2194"/>
      <c r="AN26" s="2192"/>
      <c r="AO26" s="2193"/>
      <c r="AP26" s="2193"/>
      <c r="AQ26" s="2193"/>
      <c r="AR26" s="2193"/>
      <c r="AS26" s="2194"/>
      <c r="AT26" s="2195">
        <f t="shared" si="1"/>
        <v>0</v>
      </c>
      <c r="AU26" s="2196"/>
      <c r="AV26" s="2196"/>
      <c r="AW26" s="2196"/>
      <c r="AX26" s="2196"/>
      <c r="AY26" s="2197"/>
      <c r="AZ26" s="1079"/>
      <c r="BA26" s="1079"/>
      <c r="BB26" s="1079"/>
      <c r="BC26" s="1079"/>
      <c r="BD26" s="1079"/>
      <c r="BE26" s="1083"/>
    </row>
    <row r="27" spans="1:58" ht="15">
      <c r="A27" s="1079"/>
      <c r="B27" s="2207">
        <v>1.2</v>
      </c>
      <c r="C27" s="2208"/>
      <c r="D27" s="2208"/>
      <c r="E27" s="2208"/>
      <c r="F27" s="2208"/>
      <c r="G27" s="2208"/>
      <c r="H27" s="2208"/>
      <c r="I27" s="2209"/>
      <c r="J27" s="2192"/>
      <c r="K27" s="2193"/>
      <c r="L27" s="2193"/>
      <c r="M27" s="2193"/>
      <c r="N27" s="2193"/>
      <c r="O27" s="2194"/>
      <c r="P27" s="2192"/>
      <c r="Q27" s="2193"/>
      <c r="R27" s="2193"/>
      <c r="S27" s="2193"/>
      <c r="T27" s="2193"/>
      <c r="U27" s="2194"/>
      <c r="V27" s="2192"/>
      <c r="W27" s="2193"/>
      <c r="X27" s="2193"/>
      <c r="Y27" s="2193"/>
      <c r="Z27" s="2193"/>
      <c r="AA27" s="2194"/>
      <c r="AB27" s="2192"/>
      <c r="AC27" s="2193"/>
      <c r="AD27" s="2193"/>
      <c r="AE27" s="2193"/>
      <c r="AF27" s="2193"/>
      <c r="AG27" s="2194"/>
      <c r="AH27" s="2192"/>
      <c r="AI27" s="2193"/>
      <c r="AJ27" s="2193"/>
      <c r="AK27" s="2193"/>
      <c r="AL27" s="2193"/>
      <c r="AM27" s="2194"/>
      <c r="AN27" s="2192"/>
      <c r="AO27" s="2193"/>
      <c r="AP27" s="2193"/>
      <c r="AQ27" s="2193"/>
      <c r="AR27" s="2193"/>
      <c r="AS27" s="2194"/>
      <c r="AT27" s="2195">
        <f t="shared" si="1"/>
        <v>0</v>
      </c>
      <c r="AU27" s="2196"/>
      <c r="AV27" s="2196"/>
      <c r="AW27" s="2196"/>
      <c r="AX27" s="2196"/>
      <c r="AY27" s="2197"/>
      <c r="AZ27" s="1079"/>
      <c r="BA27" s="1079"/>
      <c r="BB27" s="1079"/>
      <c r="BC27" s="1079"/>
      <c r="BD27" s="1079"/>
      <c r="BE27" s="1083"/>
    </row>
    <row r="28" spans="1:58" ht="16" thickBot="1">
      <c r="A28" s="1079"/>
      <c r="B28" s="2198" t="s">
        <v>1918</v>
      </c>
      <c r="C28" s="2199"/>
      <c r="D28" s="2199"/>
      <c r="E28" s="2199"/>
      <c r="F28" s="2199"/>
      <c r="G28" s="2199"/>
      <c r="H28" s="2199"/>
      <c r="I28" s="2200"/>
      <c r="J28" s="2201">
        <f>SUM(P28:AS28)</f>
        <v>2</v>
      </c>
      <c r="K28" s="2202"/>
      <c r="L28" s="2202"/>
      <c r="M28" s="2202"/>
      <c r="N28" s="2202"/>
      <c r="O28" s="2203"/>
      <c r="P28" s="2201">
        <f>_xlfn.IFNA(VLOOKUP(P$18,Application!$J$773:$S$776,6,FALSE), 0)</f>
        <v>0</v>
      </c>
      <c r="Q28" s="2202"/>
      <c r="R28" s="2202"/>
      <c r="S28" s="2202"/>
      <c r="T28" s="2202"/>
      <c r="U28" s="2203"/>
      <c r="V28" s="2201">
        <f>_xlfn.IFNA(VLOOKUP(V$18,Application!$J$773:$S$776,6,FALSE), 0)</f>
        <v>0</v>
      </c>
      <c r="W28" s="2202"/>
      <c r="X28" s="2202"/>
      <c r="Y28" s="2202"/>
      <c r="Z28" s="2202"/>
      <c r="AA28" s="2203"/>
      <c r="AB28" s="2201">
        <f>_xlfn.IFNA(VLOOKUP(AB$18,Application!$J$773:$S$776,6,FALSE), 0)</f>
        <v>2</v>
      </c>
      <c r="AC28" s="2202"/>
      <c r="AD28" s="2202"/>
      <c r="AE28" s="2202"/>
      <c r="AF28" s="2202"/>
      <c r="AG28" s="2203"/>
      <c r="AH28" s="2201">
        <f>_xlfn.IFNA(VLOOKUP(AH$18,Application!$J$773:$S$776,6,FALSE), 0)</f>
        <v>0</v>
      </c>
      <c r="AI28" s="2202"/>
      <c r="AJ28" s="2202"/>
      <c r="AK28" s="2202"/>
      <c r="AL28" s="2202"/>
      <c r="AM28" s="2203"/>
      <c r="AN28" s="2201">
        <f>_xlfn.IFNA(VLOOKUP(AN$18,Application!$J$773:$S$776,6,FALSE), 0)</f>
        <v>0</v>
      </c>
      <c r="AO28" s="2202"/>
      <c r="AP28" s="2202"/>
      <c r="AQ28" s="2202"/>
      <c r="AR28" s="2202"/>
      <c r="AS28" s="2203"/>
      <c r="AT28" s="2204">
        <f t="shared" si="1"/>
        <v>1.0050251256281407E-2</v>
      </c>
      <c r="AU28" s="2205"/>
      <c r="AV28" s="2205"/>
      <c r="AW28" s="2205"/>
      <c r="AX28" s="2205"/>
      <c r="AY28" s="2206"/>
      <c r="AZ28" s="1079"/>
      <c r="BA28" s="1079"/>
      <c r="BB28" s="1079"/>
      <c r="BC28" s="1079"/>
      <c r="BD28" s="1079"/>
      <c r="BE28" s="1083"/>
    </row>
    <row r="29" spans="1:58" ht="16" thickBot="1">
      <c r="A29" s="1079"/>
      <c r="B29" s="2181" t="s">
        <v>1916</v>
      </c>
      <c r="C29" s="2154"/>
      <c r="D29" s="2154"/>
      <c r="E29" s="2154"/>
      <c r="F29" s="2154"/>
      <c r="G29" s="2154"/>
      <c r="H29" s="2154"/>
      <c r="I29" s="2155"/>
      <c r="J29" s="2153">
        <f>SUM(J19:O28)</f>
        <v>199</v>
      </c>
      <c r="K29" s="2154"/>
      <c r="L29" s="2154"/>
      <c r="M29" s="2154"/>
      <c r="N29" s="2154"/>
      <c r="O29" s="2155"/>
      <c r="P29" s="2153">
        <f>SUM(P19:U28)</f>
        <v>0</v>
      </c>
      <c r="Q29" s="2154"/>
      <c r="R29" s="2154"/>
      <c r="S29" s="2154"/>
      <c r="T29" s="2154"/>
      <c r="U29" s="2155"/>
      <c r="V29" s="2153">
        <f>SUM(V19:AA28)</f>
        <v>48</v>
      </c>
      <c r="W29" s="2154"/>
      <c r="X29" s="2154"/>
      <c r="Y29" s="2154"/>
      <c r="Z29" s="2154"/>
      <c r="AA29" s="2155"/>
      <c r="AB29" s="2153">
        <f>SUM(AB19:AG28)</f>
        <v>59</v>
      </c>
      <c r="AC29" s="2154"/>
      <c r="AD29" s="2154"/>
      <c r="AE29" s="2154"/>
      <c r="AF29" s="2154"/>
      <c r="AG29" s="2155"/>
      <c r="AH29" s="2153">
        <f>SUM(AH19:AM28)</f>
        <v>92</v>
      </c>
      <c r="AI29" s="2154"/>
      <c r="AJ29" s="2154"/>
      <c r="AK29" s="2154"/>
      <c r="AL29" s="2154"/>
      <c r="AM29" s="2155"/>
      <c r="AN29" s="2153">
        <f>SUM(AN19:AS28)</f>
        <v>0</v>
      </c>
      <c r="AO29" s="2154"/>
      <c r="AP29" s="2154"/>
      <c r="AQ29" s="2154"/>
      <c r="AR29" s="2154"/>
      <c r="AS29" s="2155"/>
      <c r="AT29" s="2156">
        <f t="shared" si="1"/>
        <v>1</v>
      </c>
      <c r="AU29" s="2157"/>
      <c r="AV29" s="2157"/>
      <c r="AW29" s="2157"/>
      <c r="AX29" s="2157"/>
      <c r="AY29" s="2158"/>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2159" t="s">
        <v>1919</v>
      </c>
      <c r="C31" s="2160"/>
      <c r="D31" s="2160"/>
      <c r="E31" s="2160"/>
      <c r="F31" s="2160"/>
      <c r="G31" s="2160"/>
      <c r="H31" s="2160"/>
      <c r="I31" s="2160"/>
      <c r="J31" s="2160"/>
      <c r="K31" s="2160"/>
      <c r="L31" s="2160"/>
      <c r="M31" s="2160"/>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c r="AS31" s="2160"/>
      <c r="AT31" s="2160"/>
      <c r="AU31" s="2160"/>
      <c r="AV31" s="2160"/>
      <c r="AW31" s="2160"/>
      <c r="AX31" s="2160"/>
      <c r="AY31" s="2160"/>
      <c r="AZ31" s="2160"/>
      <c r="BA31" s="2160"/>
      <c r="BB31" s="2160"/>
      <c r="BC31" s="2160"/>
      <c r="BD31" s="2161"/>
      <c r="BE31" s="1083"/>
    </row>
    <row r="32" spans="1:58" ht="16" thickBot="1">
      <c r="A32" s="1079"/>
      <c r="B32" s="2162" t="s">
        <v>1920</v>
      </c>
      <c r="C32" s="2163"/>
      <c r="D32" s="2163"/>
      <c r="E32" s="2163"/>
      <c r="F32" s="2163"/>
      <c r="G32" s="2163"/>
      <c r="H32" s="2163"/>
      <c r="I32" s="2163"/>
      <c r="J32" s="2166" t="s">
        <v>1921</v>
      </c>
      <c r="K32" s="2167"/>
      <c r="L32" s="2167"/>
      <c r="M32" s="2167"/>
      <c r="N32" s="2166" t="s">
        <v>1922</v>
      </c>
      <c r="O32" s="2167"/>
      <c r="P32" s="2167"/>
      <c r="Q32" s="2169"/>
      <c r="R32" s="2171" t="s">
        <v>1923</v>
      </c>
      <c r="S32" s="2172"/>
      <c r="T32" s="2172"/>
      <c r="U32" s="2172"/>
      <c r="V32" s="2172"/>
      <c r="W32" s="2172"/>
      <c r="X32" s="2172"/>
      <c r="Y32" s="2172"/>
      <c r="Z32" s="2172"/>
      <c r="AA32" s="2172"/>
      <c r="AB32" s="2172"/>
      <c r="AC32" s="2172"/>
      <c r="AD32" s="2172"/>
      <c r="AE32" s="2172"/>
      <c r="AF32" s="2172"/>
      <c r="AG32" s="2172"/>
      <c r="AH32" s="2172"/>
      <c r="AI32" s="2172"/>
      <c r="AJ32" s="2172"/>
      <c r="AK32" s="2172"/>
      <c r="AL32" s="2172"/>
      <c r="AM32" s="2172"/>
      <c r="AN32" s="2172"/>
      <c r="AO32" s="2172"/>
      <c r="AP32" s="2172"/>
      <c r="AQ32" s="2172"/>
      <c r="AR32" s="2172"/>
      <c r="AS32" s="2172"/>
      <c r="AT32" s="2172"/>
      <c r="AU32" s="2172"/>
      <c r="AV32" s="2172"/>
      <c r="AW32" s="2172"/>
      <c r="AX32" s="2172"/>
      <c r="AY32" s="2172"/>
      <c r="AZ32" s="2172"/>
      <c r="BA32" s="2172"/>
      <c r="BB32" s="2172"/>
      <c r="BC32" s="2172"/>
      <c r="BD32" s="2173"/>
      <c r="BE32" s="1083"/>
    </row>
    <row r="33" spans="1:58" ht="15" customHeight="1">
      <c r="A33" s="1079"/>
      <c r="B33" s="2164"/>
      <c r="C33" s="2165"/>
      <c r="D33" s="2165"/>
      <c r="E33" s="2165"/>
      <c r="F33" s="2165"/>
      <c r="G33" s="2165"/>
      <c r="H33" s="2165"/>
      <c r="I33" s="2165"/>
      <c r="J33" s="2168"/>
      <c r="K33" s="2168"/>
      <c r="L33" s="2168"/>
      <c r="M33" s="2168"/>
      <c r="N33" s="2168"/>
      <c r="O33" s="2168"/>
      <c r="P33" s="2168"/>
      <c r="Q33" s="2170"/>
      <c r="R33" s="2174" t="s">
        <v>1924</v>
      </c>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175"/>
      <c r="BB33" s="2175"/>
      <c r="BC33" s="2175"/>
      <c r="BD33" s="2176"/>
      <c r="BE33" s="1083"/>
    </row>
    <row r="34" spans="1:58" ht="15.75" customHeight="1" thickBot="1">
      <c r="A34" s="1079"/>
      <c r="B34" s="2164"/>
      <c r="C34" s="2165"/>
      <c r="D34" s="2165"/>
      <c r="E34" s="2165"/>
      <c r="F34" s="2165"/>
      <c r="G34" s="2165"/>
      <c r="H34" s="2165"/>
      <c r="I34" s="2165"/>
      <c r="J34" s="2168"/>
      <c r="K34" s="2168"/>
      <c r="L34" s="2168"/>
      <c r="M34" s="2168"/>
      <c r="N34" s="2168"/>
      <c r="O34" s="2168"/>
      <c r="P34" s="2168"/>
      <c r="Q34" s="2170"/>
      <c r="R34" s="2177"/>
      <c r="S34" s="2178"/>
      <c r="T34" s="2178"/>
      <c r="U34" s="2178"/>
      <c r="V34" s="2178"/>
      <c r="W34" s="2178"/>
      <c r="X34" s="2178"/>
      <c r="Y34" s="2178"/>
      <c r="Z34" s="2178"/>
      <c r="AA34" s="2178"/>
      <c r="AB34" s="2178"/>
      <c r="AC34" s="2178"/>
      <c r="AD34" s="2178"/>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178"/>
      <c r="BB34" s="2178"/>
      <c r="BC34" s="2178"/>
      <c r="BD34" s="2179"/>
      <c r="BE34" s="1083"/>
    </row>
    <row r="35" spans="1:58" ht="15.75" customHeight="1">
      <c r="A35" s="1079"/>
      <c r="B35" s="2164"/>
      <c r="C35" s="2165"/>
      <c r="D35" s="2165"/>
      <c r="E35" s="2165"/>
      <c r="F35" s="2165"/>
      <c r="G35" s="2165"/>
      <c r="H35" s="2165"/>
      <c r="I35" s="2165"/>
      <c r="J35" s="2168"/>
      <c r="K35" s="2168"/>
      <c r="L35" s="2168"/>
      <c r="M35" s="2168"/>
      <c r="N35" s="2168"/>
      <c r="O35" s="2168"/>
      <c r="P35" s="2168"/>
      <c r="Q35" s="2168"/>
      <c r="R35" s="2180">
        <v>0.3</v>
      </c>
      <c r="S35" s="2180"/>
      <c r="T35" s="2180"/>
      <c r="U35" s="2180"/>
      <c r="V35" s="2180">
        <v>0.4</v>
      </c>
      <c r="W35" s="2180"/>
      <c r="X35" s="2180"/>
      <c r="Y35" s="2180"/>
      <c r="Z35" s="2180">
        <v>0.5</v>
      </c>
      <c r="AA35" s="2180"/>
      <c r="AB35" s="2180"/>
      <c r="AC35" s="2180"/>
      <c r="AD35" s="2180">
        <v>0.6</v>
      </c>
      <c r="AE35" s="2180"/>
      <c r="AF35" s="2180"/>
      <c r="AG35" s="2180"/>
      <c r="AH35" s="2180">
        <v>0.7</v>
      </c>
      <c r="AI35" s="2180"/>
      <c r="AJ35" s="2180"/>
      <c r="AK35" s="2180"/>
      <c r="AL35" s="2185">
        <v>0.8</v>
      </c>
      <c r="AM35" s="2186"/>
      <c r="AN35" s="2186"/>
      <c r="AO35" s="2187"/>
      <c r="AP35" s="2188">
        <v>1.2</v>
      </c>
      <c r="AQ35" s="2189"/>
      <c r="AR35" s="2190"/>
      <c r="AS35" s="2182" t="s">
        <v>1925</v>
      </c>
      <c r="AT35" s="2183"/>
      <c r="AU35" s="2183"/>
      <c r="AV35" s="2183"/>
      <c r="AW35" s="2183"/>
      <c r="AX35" s="2191"/>
      <c r="AY35" s="2182" t="s">
        <v>1926</v>
      </c>
      <c r="AZ35" s="2183"/>
      <c r="BA35" s="2183"/>
      <c r="BB35" s="2183"/>
      <c r="BC35" s="2183"/>
      <c r="BD35" s="2184"/>
      <c r="BE35" s="1083"/>
    </row>
    <row r="36" spans="1:58" ht="15.75" customHeight="1">
      <c r="A36" s="1079"/>
      <c r="B36" s="2086" t="s">
        <v>1927</v>
      </c>
      <c r="C36" s="2087"/>
      <c r="D36" s="2087"/>
      <c r="E36" s="2087"/>
      <c r="F36" s="2087"/>
      <c r="G36" s="2087"/>
      <c r="H36" s="2087"/>
      <c r="I36" s="2087"/>
      <c r="J36" s="2151" t="s">
        <v>1928</v>
      </c>
      <c r="K36" s="2151"/>
      <c r="L36" s="2151"/>
      <c r="M36" s="2151"/>
      <c r="N36" s="2151">
        <v>55</v>
      </c>
      <c r="O36" s="2151"/>
      <c r="P36" s="2151"/>
      <c r="Q36" s="2151"/>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36"/>
      <c r="AM36" s="2137"/>
      <c r="AN36" s="2137"/>
      <c r="AO36" s="2138"/>
      <c r="AP36" s="2136"/>
      <c r="AQ36" s="2137"/>
      <c r="AR36" s="2138"/>
      <c r="AS36" s="2139">
        <f t="shared" ref="AS36:AS47" si="2">SUM(R36:AR36)</f>
        <v>0</v>
      </c>
      <c r="AT36" s="2140"/>
      <c r="AU36" s="2140"/>
      <c r="AV36" s="2140"/>
      <c r="AW36" s="2140"/>
      <c r="AX36" s="2141"/>
      <c r="AY36" s="2142">
        <f t="shared" ref="AY36:AY47" si="3">AS36/$J$29</f>
        <v>0</v>
      </c>
      <c r="AZ36" s="2143"/>
      <c r="BA36" s="2143"/>
      <c r="BB36" s="2143"/>
      <c r="BC36" s="2143"/>
      <c r="BD36" s="2144"/>
      <c r="BE36" s="1083"/>
    </row>
    <row r="37" spans="1:58" ht="15.75" customHeight="1">
      <c r="A37" s="1079"/>
      <c r="B37" s="2086" t="s">
        <v>1929</v>
      </c>
      <c r="C37" s="2087"/>
      <c r="D37" s="2087"/>
      <c r="E37" s="2087"/>
      <c r="F37" s="2087"/>
      <c r="G37" s="2087"/>
      <c r="H37" s="2087"/>
      <c r="I37" s="2087"/>
      <c r="J37" s="2151" t="s">
        <v>1930</v>
      </c>
      <c r="K37" s="2151"/>
      <c r="L37" s="2151"/>
      <c r="M37" s="2151"/>
      <c r="N37" s="2151">
        <v>55</v>
      </c>
      <c r="O37" s="2151"/>
      <c r="P37" s="2151"/>
      <c r="Q37" s="2151"/>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36"/>
      <c r="AM37" s="2137"/>
      <c r="AN37" s="2137"/>
      <c r="AO37" s="2138"/>
      <c r="AP37" s="2136"/>
      <c r="AQ37" s="2137"/>
      <c r="AR37" s="2138"/>
      <c r="AS37" s="2139">
        <f t="shared" si="2"/>
        <v>0</v>
      </c>
      <c r="AT37" s="2140"/>
      <c r="AU37" s="2140"/>
      <c r="AV37" s="2140"/>
      <c r="AW37" s="2140"/>
      <c r="AX37" s="2141"/>
      <c r="AY37" s="2142">
        <f t="shared" si="3"/>
        <v>0</v>
      </c>
      <c r="AZ37" s="2143"/>
      <c r="BA37" s="2143"/>
      <c r="BB37" s="2143"/>
      <c r="BC37" s="2143"/>
      <c r="BD37" s="2144"/>
      <c r="BE37" s="1083"/>
    </row>
    <row r="38" spans="1:58" ht="15.75" customHeight="1">
      <c r="A38" s="1079"/>
      <c r="B38" s="2086" t="s">
        <v>1931</v>
      </c>
      <c r="C38" s="2087"/>
      <c r="D38" s="2087"/>
      <c r="E38" s="2087"/>
      <c r="F38" s="2087"/>
      <c r="G38" s="2087"/>
      <c r="H38" s="2087"/>
      <c r="I38" s="2087"/>
      <c r="J38" s="2151" t="s">
        <v>1932</v>
      </c>
      <c r="K38" s="2151"/>
      <c r="L38" s="2151"/>
      <c r="M38" s="2151"/>
      <c r="N38" s="2151">
        <v>55</v>
      </c>
      <c r="O38" s="2151"/>
      <c r="P38" s="2151"/>
      <c r="Q38" s="2151"/>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36"/>
      <c r="AM38" s="2137"/>
      <c r="AN38" s="2137"/>
      <c r="AO38" s="2138"/>
      <c r="AP38" s="2136"/>
      <c r="AQ38" s="2137"/>
      <c r="AR38" s="2138"/>
      <c r="AS38" s="2139">
        <f t="shared" si="2"/>
        <v>0</v>
      </c>
      <c r="AT38" s="2140"/>
      <c r="AU38" s="2140"/>
      <c r="AV38" s="2140"/>
      <c r="AW38" s="2140"/>
      <c r="AX38" s="2141"/>
      <c r="AY38" s="2142">
        <f t="shared" si="3"/>
        <v>0</v>
      </c>
      <c r="AZ38" s="2143"/>
      <c r="BA38" s="2143"/>
      <c r="BB38" s="2143"/>
      <c r="BC38" s="2143"/>
      <c r="BD38" s="2144"/>
      <c r="BE38" s="1083"/>
    </row>
    <row r="39" spans="1:58" ht="15.75" customHeight="1">
      <c r="A39" s="1079"/>
      <c r="B39" s="2086" t="s">
        <v>1933</v>
      </c>
      <c r="C39" s="2087"/>
      <c r="D39" s="2087"/>
      <c r="E39" s="2087"/>
      <c r="F39" s="2087"/>
      <c r="G39" s="2087"/>
      <c r="H39" s="2087"/>
      <c r="I39" s="2087"/>
      <c r="J39" s="2151"/>
      <c r="K39" s="2151"/>
      <c r="L39" s="2151"/>
      <c r="M39" s="2151"/>
      <c r="N39" s="2151"/>
      <c r="O39" s="2151"/>
      <c r="P39" s="2151"/>
      <c r="Q39" s="2151"/>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36"/>
      <c r="AM39" s="2137"/>
      <c r="AN39" s="2137"/>
      <c r="AO39" s="2138"/>
      <c r="AP39" s="2136"/>
      <c r="AQ39" s="2137"/>
      <c r="AR39" s="2138"/>
      <c r="AS39" s="2139">
        <f t="shared" si="2"/>
        <v>0</v>
      </c>
      <c r="AT39" s="2140"/>
      <c r="AU39" s="2140"/>
      <c r="AV39" s="2140"/>
      <c r="AW39" s="2140"/>
      <c r="AX39" s="2141"/>
      <c r="AY39" s="2142">
        <f t="shared" si="3"/>
        <v>0</v>
      </c>
      <c r="AZ39" s="2143"/>
      <c r="BA39" s="2143"/>
      <c r="BB39" s="2143"/>
      <c r="BC39" s="2143"/>
      <c r="BD39" s="2144"/>
      <c r="BE39" s="1083"/>
    </row>
    <row r="40" spans="1:58" ht="15.75" customHeight="1">
      <c r="A40" s="1079"/>
      <c r="B40" s="2086" t="s">
        <v>1933</v>
      </c>
      <c r="C40" s="2087"/>
      <c r="D40" s="2087"/>
      <c r="E40" s="2087"/>
      <c r="F40" s="2087"/>
      <c r="G40" s="2087"/>
      <c r="H40" s="2087"/>
      <c r="I40" s="2087"/>
      <c r="J40" s="2151"/>
      <c r="K40" s="2151"/>
      <c r="L40" s="2151"/>
      <c r="M40" s="2151"/>
      <c r="N40" s="2151"/>
      <c r="O40" s="2151"/>
      <c r="P40" s="2151"/>
      <c r="Q40" s="2151"/>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36"/>
      <c r="AM40" s="2137"/>
      <c r="AN40" s="2137"/>
      <c r="AO40" s="2138"/>
      <c r="AP40" s="2136"/>
      <c r="AQ40" s="2137"/>
      <c r="AR40" s="2138"/>
      <c r="AS40" s="2139">
        <f t="shared" si="2"/>
        <v>0</v>
      </c>
      <c r="AT40" s="2140"/>
      <c r="AU40" s="2140"/>
      <c r="AV40" s="2140"/>
      <c r="AW40" s="2140"/>
      <c r="AX40" s="2141"/>
      <c r="AY40" s="2142">
        <f t="shared" si="3"/>
        <v>0</v>
      </c>
      <c r="AZ40" s="2143"/>
      <c r="BA40" s="2143"/>
      <c r="BB40" s="2143"/>
      <c r="BC40" s="2143"/>
      <c r="BD40" s="2144"/>
      <c r="BE40" s="1083"/>
    </row>
    <row r="41" spans="1:58" ht="15.75" customHeight="1">
      <c r="A41" s="1079"/>
      <c r="B41" s="2086" t="s">
        <v>1934</v>
      </c>
      <c r="C41" s="2087"/>
      <c r="D41" s="2087"/>
      <c r="E41" s="2087"/>
      <c r="F41" s="2087"/>
      <c r="G41" s="2087"/>
      <c r="H41" s="2087"/>
      <c r="I41" s="2087"/>
      <c r="J41" s="2151"/>
      <c r="K41" s="2151"/>
      <c r="L41" s="2151"/>
      <c r="M41" s="2151"/>
      <c r="N41" s="2151"/>
      <c r="O41" s="2151"/>
      <c r="P41" s="2151"/>
      <c r="Q41" s="2151"/>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36"/>
      <c r="AM41" s="2137"/>
      <c r="AN41" s="2137"/>
      <c r="AO41" s="2138"/>
      <c r="AP41" s="2136"/>
      <c r="AQ41" s="2137"/>
      <c r="AR41" s="2138"/>
      <c r="AS41" s="2139">
        <f t="shared" si="2"/>
        <v>0</v>
      </c>
      <c r="AT41" s="2140"/>
      <c r="AU41" s="2140"/>
      <c r="AV41" s="2140"/>
      <c r="AW41" s="2140"/>
      <c r="AX41" s="2141"/>
      <c r="AY41" s="2142">
        <f t="shared" si="3"/>
        <v>0</v>
      </c>
      <c r="AZ41" s="2143"/>
      <c r="BA41" s="2143"/>
      <c r="BB41" s="2143"/>
      <c r="BC41" s="2143"/>
      <c r="BD41" s="2144"/>
      <c r="BE41" s="1083"/>
    </row>
    <row r="42" spans="1:58" ht="15.75" customHeight="1">
      <c r="A42" s="1079"/>
      <c r="B42" s="2086" t="s">
        <v>1934</v>
      </c>
      <c r="C42" s="2087"/>
      <c r="D42" s="2087"/>
      <c r="E42" s="2087"/>
      <c r="F42" s="2087"/>
      <c r="G42" s="2087"/>
      <c r="H42" s="2087"/>
      <c r="I42" s="2087"/>
      <c r="J42" s="2151"/>
      <c r="K42" s="2151"/>
      <c r="L42" s="2151"/>
      <c r="M42" s="2151"/>
      <c r="N42" s="2151"/>
      <c r="O42" s="2151"/>
      <c r="P42" s="2151"/>
      <c r="Q42" s="2151"/>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36"/>
      <c r="AM42" s="2137"/>
      <c r="AN42" s="2137"/>
      <c r="AO42" s="2138"/>
      <c r="AP42" s="2136"/>
      <c r="AQ42" s="2137"/>
      <c r="AR42" s="2138"/>
      <c r="AS42" s="2139">
        <f t="shared" si="2"/>
        <v>0</v>
      </c>
      <c r="AT42" s="2140"/>
      <c r="AU42" s="2140"/>
      <c r="AV42" s="2140"/>
      <c r="AW42" s="2140"/>
      <c r="AX42" s="2141"/>
      <c r="AY42" s="2142">
        <f t="shared" si="3"/>
        <v>0</v>
      </c>
      <c r="AZ42" s="2143"/>
      <c r="BA42" s="2143"/>
      <c r="BB42" s="2143"/>
      <c r="BC42" s="2143"/>
      <c r="BD42" s="2144"/>
      <c r="BE42" s="1083"/>
    </row>
    <row r="43" spans="1:58" ht="15.75" customHeight="1">
      <c r="A43" s="1079"/>
      <c r="B43" s="2091" t="s">
        <v>1935</v>
      </c>
      <c r="C43" s="2092"/>
      <c r="D43" s="2092"/>
      <c r="E43" s="2092"/>
      <c r="F43" s="2092"/>
      <c r="G43" s="2092"/>
      <c r="H43" s="2092"/>
      <c r="I43" s="2092"/>
      <c r="J43" s="2151"/>
      <c r="K43" s="2151"/>
      <c r="L43" s="2151"/>
      <c r="M43" s="2151"/>
      <c r="N43" s="2151"/>
      <c r="O43" s="2151"/>
      <c r="P43" s="2151"/>
      <c r="Q43" s="2151"/>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36"/>
      <c r="AM43" s="2137"/>
      <c r="AN43" s="2137"/>
      <c r="AO43" s="2138"/>
      <c r="AP43" s="2136"/>
      <c r="AQ43" s="2137"/>
      <c r="AR43" s="2138"/>
      <c r="AS43" s="2139">
        <f t="shared" si="2"/>
        <v>0</v>
      </c>
      <c r="AT43" s="2140"/>
      <c r="AU43" s="2140"/>
      <c r="AV43" s="2140"/>
      <c r="AW43" s="2140"/>
      <c r="AX43" s="2141"/>
      <c r="AY43" s="2142">
        <f t="shared" si="3"/>
        <v>0</v>
      </c>
      <c r="AZ43" s="2143"/>
      <c r="BA43" s="2143"/>
      <c r="BB43" s="2143"/>
      <c r="BC43" s="2143"/>
      <c r="BD43" s="2144"/>
      <c r="BE43" s="1083"/>
    </row>
    <row r="44" spans="1:58" ht="15.75" customHeight="1">
      <c r="A44" s="1079"/>
      <c r="B44" s="2091" t="s">
        <v>1936</v>
      </c>
      <c r="C44" s="2092"/>
      <c r="D44" s="2092"/>
      <c r="E44" s="2092"/>
      <c r="F44" s="2092"/>
      <c r="G44" s="2092"/>
      <c r="H44" s="2092"/>
      <c r="I44" s="2092"/>
      <c r="J44" s="2151"/>
      <c r="K44" s="2151"/>
      <c r="L44" s="2151"/>
      <c r="M44" s="2151"/>
      <c r="N44" s="2151"/>
      <c r="O44" s="2151"/>
      <c r="P44" s="2151"/>
      <c r="Q44" s="2151"/>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36"/>
      <c r="AM44" s="2137"/>
      <c r="AN44" s="2137"/>
      <c r="AO44" s="2138"/>
      <c r="AP44" s="2136"/>
      <c r="AQ44" s="2137"/>
      <c r="AR44" s="2138"/>
      <c r="AS44" s="2139">
        <f t="shared" si="2"/>
        <v>0</v>
      </c>
      <c r="AT44" s="2140"/>
      <c r="AU44" s="2140"/>
      <c r="AV44" s="2140"/>
      <c r="AW44" s="2140"/>
      <c r="AX44" s="2141"/>
      <c r="AY44" s="2142">
        <f t="shared" si="3"/>
        <v>0</v>
      </c>
      <c r="AZ44" s="2143"/>
      <c r="BA44" s="2143"/>
      <c r="BB44" s="2143"/>
      <c r="BC44" s="2143"/>
      <c r="BD44" s="2144"/>
      <c r="BE44" s="1083"/>
    </row>
    <row r="45" spans="1:58" ht="15.75" customHeight="1">
      <c r="A45" s="1079"/>
      <c r="B45" s="2091" t="s">
        <v>1937</v>
      </c>
      <c r="C45" s="2092"/>
      <c r="D45" s="2092"/>
      <c r="E45" s="2092"/>
      <c r="F45" s="2092"/>
      <c r="G45" s="2092"/>
      <c r="H45" s="2092"/>
      <c r="I45" s="2092"/>
      <c r="J45" s="2151"/>
      <c r="K45" s="2151"/>
      <c r="L45" s="2151"/>
      <c r="M45" s="2151"/>
      <c r="N45" s="2151"/>
      <c r="O45" s="2151"/>
      <c r="P45" s="2151"/>
      <c r="Q45" s="2151"/>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36"/>
      <c r="AM45" s="2137"/>
      <c r="AN45" s="2137"/>
      <c r="AO45" s="2138"/>
      <c r="AP45" s="2136"/>
      <c r="AQ45" s="2137"/>
      <c r="AR45" s="2138"/>
      <c r="AS45" s="2139">
        <f t="shared" si="2"/>
        <v>0</v>
      </c>
      <c r="AT45" s="2140"/>
      <c r="AU45" s="2140"/>
      <c r="AV45" s="2140"/>
      <c r="AW45" s="2140"/>
      <c r="AX45" s="2141"/>
      <c r="AY45" s="2142">
        <f t="shared" si="3"/>
        <v>0</v>
      </c>
      <c r="AZ45" s="2143"/>
      <c r="BA45" s="2143"/>
      <c r="BB45" s="2143"/>
      <c r="BC45" s="2143"/>
      <c r="BD45" s="2144"/>
      <c r="BE45" s="1083"/>
    </row>
    <row r="46" spans="1:58" ht="15.75" customHeight="1">
      <c r="A46" s="1079"/>
      <c r="B46" s="2091" t="s">
        <v>1938</v>
      </c>
      <c r="C46" s="2092"/>
      <c r="D46" s="2092"/>
      <c r="E46" s="2092"/>
      <c r="F46" s="2092"/>
      <c r="G46" s="2092"/>
      <c r="H46" s="2092"/>
      <c r="I46" s="2092"/>
      <c r="J46" s="2151"/>
      <c r="K46" s="2151"/>
      <c r="L46" s="2151"/>
      <c r="M46" s="2151"/>
      <c r="N46" s="2151">
        <v>99</v>
      </c>
      <c r="O46" s="2151"/>
      <c r="P46" s="2151"/>
      <c r="Q46" s="2151"/>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36"/>
      <c r="AM46" s="2137"/>
      <c r="AN46" s="2137"/>
      <c r="AO46" s="2138"/>
      <c r="AP46" s="2136"/>
      <c r="AQ46" s="2137"/>
      <c r="AR46" s="2138"/>
      <c r="AS46" s="2139">
        <f t="shared" si="2"/>
        <v>0</v>
      </c>
      <c r="AT46" s="2140"/>
      <c r="AU46" s="2140"/>
      <c r="AV46" s="2140"/>
      <c r="AW46" s="2140"/>
      <c r="AX46" s="2141"/>
      <c r="AY46" s="2142">
        <f t="shared" si="3"/>
        <v>0</v>
      </c>
      <c r="AZ46" s="2143"/>
      <c r="BA46" s="2143"/>
      <c r="BB46" s="2143"/>
      <c r="BC46" s="2143"/>
      <c r="BD46" s="2144"/>
      <c r="BE46" s="1083"/>
    </row>
    <row r="47" spans="1:58" ht="15.75" customHeight="1" thickBot="1">
      <c r="A47" s="1079"/>
      <c r="B47" s="2145" t="s">
        <v>1055</v>
      </c>
      <c r="C47" s="2146"/>
      <c r="D47" s="2146"/>
      <c r="E47" s="2146"/>
      <c r="F47" s="2146"/>
      <c r="G47" s="2146"/>
      <c r="H47" s="2146"/>
      <c r="I47" s="2146"/>
      <c r="J47" s="2147"/>
      <c r="K47" s="2147"/>
      <c r="L47" s="2147"/>
      <c r="M47" s="2147"/>
      <c r="N47" s="2147"/>
      <c r="O47" s="2147"/>
      <c r="P47" s="2147"/>
      <c r="Q47" s="2147"/>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3"/>
      <c r="AM47" s="2134"/>
      <c r="AN47" s="2134"/>
      <c r="AO47" s="2135"/>
      <c r="AP47" s="2133"/>
      <c r="AQ47" s="2134"/>
      <c r="AR47" s="2135"/>
      <c r="AS47" s="2139">
        <f t="shared" si="2"/>
        <v>0</v>
      </c>
      <c r="AT47" s="2140"/>
      <c r="AU47" s="2140"/>
      <c r="AV47" s="2140"/>
      <c r="AW47" s="2140"/>
      <c r="AX47" s="2141"/>
      <c r="AY47" s="2148">
        <f t="shared" si="3"/>
        <v>0</v>
      </c>
      <c r="AZ47" s="2149"/>
      <c r="BA47" s="2149"/>
      <c r="BB47" s="2149"/>
      <c r="BC47" s="2149"/>
      <c r="BD47" s="2150"/>
      <c r="BE47" s="1083"/>
    </row>
    <row r="48" spans="1:58" ht="15.75" customHeight="1">
      <c r="A48" s="1079"/>
      <c r="B48" s="1085" t="s">
        <v>1939</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1940</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98" t="s">
        <v>1941</v>
      </c>
      <c r="C50" s="1954"/>
      <c r="D50" s="1954"/>
      <c r="E50" s="1954"/>
      <c r="F50" s="1954"/>
      <c r="G50" s="1954"/>
      <c r="H50" s="1954"/>
      <c r="I50" s="1954"/>
      <c r="J50" s="1954"/>
      <c r="K50" s="1954"/>
      <c r="L50" s="1954"/>
      <c r="M50" s="1954"/>
      <c r="N50" s="1954"/>
      <c r="O50" s="1954"/>
      <c r="P50" s="1954"/>
      <c r="Q50" s="1954"/>
      <c r="R50" s="1954"/>
      <c r="S50" s="1954"/>
      <c r="T50" s="1954"/>
      <c r="U50" s="1954"/>
      <c r="V50" s="1954"/>
      <c r="W50" s="1954"/>
      <c r="X50" s="1954"/>
      <c r="Y50" s="1954"/>
      <c r="Z50" s="1954"/>
      <c r="AA50" s="1954"/>
      <c r="AB50" s="1954"/>
      <c r="AC50" s="1954"/>
      <c r="AD50" s="1954"/>
      <c r="AE50" s="1954"/>
      <c r="AF50" s="1954"/>
      <c r="AG50" s="1954"/>
      <c r="AH50" s="1954"/>
      <c r="AI50" s="1954"/>
      <c r="AJ50" s="1954"/>
      <c r="AK50" s="1954"/>
      <c r="AL50" s="1954"/>
      <c r="AM50" s="1954"/>
      <c r="AN50" s="1954"/>
      <c r="AO50" s="1955"/>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1" t="s">
        <v>1942</v>
      </c>
      <c r="C51" s="2029"/>
      <c r="D51" s="2029"/>
      <c r="E51" s="2029"/>
      <c r="F51" s="2029"/>
      <c r="G51" s="2029"/>
      <c r="H51" s="2029"/>
      <c r="I51" s="2029"/>
      <c r="J51" s="2029" t="s">
        <v>1943</v>
      </c>
      <c r="K51" s="2029"/>
      <c r="L51" s="2029"/>
      <c r="M51" s="2029"/>
      <c r="N51" s="2029"/>
      <c r="O51" s="2029"/>
      <c r="P51" s="2029"/>
      <c r="Q51" s="2029"/>
      <c r="R51" s="2130" t="s">
        <v>1944</v>
      </c>
      <c r="S51" s="2130"/>
      <c r="T51" s="2130"/>
      <c r="U51" s="2130"/>
      <c r="V51" s="2130"/>
      <c r="W51" s="2130"/>
      <c r="X51" s="2130"/>
      <c r="Y51" s="2130"/>
      <c r="Z51" s="2130" t="s">
        <v>1945</v>
      </c>
      <c r="AA51" s="2130"/>
      <c r="AB51" s="2130"/>
      <c r="AC51" s="2130"/>
      <c r="AD51" s="2130"/>
      <c r="AE51" s="2130"/>
      <c r="AF51" s="2130"/>
      <c r="AG51" s="2130"/>
      <c r="AH51" s="2130" t="s">
        <v>1946</v>
      </c>
      <c r="AI51" s="2130"/>
      <c r="AJ51" s="2130"/>
      <c r="AK51" s="2130"/>
      <c r="AL51" s="2130"/>
      <c r="AM51" s="2130"/>
      <c r="AN51" s="2130"/>
      <c r="AO51" s="2131"/>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1" t="s">
        <v>1947</v>
      </c>
      <c r="C52" s="2092"/>
      <c r="D52" s="2092"/>
      <c r="E52" s="2092"/>
      <c r="F52" s="2092"/>
      <c r="G52" s="2092"/>
      <c r="H52" s="2092"/>
      <c r="I52" s="2092"/>
      <c r="J52" s="1915">
        <v>0</v>
      </c>
      <c r="K52" s="1915"/>
      <c r="L52" s="1915"/>
      <c r="M52" s="1915"/>
      <c r="N52" s="1915"/>
      <c r="O52" s="1915"/>
      <c r="P52" s="1915"/>
      <c r="Q52" s="1915"/>
      <c r="R52" s="2122">
        <v>0</v>
      </c>
      <c r="S52" s="2122"/>
      <c r="T52" s="2122"/>
      <c r="U52" s="2122"/>
      <c r="V52" s="2122"/>
      <c r="W52" s="2122"/>
      <c r="X52" s="2122"/>
      <c r="Y52" s="2122"/>
      <c r="Z52" s="2123">
        <v>0</v>
      </c>
      <c r="AA52" s="2123"/>
      <c r="AB52" s="2123"/>
      <c r="AC52" s="2123"/>
      <c r="AD52" s="2123"/>
      <c r="AE52" s="2123"/>
      <c r="AF52" s="2123"/>
      <c r="AG52" s="2123"/>
      <c r="AH52" s="2124"/>
      <c r="AI52" s="2124"/>
      <c r="AJ52" s="2124"/>
      <c r="AK52" s="2124"/>
      <c r="AL52" s="2124"/>
      <c r="AM52" s="2124"/>
      <c r="AN52" s="2124"/>
      <c r="AO52" s="2125"/>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1" t="s">
        <v>1948</v>
      </c>
      <c r="C53" s="2092"/>
      <c r="D53" s="2092"/>
      <c r="E53" s="2092"/>
      <c r="F53" s="2092"/>
      <c r="G53" s="2092"/>
      <c r="H53" s="2092"/>
      <c r="I53" s="2092"/>
      <c r="J53" s="1915">
        <v>0</v>
      </c>
      <c r="K53" s="1915"/>
      <c r="L53" s="1915"/>
      <c r="M53" s="1915"/>
      <c r="N53" s="1915"/>
      <c r="O53" s="1915"/>
      <c r="P53" s="1915"/>
      <c r="Q53" s="1915"/>
      <c r="R53" s="2122">
        <v>0</v>
      </c>
      <c r="S53" s="2122"/>
      <c r="T53" s="2122"/>
      <c r="U53" s="2122"/>
      <c r="V53" s="2122"/>
      <c r="W53" s="2122"/>
      <c r="X53" s="2122"/>
      <c r="Y53" s="2122"/>
      <c r="Z53" s="2123">
        <v>0</v>
      </c>
      <c r="AA53" s="2123"/>
      <c r="AB53" s="2123"/>
      <c r="AC53" s="2123"/>
      <c r="AD53" s="2123"/>
      <c r="AE53" s="2123"/>
      <c r="AF53" s="2123"/>
      <c r="AG53" s="2123"/>
      <c r="AH53" s="2124"/>
      <c r="AI53" s="2124"/>
      <c r="AJ53" s="2124"/>
      <c r="AK53" s="2124"/>
      <c r="AL53" s="2124"/>
      <c r="AM53" s="2124"/>
      <c r="AN53" s="2124"/>
      <c r="AO53" s="2125"/>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1"/>
      <c r="C54" s="2092"/>
      <c r="D54" s="2092"/>
      <c r="E54" s="2092"/>
      <c r="F54" s="2092"/>
      <c r="G54" s="2092"/>
      <c r="H54" s="2092"/>
      <c r="I54" s="2092"/>
      <c r="J54" s="1915"/>
      <c r="K54" s="1915"/>
      <c r="L54" s="1915"/>
      <c r="M54" s="1915"/>
      <c r="N54" s="1915"/>
      <c r="O54" s="1915"/>
      <c r="P54" s="1915"/>
      <c r="Q54" s="1915"/>
      <c r="R54" s="2122"/>
      <c r="S54" s="2122"/>
      <c r="T54" s="2122"/>
      <c r="U54" s="2122"/>
      <c r="V54" s="2122"/>
      <c r="W54" s="2122"/>
      <c r="X54" s="2122"/>
      <c r="Y54" s="2122"/>
      <c r="Z54" s="2123"/>
      <c r="AA54" s="2123"/>
      <c r="AB54" s="2123"/>
      <c r="AC54" s="2123"/>
      <c r="AD54" s="2123"/>
      <c r="AE54" s="2123"/>
      <c r="AF54" s="2123"/>
      <c r="AG54" s="2123"/>
      <c r="AH54" s="2124"/>
      <c r="AI54" s="2124"/>
      <c r="AJ54" s="2124"/>
      <c r="AK54" s="2124"/>
      <c r="AL54" s="2124"/>
      <c r="AM54" s="2124"/>
      <c r="AN54" s="2124"/>
      <c r="AO54" s="2125"/>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1"/>
      <c r="C55" s="2092"/>
      <c r="D55" s="2092"/>
      <c r="E55" s="2092"/>
      <c r="F55" s="2092"/>
      <c r="G55" s="2092"/>
      <c r="H55" s="2092"/>
      <c r="I55" s="2092"/>
      <c r="J55" s="1915"/>
      <c r="K55" s="1915"/>
      <c r="L55" s="1915"/>
      <c r="M55" s="1915"/>
      <c r="N55" s="1915"/>
      <c r="O55" s="1915"/>
      <c r="P55" s="1915"/>
      <c r="Q55" s="1915"/>
      <c r="R55" s="2122"/>
      <c r="S55" s="2122"/>
      <c r="T55" s="2122"/>
      <c r="U55" s="2122"/>
      <c r="V55" s="2122"/>
      <c r="W55" s="2122"/>
      <c r="X55" s="2122"/>
      <c r="Y55" s="2122"/>
      <c r="Z55" s="2123"/>
      <c r="AA55" s="2123"/>
      <c r="AB55" s="2123"/>
      <c r="AC55" s="2123"/>
      <c r="AD55" s="2123"/>
      <c r="AE55" s="2123"/>
      <c r="AF55" s="2123"/>
      <c r="AG55" s="2123"/>
      <c r="AH55" s="2124"/>
      <c r="AI55" s="2124"/>
      <c r="AJ55" s="2124"/>
      <c r="AK55" s="2124"/>
      <c r="AL55" s="2124"/>
      <c r="AM55" s="2124"/>
      <c r="AN55" s="2124"/>
      <c r="AO55" s="2125"/>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1"/>
      <c r="C56" s="2092"/>
      <c r="D56" s="2092"/>
      <c r="E56" s="2092"/>
      <c r="F56" s="2092"/>
      <c r="G56" s="2092"/>
      <c r="H56" s="2092"/>
      <c r="I56" s="2092"/>
      <c r="J56" s="1915"/>
      <c r="K56" s="1915"/>
      <c r="L56" s="1915"/>
      <c r="M56" s="1915"/>
      <c r="N56" s="1915"/>
      <c r="O56" s="1915"/>
      <c r="P56" s="1915"/>
      <c r="Q56" s="1915"/>
      <c r="R56" s="2122"/>
      <c r="S56" s="2122"/>
      <c r="T56" s="2122"/>
      <c r="U56" s="2122"/>
      <c r="V56" s="2122"/>
      <c r="W56" s="2122"/>
      <c r="X56" s="2122"/>
      <c r="Y56" s="2122"/>
      <c r="Z56" s="2123"/>
      <c r="AA56" s="2123"/>
      <c r="AB56" s="2123"/>
      <c r="AC56" s="2123"/>
      <c r="AD56" s="2123"/>
      <c r="AE56" s="2123"/>
      <c r="AF56" s="2123"/>
      <c r="AG56" s="2123"/>
      <c r="AH56" s="2124"/>
      <c r="AI56" s="2124"/>
      <c r="AJ56" s="2124"/>
      <c r="AK56" s="2124"/>
      <c r="AL56" s="2124"/>
      <c r="AM56" s="2124"/>
      <c r="AN56" s="2124"/>
      <c r="AO56" s="2125"/>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59" t="s">
        <v>1916</v>
      </c>
      <c r="C57" s="2060"/>
      <c r="D57" s="2060"/>
      <c r="E57" s="2060"/>
      <c r="F57" s="2060"/>
      <c r="G57" s="2060"/>
      <c r="H57" s="2060"/>
      <c r="I57" s="2060"/>
      <c r="J57" s="2060"/>
      <c r="K57" s="2060"/>
      <c r="L57" s="2060"/>
      <c r="M57" s="2060"/>
      <c r="N57" s="2060"/>
      <c r="O57" s="2060"/>
      <c r="P57" s="2060"/>
      <c r="Q57" s="2060"/>
      <c r="R57" s="2126">
        <f>SUM(R52:Y56)</f>
        <v>0</v>
      </c>
      <c r="S57" s="2126"/>
      <c r="T57" s="2126"/>
      <c r="U57" s="2126"/>
      <c r="V57" s="2126"/>
      <c r="W57" s="2126"/>
      <c r="X57" s="2126"/>
      <c r="Y57" s="2126"/>
      <c r="Z57" s="2127">
        <f>SUM(Z52:AG56)</f>
        <v>0</v>
      </c>
      <c r="AA57" s="2127"/>
      <c r="AB57" s="2127"/>
      <c r="AC57" s="2127"/>
      <c r="AD57" s="2127"/>
      <c r="AE57" s="2127"/>
      <c r="AF57" s="2127"/>
      <c r="AG57" s="2127"/>
      <c r="AH57" s="2128"/>
      <c r="AI57" s="2128"/>
      <c r="AJ57" s="2128"/>
      <c r="AK57" s="2128"/>
      <c r="AL57" s="2128"/>
      <c r="AM57" s="2128"/>
      <c r="AN57" s="2128"/>
      <c r="AO57" s="2129"/>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19" t="s">
        <v>1942</v>
      </c>
      <c r="C59" s="2120"/>
      <c r="D59" s="2120"/>
      <c r="E59" s="2120"/>
      <c r="F59" s="2120"/>
      <c r="G59" s="2120"/>
      <c r="H59" s="2120"/>
      <c r="I59" s="2121"/>
      <c r="J59" s="2027" t="s">
        <v>1949</v>
      </c>
      <c r="K59" s="2027"/>
      <c r="L59" s="2027"/>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2027"/>
      <c r="AP59" s="2027"/>
      <c r="AQ59" s="2027"/>
      <c r="AR59" s="2027"/>
      <c r="AS59" s="2027"/>
      <c r="AT59" s="2027"/>
      <c r="AU59" s="2027"/>
      <c r="AV59" s="2027"/>
      <c r="AW59" s="2028"/>
      <c r="AX59" s="1079"/>
      <c r="AY59" s="1079"/>
      <c r="AZ59" s="1079"/>
      <c r="BA59" s="1079"/>
      <c r="BB59" s="1079"/>
      <c r="BC59" s="1079"/>
      <c r="BD59" s="1079"/>
      <c r="BE59" s="1083"/>
    </row>
    <row r="60" spans="1:77" ht="15.75" customHeight="1">
      <c r="A60" s="1079"/>
      <c r="B60" s="2111" t="str">
        <f>IF(B52="", "", B52)</f>
        <v>Services Company 1</v>
      </c>
      <c r="C60" s="2112"/>
      <c r="D60" s="2112"/>
      <c r="E60" s="2112"/>
      <c r="F60" s="2112"/>
      <c r="G60" s="2112"/>
      <c r="H60" s="2112"/>
      <c r="I60" s="2113"/>
      <c r="J60" s="2114"/>
      <c r="K60" s="1918"/>
      <c r="L60" s="1918"/>
      <c r="M60" s="1918"/>
      <c r="N60" s="1918"/>
      <c r="O60" s="1918"/>
      <c r="P60" s="1918"/>
      <c r="Q60" s="1918"/>
      <c r="R60" s="1918"/>
      <c r="S60" s="1918"/>
      <c r="T60" s="1918"/>
      <c r="U60" s="1918"/>
      <c r="V60" s="1918"/>
      <c r="W60" s="1918"/>
      <c r="X60" s="1918"/>
      <c r="Y60" s="1918"/>
      <c r="Z60" s="1918"/>
      <c r="AA60" s="1918"/>
      <c r="AB60" s="1918"/>
      <c r="AC60" s="1918"/>
      <c r="AD60" s="1918"/>
      <c r="AE60" s="1918"/>
      <c r="AF60" s="1918"/>
      <c r="AG60" s="1918"/>
      <c r="AH60" s="1918"/>
      <c r="AI60" s="1918"/>
      <c r="AJ60" s="1918"/>
      <c r="AK60" s="1918"/>
      <c r="AL60" s="1918"/>
      <c r="AM60" s="1918"/>
      <c r="AN60" s="1918"/>
      <c r="AO60" s="1918"/>
      <c r="AP60" s="1918"/>
      <c r="AQ60" s="1918"/>
      <c r="AR60" s="1918"/>
      <c r="AS60" s="1918"/>
      <c r="AT60" s="1918"/>
      <c r="AU60" s="1918"/>
      <c r="AV60" s="1918"/>
      <c r="AW60" s="1919"/>
      <c r="AX60" s="1079"/>
      <c r="AY60" s="1079"/>
      <c r="AZ60" s="1079"/>
      <c r="BA60" s="1079"/>
      <c r="BB60" s="1079"/>
      <c r="BC60" s="1079"/>
      <c r="BD60" s="1079"/>
      <c r="BE60" s="1083"/>
    </row>
    <row r="61" spans="1:77" ht="15.75" customHeight="1">
      <c r="A61" s="1079"/>
      <c r="B61" s="2111" t="str">
        <f>IF(B53="", "", B53)</f>
        <v>Services Company 2</v>
      </c>
      <c r="C61" s="2112"/>
      <c r="D61" s="2112"/>
      <c r="E61" s="2112"/>
      <c r="F61" s="2112"/>
      <c r="G61" s="2112"/>
      <c r="H61" s="2112"/>
      <c r="I61" s="2113"/>
      <c r="J61" s="2114"/>
      <c r="K61" s="1918"/>
      <c r="L61" s="1918"/>
      <c r="M61" s="1918"/>
      <c r="N61" s="1918"/>
      <c r="O61" s="1918"/>
      <c r="P61" s="1918"/>
      <c r="Q61" s="1918"/>
      <c r="R61" s="1918"/>
      <c r="S61" s="1918"/>
      <c r="T61" s="1918"/>
      <c r="U61" s="1918"/>
      <c r="V61" s="1918"/>
      <c r="W61" s="1918"/>
      <c r="X61" s="1918"/>
      <c r="Y61" s="1918"/>
      <c r="Z61" s="1918"/>
      <c r="AA61" s="1918"/>
      <c r="AB61" s="1918"/>
      <c r="AC61" s="1918"/>
      <c r="AD61" s="1918"/>
      <c r="AE61" s="1918"/>
      <c r="AF61" s="1918"/>
      <c r="AG61" s="1918"/>
      <c r="AH61" s="1918"/>
      <c r="AI61" s="1918"/>
      <c r="AJ61" s="1918"/>
      <c r="AK61" s="1918"/>
      <c r="AL61" s="1918"/>
      <c r="AM61" s="1918"/>
      <c r="AN61" s="1918"/>
      <c r="AO61" s="1918"/>
      <c r="AP61" s="1918"/>
      <c r="AQ61" s="1918"/>
      <c r="AR61" s="1918"/>
      <c r="AS61" s="1918"/>
      <c r="AT61" s="1918"/>
      <c r="AU61" s="1918"/>
      <c r="AV61" s="1918"/>
      <c r="AW61" s="1919"/>
      <c r="AX61" s="1079"/>
      <c r="AY61" s="1079"/>
      <c r="AZ61" s="1079"/>
      <c r="BA61" s="1079"/>
      <c r="BB61" s="1079"/>
      <c r="BC61" s="1079"/>
      <c r="BD61" s="1079"/>
      <c r="BE61" s="1083"/>
    </row>
    <row r="62" spans="1:77" ht="15.75" customHeight="1">
      <c r="A62" s="1079"/>
      <c r="B62" s="2111" t="str">
        <f>IF(B54="", "", B54)</f>
        <v/>
      </c>
      <c r="C62" s="2112"/>
      <c r="D62" s="2112"/>
      <c r="E62" s="2112"/>
      <c r="F62" s="2112"/>
      <c r="G62" s="2112"/>
      <c r="H62" s="2112"/>
      <c r="I62" s="2113"/>
      <c r="J62" s="2114"/>
      <c r="K62" s="1918"/>
      <c r="L62" s="1918"/>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1918"/>
      <c r="AJ62" s="1918"/>
      <c r="AK62" s="1918"/>
      <c r="AL62" s="1918"/>
      <c r="AM62" s="1918"/>
      <c r="AN62" s="1918"/>
      <c r="AO62" s="1918"/>
      <c r="AP62" s="1918"/>
      <c r="AQ62" s="1918"/>
      <c r="AR62" s="1918"/>
      <c r="AS62" s="1918"/>
      <c r="AT62" s="1918"/>
      <c r="AU62" s="1918"/>
      <c r="AV62" s="1918"/>
      <c r="AW62" s="1919"/>
      <c r="AX62" s="1079"/>
      <c r="AY62" s="1079"/>
      <c r="AZ62" s="1079"/>
      <c r="BA62" s="1079"/>
      <c r="BB62" s="1079"/>
      <c r="BC62" s="1079"/>
      <c r="BD62" s="1079"/>
      <c r="BE62" s="1083"/>
    </row>
    <row r="63" spans="1:77" ht="15.75" customHeight="1">
      <c r="A63" s="1079"/>
      <c r="B63" s="2111" t="str">
        <f>IF(B55="", "", B55)</f>
        <v/>
      </c>
      <c r="C63" s="2112"/>
      <c r="D63" s="2112"/>
      <c r="E63" s="2112"/>
      <c r="F63" s="2112"/>
      <c r="G63" s="2112"/>
      <c r="H63" s="2112"/>
      <c r="I63" s="2113"/>
      <c r="J63" s="2114"/>
      <c r="K63" s="1918"/>
      <c r="L63" s="1918"/>
      <c r="M63" s="1918"/>
      <c r="N63" s="1918"/>
      <c r="O63" s="1918"/>
      <c r="P63" s="1918"/>
      <c r="Q63" s="1918"/>
      <c r="R63" s="1918"/>
      <c r="S63" s="1918"/>
      <c r="T63" s="1918"/>
      <c r="U63" s="1918"/>
      <c r="V63" s="1918"/>
      <c r="W63" s="1918"/>
      <c r="X63" s="1918"/>
      <c r="Y63" s="1918"/>
      <c r="Z63" s="1918"/>
      <c r="AA63" s="1918"/>
      <c r="AB63" s="1918"/>
      <c r="AC63" s="1918"/>
      <c r="AD63" s="1918"/>
      <c r="AE63" s="1918"/>
      <c r="AF63" s="1918"/>
      <c r="AG63" s="1918"/>
      <c r="AH63" s="1918"/>
      <c r="AI63" s="1918"/>
      <c r="AJ63" s="1918"/>
      <c r="AK63" s="1918"/>
      <c r="AL63" s="1918"/>
      <c r="AM63" s="1918"/>
      <c r="AN63" s="1918"/>
      <c r="AO63" s="1918"/>
      <c r="AP63" s="1918"/>
      <c r="AQ63" s="1918"/>
      <c r="AR63" s="1918"/>
      <c r="AS63" s="1918"/>
      <c r="AT63" s="1918"/>
      <c r="AU63" s="1918"/>
      <c r="AV63" s="1918"/>
      <c r="AW63" s="1919"/>
      <c r="AX63" s="1079"/>
      <c r="AY63" s="1079"/>
      <c r="AZ63" s="1079"/>
      <c r="BA63" s="1079"/>
      <c r="BB63" s="1079"/>
      <c r="BC63" s="1079"/>
      <c r="BD63" s="1079"/>
      <c r="BE63" s="1083"/>
    </row>
    <row r="64" spans="1:77" ht="15.75" customHeight="1" thickBot="1">
      <c r="A64" s="1079"/>
      <c r="B64" s="2115" t="str">
        <f>IF(B56="", "", B56)</f>
        <v/>
      </c>
      <c r="C64" s="2116"/>
      <c r="D64" s="2116"/>
      <c r="E64" s="2116"/>
      <c r="F64" s="2116"/>
      <c r="G64" s="2116"/>
      <c r="H64" s="2116"/>
      <c r="I64" s="2117"/>
      <c r="J64" s="2118"/>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1"/>
      <c r="AK64" s="2101"/>
      <c r="AL64" s="2101"/>
      <c r="AM64" s="2101"/>
      <c r="AN64" s="2101"/>
      <c r="AO64" s="2101"/>
      <c r="AP64" s="2101"/>
      <c r="AQ64" s="2101"/>
      <c r="AR64" s="2101"/>
      <c r="AS64" s="2101"/>
      <c r="AT64" s="2101"/>
      <c r="AU64" s="2101"/>
      <c r="AV64" s="2101"/>
      <c r="AW64" s="2102"/>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1950</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6" t="s">
        <v>1951</v>
      </c>
      <c r="C68" s="2027"/>
      <c r="D68" s="2027"/>
      <c r="E68" s="2027"/>
      <c r="F68" s="2027"/>
      <c r="G68" s="2027"/>
      <c r="H68" s="2027"/>
      <c r="I68" s="2027"/>
      <c r="J68" s="2027"/>
      <c r="K68" s="2027"/>
      <c r="L68" s="2027"/>
      <c r="M68" s="2027"/>
      <c r="N68" s="2027"/>
      <c r="O68" s="2027"/>
      <c r="P68" s="2027"/>
      <c r="Q68" s="2027"/>
      <c r="R68" s="2027"/>
      <c r="S68" s="2027"/>
      <c r="T68" s="2027"/>
      <c r="U68" s="2027"/>
      <c r="V68" s="2027"/>
      <c r="W68" s="2027"/>
      <c r="X68" s="2027"/>
      <c r="Y68" s="2027"/>
      <c r="Z68" s="2027"/>
      <c r="AA68" s="2028"/>
      <c r="AB68" s="1079"/>
      <c r="AC68" s="1952" t="s">
        <v>1952</v>
      </c>
      <c r="AD68" s="1953"/>
      <c r="AE68" s="1953"/>
      <c r="AF68" s="1953"/>
      <c r="AG68" s="1953"/>
      <c r="AH68" s="1953"/>
      <c r="AI68" s="1953"/>
      <c r="AJ68" s="1953"/>
      <c r="AK68" s="1953"/>
      <c r="AL68" s="1953"/>
      <c r="AM68" s="1953"/>
      <c r="AN68" s="1953"/>
      <c r="AO68" s="1953"/>
      <c r="AP68" s="1953"/>
      <c r="AQ68" s="1953"/>
      <c r="AR68" s="1953"/>
      <c r="AS68" s="1953"/>
      <c r="AT68" s="1953"/>
      <c r="AU68" s="1953"/>
      <c r="AV68" s="2103" t="s">
        <v>695</v>
      </c>
      <c r="AW68" s="2009"/>
      <c r="AX68" s="2009"/>
      <c r="AY68" s="2009"/>
      <c r="AZ68" s="2009"/>
      <c r="BA68" s="2009"/>
      <c r="BB68" s="2009"/>
      <c r="BC68" s="2010"/>
      <c r="BD68" s="1079"/>
      <c r="BE68" s="1083"/>
      <c r="BM68" s="1088" t="s">
        <v>1953</v>
      </c>
    </row>
    <row r="69" spans="1:94" ht="15.75" customHeight="1" thickTop="1" thickBot="1">
      <c r="A69" s="1079"/>
      <c r="B69" s="2104" t="s">
        <v>1954</v>
      </c>
      <c r="C69" s="2105"/>
      <c r="D69" s="2105"/>
      <c r="E69" s="2105"/>
      <c r="F69" s="2105"/>
      <c r="G69" s="2105"/>
      <c r="H69" s="2105"/>
      <c r="I69" s="2105"/>
      <c r="J69" s="2105"/>
      <c r="K69" s="2105"/>
      <c r="L69" s="2105"/>
      <c r="M69" s="2105"/>
      <c r="N69" s="2105"/>
      <c r="O69" s="2106" t="s">
        <v>1955</v>
      </c>
      <c r="P69" s="2107"/>
      <c r="Q69" s="2107"/>
      <c r="R69" s="2107"/>
      <c r="S69" s="2107"/>
      <c r="T69" s="2107"/>
      <c r="U69" s="2107"/>
      <c r="V69" s="2107"/>
      <c r="W69" s="2107"/>
      <c r="X69" s="2107"/>
      <c r="Y69" s="2107"/>
      <c r="Z69" s="2107"/>
      <c r="AA69" s="2108"/>
      <c r="AB69" s="1079"/>
      <c r="AC69" s="2109" t="s">
        <v>1956</v>
      </c>
      <c r="AD69" s="2110"/>
      <c r="AE69" s="2110"/>
      <c r="AF69" s="2110"/>
      <c r="AG69" s="2110"/>
      <c r="AH69" s="2110"/>
      <c r="AI69" s="2110"/>
      <c r="AJ69" s="2110"/>
      <c r="AK69" s="2110"/>
      <c r="AL69" s="2110"/>
      <c r="AM69" s="2110"/>
      <c r="AN69" s="2110"/>
      <c r="AO69" s="2110"/>
      <c r="AP69" s="2110"/>
      <c r="AQ69" s="2110"/>
      <c r="AR69" s="2110"/>
      <c r="AS69" s="2110"/>
      <c r="AT69" s="2110"/>
      <c r="AU69" s="2110"/>
      <c r="AV69" s="2103" t="s">
        <v>695</v>
      </c>
      <c r="AW69" s="2009"/>
      <c r="AX69" s="2009"/>
      <c r="AY69" s="2009"/>
      <c r="AZ69" s="2009"/>
      <c r="BA69" s="2009"/>
      <c r="BB69" s="2009"/>
      <c r="BC69" s="2010"/>
      <c r="BD69" s="1079"/>
      <c r="BE69" s="1083"/>
      <c r="BM69" s="1089" t="s">
        <v>848</v>
      </c>
    </row>
    <row r="70" spans="1:94" ht="15.75" customHeight="1">
      <c r="A70" s="1079"/>
      <c r="B70" s="2086" t="s">
        <v>1957</v>
      </c>
      <c r="C70" s="2087"/>
      <c r="D70" s="2087"/>
      <c r="E70" s="2087"/>
      <c r="F70" s="2087"/>
      <c r="G70" s="2087"/>
      <c r="H70" s="2087"/>
      <c r="I70" s="2087"/>
      <c r="J70" s="2087"/>
      <c r="K70" s="2087"/>
      <c r="L70" s="2087"/>
      <c r="M70" s="2087"/>
      <c r="N70" s="2087"/>
      <c r="O70" s="1960">
        <v>0</v>
      </c>
      <c r="P70" s="1960"/>
      <c r="Q70" s="1960"/>
      <c r="R70" s="1960"/>
      <c r="S70" s="1960"/>
      <c r="T70" s="1960"/>
      <c r="U70" s="1960"/>
      <c r="V70" s="1960"/>
      <c r="W70" s="1960"/>
      <c r="X70" s="1960"/>
      <c r="Y70" s="1960"/>
      <c r="Z70" s="1960"/>
      <c r="AA70" s="2088"/>
      <c r="AB70" s="1079"/>
      <c r="AC70" s="1998" t="s">
        <v>1958</v>
      </c>
      <c r="AD70" s="1954"/>
      <c r="AE70" s="1954"/>
      <c r="AF70" s="2097"/>
      <c r="AG70" s="2097"/>
      <c r="AH70" s="2097"/>
      <c r="AI70" s="2097"/>
      <c r="AJ70" s="2097"/>
      <c r="AK70" s="2097"/>
      <c r="AL70" s="2097"/>
      <c r="AM70" s="2097"/>
      <c r="AN70" s="2097"/>
      <c r="AO70" s="2097"/>
      <c r="AP70" s="2097"/>
      <c r="AQ70" s="2097"/>
      <c r="AR70" s="2097"/>
      <c r="AS70" s="2097"/>
      <c r="AT70" s="2097"/>
      <c r="AU70" s="2098"/>
      <c r="AV70" s="1079"/>
      <c r="AW70" s="1079"/>
      <c r="AX70" s="1079"/>
      <c r="AY70" s="1079"/>
      <c r="AZ70" s="1079"/>
      <c r="BA70" s="1079"/>
      <c r="BB70" s="1079"/>
      <c r="BC70" s="1079"/>
      <c r="BD70" s="1079"/>
      <c r="BE70" s="1083"/>
      <c r="BM70" s="1090" t="s">
        <v>695</v>
      </c>
    </row>
    <row r="71" spans="1:94" ht="15.75" customHeight="1" thickBot="1">
      <c r="A71" s="1079"/>
      <c r="B71" s="2086" t="s">
        <v>1959</v>
      </c>
      <c r="C71" s="2087"/>
      <c r="D71" s="2087"/>
      <c r="E71" s="2087"/>
      <c r="F71" s="2087"/>
      <c r="G71" s="2087"/>
      <c r="H71" s="2087"/>
      <c r="I71" s="2087"/>
      <c r="J71" s="2087"/>
      <c r="K71" s="2087"/>
      <c r="L71" s="2087"/>
      <c r="M71" s="2087"/>
      <c r="N71" s="2087"/>
      <c r="O71" s="1960">
        <v>0</v>
      </c>
      <c r="P71" s="1960"/>
      <c r="Q71" s="1960"/>
      <c r="R71" s="1960"/>
      <c r="S71" s="1960"/>
      <c r="T71" s="1960"/>
      <c r="U71" s="1960"/>
      <c r="V71" s="1960"/>
      <c r="W71" s="1960"/>
      <c r="X71" s="1960"/>
      <c r="Y71" s="1960"/>
      <c r="Z71" s="1960"/>
      <c r="AA71" s="2088"/>
      <c r="AB71" s="1079"/>
      <c r="AC71" s="2099" t="s">
        <v>1960</v>
      </c>
      <c r="AD71" s="2100"/>
      <c r="AE71" s="2100"/>
      <c r="AF71" s="2101"/>
      <c r="AG71" s="2101"/>
      <c r="AH71" s="2101"/>
      <c r="AI71" s="2101"/>
      <c r="AJ71" s="2101"/>
      <c r="AK71" s="2101"/>
      <c r="AL71" s="2101"/>
      <c r="AM71" s="2101"/>
      <c r="AN71" s="2101"/>
      <c r="AO71" s="2101"/>
      <c r="AP71" s="2101"/>
      <c r="AQ71" s="2101"/>
      <c r="AR71" s="2101"/>
      <c r="AS71" s="2101"/>
      <c r="AT71" s="2101"/>
      <c r="AU71" s="2102"/>
      <c r="AV71" s="1079"/>
      <c r="AW71" s="1079"/>
      <c r="AX71" s="1079"/>
      <c r="AY71" s="1079"/>
      <c r="AZ71" s="1079"/>
      <c r="BA71" s="1079"/>
      <c r="BB71" s="1079"/>
      <c r="BC71" s="1079"/>
      <c r="BD71" s="1079"/>
      <c r="BE71" s="1083"/>
      <c r="BM71" s="1076" t="s">
        <v>1961</v>
      </c>
    </row>
    <row r="72" spans="1:94" ht="15.75" customHeight="1">
      <c r="A72" s="1079"/>
      <c r="B72" s="2086" t="s">
        <v>1962</v>
      </c>
      <c r="C72" s="2087"/>
      <c r="D72" s="2087"/>
      <c r="E72" s="2087"/>
      <c r="F72" s="2087"/>
      <c r="G72" s="2087"/>
      <c r="H72" s="2087"/>
      <c r="I72" s="2087"/>
      <c r="J72" s="2087"/>
      <c r="K72" s="2087"/>
      <c r="L72" s="2087"/>
      <c r="M72" s="2087"/>
      <c r="N72" s="2087"/>
      <c r="O72" s="1960">
        <v>0</v>
      </c>
      <c r="P72" s="1960"/>
      <c r="Q72" s="1960"/>
      <c r="R72" s="1960"/>
      <c r="S72" s="1960"/>
      <c r="T72" s="1960"/>
      <c r="U72" s="1960"/>
      <c r="V72" s="1960"/>
      <c r="W72" s="1960"/>
      <c r="X72" s="1960"/>
      <c r="Y72" s="1960"/>
      <c r="Z72" s="1960"/>
      <c r="AA72" s="2088"/>
      <c r="AB72" s="1079"/>
      <c r="AC72" s="2089" t="s">
        <v>1963</v>
      </c>
      <c r="AD72" s="2090"/>
      <c r="AE72" s="2090"/>
      <c r="AF72" s="2090"/>
      <c r="AG72" s="2090"/>
      <c r="AH72" s="2090"/>
      <c r="AI72" s="2090"/>
      <c r="AJ72" s="2090"/>
      <c r="AK72" s="2090"/>
      <c r="AL72" s="2090"/>
      <c r="AM72" s="2090"/>
      <c r="AN72" s="2090"/>
      <c r="AO72" s="2090"/>
      <c r="AP72" s="2090"/>
      <c r="AQ72" s="2090"/>
      <c r="AR72" s="2090"/>
      <c r="AS72" s="2090"/>
      <c r="AT72" s="2090"/>
      <c r="AU72" s="2090"/>
      <c r="AV72" s="1954"/>
      <c r="AW72" s="1954"/>
      <c r="AX72" s="1954"/>
      <c r="AY72" s="1954"/>
      <c r="AZ72" s="1954"/>
      <c r="BA72" s="1954"/>
      <c r="BB72" s="1954"/>
      <c r="BC72" s="1955"/>
      <c r="BD72" s="1079"/>
      <c r="BE72" s="1083"/>
    </row>
    <row r="73" spans="1:94" ht="15.75" customHeight="1">
      <c r="A73" s="1079"/>
      <c r="B73" s="2091" t="s">
        <v>1964</v>
      </c>
      <c r="C73" s="2092"/>
      <c r="D73" s="2092"/>
      <c r="E73" s="2092"/>
      <c r="F73" s="2092"/>
      <c r="G73" s="2092"/>
      <c r="H73" s="2092"/>
      <c r="I73" s="2092"/>
      <c r="J73" s="2092"/>
      <c r="K73" s="2092"/>
      <c r="L73" s="2092"/>
      <c r="M73" s="2092"/>
      <c r="N73" s="2092"/>
      <c r="O73" s="1960">
        <v>0</v>
      </c>
      <c r="P73" s="1960"/>
      <c r="Q73" s="1960"/>
      <c r="R73" s="1960"/>
      <c r="S73" s="1960"/>
      <c r="T73" s="1960"/>
      <c r="U73" s="1960"/>
      <c r="V73" s="1960"/>
      <c r="W73" s="1960"/>
      <c r="X73" s="1960"/>
      <c r="Y73" s="1960"/>
      <c r="Z73" s="1960"/>
      <c r="AA73" s="2088"/>
      <c r="AB73" s="1079"/>
      <c r="AC73" s="1969" t="s">
        <v>1965</v>
      </c>
      <c r="AD73" s="1970"/>
      <c r="AE73" s="1970"/>
      <c r="AF73" s="1970"/>
      <c r="AG73" s="1970"/>
      <c r="AH73" s="1970"/>
      <c r="AI73" s="1970"/>
      <c r="AJ73" s="1970"/>
      <c r="AK73" s="1970"/>
      <c r="AL73" s="1970"/>
      <c r="AM73" s="1970"/>
      <c r="AN73" s="1970"/>
      <c r="AO73" s="1970"/>
      <c r="AP73" s="1970"/>
      <c r="AQ73" s="1970"/>
      <c r="AR73" s="1970"/>
      <c r="AS73" s="1970"/>
      <c r="AT73" s="1970"/>
      <c r="AU73" s="1970"/>
      <c r="AV73" s="1970"/>
      <c r="AW73" s="1970"/>
      <c r="AX73" s="1970"/>
      <c r="AY73" s="1970"/>
      <c r="AZ73" s="1970"/>
      <c r="BA73" s="1970"/>
      <c r="BB73" s="1970"/>
      <c r="BC73" s="1971"/>
      <c r="BD73" s="1079"/>
      <c r="BE73" s="1083"/>
      <c r="CK73" s="1077"/>
      <c r="CL73" s="1077"/>
      <c r="CM73" s="1077"/>
      <c r="CN73" s="1077"/>
      <c r="CO73" s="1077"/>
      <c r="CP73" s="1077"/>
    </row>
    <row r="74" spans="1:94" ht="15.75" customHeight="1">
      <c r="A74" s="1079"/>
      <c r="B74" s="1914"/>
      <c r="C74" s="1915"/>
      <c r="D74" s="1915"/>
      <c r="E74" s="1915"/>
      <c r="F74" s="1915"/>
      <c r="G74" s="1915"/>
      <c r="H74" s="1915"/>
      <c r="I74" s="1915"/>
      <c r="J74" s="1915"/>
      <c r="K74" s="1915"/>
      <c r="L74" s="1915"/>
      <c r="M74" s="1915"/>
      <c r="N74" s="1915"/>
      <c r="O74" s="1960"/>
      <c r="P74" s="1960"/>
      <c r="Q74" s="1960"/>
      <c r="R74" s="1960"/>
      <c r="S74" s="1960"/>
      <c r="T74" s="1960"/>
      <c r="U74" s="1960"/>
      <c r="V74" s="1960"/>
      <c r="W74" s="1960"/>
      <c r="X74" s="1960"/>
      <c r="Y74" s="1960"/>
      <c r="Z74" s="1960"/>
      <c r="AA74" s="2088"/>
      <c r="AB74" s="1079"/>
      <c r="AC74" s="1969"/>
      <c r="AD74" s="1970"/>
      <c r="AE74" s="1970"/>
      <c r="AF74" s="1970"/>
      <c r="AG74" s="1970"/>
      <c r="AH74" s="1970"/>
      <c r="AI74" s="1970"/>
      <c r="AJ74" s="1970"/>
      <c r="AK74" s="1970"/>
      <c r="AL74" s="1970"/>
      <c r="AM74" s="1970"/>
      <c r="AN74" s="1970"/>
      <c r="AO74" s="1970"/>
      <c r="AP74" s="1970"/>
      <c r="AQ74" s="1970"/>
      <c r="AR74" s="1970"/>
      <c r="AS74" s="1970"/>
      <c r="AT74" s="1970"/>
      <c r="AU74" s="1970"/>
      <c r="AV74" s="1970"/>
      <c r="AW74" s="1970"/>
      <c r="AX74" s="1970"/>
      <c r="AY74" s="1970"/>
      <c r="AZ74" s="1970"/>
      <c r="BA74" s="1970"/>
      <c r="BB74" s="1970"/>
      <c r="BC74" s="1971"/>
      <c r="BD74" s="1079"/>
      <c r="BE74" s="1083"/>
      <c r="CK74" s="1077"/>
      <c r="CL74" s="1077"/>
      <c r="CM74" s="1077"/>
      <c r="CN74" s="1077"/>
      <c r="CO74" s="1077"/>
      <c r="CP74" s="1077"/>
    </row>
    <row r="75" spans="1:94" ht="15.75" customHeight="1" thickBot="1">
      <c r="A75" s="1079"/>
      <c r="B75" s="2093" t="s">
        <v>1480</v>
      </c>
      <c r="C75" s="2094"/>
      <c r="D75" s="2094"/>
      <c r="E75" s="2094"/>
      <c r="F75" s="2094"/>
      <c r="G75" s="2094"/>
      <c r="H75" s="2094"/>
      <c r="I75" s="2094"/>
      <c r="J75" s="2094"/>
      <c r="K75" s="2094"/>
      <c r="L75" s="2094"/>
      <c r="M75" s="2094"/>
      <c r="N75" s="2094"/>
      <c r="O75" s="2095">
        <f>SUM(O70:AA74)</f>
        <v>0</v>
      </c>
      <c r="P75" s="2095"/>
      <c r="Q75" s="2095"/>
      <c r="R75" s="2095"/>
      <c r="S75" s="2095"/>
      <c r="T75" s="2095"/>
      <c r="U75" s="2095"/>
      <c r="V75" s="2095"/>
      <c r="W75" s="2095"/>
      <c r="X75" s="2095"/>
      <c r="Y75" s="2095"/>
      <c r="Z75" s="2095"/>
      <c r="AA75" s="2096"/>
      <c r="AB75" s="1079"/>
      <c r="AC75" s="1969"/>
      <c r="AD75" s="1970"/>
      <c r="AE75" s="1970"/>
      <c r="AF75" s="1970"/>
      <c r="AG75" s="1970"/>
      <c r="AH75" s="1970"/>
      <c r="AI75" s="1970"/>
      <c r="AJ75" s="1970"/>
      <c r="AK75" s="1970"/>
      <c r="AL75" s="1970"/>
      <c r="AM75" s="1970"/>
      <c r="AN75" s="1970"/>
      <c r="AO75" s="1970"/>
      <c r="AP75" s="1970"/>
      <c r="AQ75" s="1970"/>
      <c r="AR75" s="1970"/>
      <c r="AS75" s="1970"/>
      <c r="AT75" s="1970"/>
      <c r="AU75" s="1970"/>
      <c r="AV75" s="1970"/>
      <c r="AW75" s="1970"/>
      <c r="AX75" s="1970"/>
      <c r="AY75" s="1970"/>
      <c r="AZ75" s="1970"/>
      <c r="BA75" s="1970"/>
      <c r="BB75" s="1970"/>
      <c r="BC75" s="1971"/>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69"/>
      <c r="AD76" s="1970"/>
      <c r="AE76" s="1970"/>
      <c r="AF76" s="1970"/>
      <c r="AG76" s="1970"/>
      <c r="AH76" s="1970"/>
      <c r="AI76" s="1970"/>
      <c r="AJ76" s="1970"/>
      <c r="AK76" s="1970"/>
      <c r="AL76" s="1970"/>
      <c r="AM76" s="1970"/>
      <c r="AN76" s="1970"/>
      <c r="AO76" s="1970"/>
      <c r="AP76" s="1970"/>
      <c r="AQ76" s="1970"/>
      <c r="AR76" s="1970"/>
      <c r="AS76" s="1970"/>
      <c r="AT76" s="1970"/>
      <c r="AU76" s="1970"/>
      <c r="AV76" s="1970"/>
      <c r="AW76" s="1970"/>
      <c r="AX76" s="1970"/>
      <c r="AY76" s="1970"/>
      <c r="AZ76" s="1970"/>
      <c r="BA76" s="1970"/>
      <c r="BB76" s="1970"/>
      <c r="BC76" s="1971"/>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2"/>
      <c r="AD77" s="1973"/>
      <c r="AE77" s="1973"/>
      <c r="AF77" s="1973"/>
      <c r="AG77" s="1973"/>
      <c r="AH77" s="1973"/>
      <c r="AI77" s="1973"/>
      <c r="AJ77" s="1973"/>
      <c r="AK77" s="1973"/>
      <c r="AL77" s="1973"/>
      <c r="AM77" s="1973"/>
      <c r="AN77" s="1973"/>
      <c r="AO77" s="1973"/>
      <c r="AP77" s="1973"/>
      <c r="AQ77" s="1973"/>
      <c r="AR77" s="1973"/>
      <c r="AS77" s="1973"/>
      <c r="AT77" s="1973"/>
      <c r="AU77" s="1973"/>
      <c r="AV77" s="1973"/>
      <c r="AW77" s="1973"/>
      <c r="AX77" s="1973"/>
      <c r="AY77" s="1973"/>
      <c r="AZ77" s="1973"/>
      <c r="BA77" s="1973"/>
      <c r="BB77" s="1973"/>
      <c r="BC77" s="1974"/>
      <c r="BD77" s="1079"/>
      <c r="BE77" s="1083"/>
      <c r="CK77" s="1077"/>
      <c r="CL77" s="1077"/>
      <c r="CM77" s="1077"/>
      <c r="CN77" s="1077"/>
      <c r="CO77" s="1077"/>
      <c r="CP77" s="1077"/>
    </row>
    <row r="78" spans="1:94" ht="15.75" customHeight="1" thickBot="1">
      <c r="A78" s="1079"/>
      <c r="B78" s="1091" t="s">
        <v>1966</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1967</v>
      </c>
      <c r="C79" s="1095"/>
      <c r="D79" s="1095"/>
      <c r="E79" s="1096"/>
      <c r="F79" s="2071"/>
      <c r="G79" s="2072"/>
      <c r="H79" s="2072"/>
      <c r="I79" s="2072"/>
      <c r="J79" s="2072"/>
      <c r="K79" s="2072"/>
      <c r="L79" s="2072"/>
      <c r="M79" s="2072"/>
      <c r="N79" s="2072"/>
      <c r="O79" s="2072"/>
      <c r="P79" s="2072"/>
      <c r="Q79" s="2072"/>
      <c r="R79" s="2072"/>
      <c r="S79" s="2072"/>
      <c r="T79" s="2073"/>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4" t="s">
        <v>1968</v>
      </c>
      <c r="C80" s="2075"/>
      <c r="D80" s="2075"/>
      <c r="E80" s="2075"/>
      <c r="F80" s="2075"/>
      <c r="G80" s="2075"/>
      <c r="H80" s="2075"/>
      <c r="I80" s="2075"/>
      <c r="J80" s="2075"/>
      <c r="K80" s="2075"/>
      <c r="L80" s="2075"/>
      <c r="M80" s="2075"/>
      <c r="N80" s="2075"/>
      <c r="O80" s="2075"/>
      <c r="P80" s="2075"/>
      <c r="Q80" s="2075"/>
      <c r="R80" s="2077" t="str">
        <f>IFERROR(INDEX(BR96:BR98,MATCH(F79,$BQ$96:$BQ$98,0))/SUM($BR$96:$BR$98),"")</f>
        <v/>
      </c>
      <c r="S80" s="2078"/>
      <c r="T80" s="2079"/>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0" t="s">
        <v>1969</v>
      </c>
      <c r="C81" s="2081"/>
      <c r="D81" s="2081"/>
      <c r="E81" s="2081"/>
      <c r="F81" s="2081"/>
      <c r="G81" s="2081"/>
      <c r="H81" s="2081"/>
      <c r="I81" s="2081"/>
      <c r="J81" s="2081"/>
      <c r="K81" s="2081"/>
      <c r="L81" s="2081"/>
      <c r="M81" s="2081"/>
      <c r="N81" s="2081"/>
      <c r="O81" s="2081"/>
      <c r="P81" s="2081"/>
      <c r="Q81" s="2081"/>
      <c r="R81" s="2062" t="s">
        <v>1970</v>
      </c>
      <c r="S81" s="2063"/>
      <c r="T81" s="2064"/>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3" t="s">
        <v>1971</v>
      </c>
      <c r="C83" s="2084"/>
      <c r="D83" s="2084"/>
      <c r="E83" s="2084"/>
      <c r="F83" s="2084"/>
      <c r="G83" s="2084"/>
      <c r="H83" s="2084"/>
      <c r="I83" s="2084"/>
      <c r="J83" s="2084"/>
      <c r="K83" s="2084"/>
      <c r="L83" s="2084"/>
      <c r="M83" s="2084"/>
      <c r="N83" s="2084"/>
      <c r="O83" s="2084"/>
      <c r="P83" s="2084"/>
      <c r="Q83" s="2084"/>
      <c r="R83" s="2084"/>
      <c r="S83" s="2084"/>
      <c r="T83" s="2084"/>
      <c r="U83" s="2084"/>
      <c r="V83" s="2084"/>
      <c r="W83" s="2084"/>
      <c r="X83" s="2084"/>
      <c r="Y83" s="2084"/>
      <c r="Z83" s="2084"/>
      <c r="AA83" s="2084"/>
      <c r="AB83" s="2084"/>
      <c r="AC83" s="2084"/>
      <c r="AD83" s="2084"/>
      <c r="AE83" s="2084"/>
      <c r="AF83" s="2084"/>
      <c r="AG83" s="2084"/>
      <c r="AH83" s="2085"/>
      <c r="AI83" s="1079"/>
      <c r="AJ83" s="2050" t="s">
        <v>1972</v>
      </c>
      <c r="AK83" s="2051"/>
      <c r="AL83" s="2051"/>
      <c r="AM83" s="2051"/>
      <c r="AN83" s="2051"/>
      <c r="AO83" s="2051"/>
      <c r="AP83" s="2051"/>
      <c r="AQ83" s="2051"/>
      <c r="AR83" s="2051"/>
      <c r="AS83" s="2051"/>
      <c r="AT83" s="2051"/>
      <c r="AU83" s="2051"/>
      <c r="AV83" s="2051"/>
      <c r="AW83" s="2051"/>
      <c r="AX83" s="2051"/>
      <c r="AY83" s="2067" t="s">
        <v>848</v>
      </c>
      <c r="AZ83" s="2067"/>
      <c r="BA83" s="2067"/>
      <c r="BB83" s="2068"/>
      <c r="BC83" s="1079"/>
      <c r="BD83" s="1079"/>
      <c r="BE83" s="1083"/>
      <c r="CK83" s="1077"/>
      <c r="CL83" s="1077"/>
      <c r="CM83" s="1077"/>
      <c r="CN83" s="1077"/>
      <c r="CO83" s="1077"/>
      <c r="CP83" s="1077"/>
    </row>
    <row r="84" spans="1:94" ht="15.75" customHeight="1">
      <c r="A84" s="1079"/>
      <c r="B84" s="2061"/>
      <c r="C84" s="2029"/>
      <c r="D84" s="2029"/>
      <c r="E84" s="2029"/>
      <c r="F84" s="2029"/>
      <c r="G84" s="2029"/>
      <c r="H84" s="2029"/>
      <c r="I84" s="2029" t="s">
        <v>1973</v>
      </c>
      <c r="J84" s="2029"/>
      <c r="K84" s="2029"/>
      <c r="L84" s="2029"/>
      <c r="M84" s="2029"/>
      <c r="N84" s="2029"/>
      <c r="O84" s="2029" t="s">
        <v>1974</v>
      </c>
      <c r="P84" s="2029"/>
      <c r="Q84" s="2029"/>
      <c r="R84" s="2029"/>
      <c r="S84" s="2029"/>
      <c r="T84" s="2029"/>
      <c r="U84" s="2029"/>
      <c r="V84" s="2065" t="s">
        <v>1975</v>
      </c>
      <c r="W84" s="2065"/>
      <c r="X84" s="2065"/>
      <c r="Y84" s="2065"/>
      <c r="Z84" s="2065"/>
      <c r="AA84" s="2065"/>
      <c r="AB84" s="1999" t="s">
        <v>1976</v>
      </c>
      <c r="AC84" s="1999"/>
      <c r="AD84" s="1999"/>
      <c r="AE84" s="1999"/>
      <c r="AF84" s="1999"/>
      <c r="AG84" s="1999"/>
      <c r="AH84" s="2066"/>
      <c r="AI84" s="1079"/>
      <c r="AJ84" s="2053"/>
      <c r="AK84" s="2054"/>
      <c r="AL84" s="2054"/>
      <c r="AM84" s="2054"/>
      <c r="AN84" s="2054"/>
      <c r="AO84" s="2054"/>
      <c r="AP84" s="2054"/>
      <c r="AQ84" s="2054"/>
      <c r="AR84" s="2054"/>
      <c r="AS84" s="2054"/>
      <c r="AT84" s="2054"/>
      <c r="AU84" s="2054"/>
      <c r="AV84" s="2054"/>
      <c r="AW84" s="2054"/>
      <c r="AX84" s="2054"/>
      <c r="AY84" s="2069"/>
      <c r="AZ84" s="2069"/>
      <c r="BA84" s="2069"/>
      <c r="BB84" s="2070"/>
      <c r="BC84" s="1079"/>
      <c r="BD84" s="1079"/>
      <c r="BE84" s="1083"/>
      <c r="CK84" s="1077"/>
      <c r="CL84" s="1077"/>
      <c r="CM84" s="1077"/>
      <c r="CN84" s="1077"/>
      <c r="CO84" s="1077"/>
      <c r="CP84" s="1077"/>
    </row>
    <row r="85" spans="1:94" ht="15.75" customHeight="1">
      <c r="A85" s="1079"/>
      <c r="B85" s="2061"/>
      <c r="C85" s="2029"/>
      <c r="D85" s="2029"/>
      <c r="E85" s="2029"/>
      <c r="F85" s="2029"/>
      <c r="G85" s="2029"/>
      <c r="H85" s="2029"/>
      <c r="I85" s="2029"/>
      <c r="J85" s="2029"/>
      <c r="K85" s="2029"/>
      <c r="L85" s="2029"/>
      <c r="M85" s="2029"/>
      <c r="N85" s="2029"/>
      <c r="O85" s="2029"/>
      <c r="P85" s="2029"/>
      <c r="Q85" s="2029"/>
      <c r="R85" s="2029"/>
      <c r="S85" s="2029"/>
      <c r="T85" s="2029"/>
      <c r="U85" s="2029"/>
      <c r="V85" s="2065"/>
      <c r="W85" s="2065"/>
      <c r="X85" s="2065"/>
      <c r="Y85" s="2065"/>
      <c r="Z85" s="2065"/>
      <c r="AA85" s="2065"/>
      <c r="AB85" s="1999"/>
      <c r="AC85" s="1999"/>
      <c r="AD85" s="1999"/>
      <c r="AE85" s="1999"/>
      <c r="AF85" s="1999"/>
      <c r="AG85" s="1999"/>
      <c r="AH85" s="2066"/>
      <c r="AI85" s="1079"/>
      <c r="AJ85" s="2053"/>
      <c r="AK85" s="2054"/>
      <c r="AL85" s="2054"/>
      <c r="AM85" s="2054"/>
      <c r="AN85" s="2054"/>
      <c r="AO85" s="2054"/>
      <c r="AP85" s="2054"/>
      <c r="AQ85" s="2054"/>
      <c r="AR85" s="2054"/>
      <c r="AS85" s="2054"/>
      <c r="AT85" s="2054"/>
      <c r="AU85" s="2054"/>
      <c r="AV85" s="2054"/>
      <c r="AW85" s="2054"/>
      <c r="AX85" s="2054"/>
      <c r="AY85" s="2069"/>
      <c r="AZ85" s="2069"/>
      <c r="BA85" s="2069"/>
      <c r="BB85" s="2070"/>
      <c r="BC85" s="1079"/>
      <c r="BD85" s="1079"/>
      <c r="BE85" s="1083"/>
      <c r="CK85" s="1077"/>
      <c r="CL85" s="1077"/>
      <c r="CM85" s="1077"/>
      <c r="CN85" s="1077"/>
      <c r="CO85" s="1077"/>
      <c r="CP85" s="1077"/>
    </row>
    <row r="86" spans="1:94" ht="15.75" customHeight="1">
      <c r="A86" s="1079"/>
      <c r="B86" s="2061" t="s">
        <v>1977</v>
      </c>
      <c r="C86" s="2029"/>
      <c r="D86" s="2029"/>
      <c r="E86" s="2029"/>
      <c r="F86" s="2029"/>
      <c r="G86" s="2029"/>
      <c r="H86" s="2029"/>
      <c r="I86" s="2002">
        <v>0</v>
      </c>
      <c r="J86" s="2002"/>
      <c r="K86" s="2002"/>
      <c r="L86" s="2002"/>
      <c r="M86" s="2002"/>
      <c r="N86" s="2002"/>
      <c r="O86" s="2002">
        <v>0</v>
      </c>
      <c r="P86" s="2002"/>
      <c r="Q86" s="2002"/>
      <c r="R86" s="2002"/>
      <c r="S86" s="2002"/>
      <c r="T86" s="2002"/>
      <c r="U86" s="2002"/>
      <c r="V86" s="2002">
        <v>0</v>
      </c>
      <c r="W86" s="2002"/>
      <c r="X86" s="2002"/>
      <c r="Y86" s="2002"/>
      <c r="Z86" s="2002"/>
      <c r="AA86" s="2002"/>
      <c r="AB86" s="2002">
        <v>0</v>
      </c>
      <c r="AC86" s="2002"/>
      <c r="AD86" s="2002"/>
      <c r="AE86" s="2002"/>
      <c r="AF86" s="2002"/>
      <c r="AG86" s="2002"/>
      <c r="AH86" s="2003"/>
      <c r="AI86" s="1079"/>
      <c r="AJ86" s="2053"/>
      <c r="AK86" s="2054"/>
      <c r="AL86" s="2054"/>
      <c r="AM86" s="2054"/>
      <c r="AN86" s="2054"/>
      <c r="AO86" s="2054"/>
      <c r="AP86" s="2054"/>
      <c r="AQ86" s="2054"/>
      <c r="AR86" s="2054"/>
      <c r="AS86" s="2054"/>
      <c r="AT86" s="2054"/>
      <c r="AU86" s="2054"/>
      <c r="AV86" s="2054"/>
      <c r="AW86" s="2054"/>
      <c r="AX86" s="2054"/>
      <c r="AY86" s="2069"/>
      <c r="AZ86" s="2069"/>
      <c r="BA86" s="2069"/>
      <c r="BB86" s="2070"/>
      <c r="BC86" s="1079"/>
      <c r="BD86" s="1079"/>
      <c r="BE86" s="1083"/>
      <c r="CK86" s="1077"/>
      <c r="CL86" s="1077"/>
      <c r="CM86" s="1077"/>
      <c r="CN86" s="1077"/>
      <c r="CO86" s="1077"/>
      <c r="CP86" s="1077"/>
    </row>
    <row r="87" spans="1:94" ht="15.75" customHeight="1">
      <c r="A87" s="1079"/>
      <c r="B87" s="2061" t="s">
        <v>1978</v>
      </c>
      <c r="C87" s="2029"/>
      <c r="D87" s="2029"/>
      <c r="E87" s="2029"/>
      <c r="F87" s="2029"/>
      <c r="G87" s="2029"/>
      <c r="H87" s="2029"/>
      <c r="I87" s="2002">
        <v>0</v>
      </c>
      <c r="J87" s="2002"/>
      <c r="K87" s="2002"/>
      <c r="L87" s="2002"/>
      <c r="M87" s="2002"/>
      <c r="N87" s="2002"/>
      <c r="O87" s="2002">
        <v>0</v>
      </c>
      <c r="P87" s="2002"/>
      <c r="Q87" s="2002"/>
      <c r="R87" s="2002"/>
      <c r="S87" s="2002"/>
      <c r="T87" s="2002"/>
      <c r="U87" s="2002"/>
      <c r="V87" s="2002">
        <v>0</v>
      </c>
      <c r="W87" s="2002"/>
      <c r="X87" s="2002"/>
      <c r="Y87" s="2002"/>
      <c r="Z87" s="2002"/>
      <c r="AA87" s="2002"/>
      <c r="AB87" s="2002">
        <v>0</v>
      </c>
      <c r="AC87" s="2002"/>
      <c r="AD87" s="2002"/>
      <c r="AE87" s="2002"/>
      <c r="AF87" s="2002"/>
      <c r="AG87" s="2002"/>
      <c r="AH87" s="2003"/>
      <c r="AI87" s="1079"/>
      <c r="AJ87" s="1969" t="s">
        <v>1979</v>
      </c>
      <c r="AK87" s="1970"/>
      <c r="AL87" s="1970"/>
      <c r="AM87" s="1970"/>
      <c r="AN87" s="1970"/>
      <c r="AO87" s="1970"/>
      <c r="AP87" s="1970"/>
      <c r="AQ87" s="1970"/>
      <c r="AR87" s="1970"/>
      <c r="AS87" s="1970"/>
      <c r="AT87" s="1970"/>
      <c r="AU87" s="1970"/>
      <c r="AV87" s="1970"/>
      <c r="AW87" s="1970"/>
      <c r="AX87" s="1970"/>
      <c r="AY87" s="1970"/>
      <c r="AZ87" s="1970"/>
      <c r="BA87" s="1970"/>
      <c r="BB87" s="1971"/>
      <c r="BC87" s="1079"/>
      <c r="BD87" s="1079"/>
      <c r="BE87" s="1083"/>
      <c r="CK87" s="1077"/>
      <c r="CL87" s="1077"/>
      <c r="CM87" s="1077"/>
      <c r="CN87" s="1077"/>
      <c r="CO87" s="1077"/>
      <c r="CP87" s="1077"/>
    </row>
    <row r="88" spans="1:94" ht="15.75" customHeight="1" thickBot="1">
      <c r="A88" s="1079"/>
      <c r="B88" s="2059" t="s">
        <v>1980</v>
      </c>
      <c r="C88" s="2060"/>
      <c r="D88" s="2060"/>
      <c r="E88" s="2060"/>
      <c r="F88" s="2060"/>
      <c r="G88" s="2060"/>
      <c r="H88" s="2060"/>
      <c r="I88" s="1996">
        <v>0</v>
      </c>
      <c r="J88" s="1996"/>
      <c r="K88" s="1996"/>
      <c r="L88" s="1996"/>
      <c r="M88" s="1996"/>
      <c r="N88" s="1996"/>
      <c r="O88" s="1996">
        <v>0</v>
      </c>
      <c r="P88" s="1996"/>
      <c r="Q88" s="1996"/>
      <c r="R88" s="1996"/>
      <c r="S88" s="1996"/>
      <c r="T88" s="1996"/>
      <c r="U88" s="1996"/>
      <c r="V88" s="1996">
        <v>0</v>
      </c>
      <c r="W88" s="1996"/>
      <c r="X88" s="1996"/>
      <c r="Y88" s="1996"/>
      <c r="Z88" s="1996"/>
      <c r="AA88" s="1996"/>
      <c r="AB88" s="1996">
        <v>0</v>
      </c>
      <c r="AC88" s="1996"/>
      <c r="AD88" s="1996"/>
      <c r="AE88" s="1996"/>
      <c r="AF88" s="1996"/>
      <c r="AG88" s="1996"/>
      <c r="AH88" s="1997"/>
      <c r="AI88" s="1079"/>
      <c r="AJ88" s="1972"/>
      <c r="AK88" s="1973"/>
      <c r="AL88" s="1973"/>
      <c r="AM88" s="1973"/>
      <c r="AN88" s="1973"/>
      <c r="AO88" s="1973"/>
      <c r="AP88" s="1973"/>
      <c r="AQ88" s="1973"/>
      <c r="AR88" s="1973"/>
      <c r="AS88" s="1973"/>
      <c r="AT88" s="1973"/>
      <c r="AU88" s="1973"/>
      <c r="AV88" s="1973"/>
      <c r="AW88" s="1973"/>
      <c r="AX88" s="1973"/>
      <c r="AY88" s="1973"/>
      <c r="AZ88" s="1973"/>
      <c r="BA88" s="1973"/>
      <c r="BB88" s="1974"/>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1981</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1967</v>
      </c>
      <c r="C92" s="1101"/>
      <c r="D92" s="1102"/>
      <c r="E92" s="1103"/>
      <c r="F92" s="2071"/>
      <c r="G92" s="2072"/>
      <c r="H92" s="2072"/>
      <c r="I92" s="2072"/>
      <c r="J92" s="2072"/>
      <c r="K92" s="2072"/>
      <c r="L92" s="2072"/>
      <c r="M92" s="2072"/>
      <c r="N92" s="2072"/>
      <c r="O92" s="2072"/>
      <c r="P92" s="2072"/>
      <c r="Q92" s="2072"/>
      <c r="R92" s="2072"/>
      <c r="S92" s="2072"/>
      <c r="T92" s="2073"/>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4" t="s">
        <v>1982</v>
      </c>
      <c r="C93" s="2075"/>
      <c r="D93" s="2075"/>
      <c r="E93" s="2075"/>
      <c r="F93" s="2075"/>
      <c r="G93" s="2075"/>
      <c r="H93" s="2075"/>
      <c r="I93" s="2075"/>
      <c r="J93" s="2075"/>
      <c r="K93" s="2075"/>
      <c r="L93" s="2075"/>
      <c r="M93" s="2075"/>
      <c r="N93" s="2075"/>
      <c r="O93" s="2075"/>
      <c r="P93" s="2075"/>
      <c r="Q93" s="2076"/>
      <c r="R93" s="2077" t="str">
        <f>IFERROR(INDEX(BR96:BR98,MATCH(F92,$BQ$96:$BQ$98,0))/SUM($BR$96:$BR$98),"")</f>
        <v/>
      </c>
      <c r="S93" s="2078"/>
      <c r="T93" s="2079"/>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0" t="s">
        <v>1983</v>
      </c>
      <c r="C94" s="2081"/>
      <c r="D94" s="2081"/>
      <c r="E94" s="2081"/>
      <c r="F94" s="2081"/>
      <c r="G94" s="2081"/>
      <c r="H94" s="2081"/>
      <c r="I94" s="2081"/>
      <c r="J94" s="2081"/>
      <c r="K94" s="2081"/>
      <c r="L94" s="2081"/>
      <c r="M94" s="2081"/>
      <c r="N94" s="2081"/>
      <c r="O94" s="2081"/>
      <c r="P94" s="2081"/>
      <c r="Q94" s="2082"/>
      <c r="R94" s="2062" t="s">
        <v>1970</v>
      </c>
      <c r="S94" s="2063"/>
      <c r="T94" s="2064"/>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3" t="s">
        <v>1984</v>
      </c>
      <c r="C96" s="2084"/>
      <c r="D96" s="2084"/>
      <c r="E96" s="2084"/>
      <c r="F96" s="2084"/>
      <c r="G96" s="2084"/>
      <c r="H96" s="2084"/>
      <c r="I96" s="2084"/>
      <c r="J96" s="2084"/>
      <c r="K96" s="2084"/>
      <c r="L96" s="2084"/>
      <c r="M96" s="2084"/>
      <c r="N96" s="2084"/>
      <c r="O96" s="2084"/>
      <c r="P96" s="2084"/>
      <c r="Q96" s="2084"/>
      <c r="R96" s="2084"/>
      <c r="S96" s="2084"/>
      <c r="T96" s="2084"/>
      <c r="U96" s="2084"/>
      <c r="V96" s="2084"/>
      <c r="W96" s="2084"/>
      <c r="X96" s="2084"/>
      <c r="Y96" s="2084"/>
      <c r="Z96" s="2084"/>
      <c r="AA96" s="2084"/>
      <c r="AB96" s="2084"/>
      <c r="AC96" s="2084"/>
      <c r="AD96" s="2084"/>
      <c r="AE96" s="2084"/>
      <c r="AF96" s="2084"/>
      <c r="AG96" s="2084"/>
      <c r="AH96" s="2085"/>
      <c r="AI96" s="1079"/>
      <c r="AJ96" s="2050" t="s">
        <v>1985</v>
      </c>
      <c r="AK96" s="2051"/>
      <c r="AL96" s="2051"/>
      <c r="AM96" s="2051"/>
      <c r="AN96" s="2051"/>
      <c r="AO96" s="2051"/>
      <c r="AP96" s="2051"/>
      <c r="AQ96" s="2051"/>
      <c r="AR96" s="2051"/>
      <c r="AS96" s="2051"/>
      <c r="AT96" s="2051"/>
      <c r="AU96" s="2051"/>
      <c r="AV96" s="2051"/>
      <c r="AW96" s="2051"/>
      <c r="AX96" s="2051"/>
      <c r="AY96" s="2067" t="s">
        <v>848</v>
      </c>
      <c r="AZ96" s="2067"/>
      <c r="BA96" s="2067"/>
      <c r="BB96" s="2068"/>
      <c r="BC96" s="1079"/>
      <c r="BD96" s="1079"/>
      <c r="BE96" s="1083"/>
      <c r="BQ96" s="1145" t="str">
        <f>Application!M243&amp;IF(TRIM(Application!AA249)&lt;&gt;""," ("&amp;Application!AA249&amp;")","")</f>
        <v>CE Olive Park Apartments I, LLC (Capstone Equities, LLC)</v>
      </c>
      <c r="BR96" s="1148">
        <f>Application!AH246</f>
        <v>8.9999999999999993E-3</v>
      </c>
      <c r="CM96" s="1077"/>
      <c r="CN96" s="1077"/>
      <c r="CO96" s="1077"/>
      <c r="CP96" s="1077"/>
    </row>
    <row r="97" spans="1:94" ht="15.75" customHeight="1">
      <c r="A97" s="1079"/>
      <c r="B97" s="2061"/>
      <c r="C97" s="2029"/>
      <c r="D97" s="2029"/>
      <c r="E97" s="2029"/>
      <c r="F97" s="2029"/>
      <c r="G97" s="2029"/>
      <c r="H97" s="2029"/>
      <c r="I97" s="2029" t="s">
        <v>1973</v>
      </c>
      <c r="J97" s="2029"/>
      <c r="K97" s="2029"/>
      <c r="L97" s="2029"/>
      <c r="M97" s="2029"/>
      <c r="N97" s="2029"/>
      <c r="O97" s="2029" t="s">
        <v>1974</v>
      </c>
      <c r="P97" s="2029"/>
      <c r="Q97" s="2029"/>
      <c r="R97" s="2029"/>
      <c r="S97" s="2029"/>
      <c r="T97" s="2029"/>
      <c r="U97" s="2029"/>
      <c r="V97" s="2065" t="s">
        <v>1975</v>
      </c>
      <c r="W97" s="2065"/>
      <c r="X97" s="2065"/>
      <c r="Y97" s="2065"/>
      <c r="Z97" s="2065"/>
      <c r="AA97" s="2065"/>
      <c r="AB97" s="1999" t="s">
        <v>1976</v>
      </c>
      <c r="AC97" s="1999"/>
      <c r="AD97" s="1999"/>
      <c r="AE97" s="1999"/>
      <c r="AF97" s="1999"/>
      <c r="AG97" s="1999"/>
      <c r="AH97" s="2066"/>
      <c r="AI97" s="1079"/>
      <c r="AJ97" s="2053"/>
      <c r="AK97" s="2054"/>
      <c r="AL97" s="2054"/>
      <c r="AM97" s="2054"/>
      <c r="AN97" s="2054"/>
      <c r="AO97" s="2054"/>
      <c r="AP97" s="2054"/>
      <c r="AQ97" s="2054"/>
      <c r="AR97" s="2054"/>
      <c r="AS97" s="2054"/>
      <c r="AT97" s="2054"/>
      <c r="AU97" s="2054"/>
      <c r="AV97" s="2054"/>
      <c r="AW97" s="2054"/>
      <c r="AX97" s="2054"/>
      <c r="AY97" s="2069"/>
      <c r="AZ97" s="2069"/>
      <c r="BA97" s="2069"/>
      <c r="BB97" s="2070"/>
      <c r="BC97" s="1079"/>
      <c r="BD97" s="1079"/>
      <c r="BE97" s="1083"/>
      <c r="BQ97" s="1145" t="str">
        <f>Application!M251&amp;IF(TRIM(Application!AA257)&lt;&gt;""," ("&amp;Application!AA257&amp;")","")</f>
        <v xml:space="preserve">Las Palmas Foundation </v>
      </c>
      <c r="BR97" s="1148">
        <f>Application!AH254</f>
        <v>1E-3</v>
      </c>
      <c r="CM97" s="1077"/>
      <c r="CN97" s="1077"/>
      <c r="CO97" s="1077"/>
      <c r="CP97" s="1077"/>
    </row>
    <row r="98" spans="1:94" ht="15.75" customHeight="1">
      <c r="A98" s="1079"/>
      <c r="B98" s="2061"/>
      <c r="C98" s="2029"/>
      <c r="D98" s="2029"/>
      <c r="E98" s="2029"/>
      <c r="F98" s="2029"/>
      <c r="G98" s="2029"/>
      <c r="H98" s="2029"/>
      <c r="I98" s="2029"/>
      <c r="J98" s="2029"/>
      <c r="K98" s="2029"/>
      <c r="L98" s="2029"/>
      <c r="M98" s="2029"/>
      <c r="N98" s="2029"/>
      <c r="O98" s="2029"/>
      <c r="P98" s="2029"/>
      <c r="Q98" s="2029"/>
      <c r="R98" s="2029"/>
      <c r="S98" s="2029"/>
      <c r="T98" s="2029"/>
      <c r="U98" s="2029"/>
      <c r="V98" s="2065"/>
      <c r="W98" s="2065"/>
      <c r="X98" s="2065"/>
      <c r="Y98" s="2065"/>
      <c r="Z98" s="2065"/>
      <c r="AA98" s="2065"/>
      <c r="AB98" s="1999"/>
      <c r="AC98" s="1999"/>
      <c r="AD98" s="1999"/>
      <c r="AE98" s="1999"/>
      <c r="AF98" s="1999"/>
      <c r="AG98" s="1999"/>
      <c r="AH98" s="2066"/>
      <c r="AI98" s="1079"/>
      <c r="AJ98" s="2053"/>
      <c r="AK98" s="2054"/>
      <c r="AL98" s="2054"/>
      <c r="AM98" s="2054"/>
      <c r="AN98" s="2054"/>
      <c r="AO98" s="2054"/>
      <c r="AP98" s="2054"/>
      <c r="AQ98" s="2054"/>
      <c r="AR98" s="2054"/>
      <c r="AS98" s="2054"/>
      <c r="AT98" s="2054"/>
      <c r="AU98" s="2054"/>
      <c r="AV98" s="2054"/>
      <c r="AW98" s="2054"/>
      <c r="AX98" s="2054"/>
      <c r="AY98" s="2069"/>
      <c r="AZ98" s="2069"/>
      <c r="BA98" s="2069"/>
      <c r="BB98" s="2070"/>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1" t="s">
        <v>1977</v>
      </c>
      <c r="C99" s="2029"/>
      <c r="D99" s="2029"/>
      <c r="E99" s="2029"/>
      <c r="F99" s="2029"/>
      <c r="G99" s="2029"/>
      <c r="H99" s="2029"/>
      <c r="I99" s="2002">
        <v>0</v>
      </c>
      <c r="J99" s="2002"/>
      <c r="K99" s="2002"/>
      <c r="L99" s="2002"/>
      <c r="M99" s="2002"/>
      <c r="N99" s="2002"/>
      <c r="O99" s="2002">
        <v>0</v>
      </c>
      <c r="P99" s="2002"/>
      <c r="Q99" s="2002"/>
      <c r="R99" s="2002"/>
      <c r="S99" s="2002"/>
      <c r="T99" s="2002"/>
      <c r="U99" s="2002"/>
      <c r="V99" s="2002">
        <v>0</v>
      </c>
      <c r="W99" s="2002"/>
      <c r="X99" s="2002"/>
      <c r="Y99" s="2002"/>
      <c r="Z99" s="2002"/>
      <c r="AA99" s="2002"/>
      <c r="AB99" s="2002">
        <v>0</v>
      </c>
      <c r="AC99" s="2002"/>
      <c r="AD99" s="2002"/>
      <c r="AE99" s="2002"/>
      <c r="AF99" s="2002"/>
      <c r="AG99" s="2002"/>
      <c r="AH99" s="2003"/>
      <c r="AI99" s="1079"/>
      <c r="AJ99" s="2053"/>
      <c r="AK99" s="2054"/>
      <c r="AL99" s="2054"/>
      <c r="AM99" s="2054"/>
      <c r="AN99" s="2054"/>
      <c r="AO99" s="2054"/>
      <c r="AP99" s="2054"/>
      <c r="AQ99" s="2054"/>
      <c r="AR99" s="2054"/>
      <c r="AS99" s="2054"/>
      <c r="AT99" s="2054"/>
      <c r="AU99" s="2054"/>
      <c r="AV99" s="2054"/>
      <c r="AW99" s="2054"/>
      <c r="AX99" s="2054"/>
      <c r="AY99" s="2069"/>
      <c r="AZ99" s="2069"/>
      <c r="BA99" s="2069"/>
      <c r="BB99" s="2070"/>
      <c r="BC99" s="1079"/>
      <c r="BD99" s="1079"/>
      <c r="BE99" s="1083"/>
      <c r="CM99" s="1077"/>
      <c r="CN99" s="1077"/>
      <c r="CO99" s="1077"/>
      <c r="CP99" s="1077"/>
    </row>
    <row r="100" spans="1:94" ht="15.75" customHeight="1">
      <c r="A100" s="1079"/>
      <c r="B100" s="2061" t="s">
        <v>1978</v>
      </c>
      <c r="C100" s="2029"/>
      <c r="D100" s="2029"/>
      <c r="E100" s="2029"/>
      <c r="F100" s="2029"/>
      <c r="G100" s="2029"/>
      <c r="H100" s="2029"/>
      <c r="I100" s="2002">
        <v>0</v>
      </c>
      <c r="J100" s="2002"/>
      <c r="K100" s="2002"/>
      <c r="L100" s="2002"/>
      <c r="M100" s="2002"/>
      <c r="N100" s="2002"/>
      <c r="O100" s="2002">
        <v>0</v>
      </c>
      <c r="P100" s="2002"/>
      <c r="Q100" s="2002"/>
      <c r="R100" s="2002"/>
      <c r="S100" s="2002"/>
      <c r="T100" s="2002"/>
      <c r="U100" s="2002"/>
      <c r="V100" s="2002">
        <v>0</v>
      </c>
      <c r="W100" s="2002"/>
      <c r="X100" s="2002"/>
      <c r="Y100" s="2002"/>
      <c r="Z100" s="2002"/>
      <c r="AA100" s="2002"/>
      <c r="AB100" s="2002">
        <v>0</v>
      </c>
      <c r="AC100" s="2002"/>
      <c r="AD100" s="2002"/>
      <c r="AE100" s="2002"/>
      <c r="AF100" s="2002"/>
      <c r="AG100" s="2002"/>
      <c r="AH100" s="2003"/>
      <c r="AI100" s="1079"/>
      <c r="AJ100" s="1969" t="s">
        <v>1979</v>
      </c>
      <c r="AK100" s="1970"/>
      <c r="AL100" s="1970"/>
      <c r="AM100" s="1970"/>
      <c r="AN100" s="1970"/>
      <c r="AO100" s="1970"/>
      <c r="AP100" s="1970"/>
      <c r="AQ100" s="1970"/>
      <c r="AR100" s="1970"/>
      <c r="AS100" s="1970"/>
      <c r="AT100" s="1970"/>
      <c r="AU100" s="1970"/>
      <c r="AV100" s="1970"/>
      <c r="AW100" s="1970"/>
      <c r="AX100" s="1970"/>
      <c r="AY100" s="1970"/>
      <c r="AZ100" s="1970"/>
      <c r="BA100" s="1970"/>
      <c r="BB100" s="1971"/>
      <c r="BC100" s="1079"/>
      <c r="BD100" s="1079"/>
      <c r="BE100" s="1083"/>
      <c r="CM100" s="1077"/>
      <c r="CN100" s="1077"/>
      <c r="CO100" s="1077"/>
      <c r="CP100" s="1077"/>
    </row>
    <row r="101" spans="1:94" ht="15.75" customHeight="1" thickBot="1">
      <c r="A101" s="1079"/>
      <c r="B101" s="2059" t="s">
        <v>1980</v>
      </c>
      <c r="C101" s="2060"/>
      <c r="D101" s="2060"/>
      <c r="E101" s="2060"/>
      <c r="F101" s="2060"/>
      <c r="G101" s="2060"/>
      <c r="H101" s="2060"/>
      <c r="I101" s="1996">
        <v>0</v>
      </c>
      <c r="J101" s="1996"/>
      <c r="K101" s="1996"/>
      <c r="L101" s="1996"/>
      <c r="M101" s="1996"/>
      <c r="N101" s="1996"/>
      <c r="O101" s="1996">
        <v>0</v>
      </c>
      <c r="P101" s="1996"/>
      <c r="Q101" s="1996"/>
      <c r="R101" s="1996"/>
      <c r="S101" s="1996"/>
      <c r="T101" s="1996"/>
      <c r="U101" s="1996"/>
      <c r="V101" s="1996">
        <v>0</v>
      </c>
      <c r="W101" s="1996"/>
      <c r="X101" s="1996"/>
      <c r="Y101" s="1996"/>
      <c r="Z101" s="1996"/>
      <c r="AA101" s="1996"/>
      <c r="AB101" s="1996">
        <v>0</v>
      </c>
      <c r="AC101" s="1996"/>
      <c r="AD101" s="1996"/>
      <c r="AE101" s="1996"/>
      <c r="AF101" s="1996"/>
      <c r="AG101" s="1996"/>
      <c r="AH101" s="1997"/>
      <c r="AI101" s="1079"/>
      <c r="AJ101" s="1972"/>
      <c r="AK101" s="1973"/>
      <c r="AL101" s="1973"/>
      <c r="AM101" s="1973"/>
      <c r="AN101" s="1973"/>
      <c r="AO101" s="1973"/>
      <c r="AP101" s="1973"/>
      <c r="AQ101" s="1973"/>
      <c r="AR101" s="1973"/>
      <c r="AS101" s="1973"/>
      <c r="AT101" s="1973"/>
      <c r="AU101" s="1973"/>
      <c r="AV101" s="1973"/>
      <c r="AW101" s="1973"/>
      <c r="AX101" s="1973"/>
      <c r="AY101" s="1973"/>
      <c r="AZ101" s="1973"/>
      <c r="BA101" s="1973"/>
      <c r="BB101" s="1974"/>
      <c r="BC101" s="1079"/>
      <c r="BD101" s="1079"/>
      <c r="BE101" s="1083"/>
      <c r="BQ101" s="1145" t="str">
        <f>Application!AA335</f>
        <v xml:space="preserve">CONAM Management Corporation </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1986</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1967</v>
      </c>
      <c r="C104" s="1101"/>
      <c r="D104" s="1106"/>
      <c r="E104" s="1107"/>
      <c r="F104" s="2023"/>
      <c r="G104" s="2024"/>
      <c r="H104" s="2024"/>
      <c r="I104" s="2024"/>
      <c r="J104" s="2024"/>
      <c r="K104" s="2024"/>
      <c r="L104" s="2024"/>
      <c r="M104" s="2024"/>
      <c r="N104" s="2024"/>
      <c r="O104" s="2024"/>
      <c r="P104" s="2024"/>
      <c r="Q104" s="2024"/>
      <c r="R104" s="2025"/>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1987</v>
      </c>
      <c r="C105" s="1109"/>
      <c r="D105" s="1110"/>
      <c r="E105" s="1110"/>
      <c r="F105" s="1110"/>
      <c r="G105" s="1110"/>
      <c r="H105" s="1110"/>
      <c r="I105" s="1110"/>
      <c r="J105" s="1110"/>
      <c r="K105" s="1110"/>
      <c r="L105" s="1111"/>
      <c r="M105" s="1110"/>
      <c r="N105" s="1111"/>
      <c r="O105" s="2062" t="str">
        <f>IFERROR(INDEX(BR96:BR98,MATCH(F104,$BQ$96:$BQ$98,0))/SUM($BR$96:$BR$98),"")</f>
        <v/>
      </c>
      <c r="P105" s="2063"/>
      <c r="Q105" s="2063"/>
      <c r="R105" s="2064"/>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2" t="s">
        <v>1988</v>
      </c>
      <c r="C107" s="1953"/>
      <c r="D107" s="1953"/>
      <c r="E107" s="1953"/>
      <c r="F107" s="1953"/>
      <c r="G107" s="1953"/>
      <c r="H107" s="1953"/>
      <c r="I107" s="1953"/>
      <c r="J107" s="1953"/>
      <c r="K107" s="1953"/>
      <c r="L107" s="1953"/>
      <c r="M107" s="1953"/>
      <c r="N107" s="1953"/>
      <c r="O107" s="1953"/>
      <c r="P107" s="1953"/>
      <c r="Q107" s="1953"/>
      <c r="R107" s="1953"/>
      <c r="S107" s="1953"/>
      <c r="T107" s="1953"/>
      <c r="U107" s="1953"/>
      <c r="V107" s="1953"/>
      <c r="W107" s="1953"/>
      <c r="X107" s="1953"/>
      <c r="Y107" s="1953"/>
      <c r="Z107" s="1953"/>
      <c r="AA107" s="1953"/>
      <c r="AB107" s="1953"/>
      <c r="AC107" s="1953"/>
      <c r="AD107" s="1953"/>
      <c r="AE107" s="1953"/>
      <c r="AF107" s="1953"/>
      <c r="AG107" s="1953"/>
      <c r="AH107" s="196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1"/>
      <c r="C108" s="2029"/>
      <c r="D108" s="2029"/>
      <c r="E108" s="2029"/>
      <c r="F108" s="2029"/>
      <c r="G108" s="2029"/>
      <c r="H108" s="2029"/>
      <c r="I108" s="2029" t="s">
        <v>1973</v>
      </c>
      <c r="J108" s="2029"/>
      <c r="K108" s="2029"/>
      <c r="L108" s="2029"/>
      <c r="M108" s="2029"/>
      <c r="N108" s="2029"/>
      <c r="O108" s="2029" t="s">
        <v>1974</v>
      </c>
      <c r="P108" s="2029"/>
      <c r="Q108" s="2029"/>
      <c r="R108" s="2029"/>
      <c r="S108" s="2029"/>
      <c r="T108" s="2029"/>
      <c r="U108" s="2029"/>
      <c r="V108" s="2065" t="s">
        <v>1975</v>
      </c>
      <c r="W108" s="2065"/>
      <c r="X108" s="2065"/>
      <c r="Y108" s="2065"/>
      <c r="Z108" s="2065"/>
      <c r="AA108" s="2065"/>
      <c r="AB108" s="1999" t="s">
        <v>1976</v>
      </c>
      <c r="AC108" s="1999"/>
      <c r="AD108" s="1999"/>
      <c r="AE108" s="1999"/>
      <c r="AF108" s="1999"/>
      <c r="AG108" s="1999"/>
      <c r="AH108" s="2066"/>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1"/>
      <c r="C109" s="2029"/>
      <c r="D109" s="2029"/>
      <c r="E109" s="2029"/>
      <c r="F109" s="2029"/>
      <c r="G109" s="2029"/>
      <c r="H109" s="2029"/>
      <c r="I109" s="2029"/>
      <c r="J109" s="2029"/>
      <c r="K109" s="2029"/>
      <c r="L109" s="2029"/>
      <c r="M109" s="2029"/>
      <c r="N109" s="2029"/>
      <c r="O109" s="2029"/>
      <c r="P109" s="2029"/>
      <c r="Q109" s="2029"/>
      <c r="R109" s="2029"/>
      <c r="S109" s="2029"/>
      <c r="T109" s="2029"/>
      <c r="U109" s="2029"/>
      <c r="V109" s="2065"/>
      <c r="W109" s="2065"/>
      <c r="X109" s="2065"/>
      <c r="Y109" s="2065"/>
      <c r="Z109" s="2065"/>
      <c r="AA109" s="2065"/>
      <c r="AB109" s="1999"/>
      <c r="AC109" s="1999"/>
      <c r="AD109" s="1999"/>
      <c r="AE109" s="1999"/>
      <c r="AF109" s="1999"/>
      <c r="AG109" s="1999"/>
      <c r="AH109" s="2066"/>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1" t="s">
        <v>1977</v>
      </c>
      <c r="C110" s="2029"/>
      <c r="D110" s="2029"/>
      <c r="E110" s="2029"/>
      <c r="F110" s="2029"/>
      <c r="G110" s="2029"/>
      <c r="H110" s="2029"/>
      <c r="I110" s="2002">
        <v>0</v>
      </c>
      <c r="J110" s="2002"/>
      <c r="K110" s="2002"/>
      <c r="L110" s="2002"/>
      <c r="M110" s="2002"/>
      <c r="N110" s="2002"/>
      <c r="O110" s="2002">
        <v>0</v>
      </c>
      <c r="P110" s="2002"/>
      <c r="Q110" s="2002"/>
      <c r="R110" s="2002"/>
      <c r="S110" s="2002"/>
      <c r="T110" s="2002"/>
      <c r="U110" s="2002"/>
      <c r="V110" s="2002">
        <v>0</v>
      </c>
      <c r="W110" s="2002"/>
      <c r="X110" s="2002"/>
      <c r="Y110" s="2002"/>
      <c r="Z110" s="2002"/>
      <c r="AA110" s="2002"/>
      <c r="AB110" s="2002">
        <v>0</v>
      </c>
      <c r="AC110" s="2002"/>
      <c r="AD110" s="2002"/>
      <c r="AE110" s="2002"/>
      <c r="AF110" s="2002"/>
      <c r="AG110" s="2002"/>
      <c r="AH110" s="200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1" t="s">
        <v>1978</v>
      </c>
      <c r="C111" s="2029"/>
      <c r="D111" s="2029"/>
      <c r="E111" s="2029"/>
      <c r="F111" s="2029"/>
      <c r="G111" s="2029"/>
      <c r="H111" s="2029"/>
      <c r="I111" s="2002">
        <v>0</v>
      </c>
      <c r="J111" s="2002"/>
      <c r="K111" s="2002"/>
      <c r="L111" s="2002"/>
      <c r="M111" s="2002"/>
      <c r="N111" s="2002"/>
      <c r="O111" s="2002">
        <v>0</v>
      </c>
      <c r="P111" s="2002"/>
      <c r="Q111" s="2002"/>
      <c r="R111" s="2002"/>
      <c r="S111" s="2002"/>
      <c r="T111" s="2002"/>
      <c r="U111" s="2002"/>
      <c r="V111" s="2002">
        <v>0</v>
      </c>
      <c r="W111" s="2002"/>
      <c r="X111" s="2002"/>
      <c r="Y111" s="2002"/>
      <c r="Z111" s="2002"/>
      <c r="AA111" s="2002"/>
      <c r="AB111" s="2002">
        <v>0</v>
      </c>
      <c r="AC111" s="2002"/>
      <c r="AD111" s="2002"/>
      <c r="AE111" s="2002"/>
      <c r="AF111" s="2002"/>
      <c r="AG111" s="2002"/>
      <c r="AH111" s="200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59" t="s">
        <v>1980</v>
      </c>
      <c r="C112" s="2060"/>
      <c r="D112" s="2060"/>
      <c r="E112" s="2060"/>
      <c r="F112" s="2060"/>
      <c r="G112" s="2060"/>
      <c r="H112" s="2060"/>
      <c r="I112" s="1996">
        <v>0</v>
      </c>
      <c r="J112" s="1996"/>
      <c r="K112" s="1996"/>
      <c r="L112" s="1996"/>
      <c r="M112" s="1996"/>
      <c r="N112" s="1996"/>
      <c r="O112" s="1996">
        <v>0</v>
      </c>
      <c r="P112" s="1996"/>
      <c r="Q112" s="1996"/>
      <c r="R112" s="1996"/>
      <c r="S112" s="1996"/>
      <c r="T112" s="1996"/>
      <c r="U112" s="1996"/>
      <c r="V112" s="1996">
        <v>0</v>
      </c>
      <c r="W112" s="1996"/>
      <c r="X112" s="1996"/>
      <c r="Y112" s="1996"/>
      <c r="Z112" s="1996"/>
      <c r="AA112" s="1996"/>
      <c r="AB112" s="1996">
        <v>0</v>
      </c>
      <c r="AC112" s="1996"/>
      <c r="AD112" s="1996"/>
      <c r="AE112" s="1996"/>
      <c r="AF112" s="1996"/>
      <c r="AG112" s="1996"/>
      <c r="AH112" s="1997"/>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1989</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1967</v>
      </c>
      <c r="C115" s="1101"/>
      <c r="D115" s="1106"/>
      <c r="E115" s="1107"/>
      <c r="F115" s="2023"/>
      <c r="G115" s="2024"/>
      <c r="H115" s="2024"/>
      <c r="I115" s="2024"/>
      <c r="J115" s="2024"/>
      <c r="K115" s="2024"/>
      <c r="L115" s="2024"/>
      <c r="M115" s="2024"/>
      <c r="N115" s="2024"/>
      <c r="O115" s="2024"/>
      <c r="P115" s="2024"/>
      <c r="Q115" s="2024"/>
      <c r="R115" s="202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4" t="s">
        <v>1990</v>
      </c>
      <c r="C117" s="2035"/>
      <c r="D117" s="2035"/>
      <c r="E117" s="2035"/>
      <c r="F117" s="2035"/>
      <c r="G117" s="2035"/>
      <c r="H117" s="2035"/>
      <c r="I117" s="2035"/>
      <c r="J117" s="2035"/>
      <c r="K117" s="2035"/>
      <c r="L117" s="2035"/>
      <c r="M117" s="2035"/>
      <c r="N117" s="2035"/>
      <c r="O117" s="2035"/>
      <c r="P117" s="2035"/>
      <c r="Q117" s="2035"/>
      <c r="R117" s="2035"/>
      <c r="S117" s="2035"/>
      <c r="T117" s="2035"/>
      <c r="U117" s="2038" t="s">
        <v>848</v>
      </c>
      <c r="V117" s="2038"/>
      <c r="W117" s="2038"/>
      <c r="X117" s="203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6"/>
      <c r="C118" s="2037"/>
      <c r="D118" s="2037"/>
      <c r="E118" s="2037"/>
      <c r="F118" s="2037"/>
      <c r="G118" s="2037"/>
      <c r="H118" s="2037"/>
      <c r="I118" s="2037"/>
      <c r="J118" s="2037"/>
      <c r="K118" s="2037"/>
      <c r="L118" s="2037"/>
      <c r="M118" s="2037"/>
      <c r="N118" s="2037"/>
      <c r="O118" s="2037"/>
      <c r="P118" s="2037"/>
      <c r="Q118" s="2037"/>
      <c r="R118" s="2037"/>
      <c r="S118" s="2037"/>
      <c r="T118" s="2037"/>
      <c r="U118" s="2040"/>
      <c r="V118" s="2040"/>
      <c r="W118" s="2040"/>
      <c r="X118" s="204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6"/>
      <c r="C119" s="2037"/>
      <c r="D119" s="2037"/>
      <c r="E119" s="2037"/>
      <c r="F119" s="2037"/>
      <c r="G119" s="2037"/>
      <c r="H119" s="2037"/>
      <c r="I119" s="2037"/>
      <c r="J119" s="2037"/>
      <c r="K119" s="2037"/>
      <c r="L119" s="2037"/>
      <c r="M119" s="2037"/>
      <c r="N119" s="2037"/>
      <c r="O119" s="2037"/>
      <c r="P119" s="2037"/>
      <c r="Q119" s="2037"/>
      <c r="R119" s="2037"/>
      <c r="S119" s="2037"/>
      <c r="T119" s="2037"/>
      <c r="U119" s="2040"/>
      <c r="V119" s="2040"/>
      <c r="W119" s="2040"/>
      <c r="X119" s="204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6"/>
      <c r="C120" s="2037"/>
      <c r="D120" s="2037"/>
      <c r="E120" s="2037"/>
      <c r="F120" s="2037"/>
      <c r="G120" s="2037"/>
      <c r="H120" s="2037"/>
      <c r="I120" s="2037"/>
      <c r="J120" s="2037"/>
      <c r="K120" s="2037"/>
      <c r="L120" s="2037"/>
      <c r="M120" s="2037"/>
      <c r="N120" s="2037"/>
      <c r="O120" s="2037"/>
      <c r="P120" s="2037"/>
      <c r="Q120" s="2037"/>
      <c r="R120" s="2037"/>
      <c r="S120" s="2037"/>
      <c r="T120" s="2037"/>
      <c r="U120" s="2040"/>
      <c r="V120" s="2040"/>
      <c r="W120" s="2040"/>
      <c r="X120" s="204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2" t="s">
        <v>1990</v>
      </c>
      <c r="C121" s="2043"/>
      <c r="D121" s="2043"/>
      <c r="E121" s="2043"/>
      <c r="F121" s="2043"/>
      <c r="G121" s="2043"/>
      <c r="H121" s="2043"/>
      <c r="I121" s="2043"/>
      <c r="J121" s="2043"/>
      <c r="K121" s="2043"/>
      <c r="L121" s="2043"/>
      <c r="M121" s="2043"/>
      <c r="N121" s="2043"/>
      <c r="O121" s="2043"/>
      <c r="P121" s="2043"/>
      <c r="Q121" s="2043"/>
      <c r="R121" s="2043"/>
      <c r="S121" s="2043"/>
      <c r="T121" s="2043"/>
      <c r="U121" s="2046" t="s">
        <v>848</v>
      </c>
      <c r="V121" s="2046"/>
      <c r="W121" s="2046"/>
      <c r="X121" s="204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4"/>
      <c r="C122" s="2045"/>
      <c r="D122" s="2045"/>
      <c r="E122" s="2045"/>
      <c r="F122" s="2045"/>
      <c r="G122" s="2045"/>
      <c r="H122" s="2045"/>
      <c r="I122" s="2045"/>
      <c r="J122" s="2045"/>
      <c r="K122" s="2045"/>
      <c r="L122" s="2045"/>
      <c r="M122" s="2045"/>
      <c r="N122" s="2045"/>
      <c r="O122" s="2045"/>
      <c r="P122" s="2045"/>
      <c r="Q122" s="2045"/>
      <c r="R122" s="2045"/>
      <c r="S122" s="2045"/>
      <c r="T122" s="2045"/>
      <c r="U122" s="2048"/>
      <c r="V122" s="2048"/>
      <c r="W122" s="2048"/>
      <c r="X122" s="204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1991</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0" t="s">
        <v>1992</v>
      </c>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083"/>
    </row>
    <row r="126" spans="1:57" ht="15.75" customHeight="1">
      <c r="A126" s="1079"/>
      <c r="B126" s="2056" t="s">
        <v>1993</v>
      </c>
      <c r="C126" s="2057"/>
      <c r="D126" s="2057"/>
      <c r="E126" s="2057"/>
      <c r="F126" s="2057"/>
      <c r="G126" s="2057"/>
      <c r="H126" s="2057"/>
      <c r="I126" s="2057"/>
      <c r="J126" s="2057"/>
      <c r="K126" s="2057"/>
      <c r="L126" s="2057"/>
      <c r="M126" s="2057"/>
      <c r="N126" s="2057"/>
      <c r="O126" s="2057"/>
      <c r="P126" s="2057"/>
      <c r="Q126" s="2057"/>
      <c r="R126" s="2057"/>
      <c r="S126" s="2057"/>
      <c r="T126" s="2057"/>
      <c r="U126" s="2058"/>
      <c r="V126" s="1079"/>
      <c r="W126" s="1079"/>
      <c r="X126" s="2053"/>
      <c r="Y126" s="2054"/>
      <c r="Z126" s="2054"/>
      <c r="AA126" s="2054"/>
      <c r="AB126" s="2054"/>
      <c r="AC126" s="2054"/>
      <c r="AD126" s="2054"/>
      <c r="AE126" s="2054"/>
      <c r="AF126" s="2054"/>
      <c r="AG126" s="2054"/>
      <c r="AH126" s="2054"/>
      <c r="AI126" s="2054"/>
      <c r="AJ126" s="2054"/>
      <c r="AK126" s="2054"/>
      <c r="AL126" s="2054"/>
      <c r="AM126" s="2054"/>
      <c r="AN126" s="2054"/>
      <c r="AO126" s="2054"/>
      <c r="AP126" s="2054"/>
      <c r="AQ126" s="2054"/>
      <c r="AR126" s="2054"/>
      <c r="AS126" s="2054"/>
      <c r="AT126" s="2054"/>
      <c r="AU126" s="2054"/>
      <c r="AV126" s="2054"/>
      <c r="AW126" s="2054"/>
      <c r="AX126" s="2054"/>
      <c r="AY126" s="2054"/>
      <c r="AZ126" s="2054"/>
      <c r="BA126" s="2054"/>
      <c r="BB126" s="2054"/>
      <c r="BC126" s="2054"/>
      <c r="BD126" s="2055"/>
      <c r="BE126" s="1083"/>
    </row>
    <row r="127" spans="1:57" ht="15.75" customHeight="1">
      <c r="A127" s="1079"/>
      <c r="B127" s="1966"/>
      <c r="C127" s="1967"/>
      <c r="D127" s="1967"/>
      <c r="E127" s="1967"/>
      <c r="F127" s="1967"/>
      <c r="G127" s="1967"/>
      <c r="H127" s="1967"/>
      <c r="I127" s="2029" t="s">
        <v>1994</v>
      </c>
      <c r="J127" s="2029"/>
      <c r="K127" s="2029"/>
      <c r="L127" s="2029"/>
      <c r="M127" s="2029"/>
      <c r="N127" s="2029"/>
      <c r="O127" s="2030" t="s">
        <v>1995</v>
      </c>
      <c r="P127" s="2030"/>
      <c r="Q127" s="2030"/>
      <c r="R127" s="2030"/>
      <c r="S127" s="2030"/>
      <c r="T127" s="2030"/>
      <c r="U127" s="2031"/>
      <c r="V127" s="1079"/>
      <c r="W127" s="1079"/>
      <c r="X127" s="1969" t="s">
        <v>1965</v>
      </c>
      <c r="Y127" s="1970"/>
      <c r="Z127" s="1970"/>
      <c r="AA127" s="1970"/>
      <c r="AB127" s="1970"/>
      <c r="AC127" s="1970"/>
      <c r="AD127" s="1970"/>
      <c r="AE127" s="1970"/>
      <c r="AF127" s="1970"/>
      <c r="AG127" s="1970"/>
      <c r="AH127" s="1970"/>
      <c r="AI127" s="1970"/>
      <c r="AJ127" s="1970"/>
      <c r="AK127" s="1970"/>
      <c r="AL127" s="1970"/>
      <c r="AM127" s="1970"/>
      <c r="AN127" s="1970"/>
      <c r="AO127" s="1970"/>
      <c r="AP127" s="1970"/>
      <c r="AQ127" s="1970"/>
      <c r="AR127" s="1970"/>
      <c r="AS127" s="1970"/>
      <c r="AT127" s="1970"/>
      <c r="AU127" s="1970"/>
      <c r="AV127" s="1970"/>
      <c r="AW127" s="1970"/>
      <c r="AX127" s="1970"/>
      <c r="AY127" s="1970"/>
      <c r="AZ127" s="1970"/>
      <c r="BA127" s="1970"/>
      <c r="BB127" s="1970"/>
      <c r="BC127" s="1970"/>
      <c r="BD127" s="1971"/>
      <c r="BE127" s="1083"/>
    </row>
    <row r="128" spans="1:57" ht="15.75" customHeight="1">
      <c r="A128" s="1079"/>
      <c r="B128" s="2000" t="s">
        <v>1996</v>
      </c>
      <c r="C128" s="2001"/>
      <c r="D128" s="2001"/>
      <c r="E128" s="2001"/>
      <c r="F128" s="2001"/>
      <c r="G128" s="2001"/>
      <c r="H128" s="2001"/>
      <c r="I128" s="2002">
        <v>0</v>
      </c>
      <c r="J128" s="2002"/>
      <c r="K128" s="2002"/>
      <c r="L128" s="2002"/>
      <c r="M128" s="2002"/>
      <c r="N128" s="2002"/>
      <c r="O128" s="2002">
        <v>0</v>
      </c>
      <c r="P128" s="2002"/>
      <c r="Q128" s="2002"/>
      <c r="R128" s="2002"/>
      <c r="S128" s="2002"/>
      <c r="T128" s="2002"/>
      <c r="U128" s="2003"/>
      <c r="V128" s="1079"/>
      <c r="W128" s="1079"/>
      <c r="X128" s="1969"/>
      <c r="Y128" s="1970"/>
      <c r="Z128" s="1970"/>
      <c r="AA128" s="1970"/>
      <c r="AB128" s="1970"/>
      <c r="AC128" s="1970"/>
      <c r="AD128" s="1970"/>
      <c r="AE128" s="1970"/>
      <c r="AF128" s="1970"/>
      <c r="AG128" s="1970"/>
      <c r="AH128" s="1970"/>
      <c r="AI128" s="1970"/>
      <c r="AJ128" s="1970"/>
      <c r="AK128" s="1970"/>
      <c r="AL128" s="1970"/>
      <c r="AM128" s="1970"/>
      <c r="AN128" s="1970"/>
      <c r="AO128" s="1970"/>
      <c r="AP128" s="1970"/>
      <c r="AQ128" s="1970"/>
      <c r="AR128" s="1970"/>
      <c r="AS128" s="1970"/>
      <c r="AT128" s="1970"/>
      <c r="AU128" s="1970"/>
      <c r="AV128" s="1970"/>
      <c r="AW128" s="1970"/>
      <c r="AX128" s="1970"/>
      <c r="AY128" s="1970"/>
      <c r="AZ128" s="1970"/>
      <c r="BA128" s="1970"/>
      <c r="BB128" s="1970"/>
      <c r="BC128" s="1970"/>
      <c r="BD128" s="1971"/>
      <c r="BE128" s="1083"/>
    </row>
    <row r="129" spans="1:57" ht="15.75" customHeight="1" thickBot="1">
      <c r="A129" s="1079"/>
      <c r="B129" s="1994" t="s">
        <v>1997</v>
      </c>
      <c r="C129" s="1995"/>
      <c r="D129" s="1995"/>
      <c r="E129" s="1995"/>
      <c r="F129" s="1995"/>
      <c r="G129" s="1995"/>
      <c r="H129" s="1995"/>
      <c r="I129" s="1996">
        <v>0</v>
      </c>
      <c r="J129" s="1996"/>
      <c r="K129" s="1996"/>
      <c r="L129" s="1996"/>
      <c r="M129" s="1996"/>
      <c r="N129" s="1996"/>
      <c r="O129" s="2032"/>
      <c r="P129" s="2032"/>
      <c r="Q129" s="2032"/>
      <c r="R129" s="2032"/>
      <c r="S129" s="2032"/>
      <c r="T129" s="2032"/>
      <c r="U129" s="2033"/>
      <c r="V129" s="1079"/>
      <c r="W129" s="1079"/>
      <c r="X129" s="1969"/>
      <c r="Y129" s="1970"/>
      <c r="Z129" s="1970"/>
      <c r="AA129" s="1970"/>
      <c r="AB129" s="1970"/>
      <c r="AC129" s="1970"/>
      <c r="AD129" s="1970"/>
      <c r="AE129" s="1970"/>
      <c r="AF129" s="1970"/>
      <c r="AG129" s="1970"/>
      <c r="AH129" s="1970"/>
      <c r="AI129" s="1970"/>
      <c r="AJ129" s="1970"/>
      <c r="AK129" s="1970"/>
      <c r="AL129" s="1970"/>
      <c r="AM129" s="1970"/>
      <c r="AN129" s="1970"/>
      <c r="AO129" s="1970"/>
      <c r="AP129" s="1970"/>
      <c r="AQ129" s="1970"/>
      <c r="AR129" s="1970"/>
      <c r="AS129" s="1970"/>
      <c r="AT129" s="1970"/>
      <c r="AU129" s="1970"/>
      <c r="AV129" s="1970"/>
      <c r="AW129" s="1970"/>
      <c r="AX129" s="1970"/>
      <c r="AY129" s="1970"/>
      <c r="AZ129" s="1970"/>
      <c r="BA129" s="1970"/>
      <c r="BB129" s="1970"/>
      <c r="BC129" s="1970"/>
      <c r="BD129" s="1971"/>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69"/>
      <c r="Y130" s="1970"/>
      <c r="Z130" s="1970"/>
      <c r="AA130" s="1970"/>
      <c r="AB130" s="1970"/>
      <c r="AC130" s="1970"/>
      <c r="AD130" s="1970"/>
      <c r="AE130" s="1970"/>
      <c r="AF130" s="1970"/>
      <c r="AG130" s="1970"/>
      <c r="AH130" s="1970"/>
      <c r="AI130" s="1970"/>
      <c r="AJ130" s="1970"/>
      <c r="AK130" s="1970"/>
      <c r="AL130" s="1970"/>
      <c r="AM130" s="1970"/>
      <c r="AN130" s="1970"/>
      <c r="AO130" s="1970"/>
      <c r="AP130" s="1970"/>
      <c r="AQ130" s="1970"/>
      <c r="AR130" s="1970"/>
      <c r="AS130" s="1970"/>
      <c r="AT130" s="1970"/>
      <c r="AU130" s="1970"/>
      <c r="AV130" s="1970"/>
      <c r="AW130" s="1970"/>
      <c r="AX130" s="1970"/>
      <c r="AY130" s="1970"/>
      <c r="AZ130" s="1970"/>
      <c r="BA130" s="1970"/>
      <c r="BB130" s="1970"/>
      <c r="BC130" s="1970"/>
      <c r="BD130" s="1971"/>
      <c r="BE130" s="1083"/>
    </row>
    <row r="131" spans="1:57" ht="15.75" customHeight="1" thickBot="1">
      <c r="A131" s="1079"/>
      <c r="B131" s="1098" t="s">
        <v>1998</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69"/>
      <c r="Y131" s="1970"/>
      <c r="Z131" s="1970"/>
      <c r="AA131" s="1970"/>
      <c r="AB131" s="1970"/>
      <c r="AC131" s="1970"/>
      <c r="AD131" s="1970"/>
      <c r="AE131" s="1970"/>
      <c r="AF131" s="1970"/>
      <c r="AG131" s="1970"/>
      <c r="AH131" s="1970"/>
      <c r="AI131" s="1970"/>
      <c r="AJ131" s="1970"/>
      <c r="AK131" s="1970"/>
      <c r="AL131" s="1970"/>
      <c r="AM131" s="1970"/>
      <c r="AN131" s="1970"/>
      <c r="AO131" s="1970"/>
      <c r="AP131" s="1970"/>
      <c r="AQ131" s="1970"/>
      <c r="AR131" s="1970"/>
      <c r="AS131" s="1970"/>
      <c r="AT131" s="1970"/>
      <c r="AU131" s="1970"/>
      <c r="AV131" s="1970"/>
      <c r="AW131" s="1970"/>
      <c r="AX131" s="1970"/>
      <c r="AY131" s="1970"/>
      <c r="AZ131" s="1970"/>
      <c r="BA131" s="1970"/>
      <c r="BB131" s="1970"/>
      <c r="BC131" s="1970"/>
      <c r="BD131" s="1971"/>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69"/>
      <c r="Y132" s="1970"/>
      <c r="Z132" s="1970"/>
      <c r="AA132" s="1970"/>
      <c r="AB132" s="1970"/>
      <c r="AC132" s="1970"/>
      <c r="AD132" s="1970"/>
      <c r="AE132" s="1970"/>
      <c r="AF132" s="1970"/>
      <c r="AG132" s="1970"/>
      <c r="AH132" s="1970"/>
      <c r="AI132" s="1970"/>
      <c r="AJ132" s="1970"/>
      <c r="AK132" s="1970"/>
      <c r="AL132" s="1970"/>
      <c r="AM132" s="1970"/>
      <c r="AN132" s="1970"/>
      <c r="AO132" s="1970"/>
      <c r="AP132" s="1970"/>
      <c r="AQ132" s="1970"/>
      <c r="AR132" s="1970"/>
      <c r="AS132" s="1970"/>
      <c r="AT132" s="1970"/>
      <c r="AU132" s="1970"/>
      <c r="AV132" s="1970"/>
      <c r="AW132" s="1970"/>
      <c r="AX132" s="1970"/>
      <c r="AY132" s="1970"/>
      <c r="AZ132" s="1970"/>
      <c r="BA132" s="1970"/>
      <c r="BB132" s="1970"/>
      <c r="BC132" s="1970"/>
      <c r="BD132" s="1971"/>
      <c r="BE132" s="1083"/>
    </row>
    <row r="133" spans="1:57" ht="15.75" customHeight="1">
      <c r="A133" s="1079"/>
      <c r="B133" s="2026" t="s">
        <v>1999</v>
      </c>
      <c r="C133" s="2027"/>
      <c r="D133" s="2027"/>
      <c r="E133" s="2027"/>
      <c r="F133" s="2027"/>
      <c r="G133" s="2027"/>
      <c r="H133" s="2027"/>
      <c r="I133" s="2027"/>
      <c r="J133" s="2027"/>
      <c r="K133" s="2027"/>
      <c r="L133" s="2027"/>
      <c r="M133" s="2027"/>
      <c r="N133" s="2027"/>
      <c r="O133" s="2027"/>
      <c r="P133" s="2027"/>
      <c r="Q133" s="2027"/>
      <c r="R133" s="2027"/>
      <c r="S133" s="2027"/>
      <c r="T133" s="2027"/>
      <c r="U133" s="2028"/>
      <c r="V133" s="1079"/>
      <c r="W133" s="1079"/>
      <c r="X133" s="1969"/>
      <c r="Y133" s="1970"/>
      <c r="Z133" s="1970"/>
      <c r="AA133" s="1970"/>
      <c r="AB133" s="1970"/>
      <c r="AC133" s="1970"/>
      <c r="AD133" s="1970"/>
      <c r="AE133" s="1970"/>
      <c r="AF133" s="1970"/>
      <c r="AG133" s="1970"/>
      <c r="AH133" s="1970"/>
      <c r="AI133" s="1970"/>
      <c r="AJ133" s="1970"/>
      <c r="AK133" s="1970"/>
      <c r="AL133" s="1970"/>
      <c r="AM133" s="1970"/>
      <c r="AN133" s="1970"/>
      <c r="AO133" s="1970"/>
      <c r="AP133" s="1970"/>
      <c r="AQ133" s="1970"/>
      <c r="AR133" s="1970"/>
      <c r="AS133" s="1970"/>
      <c r="AT133" s="1970"/>
      <c r="AU133" s="1970"/>
      <c r="AV133" s="1970"/>
      <c r="AW133" s="1970"/>
      <c r="AX133" s="1970"/>
      <c r="AY133" s="1970"/>
      <c r="AZ133" s="1970"/>
      <c r="BA133" s="1970"/>
      <c r="BB133" s="1970"/>
      <c r="BC133" s="1970"/>
      <c r="BD133" s="1971"/>
      <c r="BE133" s="1083"/>
    </row>
    <row r="134" spans="1:57" ht="15.75" customHeight="1">
      <c r="A134" s="1079"/>
      <c r="B134" s="1966"/>
      <c r="C134" s="1967"/>
      <c r="D134" s="1967"/>
      <c r="E134" s="1967"/>
      <c r="F134" s="1967"/>
      <c r="G134" s="1967"/>
      <c r="H134" s="1967"/>
      <c r="I134" s="2004" t="s">
        <v>1974</v>
      </c>
      <c r="J134" s="2004"/>
      <c r="K134" s="2004"/>
      <c r="L134" s="2004"/>
      <c r="M134" s="2004"/>
      <c r="N134" s="2004"/>
      <c r="O134" s="2004"/>
      <c r="P134" s="2004" t="s">
        <v>1975</v>
      </c>
      <c r="Q134" s="2004"/>
      <c r="R134" s="2004"/>
      <c r="S134" s="2004"/>
      <c r="T134" s="2004"/>
      <c r="U134" s="2005"/>
      <c r="V134" s="1079"/>
      <c r="W134" s="1079"/>
      <c r="X134" s="1969"/>
      <c r="Y134" s="1970"/>
      <c r="Z134" s="1970"/>
      <c r="AA134" s="1970"/>
      <c r="AB134" s="1970"/>
      <c r="AC134" s="1970"/>
      <c r="AD134" s="1970"/>
      <c r="AE134" s="1970"/>
      <c r="AF134" s="1970"/>
      <c r="AG134" s="1970"/>
      <c r="AH134" s="1970"/>
      <c r="AI134" s="1970"/>
      <c r="AJ134" s="1970"/>
      <c r="AK134" s="1970"/>
      <c r="AL134" s="1970"/>
      <c r="AM134" s="1970"/>
      <c r="AN134" s="1970"/>
      <c r="AO134" s="1970"/>
      <c r="AP134" s="1970"/>
      <c r="AQ134" s="1970"/>
      <c r="AR134" s="1970"/>
      <c r="AS134" s="1970"/>
      <c r="AT134" s="1970"/>
      <c r="AU134" s="1970"/>
      <c r="AV134" s="1970"/>
      <c r="AW134" s="1970"/>
      <c r="AX134" s="1970"/>
      <c r="AY134" s="1970"/>
      <c r="AZ134" s="1970"/>
      <c r="BA134" s="1970"/>
      <c r="BB134" s="1970"/>
      <c r="BC134" s="1970"/>
      <c r="BD134" s="1971"/>
      <c r="BE134" s="1083"/>
    </row>
    <row r="135" spans="1:57" ht="15.75" customHeight="1">
      <c r="A135" s="1079"/>
      <c r="B135" s="1966"/>
      <c r="C135" s="1967"/>
      <c r="D135" s="1967"/>
      <c r="E135" s="1967"/>
      <c r="F135" s="1967"/>
      <c r="G135" s="1967"/>
      <c r="H135" s="1967"/>
      <c r="I135" s="2004"/>
      <c r="J135" s="2004"/>
      <c r="K135" s="2004"/>
      <c r="L135" s="2004"/>
      <c r="M135" s="2004"/>
      <c r="N135" s="2004"/>
      <c r="O135" s="2004"/>
      <c r="P135" s="2004"/>
      <c r="Q135" s="2004"/>
      <c r="R135" s="2004"/>
      <c r="S135" s="2004"/>
      <c r="T135" s="2004"/>
      <c r="U135" s="2005"/>
      <c r="V135" s="1079"/>
      <c r="W135" s="1079"/>
      <c r="X135" s="1969"/>
      <c r="Y135" s="1970"/>
      <c r="Z135" s="1970"/>
      <c r="AA135" s="1970"/>
      <c r="AB135" s="1970"/>
      <c r="AC135" s="1970"/>
      <c r="AD135" s="1970"/>
      <c r="AE135" s="1970"/>
      <c r="AF135" s="1970"/>
      <c r="AG135" s="1970"/>
      <c r="AH135" s="1970"/>
      <c r="AI135" s="1970"/>
      <c r="AJ135" s="1970"/>
      <c r="AK135" s="1970"/>
      <c r="AL135" s="1970"/>
      <c r="AM135" s="1970"/>
      <c r="AN135" s="1970"/>
      <c r="AO135" s="1970"/>
      <c r="AP135" s="1970"/>
      <c r="AQ135" s="1970"/>
      <c r="AR135" s="1970"/>
      <c r="AS135" s="1970"/>
      <c r="AT135" s="1970"/>
      <c r="AU135" s="1970"/>
      <c r="AV135" s="1970"/>
      <c r="AW135" s="1970"/>
      <c r="AX135" s="1970"/>
      <c r="AY135" s="1970"/>
      <c r="AZ135" s="1970"/>
      <c r="BA135" s="1970"/>
      <c r="BB135" s="1970"/>
      <c r="BC135" s="1970"/>
      <c r="BD135" s="1971"/>
      <c r="BE135" s="1083"/>
    </row>
    <row r="136" spans="1:57" ht="15.75" customHeight="1">
      <c r="A136" s="1079"/>
      <c r="B136" s="2000" t="s">
        <v>1996</v>
      </c>
      <c r="C136" s="2001"/>
      <c r="D136" s="2001"/>
      <c r="E136" s="2001"/>
      <c r="F136" s="2001"/>
      <c r="G136" s="2001"/>
      <c r="H136" s="2001"/>
      <c r="I136" s="2002">
        <v>0</v>
      </c>
      <c r="J136" s="2002"/>
      <c r="K136" s="2002"/>
      <c r="L136" s="2002"/>
      <c r="M136" s="2002"/>
      <c r="N136" s="2002"/>
      <c r="O136" s="2002"/>
      <c r="P136" s="2002">
        <v>0</v>
      </c>
      <c r="Q136" s="2002"/>
      <c r="R136" s="2002"/>
      <c r="S136" s="2002"/>
      <c r="T136" s="2002"/>
      <c r="U136" s="2003"/>
      <c r="V136" s="1079"/>
      <c r="W136" s="1079"/>
      <c r="X136" s="1969"/>
      <c r="Y136" s="1970"/>
      <c r="Z136" s="1970"/>
      <c r="AA136" s="1970"/>
      <c r="AB136" s="1970"/>
      <c r="AC136" s="1970"/>
      <c r="AD136" s="1970"/>
      <c r="AE136" s="1970"/>
      <c r="AF136" s="1970"/>
      <c r="AG136" s="1970"/>
      <c r="AH136" s="1970"/>
      <c r="AI136" s="1970"/>
      <c r="AJ136" s="1970"/>
      <c r="AK136" s="1970"/>
      <c r="AL136" s="1970"/>
      <c r="AM136" s="1970"/>
      <c r="AN136" s="1970"/>
      <c r="AO136" s="1970"/>
      <c r="AP136" s="1970"/>
      <c r="AQ136" s="1970"/>
      <c r="AR136" s="1970"/>
      <c r="AS136" s="1970"/>
      <c r="AT136" s="1970"/>
      <c r="AU136" s="1970"/>
      <c r="AV136" s="1970"/>
      <c r="AW136" s="1970"/>
      <c r="AX136" s="1970"/>
      <c r="AY136" s="1970"/>
      <c r="AZ136" s="1970"/>
      <c r="BA136" s="1970"/>
      <c r="BB136" s="1970"/>
      <c r="BC136" s="1970"/>
      <c r="BD136" s="1971"/>
      <c r="BE136" s="1083"/>
    </row>
    <row r="137" spans="1:57" ht="15.75" customHeight="1" thickBot="1">
      <c r="A137" s="1079"/>
      <c r="B137" s="1994" t="s">
        <v>1997</v>
      </c>
      <c r="C137" s="1995"/>
      <c r="D137" s="1995"/>
      <c r="E137" s="1995"/>
      <c r="F137" s="1995"/>
      <c r="G137" s="1995"/>
      <c r="H137" s="1995"/>
      <c r="I137" s="1996">
        <v>0</v>
      </c>
      <c r="J137" s="1996"/>
      <c r="K137" s="1996"/>
      <c r="L137" s="1996"/>
      <c r="M137" s="1996"/>
      <c r="N137" s="1996"/>
      <c r="O137" s="1996"/>
      <c r="P137" s="1996">
        <v>0</v>
      </c>
      <c r="Q137" s="1996"/>
      <c r="R137" s="1996"/>
      <c r="S137" s="1996"/>
      <c r="T137" s="1996"/>
      <c r="U137" s="1997"/>
      <c r="V137" s="1079"/>
      <c r="W137" s="1079"/>
      <c r="X137" s="1972"/>
      <c r="Y137" s="1973"/>
      <c r="Z137" s="1973"/>
      <c r="AA137" s="1973"/>
      <c r="AB137" s="1973"/>
      <c r="AC137" s="1973"/>
      <c r="AD137" s="1973"/>
      <c r="AE137" s="1973"/>
      <c r="AF137" s="1973"/>
      <c r="AG137" s="1973"/>
      <c r="AH137" s="1973"/>
      <c r="AI137" s="1973"/>
      <c r="AJ137" s="1973"/>
      <c r="AK137" s="1973"/>
      <c r="AL137" s="1973"/>
      <c r="AM137" s="1973"/>
      <c r="AN137" s="1973"/>
      <c r="AO137" s="1973"/>
      <c r="AP137" s="1973"/>
      <c r="AQ137" s="1973"/>
      <c r="AR137" s="1973"/>
      <c r="AS137" s="1973"/>
      <c r="AT137" s="1973"/>
      <c r="AU137" s="1973"/>
      <c r="AV137" s="1973"/>
      <c r="AW137" s="1973"/>
      <c r="AX137" s="1973"/>
      <c r="AY137" s="1973"/>
      <c r="AZ137" s="1973"/>
      <c r="BA137" s="1973"/>
      <c r="BB137" s="1973"/>
      <c r="BC137" s="1973"/>
      <c r="BD137" s="1974"/>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1" t="s">
        <v>2000</v>
      </c>
      <c r="C139" s="2022"/>
      <c r="D139" s="2022"/>
      <c r="E139" s="2022"/>
      <c r="F139" s="2022"/>
      <c r="G139" s="2022"/>
      <c r="H139" s="2022"/>
      <c r="I139" s="2022"/>
      <c r="J139" s="2022"/>
      <c r="K139" s="2022"/>
      <c r="L139" s="2022"/>
      <c r="M139" s="2022"/>
      <c r="N139" s="2022"/>
      <c r="O139" s="2022"/>
      <c r="P139" s="2022"/>
      <c r="Q139" s="2022"/>
      <c r="R139" s="2022"/>
      <c r="S139" s="2022"/>
      <c r="T139" s="2022"/>
      <c r="U139" s="2022"/>
      <c r="V139" s="2022"/>
      <c r="W139" s="2022"/>
      <c r="X139" s="2022"/>
      <c r="Y139" s="2022"/>
      <c r="Z139" s="2022"/>
      <c r="AA139" s="2022"/>
      <c r="AB139" s="2022"/>
      <c r="AC139" s="2022"/>
      <c r="AD139" s="2022"/>
      <c r="AE139" s="2022"/>
      <c r="AF139" s="2022"/>
      <c r="AG139" s="2022"/>
      <c r="AH139" s="2009" t="s">
        <v>848</v>
      </c>
      <c r="AI139" s="2009"/>
      <c r="AJ139" s="2009"/>
      <c r="AK139" s="2009"/>
      <c r="AL139" s="2009"/>
      <c r="AM139" s="2009"/>
      <c r="AN139" s="2009"/>
      <c r="AO139" s="2009"/>
      <c r="AP139" s="2009"/>
      <c r="AQ139" s="2009"/>
      <c r="AR139" s="2009"/>
      <c r="AS139" s="2009"/>
      <c r="AT139" s="2009"/>
      <c r="AU139" s="2009"/>
      <c r="AV139" s="2009"/>
      <c r="AW139" s="2009"/>
      <c r="AX139" s="2010"/>
      <c r="AY139" s="1079"/>
      <c r="AZ139" s="1079"/>
      <c r="BA139" s="1079"/>
      <c r="BB139" s="1079"/>
      <c r="BC139" s="1079"/>
      <c r="BD139" s="1079"/>
      <c r="BE139" s="1083"/>
    </row>
    <row r="140" spans="1:57" ht="15.75" customHeight="1" thickBot="1">
      <c r="A140" s="1079"/>
      <c r="B140" s="2006" t="s">
        <v>2001</v>
      </c>
      <c r="C140" s="2007"/>
      <c r="D140" s="2007"/>
      <c r="E140" s="2007"/>
      <c r="F140" s="2007"/>
      <c r="G140" s="2007"/>
      <c r="H140" s="2007"/>
      <c r="I140" s="2007"/>
      <c r="J140" s="2007"/>
      <c r="K140" s="2007"/>
      <c r="L140" s="2007"/>
      <c r="M140" s="2007"/>
      <c r="N140" s="2007"/>
      <c r="O140" s="2007"/>
      <c r="P140" s="2007"/>
      <c r="Q140" s="2007"/>
      <c r="R140" s="2007"/>
      <c r="S140" s="2007"/>
      <c r="T140" s="2007"/>
      <c r="U140" s="2007"/>
      <c r="V140" s="2007"/>
      <c r="W140" s="2007"/>
      <c r="X140" s="2007"/>
      <c r="Y140" s="2007"/>
      <c r="Z140" s="2007"/>
      <c r="AA140" s="2007"/>
      <c r="AB140" s="2007"/>
      <c r="AC140" s="2007"/>
      <c r="AD140" s="2007"/>
      <c r="AE140" s="2007"/>
      <c r="AF140" s="2007"/>
      <c r="AG140" s="2008"/>
      <c r="AH140" s="2023"/>
      <c r="AI140" s="2024"/>
      <c r="AJ140" s="2024"/>
      <c r="AK140" s="2024"/>
      <c r="AL140" s="2024"/>
      <c r="AM140" s="2024"/>
      <c r="AN140" s="2024"/>
      <c r="AO140" s="2024"/>
      <c r="AP140" s="2024"/>
      <c r="AQ140" s="2024"/>
      <c r="AR140" s="2024"/>
      <c r="AS140" s="2024"/>
      <c r="AT140" s="2024"/>
      <c r="AU140" s="2024"/>
      <c r="AV140" s="2024"/>
      <c r="AW140" s="2024"/>
      <c r="AX140" s="2025"/>
      <c r="AY140" s="1079"/>
      <c r="AZ140" s="1079"/>
      <c r="BA140" s="1079"/>
      <c r="BB140" s="1079"/>
      <c r="BC140" s="1079"/>
      <c r="BD140" s="1079"/>
      <c r="BE140" s="1083"/>
    </row>
    <row r="141" spans="1:57" ht="15.75" customHeight="1">
      <c r="A141" s="1079"/>
      <c r="B141" s="2006" t="s">
        <v>2002</v>
      </c>
      <c r="C141" s="2007"/>
      <c r="D141" s="2007"/>
      <c r="E141" s="2007"/>
      <c r="F141" s="2007"/>
      <c r="G141" s="2007"/>
      <c r="H141" s="2007"/>
      <c r="I141" s="2007"/>
      <c r="J141" s="2007"/>
      <c r="K141" s="2007"/>
      <c r="L141" s="2007"/>
      <c r="M141" s="2007"/>
      <c r="N141" s="2007"/>
      <c r="O141" s="2007"/>
      <c r="P141" s="2007"/>
      <c r="Q141" s="2007"/>
      <c r="R141" s="2007"/>
      <c r="S141" s="2007"/>
      <c r="T141" s="2007"/>
      <c r="U141" s="2007"/>
      <c r="V141" s="2007"/>
      <c r="W141" s="2007"/>
      <c r="X141" s="2007"/>
      <c r="Y141" s="2007"/>
      <c r="Z141" s="2007"/>
      <c r="AA141" s="2007"/>
      <c r="AB141" s="2007"/>
      <c r="AC141" s="2007"/>
      <c r="AD141" s="2007"/>
      <c r="AE141" s="2007"/>
      <c r="AF141" s="2007"/>
      <c r="AG141" s="2008"/>
      <c r="AH141" s="2009" t="s">
        <v>848</v>
      </c>
      <c r="AI141" s="2009"/>
      <c r="AJ141" s="2009"/>
      <c r="AK141" s="2009"/>
      <c r="AL141" s="2009"/>
      <c r="AM141" s="2009"/>
      <c r="AN141" s="2009"/>
      <c r="AO141" s="2009"/>
      <c r="AP141" s="2009"/>
      <c r="AQ141" s="2009"/>
      <c r="AR141" s="2009"/>
      <c r="AS141" s="2009"/>
      <c r="AT141" s="2009"/>
      <c r="AU141" s="2009"/>
      <c r="AV141" s="2009"/>
      <c r="AW141" s="2009"/>
      <c r="AX141" s="2010"/>
      <c r="AY141" s="1079"/>
      <c r="AZ141" s="1079"/>
      <c r="BA141" s="1079"/>
      <c r="BB141" s="1079"/>
      <c r="BC141" s="1079"/>
      <c r="BD141" s="1079"/>
      <c r="BE141" s="1083"/>
    </row>
    <row r="142" spans="1:57" ht="15.75" customHeight="1">
      <c r="A142" s="1079"/>
      <c r="B142" s="2011" t="s">
        <v>2003</v>
      </c>
      <c r="C142" s="2012"/>
      <c r="D142" s="2012"/>
      <c r="E142" s="2012"/>
      <c r="F142" s="2012"/>
      <c r="G142" s="2012"/>
      <c r="H142" s="2012"/>
      <c r="I142" s="2012"/>
      <c r="J142" s="2012"/>
      <c r="K142" s="2012"/>
      <c r="L142" s="2012"/>
      <c r="M142" s="2012"/>
      <c r="N142" s="2012"/>
      <c r="O142" s="2012"/>
      <c r="P142" s="2012"/>
      <c r="Q142" s="2012"/>
      <c r="R142" s="2013" t="s">
        <v>2004</v>
      </c>
      <c r="S142" s="2013"/>
      <c r="T142" s="2013"/>
      <c r="U142" s="2013"/>
      <c r="V142" s="2013"/>
      <c r="W142" s="2013"/>
      <c r="X142" s="2013"/>
      <c r="Y142" s="2013"/>
      <c r="Z142" s="2013"/>
      <c r="AA142" s="2013"/>
      <c r="AB142" s="2013"/>
      <c r="AC142" s="2013"/>
      <c r="AD142" s="2013"/>
      <c r="AE142" s="2013"/>
      <c r="AF142" s="2013"/>
      <c r="AG142" s="2013"/>
      <c r="AH142" s="2013"/>
      <c r="AI142" s="2013"/>
      <c r="AJ142" s="2013"/>
      <c r="AK142" s="2013"/>
      <c r="AL142" s="2013"/>
      <c r="AM142" s="2013"/>
      <c r="AN142" s="2013"/>
      <c r="AO142" s="2013"/>
      <c r="AP142" s="2013"/>
      <c r="AQ142" s="2013"/>
      <c r="AR142" s="2013"/>
      <c r="AS142" s="2013"/>
      <c r="AT142" s="2013"/>
      <c r="AU142" s="2013"/>
      <c r="AV142" s="2013"/>
      <c r="AW142" s="2013"/>
      <c r="AX142" s="2014"/>
      <c r="AY142" s="1079"/>
      <c r="AZ142" s="1079"/>
      <c r="BA142" s="1079"/>
      <c r="BB142" s="1079"/>
      <c r="BC142" s="1079" t="s">
        <v>254</v>
      </c>
      <c r="BD142" s="1079"/>
      <c r="BE142" s="1083"/>
    </row>
    <row r="143" spans="1:57" ht="15.75" customHeight="1">
      <c r="A143" s="1079"/>
      <c r="B143" s="2015" t="s">
        <v>2005</v>
      </c>
      <c r="C143" s="2016"/>
      <c r="D143" s="2016"/>
      <c r="E143" s="2016"/>
      <c r="F143" s="2016"/>
      <c r="G143" s="2016"/>
      <c r="H143" s="2016"/>
      <c r="I143" s="2016"/>
      <c r="J143" s="2016"/>
      <c r="K143" s="2016"/>
      <c r="L143" s="2016"/>
      <c r="M143" s="2016"/>
      <c r="N143" s="2016"/>
      <c r="O143" s="2016"/>
      <c r="P143" s="2016"/>
      <c r="Q143" s="2016"/>
      <c r="R143" s="2016"/>
      <c r="S143" s="2016"/>
      <c r="T143" s="2016"/>
      <c r="U143" s="2016"/>
      <c r="V143" s="2016"/>
      <c r="W143" s="2016"/>
      <c r="X143" s="2016"/>
      <c r="Y143" s="2016"/>
      <c r="Z143" s="2016"/>
      <c r="AA143" s="2016"/>
      <c r="AB143" s="2016"/>
      <c r="AC143" s="2016"/>
      <c r="AD143" s="2016"/>
      <c r="AE143" s="2016"/>
      <c r="AF143" s="2016"/>
      <c r="AG143" s="2016"/>
      <c r="AH143" s="2016"/>
      <c r="AI143" s="2016"/>
      <c r="AJ143" s="2016"/>
      <c r="AK143" s="2016"/>
      <c r="AL143" s="2016"/>
      <c r="AM143" s="2016"/>
      <c r="AN143" s="2016"/>
      <c r="AO143" s="2016"/>
      <c r="AP143" s="2016"/>
      <c r="AQ143" s="2016"/>
      <c r="AR143" s="2016"/>
      <c r="AS143" s="2016"/>
      <c r="AT143" s="2016"/>
      <c r="AU143" s="2016"/>
      <c r="AV143" s="2016"/>
      <c r="AW143" s="2016"/>
      <c r="AX143" s="2017"/>
      <c r="AY143" s="1079"/>
      <c r="AZ143" s="1079"/>
      <c r="BA143" s="1079"/>
      <c r="BB143" s="1079"/>
      <c r="BC143" s="1079"/>
      <c r="BD143" s="1079"/>
      <c r="BE143" s="1083"/>
    </row>
    <row r="144" spans="1:57" ht="15.75" customHeight="1">
      <c r="A144" s="1079"/>
      <c r="B144" s="2015"/>
      <c r="C144" s="2016"/>
      <c r="D144" s="2016"/>
      <c r="E144" s="2016"/>
      <c r="F144" s="2016"/>
      <c r="G144" s="2016"/>
      <c r="H144" s="2016"/>
      <c r="I144" s="2016"/>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2016"/>
      <c r="AE144" s="2016"/>
      <c r="AF144" s="2016"/>
      <c r="AG144" s="2016"/>
      <c r="AH144" s="2016"/>
      <c r="AI144" s="2016"/>
      <c r="AJ144" s="2016"/>
      <c r="AK144" s="2016"/>
      <c r="AL144" s="2016"/>
      <c r="AM144" s="2016"/>
      <c r="AN144" s="2016"/>
      <c r="AO144" s="2016"/>
      <c r="AP144" s="2016"/>
      <c r="AQ144" s="2016"/>
      <c r="AR144" s="2016"/>
      <c r="AS144" s="2016"/>
      <c r="AT144" s="2016"/>
      <c r="AU144" s="2016"/>
      <c r="AV144" s="2016"/>
      <c r="AW144" s="2016"/>
      <c r="AX144" s="2017"/>
      <c r="AY144" s="1079"/>
      <c r="AZ144" s="1079"/>
      <c r="BA144" s="1079"/>
      <c r="BB144" s="1079"/>
      <c r="BC144" s="1079"/>
      <c r="BD144" s="1079"/>
      <c r="BE144" s="1083"/>
    </row>
    <row r="145" spans="1:57" ht="15.75" customHeight="1">
      <c r="A145" s="1079"/>
      <c r="B145" s="2015"/>
      <c r="C145" s="2016"/>
      <c r="D145" s="2016"/>
      <c r="E145" s="2016"/>
      <c r="F145" s="2016"/>
      <c r="G145" s="2016"/>
      <c r="H145" s="2016"/>
      <c r="I145" s="2016"/>
      <c r="J145" s="2016"/>
      <c r="K145" s="2016"/>
      <c r="L145" s="2016"/>
      <c r="M145" s="2016"/>
      <c r="N145" s="2016"/>
      <c r="O145" s="2016"/>
      <c r="P145" s="2016"/>
      <c r="Q145" s="2016"/>
      <c r="R145" s="2016"/>
      <c r="S145" s="2016"/>
      <c r="T145" s="2016"/>
      <c r="U145" s="2016"/>
      <c r="V145" s="2016"/>
      <c r="W145" s="2016"/>
      <c r="X145" s="2016"/>
      <c r="Y145" s="2016"/>
      <c r="Z145" s="2016"/>
      <c r="AA145" s="2016"/>
      <c r="AB145" s="2016"/>
      <c r="AC145" s="2016"/>
      <c r="AD145" s="2016"/>
      <c r="AE145" s="2016"/>
      <c r="AF145" s="2016"/>
      <c r="AG145" s="2016"/>
      <c r="AH145" s="2016"/>
      <c r="AI145" s="2016"/>
      <c r="AJ145" s="2016"/>
      <c r="AK145" s="2016"/>
      <c r="AL145" s="2016"/>
      <c r="AM145" s="2016"/>
      <c r="AN145" s="2016"/>
      <c r="AO145" s="2016"/>
      <c r="AP145" s="2016"/>
      <c r="AQ145" s="2016"/>
      <c r="AR145" s="2016"/>
      <c r="AS145" s="2016"/>
      <c r="AT145" s="2016"/>
      <c r="AU145" s="2016"/>
      <c r="AV145" s="2016"/>
      <c r="AW145" s="2016"/>
      <c r="AX145" s="2017"/>
      <c r="AY145" s="1079"/>
      <c r="AZ145" s="1079"/>
      <c r="BA145" s="1079"/>
      <c r="BB145" s="1079"/>
      <c r="BC145" s="1079"/>
      <c r="BD145" s="1079"/>
      <c r="BE145" s="1083"/>
    </row>
    <row r="146" spans="1:57" ht="15.75" customHeight="1">
      <c r="A146" s="1079"/>
      <c r="B146" s="2015"/>
      <c r="C146" s="2016"/>
      <c r="D146" s="2016"/>
      <c r="E146" s="2016"/>
      <c r="F146" s="2016"/>
      <c r="G146" s="2016"/>
      <c r="H146" s="2016"/>
      <c r="I146" s="2016"/>
      <c r="J146" s="2016"/>
      <c r="K146" s="2016"/>
      <c r="L146" s="2016"/>
      <c r="M146" s="2016"/>
      <c r="N146" s="2016"/>
      <c r="O146" s="2016"/>
      <c r="P146" s="2016"/>
      <c r="Q146" s="2016"/>
      <c r="R146" s="2016"/>
      <c r="S146" s="2016"/>
      <c r="T146" s="2016"/>
      <c r="U146" s="2016"/>
      <c r="V146" s="2016"/>
      <c r="W146" s="2016"/>
      <c r="X146" s="2016"/>
      <c r="Y146" s="2016"/>
      <c r="Z146" s="2016"/>
      <c r="AA146" s="2016"/>
      <c r="AB146" s="2016"/>
      <c r="AC146" s="2016"/>
      <c r="AD146" s="2016"/>
      <c r="AE146" s="2016"/>
      <c r="AF146" s="2016"/>
      <c r="AG146" s="2016"/>
      <c r="AH146" s="2016"/>
      <c r="AI146" s="2016"/>
      <c r="AJ146" s="2016"/>
      <c r="AK146" s="2016"/>
      <c r="AL146" s="2016"/>
      <c r="AM146" s="2016"/>
      <c r="AN146" s="2016"/>
      <c r="AO146" s="2016"/>
      <c r="AP146" s="2016"/>
      <c r="AQ146" s="2016"/>
      <c r="AR146" s="2016"/>
      <c r="AS146" s="2016"/>
      <c r="AT146" s="2016"/>
      <c r="AU146" s="2016"/>
      <c r="AV146" s="2016"/>
      <c r="AW146" s="2016"/>
      <c r="AX146" s="2017"/>
      <c r="AY146" s="1079"/>
      <c r="AZ146" s="1079"/>
      <c r="BA146" s="1079"/>
      <c r="BB146" s="1079"/>
      <c r="BC146" s="1079"/>
      <c r="BD146" s="1079"/>
      <c r="BE146" s="1083"/>
    </row>
    <row r="147" spans="1:57" ht="15.75" customHeight="1">
      <c r="A147" s="1079"/>
      <c r="B147" s="2015"/>
      <c r="C147" s="2016"/>
      <c r="D147" s="2016"/>
      <c r="E147" s="2016"/>
      <c r="F147" s="2016"/>
      <c r="G147" s="2016"/>
      <c r="H147" s="2016"/>
      <c r="I147" s="2016"/>
      <c r="J147" s="2016"/>
      <c r="K147" s="2016"/>
      <c r="L147" s="2016"/>
      <c r="M147" s="2016"/>
      <c r="N147" s="2016"/>
      <c r="O147" s="2016"/>
      <c r="P147" s="2016"/>
      <c r="Q147" s="2016"/>
      <c r="R147" s="2016"/>
      <c r="S147" s="2016"/>
      <c r="T147" s="2016"/>
      <c r="U147" s="2016"/>
      <c r="V147" s="2016"/>
      <c r="W147" s="2016"/>
      <c r="X147" s="2016"/>
      <c r="Y147" s="2016"/>
      <c r="Z147" s="2016"/>
      <c r="AA147" s="2016"/>
      <c r="AB147" s="2016"/>
      <c r="AC147" s="2016"/>
      <c r="AD147" s="2016"/>
      <c r="AE147" s="2016"/>
      <c r="AF147" s="2016"/>
      <c r="AG147" s="2016"/>
      <c r="AH147" s="2016"/>
      <c r="AI147" s="2016"/>
      <c r="AJ147" s="2016"/>
      <c r="AK147" s="2016"/>
      <c r="AL147" s="2016"/>
      <c r="AM147" s="2016"/>
      <c r="AN147" s="2016"/>
      <c r="AO147" s="2016"/>
      <c r="AP147" s="2016"/>
      <c r="AQ147" s="2016"/>
      <c r="AR147" s="2016"/>
      <c r="AS147" s="2016"/>
      <c r="AT147" s="2016"/>
      <c r="AU147" s="2016"/>
      <c r="AV147" s="2016"/>
      <c r="AW147" s="2016"/>
      <c r="AX147" s="2017"/>
      <c r="AY147" s="1079"/>
      <c r="AZ147" s="1079"/>
      <c r="BA147" s="1079"/>
      <c r="BB147" s="1079"/>
      <c r="BC147" s="1079"/>
      <c r="BD147" s="1079"/>
      <c r="BE147" s="1083"/>
    </row>
    <row r="148" spans="1:57" ht="15.75" customHeight="1">
      <c r="A148" s="1079"/>
      <c r="B148" s="2015"/>
      <c r="C148" s="2016"/>
      <c r="D148" s="2016"/>
      <c r="E148" s="2016"/>
      <c r="F148" s="2016"/>
      <c r="G148" s="2016"/>
      <c r="H148" s="2016"/>
      <c r="I148" s="2016"/>
      <c r="J148" s="2016"/>
      <c r="K148" s="2016"/>
      <c r="L148" s="2016"/>
      <c r="M148" s="2016"/>
      <c r="N148" s="2016"/>
      <c r="O148" s="2016"/>
      <c r="P148" s="2016"/>
      <c r="Q148" s="2016"/>
      <c r="R148" s="2016"/>
      <c r="S148" s="2016"/>
      <c r="T148" s="2016"/>
      <c r="U148" s="2016"/>
      <c r="V148" s="2016"/>
      <c r="W148" s="2016"/>
      <c r="X148" s="2016"/>
      <c r="Y148" s="2016"/>
      <c r="Z148" s="2016"/>
      <c r="AA148" s="2016"/>
      <c r="AB148" s="2016"/>
      <c r="AC148" s="2016"/>
      <c r="AD148" s="2016"/>
      <c r="AE148" s="2016"/>
      <c r="AF148" s="2016"/>
      <c r="AG148" s="2016"/>
      <c r="AH148" s="2016"/>
      <c r="AI148" s="2016"/>
      <c r="AJ148" s="2016"/>
      <c r="AK148" s="2016"/>
      <c r="AL148" s="2016"/>
      <c r="AM148" s="2016"/>
      <c r="AN148" s="2016"/>
      <c r="AO148" s="2016"/>
      <c r="AP148" s="2016"/>
      <c r="AQ148" s="2016"/>
      <c r="AR148" s="2016"/>
      <c r="AS148" s="2016"/>
      <c r="AT148" s="2016"/>
      <c r="AU148" s="2016"/>
      <c r="AV148" s="2016"/>
      <c r="AW148" s="2016"/>
      <c r="AX148" s="2017"/>
      <c r="AY148" s="1079"/>
      <c r="AZ148" s="1079"/>
      <c r="BA148" s="1079"/>
      <c r="BB148" s="1079"/>
      <c r="BC148" s="1079"/>
      <c r="BD148" s="1079"/>
      <c r="BE148" s="1083"/>
    </row>
    <row r="149" spans="1:57" ht="15.75" customHeight="1">
      <c r="A149" s="1079"/>
      <c r="B149" s="2015"/>
      <c r="C149" s="2016"/>
      <c r="D149" s="2016"/>
      <c r="E149" s="2016"/>
      <c r="F149" s="2016"/>
      <c r="G149" s="2016"/>
      <c r="H149" s="2016"/>
      <c r="I149" s="2016"/>
      <c r="J149" s="2016"/>
      <c r="K149" s="2016"/>
      <c r="L149" s="2016"/>
      <c r="M149" s="2016"/>
      <c r="N149" s="2016"/>
      <c r="O149" s="2016"/>
      <c r="P149" s="2016"/>
      <c r="Q149" s="2016"/>
      <c r="R149" s="2016"/>
      <c r="S149" s="2016"/>
      <c r="T149" s="2016"/>
      <c r="U149" s="2016"/>
      <c r="V149" s="2016"/>
      <c r="W149" s="2016"/>
      <c r="X149" s="2016"/>
      <c r="Y149" s="2016"/>
      <c r="Z149" s="2016"/>
      <c r="AA149" s="2016"/>
      <c r="AB149" s="2016"/>
      <c r="AC149" s="2016"/>
      <c r="AD149" s="2016"/>
      <c r="AE149" s="2016"/>
      <c r="AF149" s="2016"/>
      <c r="AG149" s="2016"/>
      <c r="AH149" s="2016"/>
      <c r="AI149" s="2016"/>
      <c r="AJ149" s="2016"/>
      <c r="AK149" s="2016"/>
      <c r="AL149" s="2016"/>
      <c r="AM149" s="2016"/>
      <c r="AN149" s="2016"/>
      <c r="AO149" s="2016"/>
      <c r="AP149" s="2016"/>
      <c r="AQ149" s="2016"/>
      <c r="AR149" s="2016"/>
      <c r="AS149" s="2016"/>
      <c r="AT149" s="2016"/>
      <c r="AU149" s="2016"/>
      <c r="AV149" s="2016"/>
      <c r="AW149" s="2016"/>
      <c r="AX149" s="2017"/>
      <c r="AY149" s="1079"/>
      <c r="AZ149" s="1079"/>
      <c r="BA149" s="1079"/>
      <c r="BB149" s="1079"/>
      <c r="BC149" s="1079"/>
      <c r="BD149" s="1079"/>
      <c r="BE149" s="1083"/>
    </row>
    <row r="150" spans="1:57" ht="15.75" customHeight="1">
      <c r="A150" s="1079"/>
      <c r="B150" s="2015"/>
      <c r="C150" s="2016"/>
      <c r="D150" s="2016"/>
      <c r="E150" s="2016"/>
      <c r="F150" s="2016"/>
      <c r="G150" s="2016"/>
      <c r="H150" s="2016"/>
      <c r="I150" s="2016"/>
      <c r="J150" s="2016"/>
      <c r="K150" s="2016"/>
      <c r="L150" s="2016"/>
      <c r="M150" s="2016"/>
      <c r="N150" s="2016"/>
      <c r="O150" s="2016"/>
      <c r="P150" s="2016"/>
      <c r="Q150" s="2016"/>
      <c r="R150" s="2016"/>
      <c r="S150" s="2016"/>
      <c r="T150" s="2016"/>
      <c r="U150" s="2016"/>
      <c r="V150" s="2016"/>
      <c r="W150" s="2016"/>
      <c r="X150" s="2016"/>
      <c r="Y150" s="2016"/>
      <c r="Z150" s="2016"/>
      <c r="AA150" s="2016"/>
      <c r="AB150" s="2016"/>
      <c r="AC150" s="2016"/>
      <c r="AD150" s="2016"/>
      <c r="AE150" s="2016"/>
      <c r="AF150" s="2016"/>
      <c r="AG150" s="2016"/>
      <c r="AH150" s="2016"/>
      <c r="AI150" s="2016"/>
      <c r="AJ150" s="2016"/>
      <c r="AK150" s="2016"/>
      <c r="AL150" s="2016"/>
      <c r="AM150" s="2016"/>
      <c r="AN150" s="2016"/>
      <c r="AO150" s="2016"/>
      <c r="AP150" s="2016"/>
      <c r="AQ150" s="2016"/>
      <c r="AR150" s="2016"/>
      <c r="AS150" s="2016"/>
      <c r="AT150" s="2016"/>
      <c r="AU150" s="2016"/>
      <c r="AV150" s="2016"/>
      <c r="AW150" s="2016"/>
      <c r="AX150" s="2017"/>
      <c r="AY150" s="1079"/>
      <c r="AZ150" s="1079"/>
      <c r="BA150" s="1079"/>
      <c r="BB150" s="1079"/>
      <c r="BC150" s="1079"/>
      <c r="BD150" s="1079"/>
      <c r="BE150" s="1083"/>
    </row>
    <row r="151" spans="1:57" ht="15.75" customHeight="1">
      <c r="A151" s="1079"/>
      <c r="B151" s="2015"/>
      <c r="C151" s="2016"/>
      <c r="D151" s="2016"/>
      <c r="E151" s="2016"/>
      <c r="F151" s="2016"/>
      <c r="G151" s="2016"/>
      <c r="H151" s="2016"/>
      <c r="I151" s="2016"/>
      <c r="J151" s="2016"/>
      <c r="K151" s="2016"/>
      <c r="L151" s="2016"/>
      <c r="M151" s="2016"/>
      <c r="N151" s="2016"/>
      <c r="O151" s="2016"/>
      <c r="P151" s="2016"/>
      <c r="Q151" s="2016"/>
      <c r="R151" s="2016"/>
      <c r="S151" s="2016"/>
      <c r="T151" s="2016"/>
      <c r="U151" s="2016"/>
      <c r="V151" s="2016"/>
      <c r="W151" s="2016"/>
      <c r="X151" s="2016"/>
      <c r="Y151" s="2016"/>
      <c r="Z151" s="2016"/>
      <c r="AA151" s="2016"/>
      <c r="AB151" s="2016"/>
      <c r="AC151" s="2016"/>
      <c r="AD151" s="2016"/>
      <c r="AE151" s="2016"/>
      <c r="AF151" s="2016"/>
      <c r="AG151" s="2016"/>
      <c r="AH151" s="2016"/>
      <c r="AI151" s="2016"/>
      <c r="AJ151" s="2016"/>
      <c r="AK151" s="2016"/>
      <c r="AL151" s="2016"/>
      <c r="AM151" s="2016"/>
      <c r="AN151" s="2016"/>
      <c r="AO151" s="2016"/>
      <c r="AP151" s="2016"/>
      <c r="AQ151" s="2016"/>
      <c r="AR151" s="2016"/>
      <c r="AS151" s="2016"/>
      <c r="AT151" s="2016"/>
      <c r="AU151" s="2016"/>
      <c r="AV151" s="2016"/>
      <c r="AW151" s="2016"/>
      <c r="AX151" s="2017"/>
      <c r="AY151" s="1079"/>
      <c r="AZ151" s="1079"/>
      <c r="BA151" s="1079"/>
      <c r="BB151" s="1079"/>
      <c r="BC151" s="1079"/>
      <c r="BD151" s="1079"/>
      <c r="BE151" s="1083"/>
    </row>
    <row r="152" spans="1:57" ht="15.75" customHeight="1" thickBot="1">
      <c r="A152" s="1079"/>
      <c r="B152" s="2018"/>
      <c r="C152" s="2019"/>
      <c r="D152" s="2019"/>
      <c r="E152" s="2019"/>
      <c r="F152" s="2019"/>
      <c r="G152" s="2019"/>
      <c r="H152" s="2019"/>
      <c r="I152" s="2019"/>
      <c r="J152" s="2019"/>
      <c r="K152" s="2019"/>
      <c r="L152" s="2019"/>
      <c r="M152" s="2019"/>
      <c r="N152" s="2019"/>
      <c r="O152" s="2019"/>
      <c r="P152" s="2019"/>
      <c r="Q152" s="2019"/>
      <c r="R152" s="2019"/>
      <c r="S152" s="2019"/>
      <c r="T152" s="2019"/>
      <c r="U152" s="2019"/>
      <c r="V152" s="2019"/>
      <c r="W152" s="2019"/>
      <c r="X152" s="2019"/>
      <c r="Y152" s="2019"/>
      <c r="Z152" s="2019"/>
      <c r="AA152" s="2019"/>
      <c r="AB152" s="2019"/>
      <c r="AC152" s="2019"/>
      <c r="AD152" s="2019"/>
      <c r="AE152" s="2019"/>
      <c r="AF152" s="2019"/>
      <c r="AG152" s="2019"/>
      <c r="AH152" s="2019"/>
      <c r="AI152" s="2019"/>
      <c r="AJ152" s="2019"/>
      <c r="AK152" s="2019"/>
      <c r="AL152" s="2019"/>
      <c r="AM152" s="2019"/>
      <c r="AN152" s="2019"/>
      <c r="AO152" s="2019"/>
      <c r="AP152" s="2019"/>
      <c r="AQ152" s="2019"/>
      <c r="AR152" s="2019"/>
      <c r="AS152" s="2019"/>
      <c r="AT152" s="2019"/>
      <c r="AU152" s="2019"/>
      <c r="AV152" s="2019"/>
      <c r="AW152" s="2019"/>
      <c r="AX152" s="2020"/>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2006</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2007</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98" t="s">
        <v>2008</v>
      </c>
      <c r="C156" s="1954"/>
      <c r="D156" s="1954"/>
      <c r="E156" s="1954"/>
      <c r="F156" s="1954"/>
      <c r="G156" s="1954"/>
      <c r="H156" s="1954"/>
      <c r="I156" s="1954"/>
      <c r="J156" s="1954"/>
      <c r="K156" s="1954"/>
      <c r="L156" s="1954"/>
      <c r="M156" s="1954"/>
      <c r="N156" s="1954"/>
      <c r="O156" s="1954"/>
      <c r="P156" s="1954"/>
      <c r="Q156" s="1954"/>
      <c r="R156" s="1954"/>
      <c r="S156" s="1954"/>
      <c r="T156" s="1954"/>
      <c r="U156" s="1955"/>
      <c r="V156" s="1079"/>
      <c r="W156" s="1081"/>
      <c r="X156" s="1998" t="s">
        <v>2009</v>
      </c>
      <c r="Y156" s="1954"/>
      <c r="Z156" s="1954"/>
      <c r="AA156" s="1954"/>
      <c r="AB156" s="1954"/>
      <c r="AC156" s="1954"/>
      <c r="AD156" s="1954"/>
      <c r="AE156" s="1954"/>
      <c r="AF156" s="1954"/>
      <c r="AG156" s="1954"/>
      <c r="AH156" s="1954"/>
      <c r="AI156" s="1954"/>
      <c r="AJ156" s="1954"/>
      <c r="AK156" s="1954"/>
      <c r="AL156" s="1954"/>
      <c r="AM156" s="1954"/>
      <c r="AN156" s="1954"/>
      <c r="AO156" s="1954"/>
      <c r="AP156" s="1954"/>
      <c r="AQ156" s="1955"/>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6"/>
      <c r="C157" s="1967"/>
      <c r="D157" s="1967"/>
      <c r="E157" s="1967"/>
      <c r="F157" s="1967"/>
      <c r="G157" s="1967"/>
      <c r="H157" s="1967"/>
      <c r="I157" s="2004" t="s">
        <v>1974</v>
      </c>
      <c r="J157" s="2004"/>
      <c r="K157" s="2004"/>
      <c r="L157" s="2004"/>
      <c r="M157" s="2004"/>
      <c r="N157" s="2004"/>
      <c r="O157" s="2004"/>
      <c r="P157" s="2004" t="s">
        <v>2010</v>
      </c>
      <c r="Q157" s="2004"/>
      <c r="R157" s="2004"/>
      <c r="S157" s="2004"/>
      <c r="T157" s="2004"/>
      <c r="U157" s="2005"/>
      <c r="V157" s="1079"/>
      <c r="W157" s="1079"/>
      <c r="X157" s="1966"/>
      <c r="Y157" s="1967"/>
      <c r="Z157" s="1967"/>
      <c r="AA157" s="1967"/>
      <c r="AB157" s="1967"/>
      <c r="AC157" s="1967"/>
      <c r="AD157" s="1967"/>
      <c r="AE157" s="2004" t="s">
        <v>1974</v>
      </c>
      <c r="AF157" s="2004"/>
      <c r="AG157" s="2004"/>
      <c r="AH157" s="2004"/>
      <c r="AI157" s="2004"/>
      <c r="AJ157" s="2004"/>
      <c r="AK157" s="2004"/>
      <c r="AL157" s="2004" t="s">
        <v>1975</v>
      </c>
      <c r="AM157" s="2004"/>
      <c r="AN157" s="2004"/>
      <c r="AO157" s="2004"/>
      <c r="AP157" s="2004"/>
      <c r="AQ157" s="2005"/>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6"/>
      <c r="C158" s="1967"/>
      <c r="D158" s="1967"/>
      <c r="E158" s="1967"/>
      <c r="F158" s="1967"/>
      <c r="G158" s="1967"/>
      <c r="H158" s="1967"/>
      <c r="I158" s="2004"/>
      <c r="J158" s="2004"/>
      <c r="K158" s="2004"/>
      <c r="L158" s="2004"/>
      <c r="M158" s="2004"/>
      <c r="N158" s="2004"/>
      <c r="O158" s="2004"/>
      <c r="P158" s="2004"/>
      <c r="Q158" s="2004"/>
      <c r="R158" s="2004"/>
      <c r="S158" s="2004"/>
      <c r="T158" s="2004"/>
      <c r="U158" s="2005"/>
      <c r="V158" s="1079"/>
      <c r="W158" s="1079"/>
      <c r="X158" s="1966"/>
      <c r="Y158" s="1967"/>
      <c r="Z158" s="1967"/>
      <c r="AA158" s="1967"/>
      <c r="AB158" s="1967"/>
      <c r="AC158" s="1967"/>
      <c r="AD158" s="1967"/>
      <c r="AE158" s="2004"/>
      <c r="AF158" s="2004"/>
      <c r="AG158" s="2004"/>
      <c r="AH158" s="2004"/>
      <c r="AI158" s="2004"/>
      <c r="AJ158" s="2004"/>
      <c r="AK158" s="2004"/>
      <c r="AL158" s="2004"/>
      <c r="AM158" s="2004"/>
      <c r="AN158" s="2004"/>
      <c r="AO158" s="2004"/>
      <c r="AP158" s="2004"/>
      <c r="AQ158" s="2005"/>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0" t="s">
        <v>1996</v>
      </c>
      <c r="C159" s="2001"/>
      <c r="D159" s="2001"/>
      <c r="E159" s="2001"/>
      <c r="F159" s="2001"/>
      <c r="G159" s="2001"/>
      <c r="H159" s="2001"/>
      <c r="I159" s="2002">
        <v>0</v>
      </c>
      <c r="J159" s="2002"/>
      <c r="K159" s="2002"/>
      <c r="L159" s="2002"/>
      <c r="M159" s="2002"/>
      <c r="N159" s="2002"/>
      <c r="O159" s="2002"/>
      <c r="P159" s="2002">
        <v>0</v>
      </c>
      <c r="Q159" s="2002"/>
      <c r="R159" s="2002"/>
      <c r="S159" s="2002"/>
      <c r="T159" s="2002"/>
      <c r="U159" s="2003"/>
      <c r="V159" s="1079"/>
      <c r="W159" s="1079"/>
      <c r="X159" s="1994" t="s">
        <v>1996</v>
      </c>
      <c r="Y159" s="1995"/>
      <c r="Z159" s="1995"/>
      <c r="AA159" s="1995"/>
      <c r="AB159" s="1995"/>
      <c r="AC159" s="1995"/>
      <c r="AD159" s="1995"/>
      <c r="AE159" s="1996">
        <v>0</v>
      </c>
      <c r="AF159" s="1996"/>
      <c r="AG159" s="1996"/>
      <c r="AH159" s="1996"/>
      <c r="AI159" s="1996"/>
      <c r="AJ159" s="1996"/>
      <c r="AK159" s="1996"/>
      <c r="AL159" s="1996">
        <v>0</v>
      </c>
      <c r="AM159" s="1996"/>
      <c r="AN159" s="1996"/>
      <c r="AO159" s="1996"/>
      <c r="AP159" s="1996"/>
      <c r="AQ159" s="1997"/>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4" t="s">
        <v>1997</v>
      </c>
      <c r="C160" s="1995"/>
      <c r="D160" s="1995"/>
      <c r="E160" s="1995"/>
      <c r="F160" s="1995"/>
      <c r="G160" s="1995"/>
      <c r="H160" s="1995"/>
      <c r="I160" s="1996">
        <v>0</v>
      </c>
      <c r="J160" s="1996"/>
      <c r="K160" s="1996"/>
      <c r="L160" s="1996"/>
      <c r="M160" s="1996"/>
      <c r="N160" s="1996"/>
      <c r="O160" s="1996"/>
      <c r="P160" s="1996">
        <v>0</v>
      </c>
      <c r="Q160" s="1996"/>
      <c r="R160" s="1996"/>
      <c r="S160" s="1996"/>
      <c r="T160" s="1996"/>
      <c r="U160" s="1997"/>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98" t="s">
        <v>2011</v>
      </c>
      <c r="D162" s="1954"/>
      <c r="E162" s="1954"/>
      <c r="F162" s="1954"/>
      <c r="G162" s="1954"/>
      <c r="H162" s="1954"/>
      <c r="I162" s="1954"/>
      <c r="J162" s="1954"/>
      <c r="K162" s="1954"/>
      <c r="L162" s="1954"/>
      <c r="M162" s="1954"/>
      <c r="N162" s="1954"/>
      <c r="O162" s="1954"/>
      <c r="P162" s="1954"/>
      <c r="Q162" s="1954"/>
      <c r="R162" s="1954"/>
      <c r="S162" s="1954"/>
      <c r="T162" s="1954"/>
      <c r="U162" s="1954"/>
      <c r="V162" s="1954"/>
      <c r="W162" s="1954"/>
      <c r="X162" s="1954"/>
      <c r="Y162" s="1954"/>
      <c r="Z162" s="1954"/>
      <c r="AA162" s="1954"/>
      <c r="AB162" s="1954"/>
      <c r="AC162" s="1954"/>
      <c r="AD162" s="1954"/>
      <c r="AE162" s="1954"/>
      <c r="AF162" s="1954"/>
      <c r="AG162" s="1955"/>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6" t="s">
        <v>2012</v>
      </c>
      <c r="D163" s="1967"/>
      <c r="E163" s="1967"/>
      <c r="F163" s="1967"/>
      <c r="G163" s="1967"/>
      <c r="H163" s="1967"/>
      <c r="I163" s="1967"/>
      <c r="J163" s="1967"/>
      <c r="K163" s="1967"/>
      <c r="L163" s="1967"/>
      <c r="M163" s="1967"/>
      <c r="N163" s="1967"/>
      <c r="O163" s="1967"/>
      <c r="P163" s="1967"/>
      <c r="Q163" s="1967" t="s">
        <v>2013</v>
      </c>
      <c r="R163" s="1967"/>
      <c r="S163" s="1967"/>
      <c r="T163" s="1999" t="s">
        <v>2014</v>
      </c>
      <c r="U163" s="1999"/>
      <c r="V163" s="1999"/>
      <c r="W163" s="1999"/>
      <c r="X163" s="1999"/>
      <c r="Y163" s="1999"/>
      <c r="Z163" s="1999"/>
      <c r="AA163" s="1999"/>
      <c r="AB163" s="1967" t="s">
        <v>2015</v>
      </c>
      <c r="AC163" s="1967"/>
      <c r="AD163" s="1967"/>
      <c r="AE163" s="1967"/>
      <c r="AF163" s="1967"/>
      <c r="AG163" s="1968"/>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1" t="s">
        <v>2016</v>
      </c>
      <c r="D164" s="1982"/>
      <c r="E164" s="1982"/>
      <c r="F164" s="1982"/>
      <c r="G164" s="1982"/>
      <c r="H164" s="1982"/>
      <c r="I164" s="1982"/>
      <c r="J164" s="1982"/>
      <c r="K164" s="1982"/>
      <c r="L164" s="1982"/>
      <c r="M164" s="1982"/>
      <c r="N164" s="1982"/>
      <c r="O164" s="1982"/>
      <c r="P164" s="1982"/>
      <c r="Q164" s="1924">
        <v>55</v>
      </c>
      <c r="R164" s="1924"/>
      <c r="S164" s="1924"/>
      <c r="T164" s="1975"/>
      <c r="U164" s="1975"/>
      <c r="V164" s="1975"/>
      <c r="W164" s="1975"/>
      <c r="X164" s="1975"/>
      <c r="Y164" s="1975"/>
      <c r="Z164" s="1975"/>
      <c r="AA164" s="1975"/>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1" t="s">
        <v>2017</v>
      </c>
      <c r="D165" s="1982"/>
      <c r="E165" s="1982"/>
      <c r="F165" s="1982"/>
      <c r="G165" s="1982"/>
      <c r="H165" s="1982"/>
      <c r="I165" s="1982"/>
      <c r="J165" s="1982"/>
      <c r="K165" s="1982"/>
      <c r="L165" s="1982"/>
      <c r="M165" s="1982"/>
      <c r="N165" s="1982"/>
      <c r="O165" s="1982"/>
      <c r="P165" s="1982"/>
      <c r="Q165" s="1924">
        <v>55</v>
      </c>
      <c r="R165" s="1924"/>
      <c r="S165" s="1924"/>
      <c r="T165" s="1984"/>
      <c r="U165" s="1984"/>
      <c r="V165" s="1984"/>
      <c r="W165" s="1984"/>
      <c r="X165" s="1984"/>
      <c r="Y165" s="1984"/>
      <c r="Z165" s="1984"/>
      <c r="AA165" s="1984"/>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1" t="s">
        <v>2018</v>
      </c>
      <c r="D166" s="1982"/>
      <c r="E166" s="1982"/>
      <c r="F166" s="1982"/>
      <c r="G166" s="1982"/>
      <c r="H166" s="1982"/>
      <c r="I166" s="1982"/>
      <c r="J166" s="1982"/>
      <c r="K166" s="1982"/>
      <c r="L166" s="1982"/>
      <c r="M166" s="1982"/>
      <c r="N166" s="1982"/>
      <c r="O166" s="1982"/>
      <c r="P166" s="1982"/>
      <c r="Q166" s="1924">
        <v>55</v>
      </c>
      <c r="R166" s="1924"/>
      <c r="S166" s="1924"/>
      <c r="T166" s="1975"/>
      <c r="U166" s="1975"/>
      <c r="V166" s="1975"/>
      <c r="W166" s="1975"/>
      <c r="X166" s="1975"/>
      <c r="Y166" s="1975"/>
      <c r="Z166" s="1975"/>
      <c r="AA166" s="1975"/>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1" t="s">
        <v>1938</v>
      </c>
      <c r="D167" s="1982"/>
      <c r="E167" s="1982"/>
      <c r="F167" s="1982"/>
      <c r="G167" s="1982"/>
      <c r="H167" s="1982"/>
      <c r="I167" s="1982"/>
      <c r="J167" s="1982"/>
      <c r="K167" s="1982"/>
      <c r="L167" s="1982"/>
      <c r="M167" s="1982"/>
      <c r="N167" s="1982"/>
      <c r="O167" s="1982"/>
      <c r="P167" s="1982"/>
      <c r="Q167" s="1924">
        <v>55</v>
      </c>
      <c r="R167" s="1924"/>
      <c r="S167" s="1924"/>
      <c r="T167" s="1975"/>
      <c r="U167" s="1975"/>
      <c r="V167" s="1975"/>
      <c r="W167" s="1975"/>
      <c r="X167" s="1975"/>
      <c r="Y167" s="1975"/>
      <c r="Z167" s="1975"/>
      <c r="AA167" s="1975"/>
      <c r="AB167" s="1985">
        <v>0</v>
      </c>
      <c r="AC167" s="1985"/>
      <c r="AD167" s="1985"/>
      <c r="AE167" s="1985"/>
      <c r="AF167" s="1985"/>
      <c r="AG167" s="1986"/>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1" t="s">
        <v>233</v>
      </c>
      <c r="D168" s="1982"/>
      <c r="E168" s="1982"/>
      <c r="F168" s="1983" t="s">
        <v>2019</v>
      </c>
      <c r="G168" s="1983"/>
      <c r="H168" s="1983"/>
      <c r="I168" s="1983"/>
      <c r="J168" s="1983"/>
      <c r="K168" s="1983"/>
      <c r="L168" s="1983"/>
      <c r="M168" s="1983"/>
      <c r="N168" s="1983"/>
      <c r="O168" s="1983"/>
      <c r="P168" s="1983"/>
      <c r="Q168" s="1924">
        <v>55</v>
      </c>
      <c r="R168" s="1924"/>
      <c r="S168" s="1924"/>
      <c r="T168" s="1984"/>
      <c r="U168" s="1984"/>
      <c r="V168" s="1984"/>
      <c r="W168" s="1984"/>
      <c r="X168" s="1984"/>
      <c r="Y168" s="1984"/>
      <c r="Z168" s="1984"/>
      <c r="AA168" s="1984"/>
      <c r="AB168" s="1985">
        <v>0</v>
      </c>
      <c r="AC168" s="1985"/>
      <c r="AD168" s="1985"/>
      <c r="AE168" s="1985"/>
      <c r="AF168" s="1985"/>
      <c r="AG168" s="1986"/>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1" t="s">
        <v>233</v>
      </c>
      <c r="D169" s="1982"/>
      <c r="E169" s="1982"/>
      <c r="F169" s="1983" t="s">
        <v>2019</v>
      </c>
      <c r="G169" s="1983"/>
      <c r="H169" s="1983"/>
      <c r="I169" s="1983"/>
      <c r="J169" s="1983"/>
      <c r="K169" s="1983"/>
      <c r="L169" s="1983"/>
      <c r="M169" s="1983"/>
      <c r="N169" s="1983"/>
      <c r="O169" s="1983"/>
      <c r="P169" s="1983"/>
      <c r="Q169" s="1924">
        <v>55</v>
      </c>
      <c r="R169" s="1924"/>
      <c r="S169" s="1924"/>
      <c r="T169" s="1984"/>
      <c r="U169" s="1984"/>
      <c r="V169" s="1984"/>
      <c r="W169" s="1984"/>
      <c r="X169" s="1984"/>
      <c r="Y169" s="1984"/>
      <c r="Z169" s="1984"/>
      <c r="AA169" s="1984"/>
      <c r="AB169" s="1985">
        <v>0</v>
      </c>
      <c r="AC169" s="1985"/>
      <c r="AD169" s="1985"/>
      <c r="AE169" s="1985"/>
      <c r="AF169" s="1985"/>
      <c r="AG169" s="1986"/>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7" t="s">
        <v>233</v>
      </c>
      <c r="D170" s="1988"/>
      <c r="E170" s="1988"/>
      <c r="F170" s="1989" t="s">
        <v>2019</v>
      </c>
      <c r="G170" s="1989"/>
      <c r="H170" s="1989"/>
      <c r="I170" s="1989"/>
      <c r="J170" s="1989"/>
      <c r="K170" s="1989"/>
      <c r="L170" s="1989"/>
      <c r="M170" s="1989"/>
      <c r="N170" s="1989"/>
      <c r="O170" s="1989"/>
      <c r="P170" s="1989"/>
      <c r="Q170" s="1990">
        <v>55</v>
      </c>
      <c r="R170" s="1990"/>
      <c r="S170" s="1990"/>
      <c r="T170" s="1991"/>
      <c r="U170" s="1991"/>
      <c r="V170" s="1991"/>
      <c r="W170" s="1991"/>
      <c r="X170" s="1991"/>
      <c r="Y170" s="1991"/>
      <c r="Z170" s="1991"/>
      <c r="AA170" s="1991"/>
      <c r="AB170" s="1992">
        <v>0</v>
      </c>
      <c r="AC170" s="1992"/>
      <c r="AD170" s="1992"/>
      <c r="AE170" s="1992"/>
      <c r="AF170" s="1992"/>
      <c r="AG170" s="1993"/>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2" t="s">
        <v>2020</v>
      </c>
      <c r="D172" s="1953"/>
      <c r="E172" s="1953"/>
      <c r="F172" s="1953"/>
      <c r="G172" s="1953"/>
      <c r="H172" s="1953"/>
      <c r="I172" s="1953"/>
      <c r="J172" s="1953"/>
      <c r="K172" s="1953"/>
      <c r="L172" s="1953"/>
      <c r="M172" s="1953"/>
      <c r="N172" s="1962"/>
      <c r="O172" s="1079"/>
      <c r="P172" s="1963" t="s">
        <v>2021</v>
      </c>
      <c r="Q172" s="1964"/>
      <c r="R172" s="1964"/>
      <c r="S172" s="1964"/>
      <c r="T172" s="1964"/>
      <c r="U172" s="1964"/>
      <c r="V172" s="1964"/>
      <c r="W172" s="1964"/>
      <c r="X172" s="1964"/>
      <c r="Y172" s="1964"/>
      <c r="Z172" s="1964"/>
      <c r="AA172" s="1964"/>
      <c r="AB172" s="1964"/>
      <c r="AC172" s="1964"/>
      <c r="AD172" s="1964"/>
      <c r="AE172" s="1964"/>
      <c r="AF172" s="1964"/>
      <c r="AG172" s="1964"/>
      <c r="AH172" s="1964"/>
      <c r="AI172" s="1964"/>
      <c r="AJ172" s="1964"/>
      <c r="AK172" s="1964"/>
      <c r="AL172" s="1964"/>
      <c r="AM172" s="1964"/>
      <c r="AN172" s="1964"/>
      <c r="AO172" s="1965"/>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6" t="s">
        <v>2022</v>
      </c>
      <c r="D173" s="1967"/>
      <c r="E173" s="1967"/>
      <c r="F173" s="1967"/>
      <c r="G173" s="1967"/>
      <c r="H173" s="1967"/>
      <c r="I173" s="1967" t="s">
        <v>2023</v>
      </c>
      <c r="J173" s="1967"/>
      <c r="K173" s="1967"/>
      <c r="L173" s="1967"/>
      <c r="M173" s="1967"/>
      <c r="N173" s="1968"/>
      <c r="O173" s="1079"/>
      <c r="P173" s="1969" t="s">
        <v>1965</v>
      </c>
      <c r="Q173" s="1970"/>
      <c r="R173" s="1970"/>
      <c r="S173" s="1970"/>
      <c r="T173" s="1970"/>
      <c r="U173" s="1970"/>
      <c r="V173" s="1970"/>
      <c r="W173" s="1970"/>
      <c r="X173" s="1970"/>
      <c r="Y173" s="1970"/>
      <c r="Z173" s="1970"/>
      <c r="AA173" s="1970"/>
      <c r="AB173" s="1970"/>
      <c r="AC173" s="1970"/>
      <c r="AD173" s="1970"/>
      <c r="AE173" s="1970"/>
      <c r="AF173" s="1970"/>
      <c r="AG173" s="1970"/>
      <c r="AH173" s="1970"/>
      <c r="AI173" s="1970"/>
      <c r="AJ173" s="1970"/>
      <c r="AK173" s="1970"/>
      <c r="AL173" s="1970"/>
      <c r="AM173" s="1970"/>
      <c r="AN173" s="1970"/>
      <c r="AO173" s="1971"/>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4"/>
      <c r="D174" s="1915"/>
      <c r="E174" s="1915"/>
      <c r="F174" s="1915"/>
      <c r="G174" s="1915"/>
      <c r="H174" s="1915"/>
      <c r="I174" s="1975"/>
      <c r="J174" s="1975"/>
      <c r="K174" s="1975"/>
      <c r="L174" s="1975"/>
      <c r="M174" s="1975"/>
      <c r="N174" s="1976"/>
      <c r="O174" s="1079"/>
      <c r="P174" s="1969"/>
      <c r="Q174" s="1970"/>
      <c r="R174" s="1970"/>
      <c r="S174" s="1970"/>
      <c r="T174" s="1970"/>
      <c r="U174" s="1970"/>
      <c r="V174" s="1970"/>
      <c r="W174" s="1970"/>
      <c r="X174" s="1970"/>
      <c r="Y174" s="1970"/>
      <c r="Z174" s="1970"/>
      <c r="AA174" s="1970"/>
      <c r="AB174" s="1970"/>
      <c r="AC174" s="1970"/>
      <c r="AD174" s="1970"/>
      <c r="AE174" s="1970"/>
      <c r="AF174" s="1970"/>
      <c r="AG174" s="1970"/>
      <c r="AH174" s="1970"/>
      <c r="AI174" s="1970"/>
      <c r="AJ174" s="1970"/>
      <c r="AK174" s="1970"/>
      <c r="AL174" s="1970"/>
      <c r="AM174" s="1970"/>
      <c r="AN174" s="1970"/>
      <c r="AO174" s="1971"/>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4"/>
      <c r="D175" s="1915"/>
      <c r="E175" s="1915"/>
      <c r="F175" s="1915"/>
      <c r="G175" s="1915"/>
      <c r="H175" s="1915"/>
      <c r="I175" s="1975"/>
      <c r="J175" s="1975"/>
      <c r="K175" s="1975"/>
      <c r="L175" s="1975"/>
      <c r="M175" s="1975"/>
      <c r="N175" s="1976"/>
      <c r="O175" s="1079"/>
      <c r="P175" s="1969"/>
      <c r="Q175" s="1970"/>
      <c r="R175" s="1970"/>
      <c r="S175" s="1970"/>
      <c r="T175" s="1970"/>
      <c r="U175" s="1970"/>
      <c r="V175" s="1970"/>
      <c r="W175" s="1970"/>
      <c r="X175" s="1970"/>
      <c r="Y175" s="1970"/>
      <c r="Z175" s="1970"/>
      <c r="AA175" s="1970"/>
      <c r="AB175" s="1970"/>
      <c r="AC175" s="1970"/>
      <c r="AD175" s="1970"/>
      <c r="AE175" s="1970"/>
      <c r="AF175" s="1970"/>
      <c r="AG175" s="1970"/>
      <c r="AH175" s="1970"/>
      <c r="AI175" s="1970"/>
      <c r="AJ175" s="1970"/>
      <c r="AK175" s="1970"/>
      <c r="AL175" s="1970"/>
      <c r="AM175" s="1970"/>
      <c r="AN175" s="1970"/>
      <c r="AO175" s="1971"/>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4"/>
      <c r="D176" s="1915"/>
      <c r="E176" s="1915"/>
      <c r="F176" s="1915"/>
      <c r="G176" s="1915"/>
      <c r="H176" s="1915"/>
      <c r="I176" s="1975"/>
      <c r="J176" s="1975"/>
      <c r="K176" s="1975"/>
      <c r="L176" s="1975"/>
      <c r="M176" s="1975"/>
      <c r="N176" s="1976"/>
      <c r="O176" s="1079"/>
      <c r="P176" s="1969"/>
      <c r="Q176" s="1970"/>
      <c r="R176" s="1970"/>
      <c r="S176" s="1970"/>
      <c r="T176" s="1970"/>
      <c r="U176" s="1970"/>
      <c r="V176" s="1970"/>
      <c r="W176" s="1970"/>
      <c r="X176" s="1970"/>
      <c r="Y176" s="1970"/>
      <c r="Z176" s="1970"/>
      <c r="AA176" s="1970"/>
      <c r="AB176" s="1970"/>
      <c r="AC176" s="1970"/>
      <c r="AD176" s="1970"/>
      <c r="AE176" s="1970"/>
      <c r="AF176" s="1970"/>
      <c r="AG176" s="1970"/>
      <c r="AH176" s="1970"/>
      <c r="AI176" s="1970"/>
      <c r="AJ176" s="1970"/>
      <c r="AK176" s="1970"/>
      <c r="AL176" s="1970"/>
      <c r="AM176" s="1970"/>
      <c r="AN176" s="1970"/>
      <c r="AO176" s="1971"/>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4"/>
      <c r="D177" s="1915"/>
      <c r="E177" s="1915"/>
      <c r="F177" s="1915"/>
      <c r="G177" s="1915"/>
      <c r="H177" s="1915"/>
      <c r="I177" s="1975"/>
      <c r="J177" s="1975"/>
      <c r="K177" s="1975"/>
      <c r="L177" s="1975"/>
      <c r="M177" s="1975"/>
      <c r="N177" s="1976"/>
      <c r="O177" s="1079"/>
      <c r="P177" s="1969"/>
      <c r="Q177" s="1970"/>
      <c r="R177" s="1970"/>
      <c r="S177" s="1970"/>
      <c r="T177" s="1970"/>
      <c r="U177" s="1970"/>
      <c r="V177" s="1970"/>
      <c r="W177" s="1970"/>
      <c r="X177" s="1970"/>
      <c r="Y177" s="1970"/>
      <c r="Z177" s="1970"/>
      <c r="AA177" s="1970"/>
      <c r="AB177" s="1970"/>
      <c r="AC177" s="1970"/>
      <c r="AD177" s="1970"/>
      <c r="AE177" s="1970"/>
      <c r="AF177" s="1970"/>
      <c r="AG177" s="1970"/>
      <c r="AH177" s="1970"/>
      <c r="AI177" s="1970"/>
      <c r="AJ177" s="1970"/>
      <c r="AK177" s="1970"/>
      <c r="AL177" s="1970"/>
      <c r="AM177" s="1970"/>
      <c r="AN177" s="1970"/>
      <c r="AO177" s="1971"/>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4"/>
      <c r="D178" s="1915"/>
      <c r="E178" s="1915"/>
      <c r="F178" s="1915"/>
      <c r="G178" s="1915"/>
      <c r="H178" s="1915"/>
      <c r="I178" s="1975"/>
      <c r="J178" s="1975"/>
      <c r="K178" s="1975"/>
      <c r="L178" s="1975"/>
      <c r="M178" s="1975"/>
      <c r="N178" s="1976"/>
      <c r="O178" s="1079"/>
      <c r="P178" s="1969"/>
      <c r="Q178" s="1970"/>
      <c r="R178" s="1970"/>
      <c r="S178" s="1970"/>
      <c r="T178" s="1970"/>
      <c r="U178" s="1970"/>
      <c r="V178" s="1970"/>
      <c r="W178" s="1970"/>
      <c r="X178" s="1970"/>
      <c r="Y178" s="1970"/>
      <c r="Z178" s="1970"/>
      <c r="AA178" s="1970"/>
      <c r="AB178" s="1970"/>
      <c r="AC178" s="1970"/>
      <c r="AD178" s="1970"/>
      <c r="AE178" s="1970"/>
      <c r="AF178" s="1970"/>
      <c r="AG178" s="1970"/>
      <c r="AH178" s="1970"/>
      <c r="AI178" s="1970"/>
      <c r="AJ178" s="1970"/>
      <c r="AK178" s="1970"/>
      <c r="AL178" s="1970"/>
      <c r="AM178" s="1970"/>
      <c r="AN178" s="1970"/>
      <c r="AO178" s="1971"/>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4"/>
      <c r="D179" s="1915"/>
      <c r="E179" s="1915"/>
      <c r="F179" s="1915"/>
      <c r="G179" s="1915"/>
      <c r="H179" s="1915"/>
      <c r="I179" s="1975"/>
      <c r="J179" s="1975"/>
      <c r="K179" s="1975"/>
      <c r="L179" s="1975"/>
      <c r="M179" s="1975"/>
      <c r="N179" s="1976"/>
      <c r="O179" s="1079"/>
      <c r="P179" s="1969"/>
      <c r="Q179" s="1970"/>
      <c r="R179" s="1970"/>
      <c r="S179" s="1970"/>
      <c r="T179" s="1970"/>
      <c r="U179" s="1970"/>
      <c r="V179" s="1970"/>
      <c r="W179" s="1970"/>
      <c r="X179" s="1970"/>
      <c r="Y179" s="1970"/>
      <c r="Z179" s="1970"/>
      <c r="AA179" s="1970"/>
      <c r="AB179" s="1970"/>
      <c r="AC179" s="1970"/>
      <c r="AD179" s="1970"/>
      <c r="AE179" s="1970"/>
      <c r="AF179" s="1970"/>
      <c r="AG179" s="1970"/>
      <c r="AH179" s="1970"/>
      <c r="AI179" s="1970"/>
      <c r="AJ179" s="1970"/>
      <c r="AK179" s="1970"/>
      <c r="AL179" s="1970"/>
      <c r="AM179" s="1970"/>
      <c r="AN179" s="1970"/>
      <c r="AO179" s="1971"/>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7"/>
      <c r="D180" s="1978"/>
      <c r="E180" s="1978"/>
      <c r="F180" s="1978"/>
      <c r="G180" s="1978"/>
      <c r="H180" s="1978"/>
      <c r="I180" s="1979"/>
      <c r="J180" s="1979"/>
      <c r="K180" s="1979"/>
      <c r="L180" s="1979"/>
      <c r="M180" s="1979"/>
      <c r="N180" s="1980"/>
      <c r="O180" s="1079"/>
      <c r="P180" s="1972"/>
      <c r="Q180" s="1973"/>
      <c r="R180" s="1973"/>
      <c r="S180" s="1973"/>
      <c r="T180" s="1973"/>
      <c r="U180" s="1973"/>
      <c r="V180" s="1973"/>
      <c r="W180" s="1973"/>
      <c r="X180" s="1973"/>
      <c r="Y180" s="1973"/>
      <c r="Z180" s="1973"/>
      <c r="AA180" s="1973"/>
      <c r="AB180" s="1973"/>
      <c r="AC180" s="1973"/>
      <c r="AD180" s="1973"/>
      <c r="AE180" s="1973"/>
      <c r="AF180" s="1973"/>
      <c r="AG180" s="1973"/>
      <c r="AH180" s="1973"/>
      <c r="AI180" s="1973"/>
      <c r="AJ180" s="1973"/>
      <c r="AK180" s="1973"/>
      <c r="AL180" s="1973"/>
      <c r="AM180" s="1973"/>
      <c r="AN180" s="1973"/>
      <c r="AO180" s="1974"/>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3" t="s">
        <v>2024</v>
      </c>
      <c r="D182" s="1944"/>
      <c r="E182" s="1944"/>
      <c r="F182" s="1944"/>
      <c r="G182" s="1944"/>
      <c r="H182" s="1944"/>
      <c r="I182" s="1944"/>
      <c r="J182" s="1944"/>
      <c r="K182" s="1944"/>
      <c r="L182" s="1944"/>
      <c r="M182" s="1944"/>
      <c r="N182" s="1944"/>
      <c r="O182" s="1944"/>
      <c r="P182" s="1944"/>
      <c r="Q182" s="1944"/>
      <c r="R182" s="1944"/>
      <c r="S182" s="1944"/>
      <c r="T182" s="1944"/>
      <c r="U182" s="1944"/>
      <c r="V182" s="1944"/>
      <c r="W182" s="1944"/>
      <c r="X182" s="1944"/>
      <c r="Y182" s="1944"/>
      <c r="Z182" s="1944"/>
      <c r="AA182" s="1944"/>
      <c r="AB182" s="1944"/>
      <c r="AC182" s="1944"/>
      <c r="AD182" s="1944"/>
      <c r="AE182" s="1945"/>
      <c r="AF182" s="1079"/>
      <c r="AG182" s="1079"/>
      <c r="AH182" s="1828"/>
      <c r="AI182" s="1828"/>
      <c r="AJ182" s="1828"/>
      <c r="AK182" s="1828"/>
      <c r="AL182" s="1828"/>
      <c r="AM182" s="1828"/>
      <c r="AN182" s="1828"/>
      <c r="AO182" s="1828"/>
      <c r="AP182" s="1828"/>
      <c r="AQ182" s="1828"/>
      <c r="AR182" s="1828"/>
      <c r="AS182" s="1828"/>
      <c r="AT182" s="1828"/>
      <c r="AU182" s="1828"/>
      <c r="AV182" s="1828"/>
      <c r="AW182" s="1828"/>
      <c r="AX182" s="1828"/>
      <c r="AY182" s="1828"/>
      <c r="AZ182" s="1828"/>
      <c r="BA182" s="1828"/>
      <c r="BB182" s="1828"/>
      <c r="BC182" s="1828"/>
      <c r="BD182" s="1828"/>
      <c r="BE182" s="1828"/>
    </row>
    <row r="183" spans="1:57" ht="15.75" customHeight="1" thickBot="1">
      <c r="A183" s="1079"/>
      <c r="B183" s="1079"/>
      <c r="C183" s="1946"/>
      <c r="D183" s="1947"/>
      <c r="E183" s="1947"/>
      <c r="F183" s="1947"/>
      <c r="G183" s="1947"/>
      <c r="H183" s="1947"/>
      <c r="I183" s="1947"/>
      <c r="J183" s="1947"/>
      <c r="K183" s="1947"/>
      <c r="L183" s="1947"/>
      <c r="M183" s="1947"/>
      <c r="N183" s="1947"/>
      <c r="O183" s="1947"/>
      <c r="P183" s="1947"/>
      <c r="Q183" s="1947"/>
      <c r="R183" s="1947"/>
      <c r="S183" s="1947"/>
      <c r="T183" s="1947"/>
      <c r="U183" s="1947"/>
      <c r="V183" s="1947"/>
      <c r="W183" s="1947"/>
      <c r="X183" s="1947"/>
      <c r="Y183" s="1947"/>
      <c r="Z183" s="1947"/>
      <c r="AA183" s="1947"/>
      <c r="AB183" s="1947"/>
      <c r="AC183" s="1947"/>
      <c r="AD183" s="1947"/>
      <c r="AE183" s="1948"/>
      <c r="AF183" s="1079"/>
      <c r="AG183" s="1079"/>
      <c r="AH183" s="1828"/>
      <c r="AI183" s="1828"/>
      <c r="AJ183" s="1828"/>
      <c r="AK183" s="1828"/>
      <c r="AL183" s="1828"/>
      <c r="AM183" s="1828"/>
      <c r="AN183" s="1828"/>
      <c r="AO183" s="1828"/>
      <c r="AP183" s="1828"/>
      <c r="AQ183" s="1828"/>
      <c r="AR183" s="1828"/>
      <c r="AS183" s="1828"/>
      <c r="AT183" s="1828"/>
      <c r="AU183" s="1828"/>
      <c r="AV183" s="1828"/>
      <c r="AW183" s="1828"/>
      <c r="AX183" s="1828"/>
      <c r="AY183" s="1828"/>
      <c r="AZ183" s="1828"/>
      <c r="BA183" s="1828"/>
      <c r="BB183" s="1828"/>
      <c r="BC183" s="1828"/>
      <c r="BD183" s="1828"/>
      <c r="BE183" s="1828"/>
    </row>
    <row r="184" spans="1:57" ht="15.75" customHeight="1">
      <c r="A184" s="1079"/>
      <c r="B184" s="1079"/>
      <c r="C184" s="1952" t="s">
        <v>2012</v>
      </c>
      <c r="D184" s="1953"/>
      <c r="E184" s="1953"/>
      <c r="F184" s="1953"/>
      <c r="G184" s="1953"/>
      <c r="H184" s="1953"/>
      <c r="I184" s="1953"/>
      <c r="J184" s="1953"/>
      <c r="K184" s="1953"/>
      <c r="L184" s="1953"/>
      <c r="M184" s="1953"/>
      <c r="N184" s="1953" t="s">
        <v>2025</v>
      </c>
      <c r="O184" s="1953"/>
      <c r="P184" s="1953"/>
      <c r="Q184" s="1953"/>
      <c r="R184" s="1953"/>
      <c r="S184" s="1953"/>
      <c r="T184" s="1953"/>
      <c r="U184" s="1954" t="s">
        <v>2012</v>
      </c>
      <c r="V184" s="1954"/>
      <c r="W184" s="1954"/>
      <c r="X184" s="1954"/>
      <c r="Y184" s="1954"/>
      <c r="Z184" s="1954"/>
      <c r="AA184" s="1954"/>
      <c r="AB184" s="1954"/>
      <c r="AC184" s="1954"/>
      <c r="AD184" s="1954"/>
      <c r="AE184" s="1955"/>
      <c r="AF184" s="1079"/>
      <c r="AG184" s="1079"/>
      <c r="AH184" s="1828"/>
      <c r="AI184" s="1828"/>
      <c r="AJ184" s="1828"/>
      <c r="AK184" s="1828"/>
      <c r="AL184" s="1828"/>
      <c r="AM184" s="1828"/>
      <c r="AN184" s="1828"/>
      <c r="AO184" s="1828"/>
      <c r="AP184" s="1828"/>
      <c r="AQ184" s="1828"/>
      <c r="AR184" s="1828"/>
      <c r="AS184" s="1828"/>
      <c r="AT184" s="1828"/>
      <c r="AU184" s="1828"/>
      <c r="AV184" s="1828"/>
      <c r="AW184" s="1828"/>
      <c r="AX184" s="1828"/>
      <c r="AY184" s="1828"/>
      <c r="AZ184" s="1828"/>
      <c r="BA184" s="1828"/>
      <c r="BB184" s="1828"/>
      <c r="BC184" s="1828"/>
      <c r="BD184" s="1828"/>
      <c r="BE184" s="1828"/>
    </row>
    <row r="185" spans="1:57" ht="15.75" customHeight="1">
      <c r="A185" s="1079"/>
      <c r="B185" s="1079"/>
      <c r="C185" s="1931" t="s">
        <v>2026</v>
      </c>
      <c r="D185" s="1932"/>
      <c r="E185" s="1932"/>
      <c r="F185" s="1932"/>
      <c r="G185" s="1932"/>
      <c r="H185" s="1932"/>
      <c r="I185" s="1932"/>
      <c r="J185" s="1932"/>
      <c r="K185" s="1932"/>
      <c r="L185" s="1932"/>
      <c r="M185" s="1932"/>
      <c r="N185" s="1942">
        <f>'Sources and Uses Budget'!B105</f>
        <v>162858396</v>
      </c>
      <c r="O185" s="1942"/>
      <c r="P185" s="1942"/>
      <c r="Q185" s="1942"/>
      <c r="R185" s="1942"/>
      <c r="S185" s="1942"/>
      <c r="T185" s="1942"/>
      <c r="U185" s="1956"/>
      <c r="V185" s="1956"/>
      <c r="W185" s="1956"/>
      <c r="X185" s="1956"/>
      <c r="Y185" s="1956"/>
      <c r="Z185" s="1956"/>
      <c r="AA185" s="1956"/>
      <c r="AB185" s="1956"/>
      <c r="AC185" s="1956"/>
      <c r="AD185" s="1956"/>
      <c r="AE185" s="1957"/>
      <c r="AF185" s="1079"/>
      <c r="AG185" s="1079"/>
      <c r="AH185" s="1828"/>
      <c r="AI185" s="1828"/>
      <c r="AJ185" s="1828"/>
      <c r="AK185" s="1828"/>
      <c r="AL185" s="1828"/>
      <c r="AM185" s="1828"/>
      <c r="AN185" s="1828"/>
      <c r="AO185" s="1828"/>
      <c r="AP185" s="1828"/>
      <c r="AQ185" s="1828"/>
      <c r="AR185" s="1828"/>
      <c r="AS185" s="1828"/>
      <c r="AT185" s="1828"/>
      <c r="AU185" s="1828"/>
      <c r="AV185" s="1828"/>
      <c r="AW185" s="1828"/>
      <c r="AX185" s="1828"/>
      <c r="AY185" s="1828"/>
      <c r="AZ185" s="1828"/>
      <c r="BA185" s="1828"/>
      <c r="BB185" s="1828"/>
      <c r="BC185" s="1828"/>
      <c r="BD185" s="1828"/>
      <c r="BE185" s="1828"/>
    </row>
    <row r="186" spans="1:57" ht="15.75" customHeight="1">
      <c r="A186" s="1079"/>
      <c r="B186" s="1079"/>
      <c r="C186" s="1931" t="s">
        <v>2027</v>
      </c>
      <c r="D186" s="1932"/>
      <c r="E186" s="1932"/>
      <c r="F186" s="1932"/>
      <c r="G186" s="1932"/>
      <c r="H186" s="1932"/>
      <c r="I186" s="1932"/>
      <c r="J186" s="1932"/>
      <c r="K186" s="1932"/>
      <c r="L186" s="1932"/>
      <c r="M186" s="1932"/>
      <c r="N186" s="1942">
        <f>N185/J29</f>
        <v>818383.89949748747</v>
      </c>
      <c r="O186" s="1942"/>
      <c r="P186" s="1942"/>
      <c r="Q186" s="1942"/>
      <c r="R186" s="1942"/>
      <c r="S186" s="1942"/>
      <c r="T186" s="1942"/>
      <c r="U186" s="1117"/>
      <c r="V186" s="1117"/>
      <c r="W186" s="1117"/>
      <c r="X186" s="1117"/>
      <c r="Y186" s="1117"/>
      <c r="Z186" s="1117"/>
      <c r="AA186" s="1117"/>
      <c r="AB186" s="1117"/>
      <c r="AC186" s="1117"/>
      <c r="AD186" s="1117"/>
      <c r="AE186" s="1118"/>
      <c r="AF186" s="1079"/>
      <c r="AG186" s="1079"/>
      <c r="AH186" s="1828"/>
      <c r="AI186" s="1828"/>
      <c r="AJ186" s="1828"/>
      <c r="AK186" s="1828"/>
      <c r="AL186" s="1828"/>
      <c r="AM186" s="1828"/>
      <c r="AN186" s="1828"/>
      <c r="AO186" s="1828"/>
      <c r="AP186" s="1828"/>
      <c r="AQ186" s="1828"/>
      <c r="AR186" s="1828"/>
      <c r="AS186" s="1828"/>
      <c r="AT186" s="1828"/>
      <c r="AU186" s="1828"/>
      <c r="AV186" s="1828"/>
      <c r="AW186" s="1828"/>
      <c r="AX186" s="1828"/>
      <c r="AY186" s="1828"/>
      <c r="AZ186" s="1828"/>
      <c r="BA186" s="1828"/>
      <c r="BB186" s="1828"/>
      <c r="BC186" s="1828"/>
      <c r="BD186" s="1828"/>
      <c r="BE186" s="1828"/>
    </row>
    <row r="187" spans="1:57" ht="15.75" customHeight="1">
      <c r="A187" s="1079"/>
      <c r="B187" s="1079"/>
      <c r="C187" s="1958" t="s">
        <v>2028</v>
      </c>
      <c r="D187" s="1959"/>
      <c r="E187" s="1959"/>
      <c r="F187" s="1959"/>
      <c r="G187" s="1959"/>
      <c r="H187" s="1959"/>
      <c r="I187" s="1959"/>
      <c r="J187" s="1959"/>
      <c r="K187" s="1959"/>
      <c r="L187" s="1959"/>
      <c r="M187" s="1959"/>
      <c r="N187" s="1960">
        <v>0</v>
      </c>
      <c r="O187" s="1960"/>
      <c r="P187" s="1960"/>
      <c r="Q187" s="1960"/>
      <c r="R187" s="1960"/>
      <c r="S187" s="1960"/>
      <c r="T187" s="1960"/>
      <c r="U187" s="1918"/>
      <c r="V187" s="1918"/>
      <c r="W187" s="1918"/>
      <c r="X187" s="1918"/>
      <c r="Y187" s="1918"/>
      <c r="Z187" s="1918"/>
      <c r="AA187" s="1918"/>
      <c r="AB187" s="1918"/>
      <c r="AC187" s="1918"/>
      <c r="AD187" s="1918"/>
      <c r="AE187" s="1919"/>
      <c r="AF187" s="1079"/>
      <c r="AG187" s="1079"/>
      <c r="AH187" s="1828"/>
      <c r="AI187" s="1828"/>
      <c r="AJ187" s="1828"/>
      <c r="AK187" s="1828"/>
      <c r="AL187" s="1828"/>
      <c r="AM187" s="1828"/>
      <c r="AN187" s="1828"/>
      <c r="AO187" s="1828"/>
      <c r="AP187" s="1828"/>
      <c r="AQ187" s="1828"/>
      <c r="AR187" s="1828"/>
      <c r="AS187" s="1828"/>
      <c r="AT187" s="1828"/>
      <c r="AU187" s="1828"/>
      <c r="AV187" s="1828"/>
      <c r="AW187" s="1828"/>
      <c r="AX187" s="1828"/>
      <c r="AY187" s="1828"/>
      <c r="AZ187" s="1828"/>
      <c r="BA187" s="1828"/>
      <c r="BB187" s="1828"/>
      <c r="BC187" s="1828"/>
      <c r="BD187" s="1828"/>
      <c r="BE187" s="1828"/>
    </row>
    <row r="188" spans="1:57" ht="15.75" customHeight="1" thickBot="1">
      <c r="A188" s="1079"/>
      <c r="B188" s="1079"/>
      <c r="C188" s="1931" t="s">
        <v>2029</v>
      </c>
      <c r="D188" s="1932"/>
      <c r="E188" s="1932"/>
      <c r="F188" s="1932"/>
      <c r="G188" s="1932"/>
      <c r="H188" s="1932"/>
      <c r="I188" s="1932"/>
      <c r="J188" s="1932"/>
      <c r="K188" s="1932"/>
      <c r="L188" s="1932"/>
      <c r="M188" s="1932"/>
      <c r="N188" s="1961">
        <f>SUM('Sources and Uses Budget'!B85:B86)</f>
        <v>4111516</v>
      </c>
      <c r="O188" s="1961"/>
      <c r="P188" s="1961"/>
      <c r="Q188" s="1961"/>
      <c r="R188" s="1961"/>
      <c r="S188" s="1961"/>
      <c r="T188" s="1961"/>
      <c r="U188" s="1918"/>
      <c r="V188" s="1918"/>
      <c r="W188" s="1918"/>
      <c r="X188" s="1918"/>
      <c r="Y188" s="1918"/>
      <c r="Z188" s="1918"/>
      <c r="AA188" s="1918"/>
      <c r="AB188" s="1918"/>
      <c r="AC188" s="1918"/>
      <c r="AD188" s="1918"/>
      <c r="AE188" s="1919"/>
      <c r="AF188" s="1079"/>
      <c r="AG188" s="1079"/>
      <c r="AH188" s="1828"/>
      <c r="AI188" s="1828"/>
      <c r="AJ188" s="1828"/>
      <c r="AK188" s="1828"/>
      <c r="AL188" s="1828"/>
      <c r="AM188" s="1828"/>
      <c r="AN188" s="1828"/>
      <c r="AO188" s="1828"/>
      <c r="AP188" s="1828"/>
      <c r="AQ188" s="1828"/>
      <c r="AR188" s="1828"/>
      <c r="AS188" s="1828"/>
      <c r="AT188" s="1828"/>
      <c r="AU188" s="1828"/>
      <c r="AV188" s="1828"/>
      <c r="AW188" s="1828"/>
      <c r="AX188" s="1828"/>
      <c r="AY188" s="1828"/>
      <c r="AZ188" s="1828"/>
      <c r="BA188" s="1828"/>
      <c r="BB188" s="1828"/>
      <c r="BC188" s="1828"/>
      <c r="BD188" s="1828"/>
      <c r="BE188" s="1828"/>
    </row>
    <row r="189" spans="1:57" ht="15.75" customHeight="1" thickBot="1">
      <c r="A189" s="1079"/>
      <c r="B189" s="1079"/>
      <c r="C189" s="1931" t="s">
        <v>2030</v>
      </c>
      <c r="D189" s="1932"/>
      <c r="E189" s="1932"/>
      <c r="F189" s="1932"/>
      <c r="G189" s="1932"/>
      <c r="H189" s="1932"/>
      <c r="I189" s="1932"/>
      <c r="J189" s="1932"/>
      <c r="K189" s="1932"/>
      <c r="L189" s="1932"/>
      <c r="M189" s="1932"/>
      <c r="N189" s="1961">
        <f>'Sources and Uses Budget'!B8</f>
        <v>7438000</v>
      </c>
      <c r="O189" s="1961"/>
      <c r="P189" s="1961"/>
      <c r="Q189" s="1961"/>
      <c r="R189" s="1961"/>
      <c r="S189" s="1961"/>
      <c r="T189" s="1961"/>
      <c r="U189" s="1918"/>
      <c r="V189" s="1918"/>
      <c r="W189" s="1918"/>
      <c r="X189" s="1918"/>
      <c r="Y189" s="1918"/>
      <c r="Z189" s="1918"/>
      <c r="AA189" s="1918"/>
      <c r="AB189" s="1918"/>
      <c r="AC189" s="1918"/>
      <c r="AD189" s="1918"/>
      <c r="AE189" s="1919"/>
      <c r="AF189" s="1079"/>
      <c r="AG189" s="1079"/>
      <c r="AH189" s="1928" t="s">
        <v>1402</v>
      </c>
      <c r="AI189" s="1929"/>
      <c r="AJ189" s="1929"/>
      <c r="AK189" s="1929"/>
      <c r="AL189" s="1929"/>
      <c r="AM189" s="1929"/>
      <c r="AN189" s="1929"/>
      <c r="AO189" s="1929"/>
      <c r="AP189" s="1929"/>
      <c r="AQ189" s="1929"/>
      <c r="AR189" s="1929"/>
      <c r="AS189" s="1929"/>
      <c r="AT189" s="1929"/>
      <c r="AU189" s="1929"/>
      <c r="AV189" s="1929"/>
      <c r="AW189" s="1929"/>
      <c r="AX189" s="1929"/>
      <c r="AY189" s="1929"/>
      <c r="AZ189" s="1929"/>
      <c r="BA189" s="1929"/>
      <c r="BB189" s="1929"/>
      <c r="BC189" s="1929"/>
      <c r="BD189" s="1929"/>
      <c r="BE189" s="1930"/>
    </row>
    <row r="190" spans="1:57" ht="15.75" customHeight="1">
      <c r="A190" s="1079"/>
      <c r="B190" s="1079"/>
      <c r="C190" s="1931" t="s">
        <v>2031</v>
      </c>
      <c r="D190" s="1932"/>
      <c r="E190" s="1932"/>
      <c r="F190" s="1932"/>
      <c r="G190" s="1932"/>
      <c r="H190" s="1932"/>
      <c r="I190" s="1932"/>
      <c r="J190" s="1932"/>
      <c r="K190" s="1932"/>
      <c r="L190" s="1932"/>
      <c r="M190" s="1932"/>
      <c r="N190" s="1917">
        <v>0</v>
      </c>
      <c r="O190" s="1917"/>
      <c r="P190" s="1917"/>
      <c r="Q190" s="1917"/>
      <c r="R190" s="1917"/>
      <c r="S190" s="1917"/>
      <c r="T190" s="1917"/>
      <c r="U190" s="1918"/>
      <c r="V190" s="1918"/>
      <c r="W190" s="1918"/>
      <c r="X190" s="1918"/>
      <c r="Y190" s="1918"/>
      <c r="Z190" s="1918"/>
      <c r="AA190" s="1918"/>
      <c r="AB190" s="1918"/>
      <c r="AC190" s="1918"/>
      <c r="AD190" s="1918"/>
      <c r="AE190" s="1919"/>
      <c r="AF190" s="1079"/>
      <c r="AG190" s="1079"/>
      <c r="AH190" s="1933" t="s">
        <v>1402</v>
      </c>
      <c r="AI190" s="1934"/>
      <c r="AJ190" s="1934"/>
      <c r="AK190" s="1934"/>
      <c r="AL190" s="1934"/>
      <c r="AM190" s="1934"/>
      <c r="AN190" s="1934"/>
      <c r="AO190" s="1934"/>
      <c r="AP190" s="1934"/>
      <c r="AQ190" s="1934"/>
      <c r="AR190" s="1934"/>
      <c r="AS190" s="1934"/>
      <c r="AT190" s="1934"/>
      <c r="AU190" s="1935">
        <v>0</v>
      </c>
      <c r="AV190" s="1935"/>
      <c r="AW190" s="1935"/>
      <c r="AX190" s="1935"/>
      <c r="AY190" s="1935"/>
      <c r="AZ190" s="1935"/>
      <c r="BA190" s="1935"/>
      <c r="BB190" s="1935"/>
      <c r="BC190" s="1936"/>
      <c r="BD190" s="1937"/>
      <c r="BE190" s="1938"/>
    </row>
    <row r="191" spans="1:57" ht="15.75" customHeight="1">
      <c r="A191" s="1079"/>
      <c r="B191" s="1079"/>
      <c r="C191" s="1931" t="s">
        <v>2032</v>
      </c>
      <c r="D191" s="1932"/>
      <c r="E191" s="1932"/>
      <c r="F191" s="1932"/>
      <c r="G191" s="1932"/>
      <c r="H191" s="1932"/>
      <c r="I191" s="1932"/>
      <c r="J191" s="1932"/>
      <c r="K191" s="1932"/>
      <c r="L191" s="1932"/>
      <c r="M191" s="1932"/>
      <c r="N191" s="1917">
        <v>0</v>
      </c>
      <c r="O191" s="1917"/>
      <c r="P191" s="1917"/>
      <c r="Q191" s="1917"/>
      <c r="R191" s="1917"/>
      <c r="S191" s="1917"/>
      <c r="T191" s="1917"/>
      <c r="U191" s="1918"/>
      <c r="V191" s="1918"/>
      <c r="W191" s="1918"/>
      <c r="X191" s="1918"/>
      <c r="Y191" s="1918"/>
      <c r="Z191" s="1918"/>
      <c r="AA191" s="1918"/>
      <c r="AB191" s="1918"/>
      <c r="AC191" s="1918"/>
      <c r="AD191" s="1918"/>
      <c r="AE191" s="1919"/>
      <c r="AF191" s="1079"/>
      <c r="AG191" s="1079"/>
      <c r="AH191" s="1949" t="s">
        <v>2033</v>
      </c>
      <c r="AI191" s="1950"/>
      <c r="AJ191" s="1950"/>
      <c r="AK191" s="1950"/>
      <c r="AL191" s="1950"/>
      <c r="AM191" s="1950"/>
      <c r="AN191" s="1950"/>
      <c r="AO191" s="1950"/>
      <c r="AP191" s="1950"/>
      <c r="AQ191" s="1950"/>
      <c r="AR191" s="1950"/>
      <c r="AS191" s="1950"/>
      <c r="AT191" s="1950"/>
      <c r="AU191" s="1951"/>
      <c r="AV191" s="1951"/>
      <c r="AW191" s="1951"/>
      <c r="AX191" s="1951"/>
      <c r="AY191" s="1951"/>
      <c r="AZ191" s="1951"/>
      <c r="BA191" s="1951"/>
      <c r="BB191" s="1951"/>
      <c r="BC191" s="1939"/>
      <c r="BD191" s="1940"/>
      <c r="BE191" s="1941"/>
    </row>
    <row r="192" spans="1:57" ht="15.75" customHeight="1">
      <c r="A192" s="1079"/>
      <c r="B192" s="1079"/>
      <c r="C192" s="1923" t="s">
        <v>1055</v>
      </c>
      <c r="D192" s="1924"/>
      <c r="E192" s="1916" t="s">
        <v>2019</v>
      </c>
      <c r="F192" s="1916"/>
      <c r="G192" s="1916"/>
      <c r="H192" s="1916"/>
      <c r="I192" s="1916"/>
      <c r="J192" s="1916"/>
      <c r="K192" s="1916"/>
      <c r="L192" s="1916"/>
      <c r="M192" s="1916"/>
      <c r="N192" s="1917">
        <v>0</v>
      </c>
      <c r="O192" s="1917"/>
      <c r="P192" s="1917"/>
      <c r="Q192" s="1917"/>
      <c r="R192" s="1917"/>
      <c r="S192" s="1917"/>
      <c r="T192" s="1917"/>
      <c r="U192" s="1918"/>
      <c r="V192" s="1918"/>
      <c r="W192" s="1918"/>
      <c r="X192" s="1918"/>
      <c r="Y192" s="1918"/>
      <c r="Z192" s="1918"/>
      <c r="AA192" s="1918"/>
      <c r="AB192" s="1918"/>
      <c r="AC192" s="1918"/>
      <c r="AD192" s="1918"/>
      <c r="AE192" s="1919"/>
      <c r="AF192" s="1079"/>
      <c r="AG192" s="1079"/>
      <c r="AH192" s="1925" t="s">
        <v>2034</v>
      </c>
      <c r="AI192" s="1926"/>
      <c r="AJ192" s="1926"/>
      <c r="AK192" s="1926"/>
      <c r="AL192" s="1926"/>
      <c r="AM192" s="1926"/>
      <c r="AN192" s="1926"/>
      <c r="AO192" s="1926"/>
      <c r="AP192" s="1926"/>
      <c r="AQ192" s="1926"/>
      <c r="AR192" s="1926"/>
      <c r="AS192" s="1926"/>
      <c r="AT192" s="1926"/>
      <c r="AU192" s="1927">
        <f>SUM(AU190:BB191)</f>
        <v>0</v>
      </c>
      <c r="AV192" s="1927"/>
      <c r="AW192" s="1927"/>
      <c r="AX192" s="1927"/>
      <c r="AY192" s="1927"/>
      <c r="AZ192" s="1927"/>
      <c r="BA192" s="1927"/>
      <c r="BB192" s="1927"/>
      <c r="BC192" s="1939"/>
      <c r="BD192" s="1940"/>
      <c r="BE192" s="1941"/>
    </row>
    <row r="193" spans="1:57" ht="15.75" customHeight="1" thickBot="1">
      <c r="A193" s="1079"/>
      <c r="B193" s="1079"/>
      <c r="C193" s="1914" t="s">
        <v>1055</v>
      </c>
      <c r="D193" s="1915"/>
      <c r="E193" s="1916" t="s">
        <v>2019</v>
      </c>
      <c r="F193" s="1916"/>
      <c r="G193" s="1916"/>
      <c r="H193" s="1916"/>
      <c r="I193" s="1916"/>
      <c r="J193" s="1916"/>
      <c r="K193" s="1916"/>
      <c r="L193" s="1916"/>
      <c r="M193" s="1916"/>
      <c r="N193" s="1917">
        <v>0</v>
      </c>
      <c r="O193" s="1917"/>
      <c r="P193" s="1917"/>
      <c r="Q193" s="1917"/>
      <c r="R193" s="1917"/>
      <c r="S193" s="1917"/>
      <c r="T193" s="1917"/>
      <c r="U193" s="1918"/>
      <c r="V193" s="1918"/>
      <c r="W193" s="1918"/>
      <c r="X193" s="1918"/>
      <c r="Y193" s="1918"/>
      <c r="Z193" s="1918"/>
      <c r="AA193" s="1918"/>
      <c r="AB193" s="1918"/>
      <c r="AC193" s="1918"/>
      <c r="AD193" s="1918"/>
      <c r="AE193" s="1919"/>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0"/>
      <c r="BD193" s="1921"/>
      <c r="BE193" s="1922"/>
    </row>
    <row r="194" spans="1:57" ht="15.75" customHeight="1" thickBot="1">
      <c r="A194" s="1079"/>
      <c r="B194" s="1079"/>
      <c r="C194" s="1902" t="s">
        <v>1055</v>
      </c>
      <c r="D194" s="1903"/>
      <c r="E194" s="1904" t="s">
        <v>2019</v>
      </c>
      <c r="F194" s="1904"/>
      <c r="G194" s="1904"/>
      <c r="H194" s="1904"/>
      <c r="I194" s="1904"/>
      <c r="J194" s="1904"/>
      <c r="K194" s="1904"/>
      <c r="L194" s="1904"/>
      <c r="M194" s="1905"/>
      <c r="N194" s="1906">
        <v>0</v>
      </c>
      <c r="O194" s="1906"/>
      <c r="P194" s="1906"/>
      <c r="Q194" s="1906"/>
      <c r="R194" s="1906"/>
      <c r="S194" s="1906"/>
      <c r="T194" s="1907"/>
      <c r="U194" s="1908"/>
      <c r="V194" s="1909"/>
      <c r="W194" s="1909"/>
      <c r="X194" s="1909"/>
      <c r="Y194" s="1909"/>
      <c r="Z194" s="1909"/>
      <c r="AA194" s="1909"/>
      <c r="AB194" s="1909"/>
      <c r="AC194" s="1909"/>
      <c r="AD194" s="1909"/>
      <c r="AE194" s="1910"/>
      <c r="AF194" s="1079"/>
      <c r="AG194" s="1079"/>
      <c r="AH194" s="1911" t="s">
        <v>2035</v>
      </c>
      <c r="AI194" s="1912"/>
      <c r="AJ194" s="1912"/>
      <c r="AK194" s="1912"/>
      <c r="AL194" s="1912"/>
      <c r="AM194" s="1912"/>
      <c r="AN194" s="1912"/>
      <c r="AO194" s="1912"/>
      <c r="AP194" s="1912"/>
      <c r="AQ194" s="1912"/>
      <c r="AR194" s="1912"/>
      <c r="AS194" s="1912"/>
      <c r="AT194" s="1912"/>
      <c r="AU194" s="1913"/>
      <c r="AV194" s="1913"/>
      <c r="AW194" s="1913"/>
      <c r="AX194" s="1913"/>
      <c r="AY194" s="1913"/>
      <c r="AZ194" s="1913"/>
      <c r="BA194" s="1913"/>
      <c r="BB194" s="1913"/>
      <c r="BC194" s="1060"/>
      <c r="BD194" s="1060"/>
      <c r="BE194" s="1121"/>
    </row>
    <row r="195" spans="1:57" ht="15.75" customHeight="1">
      <c r="A195" s="1079"/>
      <c r="B195" s="1079"/>
      <c r="C195" s="1885" t="s">
        <v>2036</v>
      </c>
      <c r="D195" s="1886"/>
      <c r="E195" s="1886"/>
      <c r="F195" s="1886"/>
      <c r="G195" s="1886"/>
      <c r="H195" s="1886"/>
      <c r="I195" s="1886"/>
      <c r="J195" s="1886"/>
      <c r="K195" s="1886"/>
      <c r="L195" s="1886"/>
      <c r="M195" s="1886"/>
      <c r="N195" s="1887">
        <f>SUM(N187:T194)</f>
        <v>11549516</v>
      </c>
      <c r="O195" s="1887"/>
      <c r="P195" s="1887"/>
      <c r="Q195" s="1887"/>
      <c r="R195" s="1887"/>
      <c r="S195" s="1887"/>
      <c r="T195" s="1888"/>
      <c r="U195" s="1079"/>
      <c r="V195" s="1079"/>
      <c r="W195" s="1079"/>
      <c r="X195" s="1079"/>
      <c r="Y195" s="1079"/>
      <c r="Z195" s="1079"/>
      <c r="AA195" s="1079"/>
      <c r="AB195" s="1079"/>
      <c r="AC195" s="1079"/>
      <c r="AD195" s="1079"/>
      <c r="AE195" s="1079"/>
      <c r="AF195" s="1079"/>
      <c r="AG195" s="1079"/>
      <c r="AH195" s="1889" t="s">
        <v>2037</v>
      </c>
      <c r="AI195" s="1890"/>
      <c r="AJ195" s="1890"/>
      <c r="AK195" s="1890"/>
      <c r="AL195" s="1890"/>
      <c r="AM195" s="1890"/>
      <c r="AN195" s="1890"/>
      <c r="AO195" s="1890"/>
      <c r="AP195" s="1890"/>
      <c r="AQ195" s="1890"/>
      <c r="AR195" s="1890"/>
      <c r="AS195" s="1890"/>
      <c r="AT195" s="1890"/>
      <c r="AU195" s="1890"/>
      <c r="AV195" s="1890"/>
      <c r="AW195" s="1890"/>
      <c r="AX195" s="1890"/>
      <c r="AY195" s="1890"/>
      <c r="AZ195" s="1890"/>
      <c r="BA195" s="1890"/>
      <c r="BB195" s="1890"/>
      <c r="BC195" s="1890"/>
      <c r="BD195" s="1890"/>
      <c r="BE195" s="1891"/>
    </row>
    <row r="196" spans="1:57" ht="15.75" customHeight="1" thickBot="1">
      <c r="A196" s="1079"/>
      <c r="B196" s="1079"/>
      <c r="C196" s="1895" t="s">
        <v>2038</v>
      </c>
      <c r="D196" s="1896"/>
      <c r="E196" s="1896"/>
      <c r="F196" s="1896"/>
      <c r="G196" s="1896"/>
      <c r="H196" s="1896"/>
      <c r="I196" s="1896"/>
      <c r="J196" s="1896"/>
      <c r="K196" s="1896"/>
      <c r="L196" s="1896"/>
      <c r="M196" s="1896"/>
      <c r="N196" s="1897">
        <f>(N185-N195)/J29</f>
        <v>760346.13065326633</v>
      </c>
      <c r="O196" s="1898"/>
      <c r="P196" s="1898"/>
      <c r="Q196" s="1898"/>
      <c r="R196" s="1898"/>
      <c r="S196" s="1898"/>
      <c r="T196" s="1899"/>
      <c r="U196" s="1084"/>
      <c r="V196" s="1079"/>
      <c r="W196" s="1079"/>
      <c r="X196" s="1079"/>
      <c r="Y196" s="1079"/>
      <c r="Z196" s="1079"/>
      <c r="AA196" s="1079"/>
      <c r="AB196" s="1079"/>
      <c r="AC196" s="1079"/>
      <c r="AD196" s="1079"/>
      <c r="AE196" s="1079"/>
      <c r="AF196" s="1079"/>
      <c r="AG196" s="1079"/>
      <c r="AH196" s="1892"/>
      <c r="AI196" s="1893"/>
      <c r="AJ196" s="1893"/>
      <c r="AK196" s="1893"/>
      <c r="AL196" s="1893"/>
      <c r="AM196" s="1893"/>
      <c r="AN196" s="1893"/>
      <c r="AO196" s="1893"/>
      <c r="AP196" s="1893"/>
      <c r="AQ196" s="1893"/>
      <c r="AR196" s="1893"/>
      <c r="AS196" s="1893"/>
      <c r="AT196" s="1893"/>
      <c r="AU196" s="1893"/>
      <c r="AV196" s="1893"/>
      <c r="AW196" s="1893"/>
      <c r="AX196" s="1893"/>
      <c r="AY196" s="1893"/>
      <c r="AZ196" s="1893"/>
      <c r="BA196" s="1893"/>
      <c r="BB196" s="1893"/>
      <c r="BC196" s="1893"/>
      <c r="BD196" s="1893"/>
      <c r="BE196" s="1894"/>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0"/>
      <c r="AI197" s="1900"/>
      <c r="AJ197" s="1900"/>
      <c r="AK197" s="1900"/>
      <c r="AL197" s="1900"/>
      <c r="AM197" s="1900"/>
      <c r="AN197" s="1900"/>
      <c r="AO197" s="1900"/>
      <c r="AP197" s="1900"/>
      <c r="AQ197" s="1900"/>
      <c r="AR197" s="1900"/>
      <c r="AS197" s="1901"/>
      <c r="AT197" s="1901"/>
      <c r="AU197" s="1901"/>
      <c r="AV197" s="1901"/>
      <c r="AW197" s="1901"/>
      <c r="AX197" s="1901"/>
      <c r="AY197" s="1901"/>
      <c r="AZ197" s="1901"/>
      <c r="BA197" s="1901"/>
      <c r="BB197" s="1901"/>
      <c r="BC197" s="1901"/>
      <c r="BD197" s="1901"/>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0" t="s">
        <v>2039</v>
      </c>
      <c r="D199" s="1881"/>
      <c r="E199" s="1881"/>
      <c r="F199" s="1881"/>
      <c r="G199" s="1881"/>
      <c r="H199" s="1881"/>
      <c r="I199" s="1881"/>
      <c r="J199" s="1881"/>
      <c r="K199" s="1881"/>
      <c r="L199" s="1881"/>
      <c r="M199" s="1881"/>
      <c r="N199" s="1881"/>
      <c r="O199" s="1881"/>
      <c r="P199" s="1881"/>
      <c r="Q199" s="1881"/>
      <c r="R199" s="1881"/>
      <c r="S199" s="1881"/>
      <c r="T199" s="1881"/>
      <c r="U199" s="1881"/>
      <c r="V199" s="1881"/>
      <c r="W199" s="1881"/>
      <c r="X199" s="1881"/>
      <c r="Y199" s="1881"/>
      <c r="Z199" s="1881"/>
      <c r="AA199" s="1881"/>
      <c r="AB199" s="1881"/>
      <c r="AC199" s="1881"/>
      <c r="AD199" s="1881"/>
      <c r="AE199" s="1882"/>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3" t="s">
        <v>2040</v>
      </c>
      <c r="D200" s="1883"/>
      <c r="E200" s="1883"/>
      <c r="F200" s="1883"/>
      <c r="G200" s="1883"/>
      <c r="H200" s="1883"/>
      <c r="I200" s="1883"/>
      <c r="J200" s="1883"/>
      <c r="K200" s="1883"/>
      <c r="L200" s="1883"/>
      <c r="M200" s="1883"/>
      <c r="N200" s="1883"/>
      <c r="O200" s="1884" t="s">
        <v>2041</v>
      </c>
      <c r="P200" s="1884"/>
      <c r="Q200" s="1884"/>
      <c r="R200" s="1884"/>
      <c r="S200" s="1884"/>
      <c r="T200" s="1884"/>
      <c r="U200" s="1884"/>
      <c r="V200" s="1884"/>
      <c r="W200" s="1884"/>
      <c r="X200" s="1884" t="s">
        <v>2042</v>
      </c>
      <c r="Y200" s="1884"/>
      <c r="Z200" s="1884"/>
      <c r="AA200" s="1884"/>
      <c r="AB200" s="1884"/>
      <c r="AC200" s="1884"/>
      <c r="AD200" s="1884"/>
      <c r="AE200" s="1884"/>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5" t="s">
        <v>2043</v>
      </c>
      <c r="D201" s="1875"/>
      <c r="E201" s="1875"/>
      <c r="F201" s="1875"/>
      <c r="G201" s="1875"/>
      <c r="H201" s="1875"/>
      <c r="I201" s="1875"/>
      <c r="J201" s="1875"/>
      <c r="K201" s="1875"/>
      <c r="L201" s="1875"/>
      <c r="M201" s="1875"/>
      <c r="N201" s="1875"/>
      <c r="O201" s="1876" t="s">
        <v>2044</v>
      </c>
      <c r="P201" s="1876"/>
      <c r="Q201" s="1876"/>
      <c r="R201" s="1876"/>
      <c r="S201" s="1876"/>
      <c r="T201" s="1876"/>
      <c r="U201" s="1876"/>
      <c r="V201" s="1876"/>
      <c r="W201" s="1876"/>
      <c r="X201" s="1877">
        <v>0.03</v>
      </c>
      <c r="Y201" s="1877"/>
      <c r="Z201" s="1877"/>
      <c r="AA201" s="1877"/>
      <c r="AB201" s="1877"/>
      <c r="AC201" s="1877"/>
      <c r="AD201" s="1877"/>
      <c r="AE201" s="1877"/>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5" t="s">
        <v>2045</v>
      </c>
      <c r="D202" s="1875"/>
      <c r="E202" s="1875"/>
      <c r="F202" s="1875"/>
      <c r="G202" s="1875"/>
      <c r="H202" s="1875"/>
      <c r="I202" s="1875"/>
      <c r="J202" s="1875"/>
      <c r="K202" s="1875"/>
      <c r="L202" s="1875"/>
      <c r="M202" s="1875"/>
      <c r="N202" s="1875"/>
      <c r="O202" s="1876" t="s">
        <v>2044</v>
      </c>
      <c r="P202" s="1876"/>
      <c r="Q202" s="1876"/>
      <c r="R202" s="1876"/>
      <c r="S202" s="1876"/>
      <c r="T202" s="1876"/>
      <c r="U202" s="1876"/>
      <c r="V202" s="1876"/>
      <c r="W202" s="1876"/>
      <c r="X202" s="1877">
        <v>0.03</v>
      </c>
      <c r="Y202" s="1877"/>
      <c r="Z202" s="1877"/>
      <c r="AA202" s="1877"/>
      <c r="AB202" s="1877"/>
      <c r="AC202" s="1877"/>
      <c r="AD202" s="1877"/>
      <c r="AE202" s="1877"/>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5" t="s">
        <v>2046</v>
      </c>
      <c r="D203" s="1875"/>
      <c r="E203" s="1875"/>
      <c r="F203" s="1875"/>
      <c r="G203" s="1875"/>
      <c r="H203" s="1875"/>
      <c r="I203" s="1875"/>
      <c r="J203" s="1875"/>
      <c r="K203" s="1875"/>
      <c r="L203" s="1875"/>
      <c r="M203" s="1875"/>
      <c r="N203" s="1875"/>
      <c r="O203" s="1878">
        <f>SUM(O201:W202)</f>
        <v>0</v>
      </c>
      <c r="P203" s="1879"/>
      <c r="Q203" s="1879"/>
      <c r="R203" s="1879"/>
      <c r="S203" s="1879"/>
      <c r="T203" s="1879"/>
      <c r="U203" s="1879"/>
      <c r="V203" s="1879"/>
      <c r="W203" s="1879"/>
      <c r="X203" s="1879" t="s">
        <v>2047</v>
      </c>
      <c r="Y203" s="1879"/>
      <c r="Z203" s="1879"/>
      <c r="AA203" s="1879"/>
      <c r="AB203" s="1879"/>
      <c r="AC203" s="1879"/>
      <c r="AD203" s="1879"/>
      <c r="AE203" s="1879"/>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49" t="s">
        <v>2048</v>
      </c>
      <c r="D204" s="1849"/>
      <c r="E204" s="1849"/>
      <c r="F204" s="1849"/>
      <c r="G204" s="1849"/>
      <c r="H204" s="1849"/>
      <c r="I204" s="1849"/>
      <c r="J204" s="1849"/>
      <c r="K204" s="1849"/>
      <c r="L204" s="1849"/>
      <c r="M204" s="1849"/>
      <c r="N204" s="1849"/>
      <c r="O204" s="1849"/>
      <c r="P204" s="1849"/>
      <c r="Q204" s="1849"/>
      <c r="R204" s="1849"/>
      <c r="S204" s="1849"/>
      <c r="T204" s="1849"/>
      <c r="U204" s="1849"/>
      <c r="V204" s="1849"/>
      <c r="W204" s="1849"/>
      <c r="X204" s="1849"/>
      <c r="Y204" s="1849"/>
      <c r="Z204" s="1849"/>
      <c r="AA204" s="1849"/>
      <c r="AB204" s="1849"/>
      <c r="AC204" s="1849"/>
      <c r="AD204" s="1849"/>
      <c r="AE204" s="1849"/>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0" t="s">
        <v>2049</v>
      </c>
      <c r="D206" s="1851"/>
      <c r="E206" s="1851"/>
      <c r="F206" s="1851"/>
      <c r="G206" s="1851"/>
      <c r="H206" s="1851"/>
      <c r="I206" s="1851"/>
      <c r="J206" s="1851"/>
      <c r="K206" s="1851"/>
      <c r="L206" s="1851"/>
      <c r="M206" s="1851"/>
      <c r="N206" s="1851"/>
      <c r="O206" s="1851"/>
      <c r="P206" s="1851"/>
      <c r="Q206" s="1851"/>
      <c r="R206" s="1851"/>
      <c r="S206" s="1851"/>
      <c r="T206" s="1851"/>
      <c r="U206" s="1851"/>
      <c r="V206" s="1851"/>
      <c r="W206" s="1851"/>
      <c r="X206" s="1851"/>
      <c r="Y206" s="1851"/>
      <c r="Z206" s="1851"/>
      <c r="AA206" s="1851"/>
      <c r="AB206" s="1851"/>
      <c r="AC206" s="1851"/>
      <c r="AD206" s="1851"/>
      <c r="AE206" s="1851"/>
      <c r="AF206" s="1851"/>
      <c r="AG206" s="1851"/>
      <c r="AH206" s="1851"/>
      <c r="AI206" s="1851"/>
      <c r="AJ206" s="1851"/>
      <c r="AK206" s="1852"/>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3" t="s">
        <v>2050</v>
      </c>
      <c r="D207" s="1854"/>
      <c r="E207" s="1854"/>
      <c r="F207" s="1855"/>
      <c r="G207" s="1859" t="s">
        <v>2051</v>
      </c>
      <c r="H207" s="1854"/>
      <c r="I207" s="1854"/>
      <c r="J207" s="1854"/>
      <c r="K207" s="1854"/>
      <c r="L207" s="1854"/>
      <c r="M207" s="1854"/>
      <c r="N207" s="1854"/>
      <c r="O207" s="1855"/>
      <c r="P207" s="1861" t="s">
        <v>2052</v>
      </c>
      <c r="Q207" s="1862"/>
      <c r="R207" s="1862"/>
      <c r="S207" s="1862"/>
      <c r="T207" s="1863"/>
      <c r="U207" s="1867" t="s">
        <v>2053</v>
      </c>
      <c r="V207" s="1868"/>
      <c r="W207" s="1868"/>
      <c r="X207" s="1869"/>
      <c r="Y207" s="1867" t="s">
        <v>2054</v>
      </c>
      <c r="Z207" s="1868"/>
      <c r="AA207" s="1868"/>
      <c r="AB207" s="1869"/>
      <c r="AC207" s="1867" t="s">
        <v>2055</v>
      </c>
      <c r="AD207" s="1868"/>
      <c r="AE207" s="1868"/>
      <c r="AF207" s="1869"/>
      <c r="AG207" s="1859" t="s">
        <v>2056</v>
      </c>
      <c r="AH207" s="1854"/>
      <c r="AI207" s="1854"/>
      <c r="AJ207" s="1854"/>
      <c r="AK207" s="1873"/>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6"/>
      <c r="D208" s="1857"/>
      <c r="E208" s="1857"/>
      <c r="F208" s="1858"/>
      <c r="G208" s="1860"/>
      <c r="H208" s="1857"/>
      <c r="I208" s="1857"/>
      <c r="J208" s="1857"/>
      <c r="K208" s="1857"/>
      <c r="L208" s="1857"/>
      <c r="M208" s="1857"/>
      <c r="N208" s="1857"/>
      <c r="O208" s="1858"/>
      <c r="P208" s="1864"/>
      <c r="Q208" s="1865"/>
      <c r="R208" s="1865"/>
      <c r="S208" s="1865"/>
      <c r="T208" s="1866"/>
      <c r="U208" s="1870"/>
      <c r="V208" s="1871"/>
      <c r="W208" s="1871"/>
      <c r="X208" s="1872"/>
      <c r="Y208" s="1870"/>
      <c r="Z208" s="1871"/>
      <c r="AA208" s="1871"/>
      <c r="AB208" s="1872"/>
      <c r="AC208" s="1870"/>
      <c r="AD208" s="1871"/>
      <c r="AE208" s="1871"/>
      <c r="AF208" s="1872"/>
      <c r="AG208" s="1860"/>
      <c r="AH208" s="1857"/>
      <c r="AI208" s="1857"/>
      <c r="AJ208" s="1857"/>
      <c r="AK208" s="1874"/>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2">
        <v>1</v>
      </c>
      <c r="D209" s="1843"/>
      <c r="E209" s="1843"/>
      <c r="F209" s="1843"/>
      <c r="G209" s="1844" t="s">
        <v>2057</v>
      </c>
      <c r="H209" s="1844"/>
      <c r="I209" s="1844"/>
      <c r="J209" s="1844"/>
      <c r="K209" s="1844"/>
      <c r="L209" s="1844"/>
      <c r="M209" s="1844"/>
      <c r="N209" s="1844"/>
      <c r="O209" s="1844"/>
      <c r="P209" s="1845"/>
      <c r="Q209" s="1848"/>
      <c r="R209" s="1848"/>
      <c r="S209" s="1848"/>
      <c r="T209" s="1848"/>
      <c r="U209" s="1846" t="s">
        <v>2057</v>
      </c>
      <c r="V209" s="1846"/>
      <c r="W209" s="1846"/>
      <c r="X209" s="1846"/>
      <c r="Y209" s="1846" t="s">
        <v>2057</v>
      </c>
      <c r="Z209" s="1846"/>
      <c r="AA209" s="1846"/>
      <c r="AB209" s="1846"/>
      <c r="AC209" s="1847" t="s">
        <v>2057</v>
      </c>
      <c r="AD209" s="1847"/>
      <c r="AE209" s="1847"/>
      <c r="AF209" s="1847"/>
      <c r="AG209" s="1831"/>
      <c r="AH209" s="1832"/>
      <c r="AI209" s="1832"/>
      <c r="AJ209" s="1832"/>
      <c r="AK209" s="1833"/>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2">
        <v>2</v>
      </c>
      <c r="D210" s="1843"/>
      <c r="E210" s="1843"/>
      <c r="F210" s="1843"/>
      <c r="G210" s="1844" t="s">
        <v>2057</v>
      </c>
      <c r="H210" s="1844"/>
      <c r="I210" s="1844"/>
      <c r="J210" s="1844"/>
      <c r="K210" s="1844"/>
      <c r="L210" s="1844"/>
      <c r="M210" s="1844"/>
      <c r="N210" s="1844"/>
      <c r="O210" s="1844"/>
      <c r="P210" s="1845"/>
      <c r="Q210" s="1845"/>
      <c r="R210" s="1845"/>
      <c r="S210" s="1845"/>
      <c r="T210" s="1845"/>
      <c r="U210" s="1846" t="s">
        <v>2057</v>
      </c>
      <c r="V210" s="1846"/>
      <c r="W210" s="1846"/>
      <c r="X210" s="1846"/>
      <c r="Y210" s="1846" t="s">
        <v>2057</v>
      </c>
      <c r="Z210" s="1846"/>
      <c r="AA210" s="1846"/>
      <c r="AB210" s="1846"/>
      <c r="AC210" s="1847" t="s">
        <v>2057</v>
      </c>
      <c r="AD210" s="1847"/>
      <c r="AE210" s="1847"/>
      <c r="AF210" s="1847"/>
      <c r="AG210" s="1831"/>
      <c r="AH210" s="1832"/>
      <c r="AI210" s="1832"/>
      <c r="AJ210" s="1832"/>
      <c r="AK210" s="1833"/>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2">
        <v>3</v>
      </c>
      <c r="D211" s="1843"/>
      <c r="E211" s="1843"/>
      <c r="F211" s="1843"/>
      <c r="G211" s="1844" t="s">
        <v>2057</v>
      </c>
      <c r="H211" s="1844"/>
      <c r="I211" s="1844"/>
      <c r="J211" s="1844"/>
      <c r="K211" s="1844"/>
      <c r="L211" s="1844"/>
      <c r="M211" s="1844"/>
      <c r="N211" s="1844"/>
      <c r="O211" s="1844"/>
      <c r="P211" s="1845"/>
      <c r="Q211" s="1845"/>
      <c r="R211" s="1845"/>
      <c r="S211" s="1845"/>
      <c r="T211" s="1845"/>
      <c r="U211" s="1846" t="s">
        <v>2057</v>
      </c>
      <c r="V211" s="1846"/>
      <c r="W211" s="1846"/>
      <c r="X211" s="1846"/>
      <c r="Y211" s="1846" t="s">
        <v>2057</v>
      </c>
      <c r="Z211" s="1846"/>
      <c r="AA211" s="1846"/>
      <c r="AB211" s="1846"/>
      <c r="AC211" s="1847" t="s">
        <v>2057</v>
      </c>
      <c r="AD211" s="1847"/>
      <c r="AE211" s="1847"/>
      <c r="AF211" s="1847"/>
      <c r="AG211" s="1831"/>
      <c r="AH211" s="1832"/>
      <c r="AI211" s="1832"/>
      <c r="AJ211" s="1832"/>
      <c r="AK211" s="1833"/>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2">
        <v>4</v>
      </c>
      <c r="D212" s="1843"/>
      <c r="E212" s="1843"/>
      <c r="F212" s="1843"/>
      <c r="G212" s="1844" t="s">
        <v>2057</v>
      </c>
      <c r="H212" s="1844"/>
      <c r="I212" s="1844"/>
      <c r="J212" s="1844"/>
      <c r="K212" s="1844"/>
      <c r="L212" s="1844"/>
      <c r="M212" s="1844"/>
      <c r="N212" s="1844"/>
      <c r="O212" s="1844"/>
      <c r="P212" s="1845"/>
      <c r="Q212" s="1845"/>
      <c r="R212" s="1845"/>
      <c r="S212" s="1845"/>
      <c r="T212" s="1845"/>
      <c r="U212" s="1846" t="s">
        <v>2057</v>
      </c>
      <c r="V212" s="1846"/>
      <c r="W212" s="1846"/>
      <c r="X212" s="1846"/>
      <c r="Y212" s="1846" t="s">
        <v>2057</v>
      </c>
      <c r="Z212" s="1846"/>
      <c r="AA212" s="1846"/>
      <c r="AB212" s="1846"/>
      <c r="AC212" s="1847" t="s">
        <v>2057</v>
      </c>
      <c r="AD212" s="1847"/>
      <c r="AE212" s="1847"/>
      <c r="AF212" s="1847"/>
      <c r="AG212" s="1831"/>
      <c r="AH212" s="1832"/>
      <c r="AI212" s="1832"/>
      <c r="AJ212" s="1832"/>
      <c r="AK212" s="1833"/>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2">
        <v>5</v>
      </c>
      <c r="D213" s="1843"/>
      <c r="E213" s="1843"/>
      <c r="F213" s="1843"/>
      <c r="G213" s="1844" t="s">
        <v>2057</v>
      </c>
      <c r="H213" s="1844"/>
      <c r="I213" s="1844"/>
      <c r="J213" s="1844"/>
      <c r="K213" s="1844"/>
      <c r="L213" s="1844"/>
      <c r="M213" s="1844"/>
      <c r="N213" s="1844"/>
      <c r="O213" s="1844"/>
      <c r="P213" s="1845"/>
      <c r="Q213" s="1845"/>
      <c r="R213" s="1845"/>
      <c r="S213" s="1845"/>
      <c r="T213" s="1845"/>
      <c r="U213" s="1846" t="s">
        <v>2057</v>
      </c>
      <c r="V213" s="1846"/>
      <c r="W213" s="1846"/>
      <c r="X213" s="1846"/>
      <c r="Y213" s="1846" t="s">
        <v>2057</v>
      </c>
      <c r="Z213" s="1846"/>
      <c r="AA213" s="1846"/>
      <c r="AB213" s="1846"/>
      <c r="AC213" s="1847" t="s">
        <v>2057</v>
      </c>
      <c r="AD213" s="1847"/>
      <c r="AE213" s="1847"/>
      <c r="AF213" s="1847"/>
      <c r="AG213" s="1831"/>
      <c r="AH213" s="1832"/>
      <c r="AI213" s="1832"/>
      <c r="AJ213" s="1832"/>
      <c r="AK213" s="1833"/>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2">
        <v>6</v>
      </c>
      <c r="D214" s="1843"/>
      <c r="E214" s="1843"/>
      <c r="F214" s="1843"/>
      <c r="G214" s="1844" t="s">
        <v>2057</v>
      </c>
      <c r="H214" s="1844"/>
      <c r="I214" s="1844"/>
      <c r="J214" s="1844"/>
      <c r="K214" s="1844"/>
      <c r="L214" s="1844"/>
      <c r="M214" s="1844"/>
      <c r="N214" s="1844"/>
      <c r="O214" s="1844"/>
      <c r="P214" s="1845"/>
      <c r="Q214" s="1845"/>
      <c r="R214" s="1845"/>
      <c r="S214" s="1845"/>
      <c r="T214" s="1845"/>
      <c r="U214" s="1846"/>
      <c r="V214" s="1846"/>
      <c r="W214" s="1846"/>
      <c r="X214" s="1846"/>
      <c r="Y214" s="1846"/>
      <c r="Z214" s="1846"/>
      <c r="AA214" s="1846"/>
      <c r="AB214" s="1846"/>
      <c r="AC214" s="1847" t="s">
        <v>2057</v>
      </c>
      <c r="AD214" s="1847"/>
      <c r="AE214" s="1847"/>
      <c r="AF214" s="1847"/>
      <c r="AG214" s="1831"/>
      <c r="AH214" s="1832"/>
      <c r="AI214" s="1832"/>
      <c r="AJ214" s="1832"/>
      <c r="AK214" s="1833"/>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2">
        <v>7</v>
      </c>
      <c r="D215" s="1843"/>
      <c r="E215" s="1843"/>
      <c r="F215" s="1843"/>
      <c r="G215" s="1844"/>
      <c r="H215" s="1844"/>
      <c r="I215" s="1844"/>
      <c r="J215" s="1844"/>
      <c r="K215" s="1844"/>
      <c r="L215" s="1844"/>
      <c r="M215" s="1844"/>
      <c r="N215" s="1844"/>
      <c r="O215" s="1844"/>
      <c r="P215" s="1845"/>
      <c r="Q215" s="1845"/>
      <c r="R215" s="1845"/>
      <c r="S215" s="1845"/>
      <c r="T215" s="1845"/>
      <c r="U215" s="1846"/>
      <c r="V215" s="1846"/>
      <c r="W215" s="1846"/>
      <c r="X215" s="1846"/>
      <c r="Y215" s="1846"/>
      <c r="Z215" s="1846"/>
      <c r="AA215" s="1846"/>
      <c r="AB215" s="1846"/>
      <c r="AC215" s="1847" t="s">
        <v>2057</v>
      </c>
      <c r="AD215" s="1847"/>
      <c r="AE215" s="1847"/>
      <c r="AF215" s="1847"/>
      <c r="AG215" s="1831"/>
      <c r="AH215" s="1832"/>
      <c r="AI215" s="1832"/>
      <c r="AJ215" s="1832"/>
      <c r="AK215" s="1833"/>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4" t="s">
        <v>2058</v>
      </c>
      <c r="D216" s="1835"/>
      <c r="E216" s="1835"/>
      <c r="F216" s="1835"/>
      <c r="G216" s="1835"/>
      <c r="H216" s="1835"/>
      <c r="I216" s="1835"/>
      <c r="J216" s="1835"/>
      <c r="K216" s="1835"/>
      <c r="L216" s="1835"/>
      <c r="M216" s="1835"/>
      <c r="N216" s="1835"/>
      <c r="O216" s="1835"/>
      <c r="P216" s="1836"/>
      <c r="Q216" s="1836"/>
      <c r="R216" s="1836"/>
      <c r="S216" s="1836"/>
      <c r="T216" s="1836"/>
      <c r="U216" s="1837">
        <f>-SUM(U209:U215)</f>
        <v>0</v>
      </c>
      <c r="V216" s="1837"/>
      <c r="W216" s="1837"/>
      <c r="X216" s="1837"/>
      <c r="Y216" s="1837">
        <f>-SUM(Y209:Y215)</f>
        <v>0</v>
      </c>
      <c r="Z216" s="1837"/>
      <c r="AA216" s="1837"/>
      <c r="AB216" s="1837"/>
      <c r="AC216" s="1838">
        <f>-SUM(AC209:AC215)</f>
        <v>0</v>
      </c>
      <c r="AD216" s="1838"/>
      <c r="AE216" s="1838"/>
      <c r="AF216" s="1838"/>
      <c r="AG216" s="1839"/>
      <c r="AH216" s="1840"/>
      <c r="AI216" s="1840"/>
      <c r="AJ216" s="1840"/>
      <c r="AK216" s="184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2059</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18" t="s">
        <v>2060</v>
      </c>
      <c r="C221" s="1819"/>
      <c r="D221" s="1819"/>
      <c r="E221" s="1819"/>
      <c r="F221" s="1819"/>
      <c r="G221" s="1819"/>
      <c r="H221" s="1819"/>
      <c r="I221" s="1819"/>
      <c r="J221" s="1819"/>
      <c r="K221" s="1819"/>
      <c r="L221" s="1819"/>
      <c r="M221" s="1819"/>
      <c r="N221" s="1819"/>
      <c r="O221" s="1819"/>
      <c r="P221" s="1819"/>
      <c r="Q221" s="1819"/>
      <c r="R221" s="1819"/>
      <c r="S221" s="1819"/>
      <c r="T221" s="1819"/>
      <c r="U221" s="1819"/>
      <c r="V221" s="1819"/>
      <c r="W221" s="1819"/>
      <c r="X221" s="1819"/>
      <c r="Y221" s="1819"/>
      <c r="Z221" s="1819"/>
      <c r="AA221" s="1819"/>
      <c r="AB221" s="1819"/>
      <c r="AC221" s="1819"/>
      <c r="AD221" s="1819"/>
      <c r="AE221" s="1819"/>
      <c r="AF221" s="1819"/>
      <c r="AG221" s="1819"/>
      <c r="AH221" s="1819"/>
      <c r="AI221" s="1819"/>
      <c r="AJ221" s="1819"/>
      <c r="AK221" s="1819"/>
      <c r="AL221" s="1819"/>
      <c r="AM221" s="1819"/>
      <c r="AN221" s="1819"/>
      <c r="AO221" s="1819"/>
      <c r="AP221" s="1819"/>
      <c r="AQ221" s="1819"/>
      <c r="AR221" s="1819"/>
      <c r="AS221" s="1819"/>
      <c r="AT221" s="1819"/>
      <c r="AU221" s="1819"/>
      <c r="AV221" s="1819"/>
      <c r="AW221" s="1819"/>
      <c r="AX221" s="1819"/>
      <c r="AY221" s="1819"/>
      <c r="AZ221" s="1819"/>
      <c r="BA221" s="1819"/>
      <c r="BB221" s="1819"/>
      <c r="BC221" s="1819"/>
      <c r="BD221" s="1820"/>
      <c r="BE221" s="1083"/>
    </row>
    <row r="222" spans="1:57" ht="15.75" customHeight="1">
      <c r="A222" s="1079"/>
      <c r="B222" s="1821"/>
      <c r="C222" s="1822"/>
      <c r="D222" s="1822"/>
      <c r="E222" s="1822"/>
      <c r="F222" s="1822"/>
      <c r="G222" s="1822"/>
      <c r="H222" s="1822"/>
      <c r="I222" s="1822"/>
      <c r="J222" s="1822"/>
      <c r="K222" s="1822"/>
      <c r="L222" s="1822"/>
      <c r="M222" s="1822"/>
      <c r="N222" s="1822"/>
      <c r="O222" s="1822"/>
      <c r="P222" s="1822"/>
      <c r="Q222" s="1822"/>
      <c r="R222" s="1822"/>
      <c r="S222" s="1822"/>
      <c r="T222" s="1822"/>
      <c r="U222" s="1822"/>
      <c r="V222" s="1822"/>
      <c r="W222" s="1822"/>
      <c r="X222" s="1822"/>
      <c r="Y222" s="1822"/>
      <c r="Z222" s="1822"/>
      <c r="AA222" s="1822"/>
      <c r="AB222" s="1822"/>
      <c r="AC222" s="1822"/>
      <c r="AD222" s="1822"/>
      <c r="AE222" s="1822"/>
      <c r="AF222" s="1822"/>
      <c r="AG222" s="1822"/>
      <c r="AH222" s="1822"/>
      <c r="AI222" s="1822"/>
      <c r="AJ222" s="1822"/>
      <c r="AK222" s="1822"/>
      <c r="AL222" s="1822"/>
      <c r="AM222" s="1822"/>
      <c r="AN222" s="1822"/>
      <c r="AO222" s="1822"/>
      <c r="AP222" s="1822"/>
      <c r="AQ222" s="1822"/>
      <c r="AR222" s="1822"/>
      <c r="AS222" s="1822"/>
      <c r="AT222" s="1822"/>
      <c r="AU222" s="1822"/>
      <c r="AV222" s="1822"/>
      <c r="AW222" s="1822"/>
      <c r="AX222" s="1822"/>
      <c r="AY222" s="1822"/>
      <c r="AZ222" s="1822"/>
      <c r="BA222" s="1822"/>
      <c r="BB222" s="1822"/>
      <c r="BC222" s="1822"/>
      <c r="BD222" s="1823"/>
      <c r="BE222" s="1083"/>
    </row>
    <row r="223" spans="1:57" ht="15.75" customHeight="1">
      <c r="A223" s="1079"/>
      <c r="B223" s="1824" t="s">
        <v>2061</v>
      </c>
      <c r="C223" s="1825"/>
      <c r="D223" s="1825"/>
      <c r="E223" s="1825"/>
      <c r="F223" s="1825"/>
      <c r="G223" s="1825"/>
      <c r="H223" s="1825"/>
      <c r="I223" s="1825"/>
      <c r="J223" s="1825"/>
      <c r="K223" s="1825"/>
      <c r="L223" s="1825"/>
      <c r="M223" s="1825"/>
      <c r="N223" s="1825"/>
      <c r="O223" s="1825"/>
      <c r="P223" s="1825"/>
      <c r="Q223" s="1825"/>
      <c r="R223" s="1825"/>
      <c r="S223" s="1825"/>
      <c r="T223" s="1825"/>
      <c r="U223" s="1825"/>
      <c r="V223" s="1825"/>
      <c r="W223" s="1825"/>
      <c r="X223" s="1825"/>
      <c r="Y223" s="1825"/>
      <c r="Z223" s="1825"/>
      <c r="AA223" s="1825"/>
      <c r="AB223" s="1825"/>
      <c r="AC223" s="1825"/>
      <c r="AD223" s="1825"/>
      <c r="AE223" s="1825"/>
      <c r="AF223" s="1825"/>
      <c r="AG223" s="1825"/>
      <c r="AH223" s="1825"/>
      <c r="AI223" s="1825"/>
      <c r="AJ223" s="1825"/>
      <c r="AK223" s="1825"/>
      <c r="AL223" s="1825"/>
      <c r="AM223" s="1825"/>
      <c r="AN223" s="1825"/>
      <c r="AO223" s="1825"/>
      <c r="AP223" s="1825"/>
      <c r="AQ223" s="1825"/>
      <c r="AR223" s="1825"/>
      <c r="AS223" s="1825"/>
      <c r="AT223" s="1825"/>
      <c r="AU223" s="1825"/>
      <c r="AV223" s="1825"/>
      <c r="AW223" s="1825"/>
      <c r="AX223" s="1825"/>
      <c r="AY223" s="1825"/>
      <c r="AZ223" s="1825"/>
      <c r="BA223" s="1825"/>
      <c r="BB223" s="1825"/>
      <c r="BC223" s="1825"/>
      <c r="BD223" s="1826"/>
      <c r="BE223" s="1083"/>
    </row>
    <row r="224" spans="1:57" ht="15.75" customHeight="1">
      <c r="A224" s="1079"/>
      <c r="B224" s="1824" t="s">
        <v>2062</v>
      </c>
      <c r="C224" s="1825"/>
      <c r="D224" s="1825"/>
      <c r="E224" s="1825"/>
      <c r="F224" s="1825"/>
      <c r="G224" s="1825"/>
      <c r="H224" s="1825"/>
      <c r="I224" s="1825"/>
      <c r="J224" s="1825"/>
      <c r="K224" s="1825"/>
      <c r="L224" s="1825"/>
      <c r="M224" s="1825"/>
      <c r="N224" s="1825"/>
      <c r="O224" s="1825"/>
      <c r="P224" s="1825"/>
      <c r="Q224" s="1825"/>
      <c r="R224" s="1825"/>
      <c r="S224" s="1825"/>
      <c r="T224" s="1825"/>
      <c r="U224" s="1825"/>
      <c r="V224" s="1825"/>
      <c r="W224" s="1825"/>
      <c r="X224" s="1825"/>
      <c r="Y224" s="1825"/>
      <c r="Z224" s="1825"/>
      <c r="AA224" s="1825"/>
      <c r="AB224" s="1825"/>
      <c r="AC224" s="1825"/>
      <c r="AD224" s="1825"/>
      <c r="AE224" s="1825"/>
      <c r="AF224" s="1825"/>
      <c r="AG224" s="1825"/>
      <c r="AH224" s="1825"/>
      <c r="AI224" s="1825"/>
      <c r="AJ224" s="1825"/>
      <c r="AK224" s="1825"/>
      <c r="AL224" s="1825"/>
      <c r="AM224" s="1825"/>
      <c r="AN224" s="1825"/>
      <c r="AO224" s="1825"/>
      <c r="AP224" s="1825"/>
      <c r="AQ224" s="1825"/>
      <c r="AR224" s="1825"/>
      <c r="AS224" s="1825"/>
      <c r="AT224" s="1825"/>
      <c r="AU224" s="1825"/>
      <c r="AV224" s="1825"/>
      <c r="AW224" s="1825"/>
      <c r="AX224" s="1825"/>
      <c r="AY224" s="1825"/>
      <c r="AZ224" s="1825"/>
      <c r="BA224" s="1825"/>
      <c r="BB224" s="1825"/>
      <c r="BC224" s="1825"/>
      <c r="BD224" s="1826"/>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7" t="s">
        <v>2063</v>
      </c>
      <c r="C226" s="1828"/>
      <c r="D226" s="1828"/>
      <c r="E226" s="1828"/>
      <c r="F226" s="1828"/>
      <c r="G226" s="1828"/>
      <c r="H226" s="1828"/>
      <c r="I226" s="1828"/>
      <c r="J226" s="1828"/>
      <c r="K226" s="1828"/>
      <c r="L226" s="1828"/>
      <c r="M226" s="1828"/>
      <c r="N226" s="1828"/>
      <c r="O226" s="1828"/>
      <c r="P226" s="1828"/>
      <c r="Q226" s="1828"/>
      <c r="R226" s="1828"/>
      <c r="S226" s="1828"/>
      <c r="T226" s="1828"/>
      <c r="U226" s="1828"/>
      <c r="V226" s="1828"/>
      <c r="W226" s="1828"/>
      <c r="X226" s="1828"/>
      <c r="Y226" s="1828"/>
      <c r="Z226" s="1828"/>
      <c r="AA226" s="1828"/>
      <c r="AB226" s="1828"/>
      <c r="AC226" s="1828"/>
      <c r="AD226" s="1828"/>
      <c r="AE226" s="1828"/>
      <c r="AF226" s="1828"/>
      <c r="AG226" s="1828"/>
      <c r="AH226" s="1828"/>
      <c r="AI226" s="1828"/>
      <c r="AJ226" s="1828"/>
      <c r="AK226" s="1828"/>
      <c r="AL226" s="1828"/>
      <c r="AM226" s="1828"/>
      <c r="AN226" s="1828"/>
      <c r="AO226" s="1828"/>
      <c r="AP226" s="1828"/>
      <c r="AQ226" s="1828"/>
      <c r="AR226" s="1828"/>
      <c r="AS226" s="1828"/>
      <c r="AT226" s="1828"/>
      <c r="AU226" s="1828"/>
      <c r="AV226" s="1828"/>
      <c r="AW226" s="1828"/>
      <c r="AX226" s="1828"/>
      <c r="AY226" s="1828"/>
      <c r="AZ226" s="1828"/>
      <c r="BA226" s="1828"/>
      <c r="BB226" s="1828"/>
      <c r="BC226" s="1828"/>
      <c r="BD226" s="1829"/>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2064</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0" t="s">
        <v>2065</v>
      </c>
      <c r="I230" s="1830"/>
      <c r="J230" s="1830"/>
      <c r="K230" s="1830"/>
      <c r="L230" s="1830"/>
      <c r="M230" s="1830"/>
      <c r="N230" s="1830"/>
      <c r="O230" s="1830"/>
      <c r="P230" s="1830"/>
      <c r="Q230" s="1830"/>
      <c r="R230" s="1830"/>
      <c r="S230" s="1830"/>
      <c r="T230" s="1830"/>
      <c r="U230" s="1830"/>
      <c r="V230" s="1830"/>
      <c r="W230" s="1830"/>
      <c r="X230" s="1830"/>
      <c r="Y230" s="1830"/>
      <c r="Z230" s="1830"/>
      <c r="AA230" s="1830"/>
      <c r="AB230" s="1830"/>
      <c r="AC230" s="1830"/>
      <c r="AD230" s="1830"/>
      <c r="AE230" s="1830"/>
      <c r="AF230" s="1830"/>
      <c r="AG230" s="1830"/>
      <c r="AH230" s="1830"/>
      <c r="AI230" s="1830"/>
      <c r="AJ230" s="1830"/>
      <c r="AK230" s="1830"/>
      <c r="AL230" s="1830"/>
      <c r="AM230" s="1830"/>
      <c r="AN230" s="1830"/>
      <c r="AO230" s="1830"/>
      <c r="AP230" s="1830"/>
      <c r="AQ230" s="1830"/>
      <c r="AR230" s="1830"/>
      <c r="AS230" s="1830"/>
      <c r="AT230" s="1830"/>
      <c r="AU230" s="1830"/>
      <c r="AV230" s="1830"/>
      <c r="AW230" s="1830"/>
      <c r="AX230" s="1830"/>
      <c r="AY230" s="1830"/>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3" t="s">
        <v>2066</v>
      </c>
      <c r="I232" s="1813"/>
      <c r="J232" s="1813"/>
      <c r="K232" s="1813"/>
      <c r="L232" s="1813"/>
      <c r="M232" s="1813"/>
      <c r="N232" s="1813"/>
      <c r="O232" s="1813"/>
      <c r="P232" s="1813"/>
      <c r="Q232" s="1813"/>
      <c r="R232" s="1813"/>
      <c r="S232" s="1813"/>
      <c r="T232" s="1813"/>
      <c r="U232" s="1813"/>
      <c r="V232" s="1813"/>
      <c r="W232" s="1813"/>
      <c r="X232" s="1813"/>
      <c r="Y232" s="1813"/>
      <c r="Z232" s="1813"/>
      <c r="AA232" s="1813"/>
      <c r="AB232" s="1813"/>
      <c r="AC232" s="1813"/>
      <c r="AD232" s="1813"/>
      <c r="AE232" s="1813"/>
      <c r="AF232" s="1813"/>
      <c r="AG232" s="1813"/>
      <c r="AH232" s="1813"/>
      <c r="AI232" s="1813"/>
      <c r="AJ232" s="1813"/>
      <c r="AK232" s="1813"/>
      <c r="AL232" s="1813"/>
      <c r="AM232" s="1813"/>
      <c r="AN232" s="1813"/>
      <c r="AO232" s="1813"/>
      <c r="AP232" s="1813"/>
      <c r="AQ232" s="1813"/>
      <c r="AR232" s="1813"/>
      <c r="AS232" s="1813"/>
      <c r="AT232" s="1813"/>
      <c r="AU232" s="1813"/>
      <c r="AV232" s="1813"/>
      <c r="AW232" s="1813"/>
      <c r="AX232" s="1813"/>
      <c r="AY232" s="1813"/>
      <c r="AZ232" s="1813"/>
      <c r="BA232" s="1079"/>
      <c r="BB232" s="1079"/>
      <c r="BC232" s="1079"/>
      <c r="BD232" s="1083"/>
      <c r="BE232" s="1083"/>
    </row>
    <row r="233" spans="1:57" ht="15.75" customHeight="1">
      <c r="A233" s="1079"/>
      <c r="B233" s="1078"/>
      <c r="C233" s="1079"/>
      <c r="D233" s="1079"/>
      <c r="E233" s="1079"/>
      <c r="F233" s="1079"/>
      <c r="G233" s="1079"/>
      <c r="H233" s="1813"/>
      <c r="I233" s="1813"/>
      <c r="J233" s="1813"/>
      <c r="K233" s="1813"/>
      <c r="L233" s="1813"/>
      <c r="M233" s="1813"/>
      <c r="N233" s="1813"/>
      <c r="O233" s="1813"/>
      <c r="P233" s="1813"/>
      <c r="Q233" s="1813"/>
      <c r="R233" s="1813"/>
      <c r="S233" s="1813"/>
      <c r="T233" s="1813"/>
      <c r="U233" s="1813"/>
      <c r="V233" s="1813"/>
      <c r="W233" s="1813"/>
      <c r="X233" s="1813"/>
      <c r="Y233" s="1813"/>
      <c r="Z233" s="1813"/>
      <c r="AA233" s="1813"/>
      <c r="AB233" s="1813"/>
      <c r="AC233" s="1813"/>
      <c r="AD233" s="1813"/>
      <c r="AE233" s="1813"/>
      <c r="AF233" s="1813"/>
      <c r="AG233" s="1813"/>
      <c r="AH233" s="1813"/>
      <c r="AI233" s="1813"/>
      <c r="AJ233" s="1813"/>
      <c r="AK233" s="1813"/>
      <c r="AL233" s="1813"/>
      <c r="AM233" s="1813"/>
      <c r="AN233" s="1813"/>
      <c r="AO233" s="1813"/>
      <c r="AP233" s="1813"/>
      <c r="AQ233" s="1813"/>
      <c r="AR233" s="1813"/>
      <c r="AS233" s="1813"/>
      <c r="AT233" s="1813"/>
      <c r="AU233" s="1813"/>
      <c r="AV233" s="1813"/>
      <c r="AW233" s="1813"/>
      <c r="AX233" s="1813"/>
      <c r="AY233" s="1813"/>
      <c r="AZ233" s="1813"/>
      <c r="BA233" s="1079"/>
      <c r="BB233" s="1079"/>
      <c r="BC233" s="1079"/>
      <c r="BD233" s="1083"/>
      <c r="BE233" s="1083"/>
    </row>
    <row r="234" spans="1:57" ht="15.75" customHeight="1">
      <c r="A234" s="1079"/>
      <c r="B234" s="1078"/>
      <c r="C234" s="1079"/>
      <c r="D234" s="1079"/>
      <c r="E234" s="1079"/>
      <c r="F234" s="1079"/>
      <c r="G234" s="1079"/>
      <c r="H234" s="1813"/>
      <c r="I234" s="1813"/>
      <c r="J234" s="1813"/>
      <c r="K234" s="1813"/>
      <c r="L234" s="1813"/>
      <c r="M234" s="1813"/>
      <c r="N234" s="1813"/>
      <c r="O234" s="1813"/>
      <c r="P234" s="1813"/>
      <c r="Q234" s="1813"/>
      <c r="R234" s="1813"/>
      <c r="S234" s="1813"/>
      <c r="T234" s="1813"/>
      <c r="U234" s="1813"/>
      <c r="V234" s="1813"/>
      <c r="W234" s="1813"/>
      <c r="X234" s="1813"/>
      <c r="Y234" s="1813"/>
      <c r="Z234" s="1813"/>
      <c r="AA234" s="1813"/>
      <c r="AB234" s="1813"/>
      <c r="AC234" s="1813"/>
      <c r="AD234" s="1813"/>
      <c r="AE234" s="1813"/>
      <c r="AF234" s="1813"/>
      <c r="AG234" s="1813"/>
      <c r="AH234" s="1813"/>
      <c r="AI234" s="1813"/>
      <c r="AJ234" s="1813"/>
      <c r="AK234" s="1813"/>
      <c r="AL234" s="1813"/>
      <c r="AM234" s="1813"/>
      <c r="AN234" s="1813"/>
      <c r="AO234" s="1813"/>
      <c r="AP234" s="1813"/>
      <c r="AQ234" s="1813"/>
      <c r="AR234" s="1813"/>
      <c r="AS234" s="1813"/>
      <c r="AT234" s="1813"/>
      <c r="AU234" s="1813"/>
      <c r="AV234" s="1813"/>
      <c r="AW234" s="1813"/>
      <c r="AX234" s="1813"/>
      <c r="AY234" s="1813"/>
      <c r="AZ234" s="1813"/>
      <c r="BA234" s="1079"/>
      <c r="BB234" s="1079"/>
      <c r="BC234" s="1079"/>
      <c r="BD234" s="1083"/>
      <c r="BE234" s="1083"/>
    </row>
    <row r="235" spans="1:57" ht="15.75" customHeight="1">
      <c r="A235" s="1079"/>
      <c r="B235" s="1078"/>
      <c r="C235" s="1079"/>
      <c r="D235" s="1079"/>
      <c r="E235" s="1079"/>
      <c r="F235" s="1079"/>
      <c r="G235" s="1079"/>
      <c r="H235" s="1813"/>
      <c r="I235" s="1813"/>
      <c r="J235" s="1813"/>
      <c r="K235" s="1813"/>
      <c r="L235" s="1813"/>
      <c r="M235" s="1813"/>
      <c r="N235" s="1813"/>
      <c r="O235" s="1813"/>
      <c r="P235" s="1813"/>
      <c r="Q235" s="1813"/>
      <c r="R235" s="1813"/>
      <c r="S235" s="1813"/>
      <c r="T235" s="1813"/>
      <c r="U235" s="1813"/>
      <c r="V235" s="1813"/>
      <c r="W235" s="1813"/>
      <c r="X235" s="1813"/>
      <c r="Y235" s="1813"/>
      <c r="Z235" s="1813"/>
      <c r="AA235" s="1813"/>
      <c r="AB235" s="1813"/>
      <c r="AC235" s="1813"/>
      <c r="AD235" s="1813"/>
      <c r="AE235" s="1813"/>
      <c r="AF235" s="1813"/>
      <c r="AG235" s="1813"/>
      <c r="AH235" s="1813"/>
      <c r="AI235" s="1813"/>
      <c r="AJ235" s="1813"/>
      <c r="AK235" s="1813"/>
      <c r="AL235" s="1813"/>
      <c r="AM235" s="1813"/>
      <c r="AN235" s="1813"/>
      <c r="AO235" s="1813"/>
      <c r="AP235" s="1813"/>
      <c r="AQ235" s="1813"/>
      <c r="AR235" s="1813"/>
      <c r="AS235" s="1813"/>
      <c r="AT235" s="1813"/>
      <c r="AU235" s="1813"/>
      <c r="AV235" s="1813"/>
      <c r="AW235" s="1813"/>
      <c r="AX235" s="1813"/>
      <c r="AY235" s="1813"/>
      <c r="AZ235" s="1813"/>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4" t="s">
        <v>2067</v>
      </c>
      <c r="I237" s="1814"/>
      <c r="J237" s="1814"/>
      <c r="K237" s="1814"/>
      <c r="L237" s="1814"/>
      <c r="M237" s="1814"/>
      <c r="N237" s="1814"/>
      <c r="O237" s="1814"/>
      <c r="P237" s="1814"/>
      <c r="Q237" s="1814"/>
      <c r="R237" s="1814"/>
      <c r="S237" s="1814"/>
      <c r="T237" s="1814"/>
      <c r="U237" s="1814"/>
      <c r="V237" s="1814"/>
      <c r="W237" s="1814"/>
      <c r="X237" s="1814"/>
      <c r="Y237" s="1814"/>
      <c r="Z237" s="1814"/>
      <c r="AA237" s="1814"/>
      <c r="AB237" s="1814"/>
      <c r="AC237" s="1814"/>
      <c r="AD237" s="1814"/>
      <c r="AE237" s="1814"/>
      <c r="AF237" s="1814"/>
      <c r="AG237" s="1814"/>
      <c r="AH237" s="1814"/>
      <c r="AI237" s="1814"/>
      <c r="AJ237" s="1814"/>
      <c r="AK237" s="1814"/>
      <c r="AL237" s="1814"/>
      <c r="AM237" s="1814"/>
      <c r="AN237" s="1814"/>
      <c r="AO237" s="1814"/>
      <c r="AP237" s="1814"/>
      <c r="AQ237" s="1814"/>
      <c r="AR237" s="1814"/>
      <c r="AS237" s="1814"/>
      <c r="AT237" s="1814"/>
      <c r="AU237" s="1814"/>
      <c r="AV237" s="1814"/>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4" t="s">
        <v>2068</v>
      </c>
      <c r="I239" s="1804"/>
      <c r="J239" s="1804"/>
      <c r="K239" s="1804"/>
      <c r="L239" s="1128"/>
      <c r="M239" s="1128"/>
      <c r="N239" s="1128"/>
      <c r="O239" s="1128"/>
      <c r="P239" s="1128"/>
      <c r="Q239" s="1128"/>
      <c r="R239" s="1128"/>
      <c r="S239" s="1815"/>
      <c r="T239" s="1816"/>
      <c r="U239" s="1816"/>
      <c r="V239" s="1816"/>
      <c r="W239" s="1816"/>
      <c r="X239" s="1816"/>
      <c r="Y239" s="1816"/>
      <c r="Z239" s="1816"/>
      <c r="AA239" s="1816"/>
      <c r="AB239" s="1816"/>
      <c r="AC239" s="1816"/>
      <c r="AD239" s="1816"/>
      <c r="AE239" s="1816"/>
      <c r="AF239" s="1816"/>
      <c r="AG239" s="1816"/>
      <c r="AH239" s="1816"/>
      <c r="AI239" s="1816"/>
      <c r="AJ239" s="1817"/>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4" t="s">
        <v>1967</v>
      </c>
      <c r="I241" s="1804"/>
      <c r="J241" s="1804"/>
      <c r="K241" s="1130"/>
      <c r="L241" s="1128"/>
      <c r="M241" s="1128"/>
      <c r="N241" s="1128"/>
      <c r="O241" s="1128"/>
      <c r="P241" s="1128"/>
      <c r="Q241" s="1128"/>
      <c r="R241" s="1128"/>
      <c r="S241" s="1805"/>
      <c r="T241" s="1806"/>
      <c r="U241" s="1806"/>
      <c r="V241" s="1806"/>
      <c r="W241" s="1806"/>
      <c r="X241" s="1806"/>
      <c r="Y241" s="1806"/>
      <c r="Z241" s="1806"/>
      <c r="AA241" s="1806"/>
      <c r="AB241" s="1806"/>
      <c r="AC241" s="1806"/>
      <c r="AD241" s="1806"/>
      <c r="AE241" s="1806"/>
      <c r="AF241" s="1806"/>
      <c r="AG241" s="1806"/>
      <c r="AH241" s="1806"/>
      <c r="AI241" s="1806"/>
      <c r="AJ241" s="1807"/>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4" t="s">
        <v>811</v>
      </c>
      <c r="I243" s="1804"/>
      <c r="J243" s="1130"/>
      <c r="K243" s="1130"/>
      <c r="L243" s="1128"/>
      <c r="M243" s="1128"/>
      <c r="N243" s="1128"/>
      <c r="O243" s="1128"/>
      <c r="P243" s="1128"/>
      <c r="Q243" s="1128"/>
      <c r="R243" s="1128"/>
      <c r="S243" s="1805"/>
      <c r="T243" s="1806"/>
      <c r="U243" s="1806"/>
      <c r="V243" s="1806"/>
      <c r="W243" s="1806"/>
      <c r="X243" s="1806"/>
      <c r="Y243" s="1806"/>
      <c r="Z243" s="1806"/>
      <c r="AA243" s="1806"/>
      <c r="AB243" s="1806"/>
      <c r="AC243" s="1806"/>
      <c r="AD243" s="1806"/>
      <c r="AE243" s="1806"/>
      <c r="AF243" s="1806"/>
      <c r="AG243" s="1806"/>
      <c r="AH243" s="1806"/>
      <c r="AI243" s="1806"/>
      <c r="AJ243" s="1807"/>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08" t="s">
        <v>2069</v>
      </c>
      <c r="I245" s="1808"/>
      <c r="J245" s="1808"/>
      <c r="K245" s="1808"/>
      <c r="L245" s="1808"/>
      <c r="M245" s="1808"/>
      <c r="N245" s="1808"/>
      <c r="O245" s="1808"/>
      <c r="P245" s="1128"/>
      <c r="Q245" s="1128"/>
      <c r="R245" s="1128"/>
      <c r="S245" s="1805"/>
      <c r="T245" s="1806"/>
      <c r="U245" s="1806"/>
      <c r="V245" s="1806"/>
      <c r="W245" s="1806"/>
      <c r="X245" s="1806"/>
      <c r="Y245" s="1806"/>
      <c r="Z245" s="1806"/>
      <c r="AA245" s="1806"/>
      <c r="AB245" s="1806"/>
      <c r="AC245" s="1806"/>
      <c r="AD245" s="1806"/>
      <c r="AE245" s="1806"/>
      <c r="AF245" s="1806"/>
      <c r="AG245" s="1806"/>
      <c r="AH245" s="1806"/>
      <c r="AI245" s="1806"/>
      <c r="AJ245" s="1807"/>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09" t="s">
        <v>2070</v>
      </c>
      <c r="I247" s="1809"/>
      <c r="J247" s="1128"/>
      <c r="K247" s="1128"/>
      <c r="L247" s="1128"/>
      <c r="M247" s="1128"/>
      <c r="N247" s="1128"/>
      <c r="O247" s="1128"/>
      <c r="P247" s="1128"/>
      <c r="Q247" s="1128"/>
      <c r="R247" s="1128"/>
      <c r="S247" s="1810"/>
      <c r="T247" s="1811"/>
      <c r="U247" s="1811"/>
      <c r="V247" s="1811"/>
      <c r="W247" s="1811"/>
      <c r="X247" s="1811"/>
      <c r="Y247" s="1811"/>
      <c r="Z247" s="1811"/>
      <c r="AA247" s="1811"/>
      <c r="AB247" s="1811"/>
      <c r="AC247" s="1811"/>
      <c r="AD247" s="1811"/>
      <c r="AE247" s="1811"/>
      <c r="AF247" s="1811"/>
      <c r="AG247" s="1811"/>
      <c r="AH247" s="1811"/>
      <c r="AI247" s="1811"/>
      <c r="AJ247" s="1812"/>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4" sqref="T14:X14"/>
    </sheetView>
  </sheetViews>
  <sheetFormatPr baseColWidth="10" defaultColWidth="0" defaultRowHeight="13" custom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02" t="s">
        <v>2071</v>
      </c>
      <c r="B1" s="2302"/>
      <c r="C1" s="2302"/>
      <c r="D1" s="2302"/>
      <c r="E1" s="2302"/>
      <c r="F1" s="2302"/>
      <c r="G1" s="2302"/>
      <c r="H1" s="2302"/>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row>
    <row r="2" spans="1:40" ht="13" customHeight="1" thickBot="1">
      <c r="A2" s="2303"/>
      <c r="B2" s="2303"/>
      <c r="C2" s="2303"/>
      <c r="D2" s="2303"/>
      <c r="E2" s="2303"/>
      <c r="F2" s="2303"/>
      <c r="G2" s="2303"/>
      <c r="H2" s="2303"/>
      <c r="I2" s="2303"/>
      <c r="J2" s="2303"/>
      <c r="K2" s="2303"/>
      <c r="L2" s="230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303"/>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873</v>
      </c>
      <c r="C5" s="307" t="s">
        <v>270</v>
      </c>
      <c r="F5" s="307"/>
    </row>
    <row r="6" spans="1:40" ht="13" customHeight="1">
      <c r="A6" s="307"/>
      <c r="C6" s="305" t="s">
        <v>2072</v>
      </c>
    </row>
    <row r="7" spans="1:40" ht="13" customHeight="1">
      <c r="B7" s="308"/>
      <c r="C7" s="309"/>
      <c r="D7" s="309"/>
      <c r="E7" s="309"/>
      <c r="F7" s="309"/>
      <c r="G7" s="309"/>
      <c r="H7" s="309"/>
      <c r="I7" s="309"/>
      <c r="J7" s="309"/>
      <c r="K7" s="309"/>
      <c r="L7" s="309"/>
      <c r="M7" s="309"/>
      <c r="N7" s="309"/>
      <c r="O7" s="309"/>
      <c r="P7" s="309"/>
      <c r="Q7" s="309"/>
      <c r="R7" s="309"/>
      <c r="S7" s="309"/>
      <c r="T7" s="2282" t="str">
        <f xml:space="preserve"> IF(T25=100%,'Sources and Basis Breakdown'!G2,'Sources and Basis Breakdown'!F2)</f>
        <v>30% PVC for New Const/
Rehabilitation
DDA/QCT
Building(s)</v>
      </c>
      <c r="U7" s="2282"/>
      <c r="V7" s="2282"/>
      <c r="W7" s="2282"/>
      <c r="X7" s="2282"/>
      <c r="Y7" s="2282" t="str">
        <f>IF(T25=100%,"",'Sources and Basis Breakdown'!G2)</f>
        <v>30% PVC for New Const/
Rehabilitation
NON-DDA/
NON-QCT Building(s)</v>
      </c>
      <c r="Z7" s="2282"/>
      <c r="AA7" s="2282"/>
      <c r="AB7" s="2282"/>
      <c r="AC7" s="2282"/>
      <c r="AD7" s="2282" t="str">
        <f xml:space="preserve"> IF(T25=100%, 'Sources and Basis Breakdown'!J2,'Sources and Basis Breakdown'!I2)</f>
        <v>30% PVC for Acquisition
DDA/QCT Building(s)</v>
      </c>
      <c r="AE7" s="2282"/>
      <c r="AF7" s="2282"/>
      <c r="AG7" s="2282"/>
      <c r="AH7" s="2282"/>
      <c r="AI7" s="2282" t="str">
        <f>IF(T25=100%,"",'Sources and Basis Breakdown'!J2)</f>
        <v>30% PVC for Acquisition
NON-DDA/
NON-QCT Building(s)</v>
      </c>
      <c r="AJ7" s="2282"/>
      <c r="AK7" s="2282"/>
      <c r="AL7" s="2282"/>
      <c r="AM7" s="2282"/>
    </row>
    <row r="8" spans="1:40" ht="13" customHeight="1">
      <c r="B8" s="310"/>
      <c r="T8" s="2282"/>
      <c r="U8" s="2282"/>
      <c r="V8" s="2282"/>
      <c r="W8" s="2282"/>
      <c r="X8" s="2282"/>
      <c r="Y8" s="2282"/>
      <c r="Z8" s="2282"/>
      <c r="AA8" s="2282"/>
      <c r="AB8" s="2282"/>
      <c r="AC8" s="2282"/>
      <c r="AD8" s="2282"/>
      <c r="AE8" s="2282"/>
      <c r="AF8" s="2282"/>
      <c r="AG8" s="2282"/>
      <c r="AH8" s="2282"/>
      <c r="AI8" s="2282"/>
      <c r="AJ8" s="2282"/>
      <c r="AK8" s="2282"/>
      <c r="AL8" s="2282"/>
      <c r="AM8" s="2282"/>
    </row>
    <row r="9" spans="1:40" ht="13" customHeight="1">
      <c r="B9" s="310"/>
      <c r="T9" s="2282"/>
      <c r="U9" s="2282"/>
      <c r="V9" s="2282"/>
      <c r="W9" s="2282"/>
      <c r="X9" s="2282"/>
      <c r="Y9" s="2282"/>
      <c r="Z9" s="2282"/>
      <c r="AA9" s="2282"/>
      <c r="AB9" s="2282"/>
      <c r="AC9" s="2282"/>
      <c r="AD9" s="2282"/>
      <c r="AE9" s="2282"/>
      <c r="AF9" s="2282"/>
      <c r="AG9" s="2282"/>
      <c r="AH9" s="2282"/>
      <c r="AI9" s="2282"/>
      <c r="AJ9" s="2282"/>
      <c r="AK9" s="2282"/>
      <c r="AL9" s="2282"/>
      <c r="AM9" s="2282"/>
    </row>
    <row r="10" spans="1:40" ht="13" customHeight="1">
      <c r="B10" s="311"/>
      <c r="C10" s="312"/>
      <c r="D10" s="312"/>
      <c r="E10" s="312"/>
      <c r="F10" s="312"/>
      <c r="G10" s="312"/>
      <c r="H10" s="312"/>
      <c r="I10" s="312"/>
      <c r="J10" s="312"/>
      <c r="K10" s="312"/>
      <c r="L10" s="312"/>
      <c r="M10" s="312"/>
      <c r="N10" s="312"/>
      <c r="O10" s="312"/>
      <c r="P10" s="312"/>
      <c r="Q10" s="312"/>
      <c r="R10" s="312"/>
      <c r="S10" s="312"/>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3" customHeight="1">
      <c r="B11" s="2268" t="s">
        <v>1889</v>
      </c>
      <c r="C11" s="2269"/>
      <c r="D11" s="2269"/>
      <c r="E11" s="2269"/>
      <c r="F11" s="2269"/>
      <c r="G11" s="2269"/>
      <c r="H11" s="2269"/>
      <c r="I11" s="2269"/>
      <c r="J11" s="2269"/>
      <c r="K11" s="2269"/>
      <c r="L11" s="2269"/>
      <c r="M11" s="2269"/>
      <c r="N11" s="2269"/>
      <c r="O11" s="2269"/>
      <c r="P11" s="2269"/>
      <c r="Q11" s="2269"/>
      <c r="R11" s="2269"/>
      <c r="S11" s="2270"/>
      <c r="T11" s="2304">
        <f>IF('Sources and Basis Breakdown'!F107=0,'Sources and Basis Breakdown'!E107,'Sources and Basis Breakdown'!F107)</f>
        <v>147699796</v>
      </c>
      <c r="U11" s="2305"/>
      <c r="V11" s="2305"/>
      <c r="W11" s="2305"/>
      <c r="X11" s="2305"/>
      <c r="Y11" s="2304">
        <f>IF(Y7="",0,IF('Sources and Basis Breakdown'!G107+'Sources and Basis Breakdown'!F107='Sources and Basis Breakdown'!E107,'Sources and Basis Breakdown'!G107,0))</f>
        <v>0</v>
      </c>
      <c r="Z11" s="2305"/>
      <c r="AA11" s="2305"/>
      <c r="AB11" s="2305"/>
      <c r="AC11" s="2305"/>
      <c r="AD11" s="2305">
        <f>IF('Sources and Basis Breakdown'!I107=0,'Sources and Basis Breakdown'!H107,'Sources and Basis Breakdown'!I107)</f>
        <v>0</v>
      </c>
      <c r="AE11" s="2305"/>
      <c r="AF11" s="2305"/>
      <c r="AG11" s="2305"/>
      <c r="AH11" s="2305"/>
      <c r="AI11" s="2305">
        <f>IF(Y7="",0,IF('Sources and Basis Breakdown'!I107+'Sources and Basis Breakdown'!J107='Sources and Basis Breakdown'!H107,'Sources and Basis Breakdown'!J107,0))</f>
        <v>0</v>
      </c>
      <c r="AJ11" s="2305"/>
      <c r="AK11" s="2305"/>
      <c r="AL11" s="2305"/>
      <c r="AM11" s="2305"/>
    </row>
    <row r="12" spans="1:40" ht="13" customHeight="1">
      <c r="B12" s="2306" t="s">
        <v>2073</v>
      </c>
      <c r="C12" s="1270"/>
      <c r="D12" s="1270"/>
      <c r="E12" s="1270"/>
      <c r="F12" s="1270"/>
      <c r="G12" s="1270"/>
      <c r="H12" s="1270"/>
      <c r="I12" s="1270"/>
      <c r="J12" s="1270"/>
      <c r="K12" s="1270"/>
      <c r="L12" s="1270"/>
      <c r="M12" s="1270"/>
      <c r="N12" s="1270"/>
      <c r="O12" s="1270"/>
      <c r="P12" s="1270"/>
      <c r="Q12" s="1270"/>
      <c r="R12" s="1270"/>
      <c r="S12" s="2307"/>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3" customHeight="1">
      <c r="B13" s="338"/>
      <c r="C13" s="2308" t="s">
        <v>2074</v>
      </c>
      <c r="D13" s="2308"/>
      <c r="E13" s="2308"/>
      <c r="F13" s="2308"/>
      <c r="G13" s="2308"/>
      <c r="H13" s="2308"/>
      <c r="I13" s="2308"/>
      <c r="J13" s="2308"/>
      <c r="K13" s="2308"/>
      <c r="L13" s="2308"/>
      <c r="M13" s="2308"/>
      <c r="N13" s="2308"/>
      <c r="O13" s="2308"/>
      <c r="P13" s="2308"/>
      <c r="Q13" s="2308"/>
      <c r="R13" s="2308"/>
      <c r="S13" s="2309"/>
      <c r="T13" s="2300"/>
      <c r="U13" s="2301"/>
      <c r="V13" s="2301"/>
      <c r="W13" s="2301"/>
      <c r="X13" s="2301"/>
      <c r="Y13" s="2300"/>
      <c r="Z13" s="2301"/>
      <c r="AA13" s="2301"/>
      <c r="AB13" s="2301"/>
      <c r="AC13" s="2301"/>
      <c r="AD13" s="2301"/>
      <c r="AE13" s="2301"/>
      <c r="AF13" s="2301"/>
      <c r="AG13" s="2301"/>
      <c r="AH13" s="2301"/>
      <c r="AI13" s="2301"/>
      <c r="AJ13" s="2301"/>
      <c r="AK13" s="2301"/>
      <c r="AL13" s="2301"/>
      <c r="AM13" s="2301"/>
    </row>
    <row r="14" spans="1:40" ht="13" customHeight="1">
      <c r="B14" s="338"/>
      <c r="C14" s="2308" t="s">
        <v>2075</v>
      </c>
      <c r="D14" s="2308"/>
      <c r="E14" s="2308"/>
      <c r="F14" s="2308"/>
      <c r="G14" s="2308"/>
      <c r="H14" s="2308"/>
      <c r="I14" s="2308"/>
      <c r="J14" s="2308"/>
      <c r="K14" s="2308"/>
      <c r="L14" s="2308"/>
      <c r="M14" s="2308"/>
      <c r="N14" s="2308"/>
      <c r="O14" s="2308"/>
      <c r="P14" s="2308"/>
      <c r="Q14" s="2308"/>
      <c r="R14" s="2308"/>
      <c r="S14" s="2309"/>
      <c r="T14" s="2290"/>
      <c r="U14" s="2291"/>
      <c r="V14" s="2291"/>
      <c r="W14" s="2291"/>
      <c r="X14" s="2291"/>
      <c r="Y14" s="2290"/>
      <c r="Z14" s="2291"/>
      <c r="AA14" s="2291"/>
      <c r="AB14" s="2291"/>
      <c r="AC14" s="2291"/>
      <c r="AD14" s="2291"/>
      <c r="AE14" s="2291"/>
      <c r="AF14" s="2291"/>
      <c r="AG14" s="2291"/>
      <c r="AH14" s="2291"/>
      <c r="AI14" s="2291"/>
      <c r="AJ14" s="2291"/>
      <c r="AK14" s="2291"/>
      <c r="AL14" s="2291"/>
      <c r="AM14" s="2291"/>
    </row>
    <row r="15" spans="1:40" ht="13" customHeight="1">
      <c r="B15" s="338"/>
      <c r="C15" s="2308" t="s">
        <v>2076</v>
      </c>
      <c r="D15" s="2308"/>
      <c r="E15" s="2308"/>
      <c r="F15" s="2308"/>
      <c r="G15" s="2308"/>
      <c r="H15" s="2308"/>
      <c r="I15" s="2308"/>
      <c r="J15" s="2308"/>
      <c r="K15" s="2308"/>
      <c r="L15" s="2308"/>
      <c r="M15" s="2308"/>
      <c r="N15" s="2308"/>
      <c r="O15" s="2308"/>
      <c r="P15" s="2308"/>
      <c r="Q15" s="2308"/>
      <c r="R15" s="2308"/>
      <c r="S15" s="2309"/>
      <c r="T15" s="2290"/>
      <c r="U15" s="2291"/>
      <c r="V15" s="2291"/>
      <c r="W15" s="2291"/>
      <c r="X15" s="2291"/>
      <c r="Y15" s="2290"/>
      <c r="Z15" s="2291"/>
      <c r="AA15" s="2291"/>
      <c r="AB15" s="2291"/>
      <c r="AC15" s="2291"/>
      <c r="AD15" s="2291"/>
      <c r="AE15" s="2291"/>
      <c r="AF15" s="2291"/>
      <c r="AG15" s="2291"/>
      <c r="AH15" s="2291"/>
      <c r="AI15" s="2291"/>
      <c r="AJ15" s="2291"/>
      <c r="AK15" s="2291"/>
      <c r="AL15" s="2291"/>
      <c r="AM15" s="2291"/>
    </row>
    <row r="16" spans="1:40" ht="13" customHeight="1">
      <c r="B16" s="338"/>
      <c r="C16" s="2308" t="s">
        <v>2077</v>
      </c>
      <c r="D16" s="2308"/>
      <c r="E16" s="2308"/>
      <c r="F16" s="2308"/>
      <c r="G16" s="2308"/>
      <c r="H16" s="2308"/>
      <c r="I16" s="2308"/>
      <c r="J16" s="2308"/>
      <c r="K16" s="2308"/>
      <c r="L16" s="2308"/>
      <c r="M16" s="2308"/>
      <c r="N16" s="2308"/>
      <c r="O16" s="2308"/>
      <c r="P16" s="2308"/>
      <c r="Q16" s="2308"/>
      <c r="R16" s="2308"/>
      <c r="S16" s="2309"/>
      <c r="T16" s="2290"/>
      <c r="U16" s="2291"/>
      <c r="V16" s="2291"/>
      <c r="W16" s="2291"/>
      <c r="X16" s="2291"/>
      <c r="Y16" s="2290"/>
      <c r="Z16" s="2291"/>
      <c r="AA16" s="2291"/>
      <c r="AB16" s="2291"/>
      <c r="AC16" s="2291"/>
      <c r="AD16" s="2291"/>
      <c r="AE16" s="2291"/>
      <c r="AF16" s="2291"/>
      <c r="AG16" s="2291"/>
      <c r="AH16" s="2291"/>
      <c r="AI16" s="2291"/>
      <c r="AJ16" s="2291"/>
      <c r="AK16" s="2291"/>
      <c r="AL16" s="2291"/>
      <c r="AM16" s="2291"/>
    </row>
    <row r="17" spans="1:40" ht="13" customHeight="1">
      <c r="B17" s="338"/>
      <c r="C17" s="2308" t="s">
        <v>2078</v>
      </c>
      <c r="D17" s="2308"/>
      <c r="E17" s="2308"/>
      <c r="F17" s="2308"/>
      <c r="G17" s="2308"/>
      <c r="H17" s="2308"/>
      <c r="I17" s="2308"/>
      <c r="J17" s="2308"/>
      <c r="K17" s="2308"/>
      <c r="L17" s="2308"/>
      <c r="M17" s="2308"/>
      <c r="N17" s="2308"/>
      <c r="O17" s="2308"/>
      <c r="P17" s="2308"/>
      <c r="Q17" s="2308"/>
      <c r="R17" s="2308"/>
      <c r="S17" s="2309"/>
      <c r="T17" s="2290"/>
      <c r="U17" s="2291"/>
      <c r="V17" s="2291"/>
      <c r="W17" s="2291"/>
      <c r="X17" s="2291"/>
      <c r="Y17" s="2290"/>
      <c r="Z17" s="2291"/>
      <c r="AA17" s="2291"/>
      <c r="AB17" s="2291"/>
      <c r="AC17" s="2291"/>
      <c r="AD17" s="2291"/>
      <c r="AE17" s="2291"/>
      <c r="AF17" s="2291"/>
      <c r="AG17" s="2291"/>
      <c r="AH17" s="2291"/>
      <c r="AI17" s="2291"/>
      <c r="AJ17" s="2291"/>
      <c r="AK17" s="2291"/>
      <c r="AL17" s="2291"/>
      <c r="AM17" s="2291"/>
    </row>
    <row r="18" spans="1:40" ht="13" customHeight="1">
      <c r="A18"/>
      <c r="B18" s="1039"/>
      <c r="C18" s="1515" t="s">
        <v>2079</v>
      </c>
      <c r="D18" s="1515"/>
      <c r="E18" s="1515"/>
      <c r="F18" s="1515"/>
      <c r="G18" s="1515"/>
      <c r="H18" s="1515"/>
      <c r="I18" s="1515"/>
      <c r="J18" s="1515"/>
      <c r="K18" s="1515"/>
      <c r="L18" s="1515"/>
      <c r="M18" s="1515"/>
      <c r="N18" s="1515"/>
      <c r="O18" s="1515"/>
      <c r="P18" s="1515"/>
      <c r="Q18" s="1515"/>
      <c r="R18" s="1515"/>
      <c r="S18" s="1516"/>
      <c r="T18" s="2290"/>
      <c r="U18" s="2291"/>
      <c r="V18" s="2291"/>
      <c r="W18" s="2291"/>
      <c r="X18" s="2291"/>
      <c r="Y18" s="2290"/>
      <c r="Z18" s="2291"/>
      <c r="AA18" s="2291"/>
      <c r="AB18" s="2291"/>
      <c r="AC18" s="2291"/>
      <c r="AD18" s="2291"/>
      <c r="AE18" s="2291"/>
      <c r="AF18" s="2291"/>
      <c r="AG18" s="2291"/>
      <c r="AH18" s="2291"/>
      <c r="AI18" s="2291"/>
      <c r="AJ18" s="2291"/>
      <c r="AK18" s="2291"/>
      <c r="AL18" s="2291"/>
      <c r="AM18" s="2291"/>
    </row>
    <row r="19" spans="1:40" ht="13" customHeight="1">
      <c r="B19" s="1039"/>
      <c r="C19" s="1515" t="s">
        <v>2079</v>
      </c>
      <c r="D19" s="1515"/>
      <c r="E19" s="1515"/>
      <c r="F19" s="1515"/>
      <c r="G19" s="1515"/>
      <c r="H19" s="1515"/>
      <c r="I19" s="1515"/>
      <c r="J19" s="1515"/>
      <c r="K19" s="1515"/>
      <c r="L19" s="1515"/>
      <c r="M19" s="1515"/>
      <c r="N19" s="1515"/>
      <c r="O19" s="1515"/>
      <c r="P19" s="1515"/>
      <c r="Q19" s="1515"/>
      <c r="R19" s="1515"/>
      <c r="S19" s="1516"/>
      <c r="T19" s="2290"/>
      <c r="U19" s="2291"/>
      <c r="V19" s="2291"/>
      <c r="W19" s="2291"/>
      <c r="X19" s="2291"/>
      <c r="Y19" s="2290"/>
      <c r="Z19" s="2291"/>
      <c r="AA19" s="2291"/>
      <c r="AB19" s="2291"/>
      <c r="AC19" s="2291"/>
      <c r="AD19" s="2291"/>
      <c r="AE19" s="2291"/>
      <c r="AF19" s="2291"/>
      <c r="AG19" s="2291"/>
      <c r="AH19" s="2291"/>
      <c r="AI19" s="2291"/>
      <c r="AJ19" s="2291"/>
      <c r="AK19" s="2291"/>
      <c r="AL19" s="2291"/>
      <c r="AM19" s="2291"/>
    </row>
    <row r="20" spans="1:40" ht="13" customHeight="1">
      <c r="B20" s="2268" t="s">
        <v>2080</v>
      </c>
      <c r="C20" s="2269"/>
      <c r="D20" s="2269"/>
      <c r="E20" s="2269"/>
      <c r="F20" s="2269"/>
      <c r="G20" s="2269"/>
      <c r="H20" s="2269"/>
      <c r="I20" s="2269"/>
      <c r="J20" s="2269"/>
      <c r="K20" s="2269"/>
      <c r="L20" s="2269"/>
      <c r="M20" s="2269"/>
      <c r="N20" s="2269"/>
      <c r="O20" s="2269"/>
      <c r="P20" s="2269"/>
      <c r="Q20" s="2269"/>
      <c r="R20" s="2269"/>
      <c r="S20" s="2270"/>
      <c r="T20" s="2281">
        <f>SUM(T13:X19)</f>
        <v>0</v>
      </c>
      <c r="U20" s="2262"/>
      <c r="V20" s="2262"/>
      <c r="W20" s="2262"/>
      <c r="X20" s="2262"/>
      <c r="Y20" s="2281">
        <f>SUM(Y13:AC19)</f>
        <v>0</v>
      </c>
      <c r="Z20" s="2262"/>
      <c r="AA20" s="2262"/>
      <c r="AB20" s="2262"/>
      <c r="AC20" s="2262"/>
      <c r="AD20" s="2272">
        <f>SUM(AD13:AH19)</f>
        <v>0</v>
      </c>
      <c r="AE20" s="2280"/>
      <c r="AF20" s="2280"/>
      <c r="AG20" s="2280"/>
      <c r="AH20" s="2281"/>
      <c r="AI20" s="2272">
        <f>SUM(AI13:AM19)</f>
        <v>0</v>
      </c>
      <c r="AJ20" s="2280"/>
      <c r="AK20" s="2280"/>
      <c r="AL20" s="2280"/>
      <c r="AM20" s="2281"/>
    </row>
    <row r="21" spans="1:40" ht="13" customHeight="1">
      <c r="B21" s="2268" t="s">
        <v>2081</v>
      </c>
      <c r="C21" s="2269"/>
      <c r="D21" s="2269"/>
      <c r="E21" s="2269"/>
      <c r="F21" s="2269"/>
      <c r="G21" s="2269"/>
      <c r="H21" s="2269"/>
      <c r="I21" s="2269"/>
      <c r="J21" s="2269"/>
      <c r="K21" s="2269"/>
      <c r="L21" s="2269"/>
      <c r="M21" s="2269"/>
      <c r="N21" s="2269"/>
      <c r="O21" s="2269"/>
      <c r="P21" s="2269"/>
      <c r="Q21" s="2269"/>
      <c r="R21" s="2269"/>
      <c r="S21" s="2270"/>
      <c r="T21" s="2290"/>
      <c r="U21" s="2291"/>
      <c r="V21" s="2291"/>
      <c r="W21" s="2291"/>
      <c r="X21" s="2291"/>
      <c r="Y21" s="2290"/>
      <c r="Z21" s="2291"/>
      <c r="AA21" s="2291"/>
      <c r="AB21" s="2291"/>
      <c r="AC21" s="2291"/>
      <c r="AD21" s="2297"/>
      <c r="AE21" s="2298"/>
      <c r="AF21" s="2298"/>
      <c r="AG21" s="2298"/>
      <c r="AH21" s="2299"/>
      <c r="AI21" s="2297"/>
      <c r="AJ21" s="2298"/>
      <c r="AK21" s="2298"/>
      <c r="AL21" s="2298"/>
      <c r="AM21" s="2299"/>
    </row>
    <row r="22" spans="1:40" ht="13" customHeight="1">
      <c r="B22" s="2268" t="s">
        <v>2082</v>
      </c>
      <c r="C22" s="2269"/>
      <c r="D22" s="2269"/>
      <c r="E22" s="2269"/>
      <c r="F22" s="2269"/>
      <c r="G22" s="2269"/>
      <c r="H22" s="2269"/>
      <c r="I22" s="2269"/>
      <c r="J22" s="2269"/>
      <c r="K22" s="2269"/>
      <c r="L22" s="2269"/>
      <c r="M22" s="2269"/>
      <c r="N22" s="2269"/>
      <c r="O22" s="2269"/>
      <c r="P22" s="2269"/>
      <c r="Q22" s="2269"/>
      <c r="R22" s="2269"/>
      <c r="S22" s="2270"/>
      <c r="T22" s="2286">
        <f>(ABS(T20)+ABS(T21))*-1</f>
        <v>0</v>
      </c>
      <c r="U22" s="2287"/>
      <c r="V22" s="2287"/>
      <c r="W22" s="2287"/>
      <c r="X22" s="2287"/>
      <c r="Y22" s="2286">
        <f>(Y20+Y21)*-1</f>
        <v>0</v>
      </c>
      <c r="Z22" s="2287"/>
      <c r="AA22" s="2287"/>
      <c r="AB22" s="2287"/>
      <c r="AC22" s="2287"/>
      <c r="AD22" s="2288">
        <f>(AD20)*-1</f>
        <v>0</v>
      </c>
      <c r="AE22" s="2289"/>
      <c r="AF22" s="2289"/>
      <c r="AG22" s="2289"/>
      <c r="AH22" s="2286"/>
      <c r="AI22" s="2288">
        <f>(AI20)*-1</f>
        <v>0</v>
      </c>
      <c r="AJ22" s="2289"/>
      <c r="AK22" s="2289"/>
      <c r="AL22" s="2289"/>
      <c r="AM22" s="2286"/>
    </row>
    <row r="23" spans="1:40" ht="13" customHeight="1">
      <c r="B23" s="2268" t="s">
        <v>2083</v>
      </c>
      <c r="C23" s="2269"/>
      <c r="D23" s="2269"/>
      <c r="E23" s="2269"/>
      <c r="F23" s="2269"/>
      <c r="G23" s="2269"/>
      <c r="H23" s="2269"/>
      <c r="I23" s="2269"/>
      <c r="J23" s="2269"/>
      <c r="K23" s="2269"/>
      <c r="L23" s="2269"/>
      <c r="M23" s="2269"/>
      <c r="N23" s="2269"/>
      <c r="O23" s="2269"/>
      <c r="P23" s="2269"/>
      <c r="Q23" s="2269"/>
      <c r="R23" s="2269"/>
      <c r="S23" s="2270"/>
      <c r="T23" s="2281">
        <f>T11+T22</f>
        <v>147699796</v>
      </c>
      <c r="U23" s="2262"/>
      <c r="V23" s="2262"/>
      <c r="W23" s="2262"/>
      <c r="X23" s="2262"/>
      <c r="Y23" s="2281">
        <f>Y11+Y22</f>
        <v>0</v>
      </c>
      <c r="Z23" s="2262"/>
      <c r="AA23" s="2262"/>
      <c r="AB23" s="2262"/>
      <c r="AC23" s="2262"/>
      <c r="AD23" s="2281">
        <f>AD11+AD22</f>
        <v>0</v>
      </c>
      <c r="AE23" s="2262"/>
      <c r="AF23" s="2262"/>
      <c r="AG23" s="2262"/>
      <c r="AH23" s="2262"/>
      <c r="AI23" s="2281">
        <f>AI11+AI22</f>
        <v>0</v>
      </c>
      <c r="AJ23" s="2262"/>
      <c r="AK23" s="2262"/>
      <c r="AL23" s="2262"/>
      <c r="AM23" s="2262"/>
    </row>
    <row r="24" spans="1:40" ht="13" customHeight="1">
      <c r="B24" s="2268" t="s">
        <v>2084</v>
      </c>
      <c r="C24" s="2269"/>
      <c r="D24" s="2269"/>
      <c r="E24" s="2269"/>
      <c r="F24" s="2269"/>
      <c r="G24" s="2269"/>
      <c r="H24" s="2269"/>
      <c r="I24" s="2269"/>
      <c r="J24" s="2269"/>
      <c r="K24" s="2269"/>
      <c r="L24" s="2269"/>
      <c r="M24" s="2269"/>
      <c r="N24" s="2269"/>
      <c r="O24" s="2269"/>
      <c r="P24" s="2269"/>
      <c r="Q24" s="2269"/>
      <c r="R24" s="2269"/>
      <c r="S24" s="2270"/>
      <c r="T24" s="2272">
        <f>Application!AJ1053</f>
        <v>221220736.59999999</v>
      </c>
      <c r="U24" s="2280"/>
      <c r="V24" s="2280"/>
      <c r="W24" s="2280"/>
      <c r="X24" s="2280"/>
      <c r="Y24" s="2280"/>
      <c r="Z24" s="2280"/>
      <c r="AA24" s="2280"/>
      <c r="AB24" s="2280"/>
      <c r="AC24" s="2280"/>
      <c r="AD24" s="2280"/>
      <c r="AE24" s="2280"/>
      <c r="AF24" s="2280"/>
      <c r="AG24" s="2280"/>
      <c r="AH24" s="2280"/>
      <c r="AI24" s="2280"/>
      <c r="AJ24" s="2280"/>
      <c r="AK24" s="2280"/>
      <c r="AL24" s="2280"/>
      <c r="AM24" s="2281"/>
    </row>
    <row r="25" spans="1:40" ht="13" customHeight="1">
      <c r="B25" s="2312" t="s">
        <v>2085</v>
      </c>
      <c r="C25" s="2313"/>
      <c r="D25" s="2313"/>
      <c r="E25" s="2313"/>
      <c r="F25" s="2313"/>
      <c r="G25" s="2313"/>
      <c r="H25" s="2313"/>
      <c r="I25" s="2313"/>
      <c r="J25" s="2313"/>
      <c r="K25" s="2313"/>
      <c r="L25" s="2313"/>
      <c r="M25" s="2313"/>
      <c r="N25" s="2313"/>
      <c r="O25" s="2313"/>
      <c r="P25" s="2313"/>
      <c r="Q25" s="2313"/>
      <c r="R25" s="2313"/>
      <c r="S25" s="2314"/>
      <c r="T25" s="2294">
        <f>IF(OR(Application!T196="yes",Application!T195="yes"),1.3,1)</f>
        <v>1.3</v>
      </c>
      <c r="U25" s="2295"/>
      <c r="V25" s="2295"/>
      <c r="W25" s="2295"/>
      <c r="X25" s="2295"/>
      <c r="Y25" s="2294">
        <v>1</v>
      </c>
      <c r="Z25" s="2295"/>
      <c r="AA25" s="2295"/>
      <c r="AB25" s="2295"/>
      <c r="AC25" s="2295"/>
      <c r="AD25" s="2294">
        <v>1</v>
      </c>
      <c r="AE25" s="2295"/>
      <c r="AF25" s="2295"/>
      <c r="AG25" s="2295"/>
      <c r="AH25" s="2296"/>
      <c r="AI25" s="2294">
        <v>1</v>
      </c>
      <c r="AJ25" s="2295"/>
      <c r="AK25" s="2295"/>
      <c r="AL25" s="2295"/>
      <c r="AM25" s="2296"/>
    </row>
    <row r="26" spans="1:40" ht="13" customHeight="1">
      <c r="B26" s="2268" t="s">
        <v>2086</v>
      </c>
      <c r="C26" s="2269"/>
      <c r="D26" s="2269"/>
      <c r="E26" s="2269"/>
      <c r="F26" s="2269"/>
      <c r="G26" s="2269"/>
      <c r="H26" s="2269"/>
      <c r="I26" s="2269"/>
      <c r="J26" s="2269"/>
      <c r="K26" s="2269"/>
      <c r="L26" s="2269"/>
      <c r="M26" s="2269"/>
      <c r="N26" s="2269"/>
      <c r="O26" s="2269"/>
      <c r="P26" s="2269"/>
      <c r="Q26" s="2269"/>
      <c r="R26" s="2269"/>
      <c r="S26" s="2270"/>
      <c r="T26" s="2281">
        <f>T23*T25</f>
        <v>192009734.80000001</v>
      </c>
      <c r="U26" s="2262"/>
      <c r="V26" s="2262"/>
      <c r="W26" s="2262"/>
      <c r="X26" s="2262"/>
      <c r="Y26" s="2281">
        <f>Y23*Y25</f>
        <v>0</v>
      </c>
      <c r="Z26" s="2262"/>
      <c r="AA26" s="2262"/>
      <c r="AB26" s="2262"/>
      <c r="AC26" s="2262"/>
      <c r="AD26" s="2281">
        <f>AD23*AD25</f>
        <v>0</v>
      </c>
      <c r="AE26" s="2262"/>
      <c r="AF26" s="2262"/>
      <c r="AG26" s="2262"/>
      <c r="AH26" s="2262"/>
      <c r="AI26" s="2281">
        <f>AI23*AI25</f>
        <v>0</v>
      </c>
      <c r="AJ26" s="2262"/>
      <c r="AK26" s="2262"/>
      <c r="AL26" s="2262"/>
      <c r="AM26" s="2262"/>
    </row>
    <row r="27" spans="1:40" ht="13" customHeight="1">
      <c r="A27" s="313"/>
      <c r="B27" s="2315" t="s">
        <v>2087</v>
      </c>
      <c r="C27" s="2316"/>
      <c r="D27" s="2316"/>
      <c r="E27" s="2316"/>
      <c r="F27" s="2316"/>
      <c r="G27" s="2316"/>
      <c r="H27" s="2316"/>
      <c r="I27" s="2316"/>
      <c r="J27" s="2316"/>
      <c r="K27" s="2316"/>
      <c r="L27" s="2316"/>
      <c r="M27" s="2316"/>
      <c r="N27" s="2316"/>
      <c r="O27" s="2316"/>
      <c r="P27" s="2316"/>
      <c r="Q27" s="2316"/>
      <c r="R27" s="2316"/>
      <c r="S27" s="2317"/>
      <c r="T27" s="2292">
        <f>Application!$AG$445</f>
        <v>1</v>
      </c>
      <c r="U27" s="2293"/>
      <c r="V27" s="2293"/>
      <c r="W27" s="2293"/>
      <c r="X27" s="2293"/>
      <c r="Y27" s="2292">
        <f>Application!$AG$445</f>
        <v>1</v>
      </c>
      <c r="Z27" s="2293"/>
      <c r="AA27" s="2293"/>
      <c r="AB27" s="2293"/>
      <c r="AC27" s="2293"/>
      <c r="AD27" s="2292">
        <f>Application!$AG$445</f>
        <v>1</v>
      </c>
      <c r="AE27" s="2293"/>
      <c r="AF27" s="2293"/>
      <c r="AG27" s="2293"/>
      <c r="AH27" s="2293"/>
      <c r="AI27" s="2292">
        <f>Application!$AG$445</f>
        <v>1</v>
      </c>
      <c r="AJ27" s="2293"/>
      <c r="AK27" s="2293"/>
      <c r="AL27" s="2293"/>
      <c r="AM27" s="2293"/>
    </row>
    <row r="28" spans="1:40" ht="13" customHeight="1">
      <c r="A28" s="307"/>
      <c r="B28" s="2268" t="s">
        <v>2088</v>
      </c>
      <c r="C28" s="2269"/>
      <c r="D28" s="2269"/>
      <c r="E28" s="2269"/>
      <c r="F28" s="2269"/>
      <c r="G28" s="2269"/>
      <c r="H28" s="2269"/>
      <c r="I28" s="2269"/>
      <c r="J28" s="2269"/>
      <c r="K28" s="2269"/>
      <c r="L28" s="2269"/>
      <c r="M28" s="2269"/>
      <c r="N28" s="2269"/>
      <c r="O28" s="2269"/>
      <c r="P28" s="2269"/>
      <c r="Q28" s="2269"/>
      <c r="R28" s="2269"/>
      <c r="S28" s="2270"/>
      <c r="T28" s="2281">
        <f>IF(ISERROR((T26*T27)),0,(T26*T27))</f>
        <v>192009734.80000001</v>
      </c>
      <c r="U28" s="2262"/>
      <c r="V28" s="2262"/>
      <c r="W28" s="2262"/>
      <c r="X28" s="2262"/>
      <c r="Y28" s="2281">
        <f>IF(ISERROR((Y26*Y27)),0,(Y26*Y27))</f>
        <v>0</v>
      </c>
      <c r="Z28" s="2262"/>
      <c r="AA28" s="2262"/>
      <c r="AB28" s="2262"/>
      <c r="AC28" s="2262"/>
      <c r="AD28" s="2281">
        <f>IF(ISERROR((AD26*AD27)),0,(AD26*AD27))</f>
        <v>0</v>
      </c>
      <c r="AE28" s="2262"/>
      <c r="AF28" s="2262"/>
      <c r="AG28" s="2262"/>
      <c r="AH28" s="2262"/>
      <c r="AI28" s="2281">
        <f>IF(ISERROR((AI26*AI27)),0,(AI26*AI27))</f>
        <v>0</v>
      </c>
      <c r="AJ28" s="2262"/>
      <c r="AK28" s="2262"/>
      <c r="AL28" s="2262"/>
      <c r="AM28" s="2262"/>
    </row>
    <row r="29" spans="1:40" ht="13" customHeight="1">
      <c r="B29" s="2268" t="s">
        <v>2089</v>
      </c>
      <c r="C29" s="2269"/>
      <c r="D29" s="2269"/>
      <c r="E29" s="2269"/>
      <c r="F29" s="2269"/>
      <c r="G29" s="2269"/>
      <c r="H29" s="2269"/>
      <c r="I29" s="2269"/>
      <c r="J29" s="2269"/>
      <c r="K29" s="2269"/>
      <c r="L29" s="2269"/>
      <c r="M29" s="2269"/>
      <c r="N29" s="2269"/>
      <c r="O29" s="2269"/>
      <c r="P29" s="2269"/>
      <c r="Q29" s="2269"/>
      <c r="R29" s="2269"/>
      <c r="S29" s="2270"/>
      <c r="T29" s="2272">
        <f>T28+Y28+AD28+AI28</f>
        <v>192009734.80000001</v>
      </c>
      <c r="U29" s="2280"/>
      <c r="V29" s="2280"/>
      <c r="W29" s="2280"/>
      <c r="X29" s="2280"/>
      <c r="Y29" s="2280"/>
      <c r="Z29" s="2280"/>
      <c r="AA29" s="2280"/>
      <c r="AB29" s="2280"/>
      <c r="AC29" s="2280"/>
      <c r="AD29" s="2280"/>
      <c r="AE29" s="2280"/>
      <c r="AF29" s="2280"/>
      <c r="AG29" s="2280"/>
      <c r="AH29" s="2280"/>
      <c r="AI29" s="2280"/>
      <c r="AJ29" s="2280"/>
      <c r="AK29" s="2280"/>
      <c r="AL29" s="2280"/>
      <c r="AM29" s="2281"/>
    </row>
    <row r="30" spans="1:40" ht="13" customHeight="1">
      <c r="B30" s="2285" t="s">
        <v>2090</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40" ht="13" customHeight="1">
      <c r="B31" s="2285" t="s">
        <v>2091</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418"/>
    </row>
    <row r="32" spans="1:40" ht="13" customHeight="1">
      <c r="B32" s="337"/>
      <c r="C32" s="411" t="s">
        <v>2092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914</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2" t="s">
        <v>2093</v>
      </c>
      <c r="Z35" s="2282"/>
      <c r="AA35" s="2282"/>
      <c r="AB35" s="2282"/>
      <c r="AC35" s="2282"/>
      <c r="AD35" s="2283" t="s">
        <v>2094</v>
      </c>
      <c r="AE35" s="2283"/>
      <c r="AF35" s="2283"/>
      <c r="AG35" s="2283"/>
      <c r="AH35" s="2283"/>
    </row>
    <row r="36" spans="1:76" ht="13" customHeight="1">
      <c r="B36" s="310"/>
      <c r="X36" s="315"/>
      <c r="Y36" s="2282"/>
      <c r="Z36" s="2282"/>
      <c r="AA36" s="2282"/>
      <c r="AB36" s="2282"/>
      <c r="AC36" s="2282"/>
      <c r="AD36" s="2283"/>
      <c r="AE36" s="2283"/>
      <c r="AF36" s="2283"/>
      <c r="AG36" s="2283"/>
      <c r="AH36" s="2283"/>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2"/>
      <c r="Z37" s="2282"/>
      <c r="AA37" s="2282"/>
      <c r="AB37" s="2282"/>
      <c r="AC37" s="2282"/>
      <c r="AD37" s="2283"/>
      <c r="AE37" s="2283"/>
      <c r="AF37" s="2283"/>
      <c r="AG37" s="2283"/>
      <c r="AH37" s="2283"/>
    </row>
    <row r="38" spans="1:76" ht="13" customHeight="1">
      <c r="A38" s="307"/>
      <c r="B38" s="2268" t="s">
        <v>2088</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192009734.80000001</v>
      </c>
      <c r="Z38" s="2262"/>
      <c r="AA38" s="2262"/>
      <c r="AB38" s="2262"/>
      <c r="AC38" s="2262"/>
      <c r="AD38" s="2262">
        <f>IF(T24&gt;=(T23+Y23+AD23+AI23),AD28+AI28,0)</f>
        <v>0</v>
      </c>
      <c r="AE38" s="2262"/>
      <c r="AF38" s="2262"/>
      <c r="AG38" s="2262"/>
      <c r="AH38" s="2262"/>
    </row>
    <row r="39" spans="1:76" ht="13" customHeight="1">
      <c r="B39" s="2268" t="s">
        <v>2095</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84">
        <v>0.04</v>
      </c>
      <c r="Z39" s="2284"/>
      <c r="AA39" s="2284"/>
      <c r="AB39" s="2284"/>
      <c r="AC39" s="2284"/>
      <c r="AD39" s="2284">
        <v>0.04</v>
      </c>
      <c r="AE39" s="2284"/>
      <c r="AF39" s="2284"/>
      <c r="AG39" s="2284"/>
      <c r="AH39" s="2284"/>
    </row>
    <row r="40" spans="1:76" ht="13" customHeight="1">
      <c r="A40" s="307"/>
      <c r="B40" s="2268" t="s">
        <v>2096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7680389</v>
      </c>
      <c r="Z40" s="2262"/>
      <c r="AA40" s="2262"/>
      <c r="AB40" s="2262"/>
      <c r="AC40" s="2262"/>
      <c r="AD40" s="2281">
        <f>ROUND(AD38*AD39,0)</f>
        <v>0</v>
      </c>
      <c r="AE40" s="2262"/>
      <c r="AF40" s="2262"/>
      <c r="AG40" s="2262"/>
      <c r="AH40" s="2262"/>
    </row>
    <row r="41" spans="1:76" ht="13" customHeight="1">
      <c r="B41" s="2268" t="s">
        <v>2097</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72">
        <f>Y40+AD40</f>
        <v>7680389</v>
      </c>
      <c r="Z41" s="2280"/>
      <c r="AA41" s="2280"/>
      <c r="AB41" s="2280"/>
      <c r="AC41" s="2280"/>
      <c r="AD41" s="2280"/>
      <c r="AE41" s="2280"/>
      <c r="AF41" s="2280"/>
      <c r="AG41" s="2280"/>
      <c r="AH41" s="2281"/>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9" t="s">
        <v>2098</v>
      </c>
      <c r="B44" s="2279"/>
      <c r="C44" s="2279"/>
      <c r="D44" s="2279"/>
      <c r="E44" s="2279"/>
      <c r="F44" s="2279"/>
      <c r="G44" s="2279"/>
      <c r="H44" s="2279"/>
      <c r="I44" s="2279"/>
      <c r="J44" s="2279"/>
      <c r="K44" s="2279"/>
      <c r="L44" s="2279"/>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c r="AW44" s="2279"/>
      <c r="AX44" s="2279"/>
      <c r="AY44" s="2279"/>
      <c r="AZ44" s="2279"/>
      <c r="BA44" s="2279"/>
      <c r="BB44" s="2279"/>
      <c r="BC44" s="2279"/>
      <c r="BD44" s="2279"/>
      <c r="BE44" s="2279"/>
      <c r="BF44" s="2279"/>
      <c r="BG44" s="2279"/>
      <c r="BH44" s="2279"/>
      <c r="BI44" s="2279"/>
      <c r="BJ44" s="2279"/>
      <c r="BK44" s="2279"/>
      <c r="BL44" s="2279"/>
      <c r="BM44" s="2279"/>
      <c r="BN44" s="2279"/>
      <c r="BO44" s="2279"/>
      <c r="BP44" s="2279"/>
      <c r="BQ44" s="2279"/>
      <c r="BR44" s="2279"/>
      <c r="BS44" s="2279"/>
      <c r="BT44" s="2279"/>
      <c r="BU44" s="2279"/>
      <c r="BV44" s="2279"/>
      <c r="BW44" s="2279"/>
      <c r="BX44" s="2279"/>
    </row>
    <row r="45" spans="1:76" s="136" customFormat="1" ht="13" customHeight="1" thickTop="1"/>
    <row r="46" spans="1:76" ht="13" customHeight="1">
      <c r="A46" s="307" t="s">
        <v>992</v>
      </c>
      <c r="C46" s="307" t="s">
        <v>282</v>
      </c>
    </row>
    <row r="47" spans="1:76" ht="13" customHeight="1">
      <c r="D47" s="307" t="s">
        <v>678</v>
      </c>
      <c r="AB47" s="2276">
        <f>'Sources and Uses Budget'!B105-MAX(IF('Sources and Uses Budget'!B15="",0,'Sources and Uses Budget'!B15),IF(Application!AG394="",0,Application!AG394))</f>
        <v>162858396</v>
      </c>
      <c r="AC47" s="2277"/>
      <c r="AD47" s="2277"/>
      <c r="AE47" s="2277"/>
      <c r="AF47" s="2278"/>
    </row>
    <row r="48" spans="1:76" ht="13" customHeight="1">
      <c r="D48" s="307" t="s">
        <v>175</v>
      </c>
      <c r="AB48" s="2276">
        <f>Application!AO639-MAX(IF('Sources and Uses Budget'!B15="",0,'Sources and Uses Budget'!B15),IF(Application!AG394="",0,Application!AG394))</f>
        <v>93734892</v>
      </c>
      <c r="AC48" s="2277"/>
      <c r="AD48" s="2277"/>
      <c r="AE48" s="2277"/>
      <c r="AF48" s="2278"/>
    </row>
    <row r="49" spans="1:76" ht="13" customHeight="1">
      <c r="D49" s="307" t="s">
        <v>2099</v>
      </c>
      <c r="AB49" s="2276">
        <f>AB47-AB48</f>
        <v>69123504</v>
      </c>
      <c r="AC49" s="2277"/>
      <c r="AD49" s="2277"/>
      <c r="AE49" s="2277"/>
      <c r="AF49" s="2278"/>
    </row>
    <row r="50" spans="1:76" ht="13" customHeight="1">
      <c r="D50" s="307" t="s">
        <v>2100</v>
      </c>
      <c r="AA50" s="318"/>
      <c r="AB50" s="2264">
        <v>0.90000004</v>
      </c>
      <c r="AC50" s="2265"/>
      <c r="AD50" s="2265"/>
      <c r="AE50" s="2265"/>
      <c r="AF50" s="2266"/>
    </row>
    <row r="51" spans="1:76" s="320" customFormat="1" ht="13" customHeight="1">
      <c r="A51" s="305"/>
      <c r="B51" s="305"/>
      <c r="C51" s="305"/>
      <c r="D51" s="305"/>
      <c r="E51" s="2275" t="s">
        <v>2101</v>
      </c>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5"/>
      <c r="F52" s="2275"/>
      <c r="G52" s="2275"/>
      <c r="H52" s="2275"/>
      <c r="I52" s="2275"/>
      <c r="J52" s="2275"/>
      <c r="K52" s="2275"/>
      <c r="L52" s="2275"/>
      <c r="M52" s="2275"/>
      <c r="N52" s="2275"/>
      <c r="O52" s="2275"/>
      <c r="P52" s="2275"/>
      <c r="Q52" s="2275"/>
      <c r="R52" s="2275"/>
      <c r="S52" s="2275"/>
      <c r="T52" s="2275"/>
      <c r="U52" s="2275"/>
      <c r="V52" s="2275"/>
      <c r="W52" s="2275"/>
      <c r="X52" s="2275"/>
      <c r="Y52" s="2275"/>
      <c r="Z52" s="2275"/>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2102</v>
      </c>
      <c r="AB54" s="2276">
        <f>ROUND(IF(ISERROR((AB49/AB50)),0,(AB49/AB50)),0)</f>
        <v>76803890</v>
      </c>
      <c r="AC54" s="2277"/>
      <c r="AD54" s="2277"/>
      <c r="AE54" s="2277"/>
      <c r="AF54" s="2278"/>
    </row>
    <row r="55" spans="1:76" ht="13" customHeight="1">
      <c r="D55" s="307" t="s">
        <v>2103</v>
      </c>
      <c r="AB55" s="2276">
        <f>(AB54/10)</f>
        <v>7680389</v>
      </c>
      <c r="AC55" s="2277"/>
      <c r="AD55" s="2277"/>
      <c r="AE55" s="2277"/>
      <c r="AF55" s="2278"/>
    </row>
    <row r="56" spans="1:76" ht="13" customHeight="1">
      <c r="D56" s="307" t="s">
        <v>2104</v>
      </c>
      <c r="AB56" s="2276">
        <f>ROUND((IF((Y41&lt;AB55),Y41,AB55)),0)</f>
        <v>7680389</v>
      </c>
      <c r="AC56" s="2277"/>
      <c r="AD56" s="2277"/>
      <c r="AE56" s="2277"/>
      <c r="AF56" s="2278"/>
    </row>
    <row r="57" spans="1:76" ht="13" customHeight="1">
      <c r="D57" s="307" t="s">
        <v>2105</v>
      </c>
      <c r="AB57" s="2276">
        <f>ROUND((10*AB56*AB50),0)</f>
        <v>69123504</v>
      </c>
      <c r="AC57" s="2277"/>
      <c r="AD57" s="2277"/>
      <c r="AE57" s="2277"/>
      <c r="AF57" s="2278"/>
    </row>
    <row r="58" spans="1:76" ht="13" customHeight="1">
      <c r="D58" s="307"/>
      <c r="AB58" s="326"/>
      <c r="AC58" s="326"/>
      <c r="AD58" s="326"/>
      <c r="AE58" s="326"/>
      <c r="AF58" s="326"/>
    </row>
    <row r="59" spans="1:76" ht="13" customHeight="1">
      <c r="D59" s="307" t="s">
        <v>2106</v>
      </c>
      <c r="AB59" s="2260">
        <f>AB49-AB57</f>
        <v>0</v>
      </c>
      <c r="AC59" s="2260"/>
      <c r="AD59" s="2260"/>
      <c r="AE59" s="2260"/>
      <c r="AF59" s="2260"/>
    </row>
    <row r="60" spans="1:76" ht="13" customHeight="1">
      <c r="D60" s="307"/>
      <c r="AB60" s="326"/>
      <c r="AC60" s="326"/>
      <c r="AD60" s="326"/>
      <c r="AE60" s="326"/>
      <c r="AF60" s="326"/>
    </row>
    <row r="61" spans="1:76" s="136" customFormat="1" ht="13" customHeight="1" thickBot="1">
      <c r="A61" s="2279" t="str">
        <f>IF(Application!AP205="yes","Farmworker State Credit", "State Credit" )</f>
        <v>State Credit</v>
      </c>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279"/>
      <c r="BU61" s="2279"/>
      <c r="BV61" s="2279"/>
      <c r="BW61" s="2279"/>
      <c r="BX61" s="2279"/>
    </row>
    <row r="62" spans="1:76" s="136" customFormat="1" ht="13" customHeight="1" thickTop="1"/>
    <row r="63" spans="1:76" ht="13" customHeight="1">
      <c r="A63" s="307" t="s">
        <v>1010</v>
      </c>
      <c r="C63" s="137" t="s">
        <v>2107</v>
      </c>
      <c r="Y63" s="2271" t="s">
        <v>2108</v>
      </c>
      <c r="Z63" s="2271"/>
      <c r="AA63" s="2271"/>
      <c r="AB63" s="2271"/>
      <c r="AC63" s="2271"/>
      <c r="AD63" s="2271" t="s">
        <v>2094</v>
      </c>
      <c r="AE63" s="2271"/>
      <c r="AF63" s="2271"/>
      <c r="AG63" s="2271"/>
      <c r="AH63" s="2271"/>
    </row>
    <row r="64" spans="1:76" ht="13" customHeight="1">
      <c r="C64" s="307"/>
      <c r="D64" s="280" t="s">
        <v>2109</v>
      </c>
      <c r="E64" s="323"/>
      <c r="F64" s="323"/>
      <c r="G64" s="323"/>
      <c r="H64" s="323"/>
      <c r="I64" s="323"/>
      <c r="J64" s="323"/>
      <c r="K64" s="323"/>
      <c r="L64" s="323"/>
      <c r="M64" s="323"/>
      <c r="N64" s="323"/>
      <c r="O64" s="323"/>
      <c r="P64" s="323"/>
      <c r="Q64" s="323"/>
      <c r="R64" s="323"/>
      <c r="S64" s="323"/>
      <c r="T64" s="323"/>
      <c r="U64" s="323"/>
      <c r="V64" s="323"/>
      <c r="W64" s="323"/>
      <c r="X64" s="323"/>
      <c r="Y64" s="2272">
        <f>IF(Application!$Z$205="(select)",0,((T23*T27)+Y28))</f>
        <v>0</v>
      </c>
      <c r="Z64" s="2273"/>
      <c r="AA64" s="2273"/>
      <c r="AB64" s="2273"/>
      <c r="AC64" s="2274"/>
      <c r="AD64" s="2272">
        <f>IF(AND(OR(Application!D211="At-Risk",Application!D211="At-Risk and Special Needs"),Application!M358="yes"),AD28+AI28,0)</f>
        <v>0</v>
      </c>
      <c r="AE64" s="2273"/>
      <c r="AF64" s="2273"/>
      <c r="AG64" s="2273"/>
      <c r="AH64" s="2274"/>
    </row>
    <row r="65" spans="1:36" ht="13" customHeight="1">
      <c r="C65" s="307"/>
      <c r="E65" s="909" t="s">
        <v>2110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2111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2112</v>
      </c>
      <c r="E67" s="324"/>
      <c r="F67" s="324"/>
      <c r="G67" s="324"/>
      <c r="H67" s="324"/>
      <c r="I67" s="324"/>
      <c r="J67" s="324"/>
      <c r="K67" s="324"/>
      <c r="L67" s="324"/>
      <c r="M67" s="324"/>
      <c r="N67" s="324"/>
      <c r="O67" s="324"/>
      <c r="P67" s="324"/>
      <c r="Q67" s="324"/>
      <c r="R67" s="324"/>
      <c r="S67" s="324"/>
      <c r="T67" s="324"/>
      <c r="U67" s="324"/>
      <c r="V67" s="324"/>
      <c r="W67" s="324"/>
      <c r="X67" s="324"/>
      <c r="Y67" s="2261" cm="1">
        <f t="array" ref="Y67">_xlfn.IFS(OR(Application!Z205="State Farmworker Credit",Application!Z205="$500M (Farmworker Housing)"),0.75,Application!Z205="15% set-aside",0.13,Application!Z205="15% set-aside with qualifying low value rehab",0.95,Application!Z205="$500M",0.3,TRUE,0)</f>
        <v>0</v>
      </c>
      <c r="Z67" s="2261"/>
      <c r="AA67" s="2261"/>
      <c r="AB67" s="2261"/>
      <c r="AC67" s="2261"/>
      <c r="AD67" s="2261" cm="1">
        <f t="array" ref="AD67">_xlfn.IFS(Application!Z205="15% set-aside with qualifying low value rehab", 0.95,OR(Application!D211="At-Risk",'Points System'!B13="Yes"),0.13,TRUE,0)</f>
        <v>0</v>
      </c>
      <c r="AE67" s="2261"/>
      <c r="AF67" s="2261"/>
      <c r="AG67" s="2261"/>
      <c r="AH67" s="2261"/>
    </row>
    <row r="68" spans="1:36" ht="13" customHeight="1">
      <c r="C68" s="307"/>
      <c r="D68" s="137" t="s">
        <v>2113</v>
      </c>
      <c r="Y68" s="2262">
        <f>ROUND(Y64*Y67,0)</f>
        <v>0</v>
      </c>
      <c r="Z68" s="2263"/>
      <c r="AA68" s="2263"/>
      <c r="AB68" s="2263"/>
      <c r="AC68" s="2263"/>
      <c r="AD68" s="2262">
        <f>ROUND(AD64*AD67,0)</f>
        <v>0</v>
      </c>
      <c r="AE68" s="2263"/>
      <c r="AF68" s="2263"/>
      <c r="AG68" s="2263"/>
      <c r="AH68" s="2263"/>
    </row>
    <row r="69" spans="1:36" ht="13" customHeight="1">
      <c r="C69" s="307"/>
      <c r="D69" s="137" t="s">
        <v>2114</v>
      </c>
      <c r="Y69" s="2262">
        <f>IF(OR(Application!Z205="State Farmworker Credit",Application!Z205="$500M (Farmworker Housing)"),Y68+AD68,MIN(Y68+AD68,200000*(Application!G753+Application!O777)))</f>
        <v>0</v>
      </c>
      <c r="Z69" s="2262"/>
      <c r="AA69" s="2262"/>
      <c r="AB69" s="2262"/>
      <c r="AC69" s="2262"/>
      <c r="AD69" s="2262"/>
      <c r="AE69" s="2262"/>
      <c r="AF69" s="2262"/>
      <c r="AG69" s="2262"/>
      <c r="AH69" s="2262"/>
    </row>
    <row r="70" spans="1:36" ht="13" customHeight="1">
      <c r="C70" s="307"/>
      <c r="E70" s="307"/>
      <c r="AB70" s="325"/>
      <c r="AC70" s="325"/>
      <c r="AD70" s="325"/>
      <c r="AE70" s="325"/>
      <c r="AF70" s="325"/>
    </row>
    <row r="71" spans="1:36" ht="13" customHeight="1">
      <c r="A71" s="307" t="s">
        <v>1022</v>
      </c>
      <c r="C71" s="137" t="s">
        <v>288</v>
      </c>
    </row>
    <row r="72" spans="1:36" ht="13" customHeight="1">
      <c r="A72" s="307"/>
      <c r="C72" s="307"/>
      <c r="D72" s="137" t="s">
        <v>732</v>
      </c>
      <c r="AB72" s="2264"/>
      <c r="AC72" s="2265"/>
      <c r="AD72" s="2265"/>
      <c r="AE72" s="2265"/>
      <c r="AF72" s="2266"/>
    </row>
    <row r="73" spans="1:36" ht="13" customHeight="1">
      <c r="A73" s="307"/>
      <c r="C73" s="307"/>
      <c r="D73" s="307"/>
      <c r="E73" s="2267" t="s">
        <v>2115</v>
      </c>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341"/>
      <c r="AC73" s="341"/>
    </row>
    <row r="74" spans="1:36" ht="13" customHeight="1">
      <c r="A74" s="307"/>
      <c r="C74" s="307"/>
      <c r="D74" s="307"/>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c r="AA74" s="2267"/>
      <c r="AB74" s="341"/>
      <c r="AC74" s="341"/>
    </row>
    <row r="75" spans="1:36" ht="13" customHeight="1">
      <c r="A75" s="307"/>
      <c r="C75" s="307"/>
      <c r="D75" s="307"/>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c r="AA75" s="2267"/>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2116</v>
      </c>
      <c r="AB77" s="2255">
        <f>ROUND(IF(ISERROR((AB59/AB72)),0,(AB59/AB72)),0)</f>
        <v>0</v>
      </c>
      <c r="AC77" s="2255"/>
      <c r="AD77" s="2255"/>
      <c r="AE77" s="2255"/>
      <c r="AF77" s="2255"/>
    </row>
    <row r="78" spans="1:36" ht="13" customHeight="1">
      <c r="C78" s="307"/>
      <c r="D78" s="137" t="s">
        <v>2117</v>
      </c>
      <c r="AB78" s="2256">
        <f>ROUNDUP(MIN(Y69,AB77),0)</f>
        <v>0</v>
      </c>
      <c r="AC78" s="2257"/>
      <c r="AD78" s="2257"/>
      <c r="AE78" s="2257"/>
      <c r="AF78" s="2258"/>
    </row>
    <row r="79" spans="1:36" ht="13" customHeight="1">
      <c r="C79" s="307"/>
      <c r="D79" s="137" t="s">
        <v>2118</v>
      </c>
      <c r="AB79" s="2259">
        <f>AB78*AB72</f>
        <v>0</v>
      </c>
      <c r="AC79" s="2259"/>
      <c r="AD79" s="2259"/>
      <c r="AE79" s="2259"/>
      <c r="AF79" s="2259"/>
    </row>
    <row r="80" spans="1:36" ht="13" customHeight="1">
      <c r="C80" s="307"/>
      <c r="D80" s="307"/>
      <c r="AB80" s="328"/>
      <c r="AC80" s="328"/>
      <c r="AD80" s="328"/>
      <c r="AE80" s="328"/>
      <c r="AF80" s="328"/>
    </row>
    <row r="81" spans="1:78" ht="13" customHeight="1">
      <c r="D81" s="307" t="s">
        <v>2106</v>
      </c>
      <c r="AB81" s="2260">
        <f>AB49-(AB57+AB79)</f>
        <v>0</v>
      </c>
      <c r="AC81" s="2260"/>
      <c r="AD81" s="2260"/>
      <c r="AE81" s="2260"/>
      <c r="AF81" s="2260"/>
    </row>
    <row r="82" spans="1:78" ht="13" customHeight="1">
      <c r="F82" s="422"/>
      <c r="J82" s="422" t="str">
        <f>IF(AB81&gt;0,"FUNDING GAP MUST NOT EXCEED ZERO","")</f>
        <v/>
      </c>
    </row>
    <row r="83" spans="1:78" ht="13" customHeight="1">
      <c r="D83" s="423"/>
    </row>
    <row r="84" spans="1:78" ht="13" customHeight="1" thickBot="1">
      <c r="A84" s="2279"/>
      <c r="B84" s="2279"/>
      <c r="C84" s="2279"/>
      <c r="D84" s="2279"/>
      <c r="E84" s="2279"/>
      <c r="F84" s="2279"/>
      <c r="G84" s="2279"/>
      <c r="H84" s="2279"/>
      <c r="I84" s="2279"/>
      <c r="J84" s="2279"/>
      <c r="K84" s="2279"/>
      <c r="L84" s="2279"/>
      <c r="M84" s="2279"/>
      <c r="N84" s="2279"/>
      <c r="O84" s="2279"/>
      <c r="P84" s="2279"/>
      <c r="Q84" s="2279"/>
      <c r="R84" s="2279"/>
      <c r="S84" s="2279"/>
      <c r="T84" s="2279"/>
      <c r="U84" s="2279"/>
      <c r="V84" s="2279"/>
      <c r="W84" s="2279"/>
      <c r="X84" s="2279"/>
      <c r="Y84" s="2279"/>
      <c r="Z84" s="2279"/>
      <c r="AA84" s="2279"/>
      <c r="AB84" s="2279"/>
      <c r="AC84" s="2279"/>
      <c r="AD84" s="2279"/>
      <c r="AE84" s="2279"/>
      <c r="AF84" s="2279"/>
      <c r="AG84" s="2279"/>
      <c r="AH84" s="2279"/>
      <c r="AI84" s="2279"/>
      <c r="AJ84" s="2279"/>
      <c r="AK84" s="2279"/>
      <c r="AL84" s="2279"/>
      <c r="AM84" s="2279"/>
      <c r="AN84" s="2279"/>
      <c r="AO84" s="2279"/>
      <c r="AP84" s="2279"/>
      <c r="AQ84" s="2279"/>
      <c r="AR84" s="2279"/>
      <c r="AS84" s="2279"/>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row>
    <row r="85" spans="1:78" ht="13" customHeight="1" thickTop="1"/>
    <row r="86" spans="1:78" ht="13" customHeight="1">
      <c r="A86" s="307"/>
      <c r="C86" s="137"/>
    </row>
    <row r="87" spans="1:78" ht="13" customHeight="1">
      <c r="D87" s="137"/>
      <c r="AB87" s="2311"/>
      <c r="AC87" s="2311"/>
      <c r="AD87" s="2311"/>
      <c r="AE87" s="2311"/>
      <c r="AF87" s="2311"/>
    </row>
    <row r="88" spans="1:78" ht="13" customHeight="1" thickBot="1">
      <c r="D88" s="137"/>
      <c r="AB88" s="2310"/>
      <c r="AC88" s="2310"/>
      <c r="AD88" s="2310"/>
      <c r="AE88" s="2310"/>
      <c r="AF88" s="231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0" workbookViewId="0">
      <selection activeCell="B127" sqref="B127"/>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353" t="s">
        <v>2119</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row>
    <row r="2" spans="1:42" s="436" customFormat="1" ht="12.7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2120</v>
      </c>
      <c r="B4" s="439" t="s">
        <v>2121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2122</v>
      </c>
      <c r="B7" s="439" t="s">
        <v>2123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4" t="s">
        <v>2124</v>
      </c>
      <c r="AF7" s="2334"/>
      <c r="AG7" s="2334"/>
      <c r="AH7" s="2334"/>
      <c r="AI7" s="2334"/>
      <c r="AJ7" s="2334"/>
      <c r="AK7" s="2334"/>
      <c r="AL7" s="440"/>
      <c r="AM7" s="440"/>
      <c r="AN7" s="435"/>
    </row>
    <row r="8" spans="1:42" s="436" customFormat="1" ht="12.75" customHeight="1">
      <c r="A8" s="438"/>
      <c r="B8" s="439" t="s">
        <v>2125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2126</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2127</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4" t="s">
        <v>813</v>
      </c>
      <c r="C13" s="2324"/>
      <c r="D13" s="447"/>
      <c r="E13" s="448" t="s">
        <v>2128</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5"/>
      <c r="AH13" s="2355"/>
      <c r="AI13" s="2355"/>
      <c r="AJ13" s="2356"/>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4" t="s">
        <v>813</v>
      </c>
      <c r="C16" s="2324"/>
      <c r="D16" s="447"/>
      <c r="E16" s="2335" t="s">
        <v>2129</v>
      </c>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7"/>
      <c r="AK16" s="440"/>
      <c r="AL16" s="440"/>
      <c r="AM16" s="440"/>
      <c r="AN16" s="435"/>
      <c r="AO16" s="450">
        <f>IF($B25="yes",20,0)</f>
        <v>0</v>
      </c>
      <c r="AP16" s="13"/>
    </row>
    <row r="17" spans="1:42" s="436" customFormat="1" ht="12.75" customHeight="1">
      <c r="A17" s="440"/>
      <c r="B17" s="440"/>
      <c r="C17" s="440"/>
      <c r="D17" s="451"/>
      <c r="E17" s="2338"/>
      <c r="F17" s="2339"/>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40"/>
      <c r="AK17" s="440"/>
      <c r="AL17" s="440"/>
      <c r="AM17" s="440"/>
      <c r="AN17" s="435"/>
      <c r="AO17" s="450">
        <f>IF($B28="yes",20,0)</f>
        <v>0</v>
      </c>
    </row>
    <row r="18" spans="1:42" s="436" customFormat="1" ht="12.75" customHeight="1">
      <c r="A18" s="440"/>
      <c r="B18" s="440"/>
      <c r="C18" s="440"/>
      <c r="D18" s="451"/>
      <c r="E18" s="2338"/>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c r="AK18" s="440"/>
      <c r="AL18" s="440"/>
      <c r="AM18" s="440"/>
      <c r="AN18" s="435"/>
      <c r="AO18" s="436">
        <f>IF(SUM(AO13:AO16)&gt;20,20,(SUM(AO13:AO16)))</f>
        <v>0</v>
      </c>
      <c r="AP18" s="436" t="s">
        <v>2130</v>
      </c>
    </row>
    <row r="19" spans="1:42" s="436" customFormat="1" ht="12.75" customHeight="1">
      <c r="A19" s="440"/>
      <c r="B19" s="440"/>
      <c r="C19" s="440"/>
      <c r="D19" s="451"/>
      <c r="E19" s="452" t="s">
        <v>2131</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6"/>
      <c r="F20" s="2367"/>
      <c r="G20" s="2367"/>
      <c r="H20" s="2367"/>
      <c r="I20" s="2367"/>
      <c r="J20" s="2367"/>
      <c r="K20" s="2367"/>
      <c r="L20" s="2367"/>
      <c r="M20" s="2367"/>
      <c r="N20" s="2367"/>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4" t="s">
        <v>813</v>
      </c>
      <c r="C22" s="2324"/>
      <c r="D22" s="447"/>
      <c r="E22" s="2360" t="s">
        <v>2132</v>
      </c>
      <c r="F22" s="2361"/>
      <c r="G22" s="2361"/>
      <c r="H22" s="2361"/>
      <c r="I22" s="2361"/>
      <c r="J22" s="2361"/>
      <c r="K22" s="2361"/>
      <c r="L22" s="2361"/>
      <c r="M22" s="2361"/>
      <c r="N22" s="2361"/>
      <c r="O22" s="2361"/>
      <c r="P22" s="2361"/>
      <c r="Q22" s="2361"/>
      <c r="R22" s="2361"/>
      <c r="S22" s="2361"/>
      <c r="T22" s="2361"/>
      <c r="U22" s="2361"/>
      <c r="V22" s="2361"/>
      <c r="W22" s="2361"/>
      <c r="X22" s="2361"/>
      <c r="Y22" s="2361"/>
      <c r="Z22" s="2361"/>
      <c r="AA22" s="2361"/>
      <c r="AB22" s="2361"/>
      <c r="AC22" s="2361"/>
      <c r="AD22" s="2361"/>
      <c r="AE22" s="2361"/>
      <c r="AF22" s="2361"/>
      <c r="AG22" s="2361"/>
      <c r="AH22" s="2361"/>
      <c r="AI22" s="2361"/>
      <c r="AJ22" s="2362"/>
      <c r="AK22" s="440"/>
      <c r="AL22" s="440"/>
      <c r="AM22" s="440"/>
      <c r="AN22" s="435"/>
      <c r="AO22" s="450">
        <f>IF($B40="yes",14,0)</f>
        <v>0</v>
      </c>
    </row>
    <row r="23" spans="1:42" s="436" customFormat="1" ht="12.75" customHeight="1">
      <c r="A23" s="440"/>
      <c r="B23" s="440"/>
      <c r="C23" s="440"/>
      <c r="D23" s="450"/>
      <c r="E23" s="2363"/>
      <c r="F23" s="2364"/>
      <c r="G23" s="2364"/>
      <c r="H23" s="2364"/>
      <c r="I23" s="2364"/>
      <c r="J23" s="2364"/>
      <c r="K23" s="2364"/>
      <c r="L23" s="2364"/>
      <c r="M23" s="2364"/>
      <c r="N23" s="2364"/>
      <c r="O23" s="2364"/>
      <c r="P23" s="2364"/>
      <c r="Q23" s="2364"/>
      <c r="R23" s="2364"/>
      <c r="S23" s="2364"/>
      <c r="T23" s="2364"/>
      <c r="U23" s="2364"/>
      <c r="V23" s="2364"/>
      <c r="W23" s="2364"/>
      <c r="X23" s="2364"/>
      <c r="Y23" s="2364"/>
      <c r="Z23" s="2364"/>
      <c r="AA23" s="2364"/>
      <c r="AB23" s="2364"/>
      <c r="AC23" s="2364"/>
      <c r="AD23" s="2364"/>
      <c r="AE23" s="2364"/>
      <c r="AF23" s="2364"/>
      <c r="AG23" s="2364"/>
      <c r="AH23" s="2364"/>
      <c r="AI23" s="2364"/>
      <c r="AJ23" s="2365"/>
      <c r="AK23" s="440"/>
      <c r="AL23" s="440"/>
      <c r="AM23" s="440"/>
      <c r="AN23" s="435"/>
      <c r="AO23" s="436">
        <f>IF(SUM(AO20:AO21)&gt;14,14,SUM(AO20:AO21))</f>
        <v>0</v>
      </c>
      <c r="AP23" s="436" t="s">
        <v>2130</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4" t="s">
        <v>813</v>
      </c>
      <c r="C25" s="2324"/>
      <c r="D25" s="447"/>
      <c r="E25" s="2325" t="s">
        <v>2133</v>
      </c>
      <c r="F25" s="2326"/>
      <c r="G25" s="2326"/>
      <c r="H25" s="2326"/>
      <c r="I25" s="2326"/>
      <c r="J25" s="2326"/>
      <c r="K25" s="2326"/>
      <c r="L25" s="2326"/>
      <c r="M25" s="2326"/>
      <c r="N25" s="2326"/>
      <c r="O25" s="2326"/>
      <c r="P25" s="2326"/>
      <c r="Q25" s="2326"/>
      <c r="R25" s="2326"/>
      <c r="S25" s="2326"/>
      <c r="T25" s="2326"/>
      <c r="U25" s="2326"/>
      <c r="V25" s="2326"/>
      <c r="W25" s="2326"/>
      <c r="X25" s="2326"/>
      <c r="Y25" s="2326"/>
      <c r="Z25" s="2326"/>
      <c r="AA25" s="2326"/>
      <c r="AB25" s="2326"/>
      <c r="AC25" s="2326"/>
      <c r="AD25" s="2326"/>
      <c r="AE25" s="2326"/>
      <c r="AF25" s="2326"/>
      <c r="AG25" s="2326"/>
      <c r="AH25" s="2326"/>
      <c r="AI25" s="2326"/>
      <c r="AJ25" s="2327"/>
      <c r="AK25" s="440"/>
      <c r="AL25" s="440"/>
      <c r="AM25" s="440"/>
      <c r="AN25" s="435"/>
      <c r="AO25" s="450">
        <f>IF($B45="yes",6,0)</f>
        <v>0</v>
      </c>
    </row>
    <row r="26" spans="1:42" s="436" customFormat="1" ht="12.75" customHeight="1">
      <c r="A26" s="440"/>
      <c r="B26" s="440"/>
      <c r="C26" s="440"/>
      <c r="D26" s="450"/>
      <c r="E26" s="2328"/>
      <c r="F26" s="2329"/>
      <c r="G26" s="2329"/>
      <c r="H26" s="2329"/>
      <c r="I26" s="2329"/>
      <c r="J26" s="2329"/>
      <c r="K26" s="2329"/>
      <c r="L26" s="232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30"/>
      <c r="AK26" s="440"/>
      <c r="AL26" s="440"/>
      <c r="AM26" s="440"/>
      <c r="AN26" s="435"/>
      <c r="AO26" s="436">
        <f>IF(AO25&gt;6,6,AO25)</f>
        <v>0</v>
      </c>
      <c r="AP26" s="436" t="s">
        <v>2130</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4" t="s">
        <v>813</v>
      </c>
      <c r="C28" s="2324"/>
      <c r="D28" s="447"/>
      <c r="E28" s="2348" t="s">
        <v>2134</v>
      </c>
      <c r="F28" s="2349"/>
      <c r="G28" s="2349"/>
      <c r="H28" s="2349"/>
      <c r="I28" s="2349"/>
      <c r="J28" s="2349"/>
      <c r="K28" s="2349"/>
      <c r="L28" s="2349"/>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50"/>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2135</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2130</v>
      </c>
    </row>
    <row r="33" spans="1:41" s="436" customFormat="1" ht="12.75" customHeight="1">
      <c r="A33" s="440"/>
      <c r="B33" s="2324" t="s">
        <v>813</v>
      </c>
      <c r="C33" s="2324"/>
      <c r="D33" s="447"/>
      <c r="E33" s="2360" t="s">
        <v>2136</v>
      </c>
      <c r="F33" s="2361"/>
      <c r="G33" s="2361"/>
      <c r="H33" s="2361"/>
      <c r="I33" s="2361"/>
      <c r="J33" s="2361"/>
      <c r="K33" s="2361"/>
      <c r="L33" s="2361"/>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2"/>
      <c r="AK33" s="440"/>
      <c r="AL33" s="440"/>
      <c r="AM33" s="440"/>
      <c r="AN33" s="435"/>
      <c r="AO33" s="450"/>
    </row>
    <row r="34" spans="1:41" s="436" customFormat="1" ht="12.75" customHeight="1">
      <c r="A34" s="440"/>
      <c r="B34" s="440"/>
      <c r="C34" s="440"/>
      <c r="E34" s="2363"/>
      <c r="F34" s="2364"/>
      <c r="G34" s="2364"/>
      <c r="H34" s="2364"/>
      <c r="I34" s="2364"/>
      <c r="J34" s="2364"/>
      <c r="K34" s="2364"/>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4" t="s">
        <v>813</v>
      </c>
      <c r="C36" s="2324"/>
      <c r="D36" s="447"/>
      <c r="E36" s="2325" t="s">
        <v>2137</v>
      </c>
      <c r="F36" s="2326"/>
      <c r="G36" s="2326"/>
      <c r="H36" s="2326"/>
      <c r="I36" s="2326"/>
      <c r="J36" s="2326"/>
      <c r="K36" s="2326"/>
      <c r="L36" s="2326"/>
      <c r="M36" s="2326"/>
      <c r="N36" s="2326"/>
      <c r="O36" s="2326"/>
      <c r="P36" s="2326"/>
      <c r="Q36" s="2326"/>
      <c r="R36" s="2326"/>
      <c r="S36" s="2326"/>
      <c r="T36" s="2326"/>
      <c r="U36" s="2326"/>
      <c r="V36" s="2326"/>
      <c r="W36" s="2326"/>
      <c r="X36" s="2326"/>
      <c r="Y36" s="2326"/>
      <c r="Z36" s="2326"/>
      <c r="AA36" s="2326"/>
      <c r="AB36" s="2326"/>
      <c r="AC36" s="2326"/>
      <c r="AD36" s="2326"/>
      <c r="AE36" s="2326"/>
      <c r="AF36" s="2326"/>
      <c r="AG36" s="2326"/>
      <c r="AH36" s="2326"/>
      <c r="AI36" s="2326"/>
      <c r="AJ36" s="2327"/>
      <c r="AK36" s="440"/>
      <c r="AL36" s="440"/>
      <c r="AM36" s="440"/>
      <c r="AN36" s="435"/>
    </row>
    <row r="37" spans="1:41" s="436" customFormat="1" ht="12.75" customHeight="1">
      <c r="A37" s="440"/>
      <c r="B37" s="440"/>
      <c r="C37" s="440"/>
      <c r="E37" s="2331"/>
      <c r="F37" s="2332"/>
      <c r="G37" s="2332"/>
      <c r="H37" s="2332"/>
      <c r="I37" s="2332"/>
      <c r="J37" s="2332"/>
      <c r="K37" s="2332"/>
      <c r="L37" s="2332"/>
      <c r="M37" s="2332"/>
      <c r="N37" s="2332"/>
      <c r="O37" s="2332"/>
      <c r="P37" s="2332"/>
      <c r="Q37" s="2332"/>
      <c r="R37" s="2332"/>
      <c r="S37" s="2332"/>
      <c r="T37" s="2332"/>
      <c r="U37" s="2332"/>
      <c r="V37" s="2332"/>
      <c r="W37" s="2332"/>
      <c r="X37" s="2332"/>
      <c r="Y37" s="2332"/>
      <c r="Z37" s="2332"/>
      <c r="AA37" s="2332"/>
      <c r="AB37" s="2332"/>
      <c r="AC37" s="2332"/>
      <c r="AD37" s="2332"/>
      <c r="AE37" s="2332"/>
      <c r="AF37" s="2332"/>
      <c r="AG37" s="2332"/>
      <c r="AH37" s="2332"/>
      <c r="AI37" s="2332"/>
      <c r="AJ37" s="2333"/>
      <c r="AK37" s="440"/>
      <c r="AL37" s="440"/>
      <c r="AM37" s="440"/>
      <c r="AN37" s="435"/>
    </row>
    <row r="38" spans="1:41" s="436" customFormat="1" ht="12.75" customHeight="1">
      <c r="A38" s="440"/>
      <c r="B38" s="440"/>
      <c r="C38" s="440"/>
      <c r="E38" s="2328"/>
      <c r="F38" s="2329"/>
      <c r="G38" s="2329"/>
      <c r="H38" s="2329"/>
      <c r="I38" s="2329"/>
      <c r="J38" s="2329"/>
      <c r="K38" s="2329"/>
      <c r="L38" s="2329"/>
      <c r="M38" s="2329"/>
      <c r="N38" s="2329"/>
      <c r="O38" s="2329"/>
      <c r="P38" s="2329"/>
      <c r="Q38" s="2329"/>
      <c r="R38" s="2329"/>
      <c r="S38" s="2329"/>
      <c r="T38" s="2329"/>
      <c r="U38" s="2329"/>
      <c r="V38" s="2329"/>
      <c r="W38" s="2329"/>
      <c r="X38" s="2329"/>
      <c r="Y38" s="2329"/>
      <c r="Z38" s="2329"/>
      <c r="AA38" s="2329"/>
      <c r="AB38" s="2329"/>
      <c r="AC38" s="2329"/>
      <c r="AD38" s="2329"/>
      <c r="AE38" s="2329"/>
      <c r="AF38" s="2329"/>
      <c r="AG38" s="2329"/>
      <c r="AH38" s="2329"/>
      <c r="AI38" s="2329"/>
      <c r="AJ38" s="2330"/>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4" t="s">
        <v>813</v>
      </c>
      <c r="C40" s="2324"/>
      <c r="D40" s="447"/>
      <c r="E40" s="2325" t="s">
        <v>2138</v>
      </c>
      <c r="F40" s="2326"/>
      <c r="G40" s="2326"/>
      <c r="H40" s="2326"/>
      <c r="I40" s="2326"/>
      <c r="J40" s="2326"/>
      <c r="K40" s="2326"/>
      <c r="L40" s="2326"/>
      <c r="M40" s="2326"/>
      <c r="N40" s="2326"/>
      <c r="O40" s="2326"/>
      <c r="P40" s="2326"/>
      <c r="Q40" s="2326"/>
      <c r="R40" s="2326"/>
      <c r="S40" s="2326"/>
      <c r="T40" s="2326"/>
      <c r="U40" s="2326"/>
      <c r="V40" s="2326"/>
      <c r="W40" s="2326"/>
      <c r="X40" s="2326"/>
      <c r="Y40" s="2326"/>
      <c r="Z40" s="2326"/>
      <c r="AA40" s="2326"/>
      <c r="AB40" s="2326"/>
      <c r="AC40" s="2326"/>
      <c r="AD40" s="2326"/>
      <c r="AE40" s="2326"/>
      <c r="AF40" s="2326"/>
      <c r="AG40" s="2326"/>
      <c r="AH40" s="2326"/>
      <c r="AI40" s="2326"/>
      <c r="AJ40" s="2327"/>
      <c r="AK40" s="440"/>
      <c r="AL40" s="440"/>
      <c r="AM40" s="440"/>
      <c r="AN40" s="435"/>
    </row>
    <row r="41" spans="1:41" s="436" customFormat="1" ht="12.75" customHeight="1">
      <c r="A41" s="440"/>
      <c r="B41" s="440"/>
      <c r="C41" s="440"/>
      <c r="E41" s="2328"/>
      <c r="F41" s="2329"/>
      <c r="G41" s="2329"/>
      <c r="H41" s="2329"/>
      <c r="I41" s="2329"/>
      <c r="J41" s="2329"/>
      <c r="K41" s="2329"/>
      <c r="L41" s="2329"/>
      <c r="M41" s="2329"/>
      <c r="N41" s="2329"/>
      <c r="O41" s="2329"/>
      <c r="P41" s="2329"/>
      <c r="Q41" s="2329"/>
      <c r="R41" s="2329"/>
      <c r="S41" s="2329"/>
      <c r="T41" s="2329"/>
      <c r="U41" s="2329"/>
      <c r="V41" s="2329"/>
      <c r="W41" s="2329"/>
      <c r="X41" s="2329"/>
      <c r="Y41" s="2329"/>
      <c r="Z41" s="2329"/>
      <c r="AA41" s="2329"/>
      <c r="AB41" s="2329"/>
      <c r="AC41" s="2329"/>
      <c r="AD41" s="2329"/>
      <c r="AE41" s="2329"/>
      <c r="AF41" s="2329"/>
      <c r="AG41" s="2329"/>
      <c r="AH41" s="2329"/>
      <c r="AI41" s="2329"/>
      <c r="AJ41" s="2330"/>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2139</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4" t="s">
        <v>813</v>
      </c>
      <c r="C45" s="2324"/>
      <c r="D45" s="1031"/>
      <c r="E45" s="2325" t="s">
        <v>2140</v>
      </c>
      <c r="F45" s="2326"/>
      <c r="G45" s="2326"/>
      <c r="H45" s="2326"/>
      <c r="I45" s="2326"/>
      <c r="J45" s="2326"/>
      <c r="K45" s="2326"/>
      <c r="L45" s="2326"/>
      <c r="M45" s="2326"/>
      <c r="N45" s="2326"/>
      <c r="O45" s="2326"/>
      <c r="P45" s="2326"/>
      <c r="Q45" s="2326"/>
      <c r="R45" s="2326"/>
      <c r="S45" s="2326"/>
      <c r="T45" s="2326"/>
      <c r="U45" s="2326"/>
      <c r="V45" s="2326"/>
      <c r="W45" s="2326"/>
      <c r="X45" s="2326"/>
      <c r="Y45" s="2326"/>
      <c r="Z45" s="2326"/>
      <c r="AA45" s="2326"/>
      <c r="AB45" s="2326"/>
      <c r="AC45" s="2326"/>
      <c r="AD45" s="2326"/>
      <c r="AE45" s="2326"/>
      <c r="AF45" s="2326"/>
      <c r="AG45" s="2326"/>
      <c r="AH45" s="2326"/>
      <c r="AI45" s="2326"/>
      <c r="AJ45" s="2327"/>
      <c r="AK45" s="1031"/>
      <c r="AL45" s="440"/>
      <c r="AM45" s="440"/>
      <c r="AN45" s="435"/>
    </row>
    <row r="46" spans="1:41" s="436" customFormat="1" ht="12.75" customHeight="1">
      <c r="A46" s="440"/>
      <c r="B46" s="440"/>
      <c r="C46" s="440"/>
      <c r="E46" s="2331"/>
      <c r="F46" s="2332"/>
      <c r="G46" s="2332"/>
      <c r="H46" s="2332"/>
      <c r="I46" s="2332"/>
      <c r="J46" s="2332"/>
      <c r="K46" s="2332"/>
      <c r="L46" s="2332"/>
      <c r="M46" s="2332"/>
      <c r="N46" s="2332"/>
      <c r="O46" s="2332"/>
      <c r="P46" s="2332"/>
      <c r="Q46" s="2332"/>
      <c r="R46" s="2332"/>
      <c r="S46" s="2332"/>
      <c r="T46" s="2332"/>
      <c r="U46" s="2332"/>
      <c r="V46" s="2332"/>
      <c r="W46" s="2332"/>
      <c r="X46" s="2332"/>
      <c r="Y46" s="2332"/>
      <c r="Z46" s="2332"/>
      <c r="AA46" s="2332"/>
      <c r="AB46" s="2332"/>
      <c r="AC46" s="2332"/>
      <c r="AD46" s="2332"/>
      <c r="AE46" s="2332"/>
      <c r="AF46" s="2332"/>
      <c r="AG46" s="2332"/>
      <c r="AH46" s="2332"/>
      <c r="AI46" s="2332"/>
      <c r="AJ46" s="2333"/>
      <c r="AK46" s="440"/>
      <c r="AL46" s="440"/>
      <c r="AM46" s="440"/>
      <c r="AN46" s="435"/>
    </row>
    <row r="47" spans="1:41" s="436" customFormat="1" ht="12.75" customHeight="1">
      <c r="A47" s="440"/>
      <c r="D47" s="447"/>
      <c r="E47" s="2328"/>
      <c r="F47" s="2329"/>
      <c r="G47" s="2329"/>
      <c r="H47" s="2329"/>
      <c r="I47" s="2329"/>
      <c r="J47" s="2329"/>
      <c r="K47" s="2329"/>
      <c r="L47" s="2329"/>
      <c r="M47" s="2329"/>
      <c r="N47" s="2329"/>
      <c r="O47" s="2329"/>
      <c r="P47" s="2329"/>
      <c r="Q47" s="2329"/>
      <c r="R47" s="2329"/>
      <c r="S47" s="2329"/>
      <c r="T47" s="2329"/>
      <c r="U47" s="2329"/>
      <c r="V47" s="2329"/>
      <c r="W47" s="2329"/>
      <c r="X47" s="2329"/>
      <c r="Y47" s="2329"/>
      <c r="Z47" s="2329"/>
      <c r="AA47" s="2329"/>
      <c r="AB47" s="2329"/>
      <c r="AC47" s="2329"/>
      <c r="AD47" s="2329"/>
      <c r="AE47" s="2329"/>
      <c r="AF47" s="2329"/>
      <c r="AG47" s="2329"/>
      <c r="AH47" s="2329"/>
      <c r="AI47" s="2329"/>
      <c r="AJ47" s="2330"/>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2141</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2142</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4" t="s">
        <v>813</v>
      </c>
      <c r="C52" s="2324"/>
      <c r="D52" s="440"/>
      <c r="E52" s="2325" t="s">
        <v>2143</v>
      </c>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7"/>
      <c r="AK52" s="440"/>
      <c r="AL52" s="440"/>
      <c r="AM52" s="440"/>
      <c r="AN52" s="435"/>
      <c r="AO52" s="459"/>
    </row>
    <row r="53" spans="1:50" s="436" customFormat="1" ht="12.75" customHeight="1">
      <c r="A53" s="440"/>
      <c r="D53" s="447"/>
      <c r="E53" s="2331"/>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3"/>
      <c r="AK53" s="440"/>
      <c r="AL53" s="440"/>
      <c r="AM53" s="440"/>
      <c r="AN53" s="435"/>
      <c r="AO53" s="459"/>
    </row>
    <row r="54" spans="1:50" s="436" customFormat="1" ht="12.75" customHeight="1">
      <c r="A54" s="440"/>
      <c r="D54" s="440"/>
      <c r="E54" s="2328"/>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30"/>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4" t="s">
        <v>813</v>
      </c>
      <c r="C56" s="2324"/>
      <c r="D56" s="440"/>
      <c r="E56" s="2345" t="s">
        <v>2144</v>
      </c>
      <c r="F56" s="2346"/>
      <c r="G56" s="2346"/>
      <c r="H56" s="2346"/>
      <c r="I56" s="2346"/>
      <c r="J56" s="2346"/>
      <c r="K56" s="2346"/>
      <c r="L56" s="2346"/>
      <c r="M56" s="2346"/>
      <c r="N56" s="2346"/>
      <c r="O56" s="2346"/>
      <c r="P56" s="2346"/>
      <c r="Q56" s="2346"/>
      <c r="R56" s="2346"/>
      <c r="S56" s="2346"/>
      <c r="T56" s="2346"/>
      <c r="U56" s="2346"/>
      <c r="V56" s="2346"/>
      <c r="W56" s="2346"/>
      <c r="X56" s="2346"/>
      <c r="Y56" s="2346"/>
      <c r="Z56" s="2346"/>
      <c r="AA56" s="2346"/>
      <c r="AB56" s="2346"/>
      <c r="AC56" s="2346"/>
      <c r="AD56" s="2346"/>
      <c r="AE56" s="2346"/>
      <c r="AF56" s="2346"/>
      <c r="AG56" s="2346"/>
      <c r="AH56" s="2346"/>
      <c r="AI56" s="2346"/>
      <c r="AJ56" s="2347"/>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4" t="s">
        <v>813</v>
      </c>
      <c r="C58" s="2324"/>
      <c r="D58" s="440"/>
      <c r="E58" s="2325" t="s">
        <v>2145</v>
      </c>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6"/>
      <c r="AI58" s="2326"/>
      <c r="AJ58" s="2327"/>
      <c r="AK58" s="440"/>
      <c r="AL58" s="440"/>
      <c r="AM58" s="440"/>
      <c r="AN58" s="435"/>
    </row>
    <row r="59" spans="1:50" s="436" customFormat="1" ht="12.75" customHeight="1">
      <c r="A59" s="440"/>
      <c r="B59" s="447"/>
      <c r="C59" s="447"/>
      <c r="D59" s="447"/>
      <c r="E59" s="2328"/>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30"/>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2146</v>
      </c>
      <c r="AK62" s="2357">
        <f>AO39</f>
        <v>0</v>
      </c>
      <c r="AL62" s="2358"/>
      <c r="AM62" s="2359"/>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2147</v>
      </c>
      <c r="B65" s="439" t="s">
        <v>620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4" t="s">
        <v>2148</v>
      </c>
      <c r="AF65" s="2334"/>
      <c r="AG65" s="2334"/>
      <c r="AH65" s="2334"/>
      <c r="AI65" s="2334"/>
      <c r="AJ65" s="2334"/>
      <c r="AK65" s="2334"/>
      <c r="AL65" s="440"/>
      <c r="AM65" s="440"/>
      <c r="AN65" s="435"/>
    </row>
    <row r="66" spans="1:42" s="436" customFormat="1" ht="12.75" customHeight="1">
      <c r="A66" s="438"/>
      <c r="B66" s="439" t="s">
        <v>2149</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4" t="s">
        <v>848</v>
      </c>
      <c r="C68" s="2324"/>
      <c r="D68" s="447" t="s">
        <v>2150</v>
      </c>
      <c r="E68" s="2335" t="s">
        <v>2151</v>
      </c>
      <c r="F68" s="2336"/>
      <c r="G68" s="2336"/>
      <c r="H68" s="2336"/>
      <c r="I68" s="2336"/>
      <c r="J68" s="2336"/>
      <c r="K68" s="2336"/>
      <c r="L68" s="2336"/>
      <c r="M68" s="2336"/>
      <c r="N68" s="2336"/>
      <c r="O68" s="2336"/>
      <c r="P68" s="2336"/>
      <c r="Q68" s="2336"/>
      <c r="R68" s="2336"/>
      <c r="S68" s="2336"/>
      <c r="T68" s="2336"/>
      <c r="U68" s="2336"/>
      <c r="V68" s="2336"/>
      <c r="W68" s="2336"/>
      <c r="X68" s="2336"/>
      <c r="Y68" s="2336"/>
      <c r="Z68" s="2336"/>
      <c r="AA68" s="2336"/>
      <c r="AB68" s="2336"/>
      <c r="AC68" s="2336"/>
      <c r="AD68" s="2336"/>
      <c r="AE68" s="2336"/>
      <c r="AF68" s="2336"/>
      <c r="AG68" s="2336"/>
      <c r="AH68" s="2336"/>
      <c r="AI68" s="2336"/>
      <c r="AJ68" s="2337"/>
      <c r="AK68" s="443"/>
      <c r="AL68" s="440"/>
      <c r="AM68" s="440"/>
      <c r="AN68" s="435"/>
      <c r="AO68" s="450">
        <f>IF($B68="yes",10,0)</f>
        <v>10</v>
      </c>
    </row>
    <row r="69" spans="1:42" s="436" customFormat="1" ht="12.75" customHeight="1">
      <c r="A69" s="438"/>
      <c r="B69" s="440"/>
      <c r="C69" s="440"/>
      <c r="D69" s="451"/>
      <c r="E69" s="2338"/>
      <c r="F69" s="2339"/>
      <c r="G69" s="2339"/>
      <c r="H69" s="2339"/>
      <c r="I69" s="2339"/>
      <c r="J69" s="2339"/>
      <c r="K69" s="2339"/>
      <c r="L69" s="2339"/>
      <c r="M69" s="2339"/>
      <c r="N69" s="2339"/>
      <c r="O69" s="2339"/>
      <c r="P69" s="2339"/>
      <c r="Q69" s="2339"/>
      <c r="R69" s="2339"/>
      <c r="S69" s="2339"/>
      <c r="T69" s="2339"/>
      <c r="U69" s="2339"/>
      <c r="V69" s="2339"/>
      <c r="W69" s="2339"/>
      <c r="X69" s="2339"/>
      <c r="Y69" s="2339"/>
      <c r="Z69" s="2339"/>
      <c r="AA69" s="2339"/>
      <c r="AB69" s="2339"/>
      <c r="AC69" s="2339"/>
      <c r="AD69" s="2339"/>
      <c r="AE69" s="2339"/>
      <c r="AF69" s="2339"/>
      <c r="AG69" s="2339"/>
      <c r="AH69" s="2339"/>
      <c r="AI69" s="2339"/>
      <c r="AJ69" s="2340"/>
      <c r="AK69" s="443"/>
      <c r="AL69" s="440"/>
      <c r="AM69" s="440"/>
      <c r="AN69" s="435"/>
      <c r="AO69" s="450">
        <f>IF($B74="yes",10,0)</f>
        <v>0</v>
      </c>
    </row>
    <row r="70" spans="1:42" s="436" customFormat="1" ht="12.75" customHeight="1">
      <c r="A70" s="438"/>
      <c r="B70" s="440"/>
      <c r="C70" s="440"/>
      <c r="D70" s="451"/>
      <c r="E70" s="2338"/>
      <c r="F70" s="2339"/>
      <c r="G70" s="2339"/>
      <c r="H70" s="2339"/>
      <c r="I70" s="2339"/>
      <c r="J70" s="2339"/>
      <c r="K70" s="2339"/>
      <c r="L70" s="2339"/>
      <c r="M70" s="2339"/>
      <c r="N70" s="2339"/>
      <c r="O70" s="2339"/>
      <c r="P70" s="2339"/>
      <c r="Q70" s="2339"/>
      <c r="R70" s="2339"/>
      <c r="S70" s="2339"/>
      <c r="T70" s="2339"/>
      <c r="U70" s="2339"/>
      <c r="V70" s="2339"/>
      <c r="W70" s="2339"/>
      <c r="X70" s="2339"/>
      <c r="Y70" s="2339"/>
      <c r="Z70" s="2339"/>
      <c r="AA70" s="2339"/>
      <c r="AB70" s="2339"/>
      <c r="AC70" s="2339"/>
      <c r="AD70" s="2339"/>
      <c r="AE70" s="2339"/>
      <c r="AF70" s="2339"/>
      <c r="AG70" s="2339"/>
      <c r="AH70" s="2339"/>
      <c r="AI70" s="2339"/>
      <c r="AJ70" s="2340"/>
      <c r="AK70" s="443"/>
      <c r="AL70" s="440"/>
      <c r="AM70" s="440"/>
      <c r="AN70" s="435"/>
      <c r="AO70" s="450">
        <f>IF($B81="yes",10,0)</f>
        <v>0</v>
      </c>
    </row>
    <row r="71" spans="1:42" s="436" customFormat="1" ht="12.75" customHeight="1">
      <c r="A71" s="438"/>
      <c r="B71" s="440"/>
      <c r="C71" s="440"/>
      <c r="D71" s="451"/>
      <c r="E71" s="2338"/>
      <c r="F71" s="2339"/>
      <c r="G71" s="2339"/>
      <c r="H71" s="2339"/>
      <c r="I71" s="2339"/>
      <c r="J71" s="2339"/>
      <c r="K71" s="2339"/>
      <c r="L71" s="2339"/>
      <c r="M71" s="2339"/>
      <c r="N71" s="2339"/>
      <c r="O71" s="2339"/>
      <c r="P71" s="2339"/>
      <c r="Q71" s="2339"/>
      <c r="R71" s="2339"/>
      <c r="S71" s="2339"/>
      <c r="T71" s="2339"/>
      <c r="U71" s="2339"/>
      <c r="V71" s="2339"/>
      <c r="W71" s="2339"/>
      <c r="X71" s="2339"/>
      <c r="Y71" s="2339"/>
      <c r="Z71" s="2339"/>
      <c r="AA71" s="2339"/>
      <c r="AB71" s="2339"/>
      <c r="AC71" s="2339"/>
      <c r="AD71" s="2339"/>
      <c r="AE71" s="2339"/>
      <c r="AF71" s="2339"/>
      <c r="AG71" s="2339"/>
      <c r="AH71" s="2339"/>
      <c r="AI71" s="2339"/>
      <c r="AJ71" s="2340"/>
      <c r="AK71" s="443"/>
      <c r="AL71" s="440"/>
      <c r="AM71" s="440"/>
      <c r="AN71" s="435"/>
      <c r="AO71" s="436">
        <f>IF(SUM(AO68:AO70)&gt;10,10,(SUM(AO68:AO70)))</f>
        <v>10</v>
      </c>
      <c r="AP71" s="474" t="s">
        <v>2152</v>
      </c>
    </row>
    <row r="72" spans="1:42" s="436" customFormat="1" ht="12.75" customHeight="1">
      <c r="A72" s="438"/>
      <c r="B72" s="440"/>
      <c r="C72" s="440"/>
      <c r="D72" s="451"/>
      <c r="E72" s="2341"/>
      <c r="F72" s="2342"/>
      <c r="G72" s="2342"/>
      <c r="H72" s="2342"/>
      <c r="I72" s="2342"/>
      <c r="J72" s="2342"/>
      <c r="K72" s="2342"/>
      <c r="L72" s="2342"/>
      <c r="M72" s="2342"/>
      <c r="N72" s="2342"/>
      <c r="O72" s="2342"/>
      <c r="P72" s="2342"/>
      <c r="Q72" s="2342"/>
      <c r="R72" s="2342"/>
      <c r="S72" s="2342"/>
      <c r="T72" s="2342"/>
      <c r="U72" s="2342"/>
      <c r="V72" s="2342"/>
      <c r="W72" s="2342"/>
      <c r="X72" s="2342"/>
      <c r="Y72" s="2342"/>
      <c r="Z72" s="2342"/>
      <c r="AA72" s="2342"/>
      <c r="AB72" s="2342"/>
      <c r="AC72" s="2342"/>
      <c r="AD72" s="2342"/>
      <c r="AE72" s="2342"/>
      <c r="AF72" s="2342"/>
      <c r="AG72" s="2342"/>
      <c r="AH72" s="2342"/>
      <c r="AI72" s="2342"/>
      <c r="AJ72" s="2343"/>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4" t="s">
        <v>813</v>
      </c>
      <c r="C74" s="2324"/>
      <c r="D74" s="447" t="s">
        <v>2153</v>
      </c>
      <c r="E74" s="865" t="s">
        <v>2154</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4" t="s">
        <v>813</v>
      </c>
      <c r="F75" s="2324"/>
      <c r="G75" s="475"/>
      <c r="H75" s="458" t="s">
        <v>2155</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2" t="s">
        <v>813</v>
      </c>
      <c r="F76" s="2323"/>
      <c r="G76" s="475"/>
      <c r="H76" s="458" t="s">
        <v>2156</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2" t="s">
        <v>813</v>
      </c>
      <c r="F77" s="2323"/>
      <c r="G77" s="475"/>
      <c r="H77" s="458" t="s">
        <v>2157</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4" t="s">
        <v>813</v>
      </c>
      <c r="F79" s="2324"/>
      <c r="G79" s="802"/>
      <c r="H79" s="870" t="s">
        <v>2158</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4" t="s">
        <v>813</v>
      </c>
      <c r="C81" s="2324"/>
      <c r="D81" s="447" t="s">
        <v>2159</v>
      </c>
      <c r="E81" s="2325" t="s">
        <v>2160</v>
      </c>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7"/>
      <c r="AK81" s="443"/>
      <c r="AL81" s="440"/>
      <c r="AM81" s="440"/>
      <c r="AN81" s="435"/>
    </row>
    <row r="82" spans="1:43" s="436" customFormat="1" ht="12.75" customHeight="1">
      <c r="A82" s="438"/>
      <c r="B82" s="440"/>
      <c r="C82" s="440"/>
      <c r="D82" s="450"/>
      <c r="E82" s="2328"/>
      <c r="F82" s="2329"/>
      <c r="G82" s="2329"/>
      <c r="H82" s="2329"/>
      <c r="I82" s="2329"/>
      <c r="J82" s="2329"/>
      <c r="K82" s="2329"/>
      <c r="L82" s="2329"/>
      <c r="M82" s="2329"/>
      <c r="N82" s="2329"/>
      <c r="O82" s="2329"/>
      <c r="P82" s="2329"/>
      <c r="Q82" s="2329"/>
      <c r="R82" s="2329"/>
      <c r="S82" s="2329"/>
      <c r="T82" s="2329"/>
      <c r="U82" s="2329"/>
      <c r="V82" s="2329"/>
      <c r="W82" s="2329"/>
      <c r="X82" s="2329"/>
      <c r="Y82" s="2329"/>
      <c r="Z82" s="2329"/>
      <c r="AA82" s="2329"/>
      <c r="AB82" s="2329"/>
      <c r="AC82" s="2329"/>
      <c r="AD82" s="2329"/>
      <c r="AE82" s="2329"/>
      <c r="AF82" s="2329"/>
      <c r="AG82" s="2329"/>
      <c r="AH82" s="2329"/>
      <c r="AI82" s="2329"/>
      <c r="AJ82" s="2330"/>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2161</v>
      </c>
      <c r="AK84" s="2357">
        <f>IF(AK62&gt;0,0,AO71)</f>
        <v>10</v>
      </c>
      <c r="AL84" s="2358"/>
      <c r="AM84" s="2359"/>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2162</v>
      </c>
      <c r="B87" s="439" t="s">
        <v>2163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4" t="s">
        <v>2124</v>
      </c>
      <c r="AF87" s="2334"/>
      <c r="AG87" s="2334"/>
      <c r="AH87" s="2334"/>
      <c r="AI87" s="2334"/>
      <c r="AJ87" s="2334"/>
      <c r="AK87" s="2334"/>
      <c r="AL87" s="440"/>
      <c r="AM87" s="440"/>
      <c r="AN87" s="435"/>
    </row>
    <row r="88" spans="1:43" s="436" customFormat="1" ht="12.75" customHeight="1">
      <c r="A88" s="438"/>
      <c r="B88" s="439" t="s">
        <v>2164</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4" t="s">
        <v>813</v>
      </c>
      <c r="C90" s="2324"/>
      <c r="D90" s="447" t="s">
        <v>2150</v>
      </c>
      <c r="E90" s="2335" t="s">
        <v>2165</v>
      </c>
      <c r="F90" s="2336"/>
      <c r="G90" s="2336"/>
      <c r="H90" s="2336"/>
      <c r="I90" s="2336"/>
      <c r="J90" s="2336"/>
      <c r="K90" s="2336"/>
      <c r="L90" s="2336"/>
      <c r="M90" s="2336"/>
      <c r="N90" s="2336"/>
      <c r="O90" s="2336"/>
      <c r="P90" s="2336"/>
      <c r="Q90" s="2336"/>
      <c r="R90" s="2336"/>
      <c r="S90" s="2336"/>
      <c r="T90" s="2336"/>
      <c r="U90" s="2336"/>
      <c r="V90" s="2336"/>
      <c r="W90" s="2336"/>
      <c r="X90" s="2336"/>
      <c r="Y90" s="2336"/>
      <c r="Z90" s="2336"/>
      <c r="AA90" s="2336"/>
      <c r="AB90" s="2336"/>
      <c r="AC90" s="2336"/>
      <c r="AD90" s="2336"/>
      <c r="AE90" s="2336"/>
      <c r="AF90" s="2336"/>
      <c r="AG90" s="2336"/>
      <c r="AH90" s="2336"/>
      <c r="AI90" s="2336"/>
      <c r="AJ90" s="2337"/>
      <c r="AK90" s="443"/>
      <c r="AL90" s="440"/>
      <c r="AM90" s="440"/>
      <c r="AN90" s="435"/>
    </row>
    <row r="91" spans="1:43" s="436" customFormat="1" ht="12.75" customHeight="1">
      <c r="A91" s="438"/>
      <c r="B91" s="439"/>
      <c r="C91" s="439"/>
      <c r="D91" s="439"/>
      <c r="E91" s="2338"/>
      <c r="F91" s="2339"/>
      <c r="G91" s="2339"/>
      <c r="H91" s="2339"/>
      <c r="I91" s="2339"/>
      <c r="J91" s="2339"/>
      <c r="K91" s="2339"/>
      <c r="L91" s="2339"/>
      <c r="M91" s="2339"/>
      <c r="N91" s="2339"/>
      <c r="O91" s="2339"/>
      <c r="P91" s="2339"/>
      <c r="Q91" s="2339"/>
      <c r="R91" s="2339"/>
      <c r="S91" s="2339"/>
      <c r="T91" s="2339"/>
      <c r="U91" s="2339"/>
      <c r="V91" s="2339"/>
      <c r="W91" s="2339"/>
      <c r="X91" s="2339"/>
      <c r="Y91" s="2339"/>
      <c r="Z91" s="2339"/>
      <c r="AA91" s="2339"/>
      <c r="AB91" s="2339"/>
      <c r="AC91" s="2339"/>
      <c r="AD91" s="2339"/>
      <c r="AE91" s="2339"/>
      <c r="AF91" s="2339"/>
      <c r="AG91" s="2339"/>
      <c r="AH91" s="2339"/>
      <c r="AI91" s="2339"/>
      <c r="AJ91" s="2340"/>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18">
        <f>Application!AC753</f>
        <v>0.57258883248730963</v>
      </c>
      <c r="F93" s="2319"/>
      <c r="G93" s="2319"/>
      <c r="H93" s="2319"/>
      <c r="I93" s="477"/>
      <c r="J93" s="480" t="s">
        <v>2166</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0">
        <f>0.6-ROUNDUP(E93,2)</f>
        <v>2.0000000000000018E-2</v>
      </c>
      <c r="F94" s="2321"/>
      <c r="G94" s="2321"/>
      <c r="H94" s="2321"/>
      <c r="I94" s="477"/>
      <c r="J94" s="480" t="s">
        <v>2167</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1">
        <f>IF(E94*200&gt;20,20,E94*200)</f>
        <v>4.0000000000000036</v>
      </c>
      <c r="F95" s="2352"/>
      <c r="G95" s="2352"/>
      <c r="H95" s="2352"/>
      <c r="I95" s="477"/>
      <c r="J95" s="480" t="s">
        <v>2168</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2130</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4" t="s">
        <v>848</v>
      </c>
      <c r="C98" s="2324"/>
      <c r="D98" s="447" t="s">
        <v>2153</v>
      </c>
      <c r="E98" s="2335" t="s">
        <v>2169</v>
      </c>
      <c r="F98" s="2336"/>
      <c r="G98" s="2336"/>
      <c r="H98" s="2336"/>
      <c r="I98" s="2336"/>
      <c r="J98" s="2336"/>
      <c r="K98" s="2336"/>
      <c r="L98" s="2336"/>
      <c r="M98" s="2336"/>
      <c r="N98" s="2336"/>
      <c r="O98" s="2336"/>
      <c r="P98" s="2336"/>
      <c r="Q98" s="2336"/>
      <c r="R98" s="2336"/>
      <c r="S98" s="2336"/>
      <c r="T98" s="2336"/>
      <c r="U98" s="2336"/>
      <c r="V98" s="2336"/>
      <c r="W98" s="2336"/>
      <c r="X98" s="2336"/>
      <c r="Y98" s="2336"/>
      <c r="Z98" s="2336"/>
      <c r="AA98" s="2336"/>
      <c r="AB98" s="2336"/>
      <c r="AC98" s="2336"/>
      <c r="AD98" s="2336"/>
      <c r="AE98" s="2336"/>
      <c r="AF98" s="2336"/>
      <c r="AG98" s="2336"/>
      <c r="AH98" s="2336"/>
      <c r="AI98" s="2336"/>
      <c r="AJ98" s="2337"/>
      <c r="AK98" s="443"/>
      <c r="AL98" s="440"/>
      <c r="AM98" s="440"/>
      <c r="AN98" s="435"/>
    </row>
    <row r="99" spans="1:47" s="436" customFormat="1" ht="12.75" customHeight="1">
      <c r="A99" s="438"/>
      <c r="B99" s="439"/>
      <c r="C99" s="439"/>
      <c r="D99" s="439"/>
      <c r="E99" s="2338"/>
      <c r="F99" s="2339"/>
      <c r="G99" s="2339"/>
      <c r="H99" s="2339"/>
      <c r="I99" s="2339"/>
      <c r="J99" s="2339"/>
      <c r="K99" s="2339"/>
      <c r="L99" s="2339"/>
      <c r="M99" s="2339"/>
      <c r="N99" s="2339"/>
      <c r="O99" s="2339"/>
      <c r="P99" s="2339"/>
      <c r="Q99" s="2339"/>
      <c r="R99" s="2339"/>
      <c r="S99" s="2339"/>
      <c r="T99" s="2339"/>
      <c r="U99" s="2339"/>
      <c r="V99" s="2339"/>
      <c r="W99" s="2339"/>
      <c r="X99" s="2339"/>
      <c r="Y99" s="2339"/>
      <c r="Z99" s="2339"/>
      <c r="AA99" s="2339"/>
      <c r="AB99" s="2339"/>
      <c r="AC99" s="2339"/>
      <c r="AD99" s="2339"/>
      <c r="AE99" s="2339"/>
      <c r="AF99" s="2339"/>
      <c r="AG99" s="2339"/>
      <c r="AH99" s="2339"/>
      <c r="AI99" s="2339"/>
      <c r="AJ99" s="2340"/>
      <c r="AK99" s="443"/>
      <c r="AL99" s="440"/>
      <c r="AM99" s="440"/>
      <c r="AN99" s="435"/>
    </row>
    <row r="100" spans="1:47" s="436" customFormat="1" ht="12.75" customHeight="1">
      <c r="A100" s="438"/>
      <c r="B100" s="439"/>
      <c r="C100" s="439"/>
      <c r="D100" s="439"/>
      <c r="E100" s="2338"/>
      <c r="F100" s="2339"/>
      <c r="G100" s="2339"/>
      <c r="H100" s="2339"/>
      <c r="I100" s="2339"/>
      <c r="J100" s="2339"/>
      <c r="K100" s="2339"/>
      <c r="L100" s="2339"/>
      <c r="M100" s="2339"/>
      <c r="N100" s="2339"/>
      <c r="O100" s="2339"/>
      <c r="P100" s="2339"/>
      <c r="Q100" s="2339"/>
      <c r="R100" s="2339"/>
      <c r="S100" s="2339"/>
      <c r="T100" s="2339"/>
      <c r="U100" s="2339"/>
      <c r="V100" s="2339"/>
      <c r="W100" s="2339"/>
      <c r="X100" s="2339"/>
      <c r="Y100" s="2339"/>
      <c r="Z100" s="2339"/>
      <c r="AA100" s="2339"/>
      <c r="AB100" s="2339"/>
      <c r="AC100" s="2339"/>
      <c r="AD100" s="2339"/>
      <c r="AE100" s="2339"/>
      <c r="AF100" s="2339"/>
      <c r="AG100" s="2339"/>
      <c r="AH100" s="2339"/>
      <c r="AI100" s="2339"/>
      <c r="AJ100" s="2340"/>
      <c r="AK100" s="443"/>
      <c r="AL100" s="440"/>
      <c r="AM100" s="440"/>
      <c r="AN100" s="435"/>
    </row>
    <row r="101" spans="1:47" s="436" customFormat="1" ht="12.75" customHeight="1">
      <c r="A101" s="438"/>
      <c r="B101" s="439"/>
      <c r="C101" s="439"/>
      <c r="D101" s="439"/>
      <c r="E101" s="2338"/>
      <c r="F101" s="2339"/>
      <c r="G101" s="2339"/>
      <c r="H101" s="2339"/>
      <c r="I101" s="2339"/>
      <c r="J101" s="2339"/>
      <c r="K101" s="2339"/>
      <c r="L101" s="2339"/>
      <c r="M101" s="2339"/>
      <c r="N101" s="2339"/>
      <c r="O101" s="2339"/>
      <c r="P101" s="2339"/>
      <c r="Q101" s="2339"/>
      <c r="R101" s="2339"/>
      <c r="S101" s="2339"/>
      <c r="T101" s="2339"/>
      <c r="U101" s="2339"/>
      <c r="V101" s="2339"/>
      <c r="W101" s="2339"/>
      <c r="X101" s="2339"/>
      <c r="Y101" s="2339"/>
      <c r="Z101" s="2339"/>
      <c r="AA101" s="2339"/>
      <c r="AB101" s="2339"/>
      <c r="AC101" s="2339"/>
      <c r="AD101" s="2339"/>
      <c r="AE101" s="2339"/>
      <c r="AF101" s="2339"/>
      <c r="AG101" s="2339"/>
      <c r="AH101" s="2339"/>
      <c r="AI101" s="2339"/>
      <c r="AJ101" s="2340"/>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18">
        <f>Application!AC753</f>
        <v>0.57258883248730963</v>
      </c>
      <c r="F103" s="2319"/>
      <c r="G103" s="2319"/>
      <c r="H103" s="2319"/>
      <c r="I103" s="477"/>
      <c r="J103" s="480" t="s">
        <v>2166</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18">
        <f ca="1">SUMIF(Application!AC718:AG752,0.2,Application!G718:J752)/Application!G753+SUMIF(Application!AC718:AG752,0.25,Application!G718:J752)/Application!G753+SUMIF(Application!AC718:AG752,0.3,Application!G718:J752)/Application!G753</f>
        <v>0.25380710659898476</v>
      </c>
      <c r="F104" s="2319"/>
      <c r="G104" s="2319"/>
      <c r="H104" s="2319"/>
      <c r="I104" s="477"/>
      <c r="J104" s="480" t="s">
        <v>2170</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18">
        <f ca="1">SUMIF(Application!AC718:AG752,0.35,Application!G718:J752)/Application!G753+SUMIF(Application!AC718:AG752,0.4,Application!G718:J752)/Application!G753+SUMIF(Application!AC718:AG752,0.45,Application!G718:J752)/Application!G753+SUMIF(Application!AC718:AG752,0.5,Application!G718:J752)/Application!G753</f>
        <v>5.5837563451776651E-2</v>
      </c>
      <c r="F105" s="2319"/>
      <c r="G105" s="2319"/>
      <c r="H105" s="2319"/>
      <c r="I105" s="477"/>
      <c r="J105" s="480" t="s">
        <v>2171</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6">
        <f ca="1">IF(AND(E103&lt;=0.6,OR(AND(E104&gt;=0.1,E105&gt;=0.1),AND(E104&gt;0.1,(E104+E105)&gt;=0.2))),20,0)</f>
        <v>20</v>
      </c>
      <c r="F106" s="2377"/>
      <c r="G106" s="2377"/>
      <c r="H106" s="2377"/>
      <c r="I106" s="453"/>
      <c r="J106" s="487" t="s">
        <v>2168</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2130</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2172</v>
      </c>
      <c r="AK109" s="2357">
        <f ca="1">MAX(AP95,AP106)</f>
        <v>20</v>
      </c>
      <c r="AL109" s="2358"/>
      <c r="AM109" s="2359"/>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2173</v>
      </c>
      <c r="B112" s="439" t="s">
        <v>2174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4" t="s">
        <v>2148</v>
      </c>
      <c r="AF112" s="2334"/>
      <c r="AG112" s="2334"/>
      <c r="AH112" s="2334"/>
      <c r="AI112" s="2334"/>
      <c r="AJ112" s="2334"/>
      <c r="AK112" s="2334"/>
      <c r="AL112" s="440"/>
      <c r="AM112" s="440"/>
      <c r="AN112" s="435"/>
      <c r="AO112" s="436" t="str">
        <f>Application!B718</f>
        <v>1 Bedroom</v>
      </c>
      <c r="AQ112" s="436">
        <f>Application!O718</f>
        <v>829</v>
      </c>
    </row>
    <row r="113" spans="1:52" s="436" customFormat="1" ht="12.75" customHeight="1">
      <c r="A113" s="440"/>
      <c r="B113" s="439" t="s">
        <v>2164</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1139</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1759</v>
      </c>
    </row>
    <row r="115" spans="1:52" s="436" customFormat="1" ht="12.75" customHeight="1">
      <c r="A115" s="440"/>
      <c r="B115" s="2324" t="s">
        <v>848</v>
      </c>
      <c r="C115" s="2324"/>
      <c r="D115" s="447" t="s">
        <v>2150</v>
      </c>
      <c r="E115" s="2335" t="s">
        <v>2175</v>
      </c>
      <c r="F115" s="2336"/>
      <c r="G115" s="2336"/>
      <c r="H115" s="2336"/>
      <c r="I115" s="2336"/>
      <c r="J115" s="2336"/>
      <c r="K115" s="2336"/>
      <c r="L115" s="2336"/>
      <c r="M115" s="2336"/>
      <c r="N115" s="2336"/>
      <c r="O115" s="2336"/>
      <c r="P115" s="2336"/>
      <c r="Q115" s="2336"/>
      <c r="R115" s="2336"/>
      <c r="S115" s="2336"/>
      <c r="T115" s="2336"/>
      <c r="U115" s="2336"/>
      <c r="V115" s="2336"/>
      <c r="W115" s="2336"/>
      <c r="X115" s="2336"/>
      <c r="Y115" s="2336"/>
      <c r="Z115" s="2336"/>
      <c r="AA115" s="2336"/>
      <c r="AB115" s="2336"/>
      <c r="AC115" s="2336"/>
      <c r="AD115" s="2336"/>
      <c r="AE115" s="2336"/>
      <c r="AF115" s="2336"/>
      <c r="AG115" s="2336"/>
      <c r="AH115" s="2336"/>
      <c r="AI115" s="2336"/>
      <c r="AJ115" s="2337"/>
      <c r="AK115" s="440"/>
      <c r="AL115" s="440"/>
      <c r="AM115" s="440"/>
      <c r="AN115" s="435"/>
      <c r="AO115" s="436" t="str">
        <f>Application!B721</f>
        <v>2 Bedrooms</v>
      </c>
      <c r="AQ115" s="436">
        <f>Application!O721</f>
        <v>980</v>
      </c>
      <c r="AU115" s="436" t="s">
        <v>2176</v>
      </c>
      <c r="AV115" s="495" t="s">
        <v>1678</v>
      </c>
      <c r="AW115" s="436" t="s">
        <v>2177</v>
      </c>
    </row>
    <row r="116" spans="1:52" s="436" customFormat="1" ht="12.75" customHeight="1">
      <c r="A116" s="440"/>
      <c r="B116" s="439"/>
      <c r="C116" s="439"/>
      <c r="D116" s="439"/>
      <c r="E116" s="2338"/>
      <c r="F116" s="2339"/>
      <c r="G116" s="2339"/>
      <c r="H116" s="2339"/>
      <c r="I116" s="2339"/>
      <c r="J116" s="2339"/>
      <c r="K116" s="2339"/>
      <c r="L116" s="2339"/>
      <c r="M116" s="2339"/>
      <c r="N116" s="2339"/>
      <c r="O116" s="2339"/>
      <c r="P116" s="2339"/>
      <c r="Q116" s="2339"/>
      <c r="R116" s="2339"/>
      <c r="S116" s="2339"/>
      <c r="T116" s="2339"/>
      <c r="U116" s="2339"/>
      <c r="V116" s="2339"/>
      <c r="W116" s="2339"/>
      <c r="X116" s="2339"/>
      <c r="Y116" s="2339"/>
      <c r="Z116" s="2339"/>
      <c r="AA116" s="2339"/>
      <c r="AB116" s="2339"/>
      <c r="AC116" s="2339"/>
      <c r="AD116" s="2339"/>
      <c r="AE116" s="2339"/>
      <c r="AF116" s="2339"/>
      <c r="AG116" s="2339"/>
      <c r="AH116" s="2339"/>
      <c r="AI116" s="2339"/>
      <c r="AJ116" s="2340"/>
      <c r="AK116" s="440"/>
      <c r="AL116" s="440"/>
      <c r="AM116" s="440"/>
      <c r="AN116" s="435"/>
      <c r="AO116" s="436" t="str">
        <f>Application!B722</f>
        <v>2 Bedrooms</v>
      </c>
      <c r="AQ116" s="436">
        <f>Application!O722</f>
        <v>2097</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38"/>
      <c r="F117" s="2339"/>
      <c r="G117" s="2339"/>
      <c r="H117" s="2339"/>
      <c r="I117" s="2339"/>
      <c r="J117" s="2339"/>
      <c r="K117" s="2339"/>
      <c r="L117" s="2339"/>
      <c r="M117" s="2339"/>
      <c r="N117" s="2339"/>
      <c r="O117" s="2339"/>
      <c r="P117" s="2339"/>
      <c r="Q117" s="2339"/>
      <c r="R117" s="2339"/>
      <c r="S117" s="2339"/>
      <c r="T117" s="2339"/>
      <c r="U117" s="2339"/>
      <c r="V117" s="2339"/>
      <c r="W117" s="2339"/>
      <c r="X117" s="2339"/>
      <c r="Y117" s="2339"/>
      <c r="Z117" s="2339"/>
      <c r="AA117" s="2339"/>
      <c r="AB117" s="2339"/>
      <c r="AC117" s="2339"/>
      <c r="AD117" s="2339"/>
      <c r="AE117" s="2339"/>
      <c r="AF117" s="2339"/>
      <c r="AG117" s="2339"/>
      <c r="AH117" s="2339"/>
      <c r="AI117" s="2339"/>
      <c r="AJ117" s="2340"/>
      <c r="AK117" s="440"/>
      <c r="AL117" s="440"/>
      <c r="AM117" s="440"/>
      <c r="AN117" s="435"/>
      <c r="AO117" s="436" t="str">
        <f>Application!B723</f>
        <v>3 Bedrooms</v>
      </c>
      <c r="AQ117" s="436">
        <f>Application!O723</f>
        <v>1112</v>
      </c>
      <c r="AU117" s="756" t="str">
        <f>J124</f>
        <v>1-bedroom</v>
      </c>
      <c r="AV117" s="436">
        <f t="array" ref="AV117">SUM(IF(Application!B718:F752="1 Bedroom",Application!G718:J752))</f>
        <v>48</v>
      </c>
      <c r="AW117" s="905">
        <f>AV117/AV122</f>
        <v>0.24365482233502539</v>
      </c>
    </row>
    <row r="118" spans="1:52" s="436" customFormat="1" ht="12.75" customHeight="1">
      <c r="A118" s="440"/>
      <c r="B118" s="439"/>
      <c r="C118" s="439"/>
      <c r="D118" s="439"/>
      <c r="E118" s="2338"/>
      <c r="F118" s="2339"/>
      <c r="G118" s="2339"/>
      <c r="H118" s="2339"/>
      <c r="I118" s="2339"/>
      <c r="J118" s="2339"/>
      <c r="K118" s="2339"/>
      <c r="L118" s="2339"/>
      <c r="M118" s="2339"/>
      <c r="N118" s="2339"/>
      <c r="O118" s="2339"/>
      <c r="P118" s="2339"/>
      <c r="Q118" s="2339"/>
      <c r="R118" s="2339"/>
      <c r="S118" s="2339"/>
      <c r="T118" s="2339"/>
      <c r="U118" s="2339"/>
      <c r="V118" s="2339"/>
      <c r="W118" s="2339"/>
      <c r="X118" s="2339"/>
      <c r="Y118" s="2339"/>
      <c r="Z118" s="2339"/>
      <c r="AA118" s="2339"/>
      <c r="AB118" s="2339"/>
      <c r="AC118" s="2339"/>
      <c r="AD118" s="2339"/>
      <c r="AE118" s="2339"/>
      <c r="AF118" s="2339"/>
      <c r="AG118" s="2339"/>
      <c r="AH118" s="2339"/>
      <c r="AI118" s="2339"/>
      <c r="AJ118" s="2340"/>
      <c r="AK118" s="440"/>
      <c r="AL118" s="440"/>
      <c r="AM118" s="440"/>
      <c r="AN118" s="435"/>
      <c r="AO118" s="436" t="str">
        <f>Application!B724</f>
        <v>3 Bedrooms</v>
      </c>
      <c r="AQ118" s="436">
        <f>Application!O724</f>
        <v>2402</v>
      </c>
      <c r="AU118" s="756" t="str">
        <f>O124</f>
        <v>2-bedroom</v>
      </c>
      <c r="AV118" s="436">
        <f t="array" ref="AV118">SUM(IF(Application!B718:F752="2 Bedrooms",Application!G718:J752))</f>
        <v>57</v>
      </c>
      <c r="AW118" s="905">
        <f>AV118/AV122</f>
        <v>0.28934010152284262</v>
      </c>
    </row>
    <row r="119" spans="1:52" s="436" customFormat="1" ht="12.75" customHeight="1">
      <c r="A119" s="440"/>
      <c r="B119" s="439"/>
      <c r="C119" s="439"/>
      <c r="D119" s="439"/>
      <c r="E119" s="2338"/>
      <c r="F119" s="2339"/>
      <c r="G119" s="2339"/>
      <c r="H119" s="2339"/>
      <c r="I119" s="2339"/>
      <c r="J119" s="2339"/>
      <c r="K119" s="2339"/>
      <c r="L119" s="2339"/>
      <c r="M119" s="2339"/>
      <c r="N119" s="2339"/>
      <c r="O119" s="2339"/>
      <c r="P119" s="2339"/>
      <c r="Q119" s="2339"/>
      <c r="R119" s="2339"/>
      <c r="S119" s="2339"/>
      <c r="T119" s="2339"/>
      <c r="U119" s="2339"/>
      <c r="V119" s="2339"/>
      <c r="W119" s="2339"/>
      <c r="X119" s="2339"/>
      <c r="Y119" s="2339"/>
      <c r="Z119" s="2339"/>
      <c r="AA119" s="2339"/>
      <c r="AB119" s="2339"/>
      <c r="AC119" s="2339"/>
      <c r="AD119" s="2339"/>
      <c r="AE119" s="2339"/>
      <c r="AF119" s="2339"/>
      <c r="AG119" s="2339"/>
      <c r="AH119" s="2339"/>
      <c r="AI119" s="2339"/>
      <c r="AJ119" s="2340"/>
      <c r="AK119" s="440"/>
      <c r="AL119" s="440"/>
      <c r="AM119" s="440"/>
      <c r="AN119" s="435"/>
      <c r="AO119" s="436" t="str">
        <f>Application!B725</f>
        <v>3 Bedrooms</v>
      </c>
      <c r="AQ119" s="436">
        <f>Application!O725</f>
        <v>3142</v>
      </c>
      <c r="AU119" s="756" t="str">
        <f>T124</f>
        <v>3-bedroom</v>
      </c>
      <c r="AV119" s="436">
        <f t="array" ref="AV119">SUM(IF(Application!B718:F752="3 Bedrooms",Application!G718:J752))</f>
        <v>92</v>
      </c>
      <c r="AW119" s="905">
        <f>AV119/AV122</f>
        <v>0.46700507614213199</v>
      </c>
    </row>
    <row r="120" spans="1:52" s="436" customFormat="1" ht="12.75" customHeight="1">
      <c r="A120" s="440"/>
      <c r="B120" s="439"/>
      <c r="C120" s="439"/>
      <c r="D120" s="439"/>
      <c r="E120" s="2338"/>
      <c r="F120" s="2339"/>
      <c r="G120" s="2339"/>
      <c r="H120" s="2339"/>
      <c r="I120" s="2339"/>
      <c r="J120" s="2339"/>
      <c r="K120" s="2339"/>
      <c r="L120" s="2339"/>
      <c r="M120" s="2339"/>
      <c r="N120" s="2339"/>
      <c r="O120" s="2339"/>
      <c r="P120" s="2339"/>
      <c r="Q120" s="2339"/>
      <c r="R120" s="2339"/>
      <c r="S120" s="2339"/>
      <c r="T120" s="2339"/>
      <c r="U120" s="2339"/>
      <c r="V120" s="2339"/>
      <c r="W120" s="2339"/>
      <c r="X120" s="2339"/>
      <c r="Y120" s="2339"/>
      <c r="Z120" s="2339"/>
      <c r="AA120" s="2339"/>
      <c r="AB120" s="2339"/>
      <c r="AC120" s="2339"/>
      <c r="AD120" s="2339"/>
      <c r="AE120" s="2339"/>
      <c r="AF120" s="2339"/>
      <c r="AG120" s="2339"/>
      <c r="AH120" s="2339"/>
      <c r="AI120" s="2339"/>
      <c r="AJ120" s="2340"/>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38"/>
      <c r="F121" s="2339"/>
      <c r="G121" s="2339"/>
      <c r="H121" s="2339"/>
      <c r="I121" s="2339"/>
      <c r="J121" s="2339"/>
      <c r="K121" s="2339"/>
      <c r="L121" s="2339"/>
      <c r="M121" s="2339"/>
      <c r="N121" s="2339"/>
      <c r="O121" s="2339"/>
      <c r="P121" s="2339"/>
      <c r="Q121" s="2339"/>
      <c r="R121" s="2339"/>
      <c r="S121" s="2339"/>
      <c r="T121" s="2339"/>
      <c r="U121" s="2339"/>
      <c r="V121" s="2339"/>
      <c r="W121" s="2339"/>
      <c r="X121" s="2339"/>
      <c r="Y121" s="2339"/>
      <c r="Z121" s="2339"/>
      <c r="AA121" s="2339"/>
      <c r="AB121" s="2339"/>
      <c r="AC121" s="2339"/>
      <c r="AD121" s="2339"/>
      <c r="AE121" s="2339"/>
      <c r="AF121" s="2339"/>
      <c r="AG121" s="2339"/>
      <c r="AH121" s="2339"/>
      <c r="AI121" s="2339"/>
      <c r="AJ121" s="2340"/>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38"/>
      <c r="F122" s="2339"/>
      <c r="G122" s="2339"/>
      <c r="H122" s="2339"/>
      <c r="I122" s="2339"/>
      <c r="J122" s="2339"/>
      <c r="K122" s="2339"/>
      <c r="L122" s="2339"/>
      <c r="M122" s="2339"/>
      <c r="N122" s="2339"/>
      <c r="O122" s="2339"/>
      <c r="P122" s="2339"/>
      <c r="Q122" s="2339"/>
      <c r="R122" s="2339"/>
      <c r="S122" s="2339"/>
      <c r="T122" s="2339"/>
      <c r="U122" s="2339"/>
      <c r="V122" s="2339"/>
      <c r="W122" s="2339"/>
      <c r="X122" s="2339"/>
      <c r="Y122" s="2339"/>
      <c r="Z122" s="2339"/>
      <c r="AA122" s="2339"/>
      <c r="AB122" s="2339"/>
      <c r="AC122" s="2339"/>
      <c r="AD122" s="2339"/>
      <c r="AE122" s="2339"/>
      <c r="AF122" s="2339"/>
      <c r="AG122" s="2339"/>
      <c r="AH122" s="2339"/>
      <c r="AI122" s="2339"/>
      <c r="AJ122" s="2340"/>
      <c r="AK122" s="440"/>
      <c r="AL122" s="440"/>
      <c r="AM122" s="440"/>
      <c r="AN122" s="435"/>
      <c r="AO122" s="436">
        <f>Application!B728</f>
        <v>0</v>
      </c>
      <c r="AQ122" s="436">
        <f>Application!O728</f>
        <v>0</v>
      </c>
      <c r="AV122" s="436">
        <f>SUM(AV116:AV121)</f>
        <v>197</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18" t="s">
        <v>2178</v>
      </c>
      <c r="F124" s="2319"/>
      <c r="G124" s="2319"/>
      <c r="H124" s="2319"/>
      <c r="I124" s="477"/>
      <c r="J124" s="2319" t="s">
        <v>2179</v>
      </c>
      <c r="K124" s="2319"/>
      <c r="L124" s="2319"/>
      <c r="M124" s="2319"/>
      <c r="N124" s="477"/>
      <c r="O124" s="2319" t="s">
        <v>2180</v>
      </c>
      <c r="P124" s="2319"/>
      <c r="Q124" s="2319"/>
      <c r="R124" s="2319"/>
      <c r="S124" s="477"/>
      <c r="T124" s="2319" t="s">
        <v>2181</v>
      </c>
      <c r="U124" s="2319"/>
      <c r="V124" s="2319"/>
      <c r="W124" s="2319"/>
      <c r="X124" s="477"/>
      <c r="Y124" s="2319" t="s">
        <v>2182</v>
      </c>
      <c r="Z124" s="2319"/>
      <c r="AA124" s="2319"/>
      <c r="AB124" s="2319"/>
      <c r="AC124" s="477"/>
      <c r="AD124" s="2319" t="s">
        <v>2183</v>
      </c>
      <c r="AE124" s="2319"/>
      <c r="AF124" s="2319"/>
      <c r="AG124" s="2319"/>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2184</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78"/>
      <c r="F127" s="2379"/>
      <c r="G127" s="2379"/>
      <c r="H127" s="2379"/>
      <c r="I127" s="763"/>
      <c r="J127" s="2379">
        <v>2775</v>
      </c>
      <c r="K127" s="2379"/>
      <c r="L127" s="2379"/>
      <c r="M127" s="2379"/>
      <c r="N127" s="763"/>
      <c r="O127" s="2379">
        <v>3020</v>
      </c>
      <c r="P127" s="2379"/>
      <c r="Q127" s="2379"/>
      <c r="R127" s="2379"/>
      <c r="S127" s="763"/>
      <c r="T127" s="2379">
        <v>3580</v>
      </c>
      <c r="U127" s="2379"/>
      <c r="V127" s="2379"/>
      <c r="W127" s="2379"/>
      <c r="X127" s="763"/>
      <c r="Y127" s="2379"/>
      <c r="Z127" s="2379"/>
      <c r="AA127" s="2379"/>
      <c r="AB127" s="2379"/>
      <c r="AC127" s="763"/>
      <c r="AD127" s="2379"/>
      <c r="AE127" s="2379"/>
      <c r="AF127" s="2379"/>
      <c r="AG127" s="2379"/>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2185</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1">
        <f>Application!DX670</f>
        <v>0</v>
      </c>
      <c r="F130" s="2372"/>
      <c r="G130" s="2372"/>
      <c r="H130" s="2372"/>
      <c r="I130" s="763"/>
      <c r="J130" s="2372">
        <f>Application!EC670</f>
        <v>1520.0416666666665</v>
      </c>
      <c r="K130" s="2372"/>
      <c r="L130" s="2372"/>
      <c r="M130" s="2372"/>
      <c r="N130" s="763"/>
      <c r="O130" s="2372">
        <f>Application!EH670</f>
        <v>1803.0526315789473</v>
      </c>
      <c r="P130" s="2372"/>
      <c r="Q130" s="2372"/>
      <c r="R130" s="2372"/>
      <c r="S130" s="767"/>
      <c r="T130" s="2372">
        <f>Application!EM670</f>
        <v>2455.9130434782605</v>
      </c>
      <c r="U130" s="2372"/>
      <c r="V130" s="2372"/>
      <c r="W130" s="2372"/>
      <c r="X130" s="767"/>
      <c r="Y130" s="2372">
        <f>Application!ER670</f>
        <v>0</v>
      </c>
      <c r="Z130" s="2372"/>
      <c r="AA130" s="2372"/>
      <c r="AB130" s="2372"/>
      <c r="AC130" s="767"/>
      <c r="AD130" s="2372">
        <f>Application!EW670</f>
        <v>0</v>
      </c>
      <c r="AE130" s="2372"/>
      <c r="AF130" s="2372"/>
      <c r="AG130" s="2372"/>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2186</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0" t="e">
        <f>(E127-E130)/E127</f>
        <v>#DIV/0!</v>
      </c>
      <c r="F133" s="2321"/>
      <c r="G133" s="2321"/>
      <c r="H133" s="2571"/>
      <c r="I133" s="477"/>
      <c r="J133" s="2570">
        <f>(J127-J130)/J127</f>
        <v>0.4522372372372373</v>
      </c>
      <c r="K133" s="2321"/>
      <c r="L133" s="2321"/>
      <c r="M133" s="2571"/>
      <c r="N133" s="477"/>
      <c r="O133" s="2570">
        <f>(O127-O130)/O127</f>
        <v>0.40296270477518303</v>
      </c>
      <c r="P133" s="2321"/>
      <c r="Q133" s="2321"/>
      <c r="R133" s="2571"/>
      <c r="S133" s="477"/>
      <c r="T133" s="2570">
        <f>(T127-T130)/T127</f>
        <v>0.31399076997813952</v>
      </c>
      <c r="U133" s="2321"/>
      <c r="V133" s="2321"/>
      <c r="W133" s="2571"/>
      <c r="X133" s="477"/>
      <c r="Y133" s="2570" t="e">
        <f>(Y127-Y130)/Y127</f>
        <v>#DIV/0!</v>
      </c>
      <c r="Z133" s="2321"/>
      <c r="AA133" s="2321"/>
      <c r="AB133" s="2571"/>
      <c r="AC133" s="477"/>
      <c r="AD133" s="2570" t="e">
        <f>(AD127-AD130)/AD127</f>
        <v>#DIV/0!</v>
      </c>
      <c r="AE133" s="2321"/>
      <c r="AF133" s="2321"/>
      <c r="AG133" s="2571"/>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2187</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3" t="e">
        <f>IF(((E133-0.1)*AW116)&gt;0,((E133-0.1)*AW116),0)</f>
        <v>#DIV/0!</v>
      </c>
      <c r="F136" s="2374"/>
      <c r="G136" s="2374"/>
      <c r="H136" s="2375"/>
      <c r="I136" s="477"/>
      <c r="J136" s="2373">
        <f>IF(((J133-0.1)*AW117)&gt;0,((J133-0.1)*AW117),0)</f>
        <v>8.5824301458819252E-2</v>
      </c>
      <c r="K136" s="2374"/>
      <c r="L136" s="2374"/>
      <c r="M136" s="2375"/>
      <c r="N136" s="477"/>
      <c r="O136" s="2373">
        <f>IF(((O133-0.1)*AW118)&gt;0,((O133-0.1)*AW118),0)</f>
        <v>8.7659259757286459E-2</v>
      </c>
      <c r="P136" s="2374"/>
      <c r="Q136" s="2374"/>
      <c r="R136" s="2375"/>
      <c r="S136" s="477"/>
      <c r="T136" s="2373">
        <f>IF(((T133-0.1)*AW119)&gt;0,((T133-0.1)*AW119),0)</f>
        <v>9.9934775827354494E-2</v>
      </c>
      <c r="U136" s="2374"/>
      <c r="V136" s="2374"/>
      <c r="W136" s="2375"/>
      <c r="X136" s="477"/>
      <c r="Y136" s="2373" t="e">
        <f>IF(((Y133-0.1)*AW120)&gt;0,((Y133-0.1)*AW120),0)</f>
        <v>#DIV/0!</v>
      </c>
      <c r="Z136" s="2374"/>
      <c r="AA136" s="2374"/>
      <c r="AB136" s="2375"/>
      <c r="AC136" s="477"/>
      <c r="AD136" s="2373" t="e">
        <f>IF(((AD133-0.1)*AW121)&gt;0,((AD133-0.1)*AW121),0)</f>
        <v>#DIV/0!</v>
      </c>
      <c r="AE136" s="2374"/>
      <c r="AF136" s="2374"/>
      <c r="AG136" s="2375"/>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0">
        <f>ROUNDDOWN(SUMIF(E136:AG136,"&gt;0"),2)</f>
        <v>0.27</v>
      </c>
      <c r="F138" s="2321"/>
      <c r="G138" s="2321"/>
      <c r="H138" s="2571"/>
      <c r="I138" s="477"/>
      <c r="J138" s="480" t="s">
        <v>2188</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7">
        <f>IF((E138*100)&gt;10,10,E138*100)</f>
        <v>10</v>
      </c>
      <c r="F139" s="2358"/>
      <c r="G139" s="2358"/>
      <c r="H139" s="2359"/>
      <c r="I139" s="477"/>
      <c r="J139" s="480" t="s">
        <v>2168</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2189</v>
      </c>
      <c r="AK143" s="2357">
        <f>E139</f>
        <v>10</v>
      </c>
      <c r="AL143" s="2358"/>
      <c r="AM143" s="2359"/>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2190</v>
      </c>
      <c r="AE146" s="2334" t="s">
        <v>2148</v>
      </c>
      <c r="AF146" s="2334"/>
      <c r="AG146" s="2334"/>
      <c r="AH146" s="2334"/>
      <c r="AI146" s="2334"/>
      <c r="AJ146" s="2334"/>
      <c r="AK146" s="2334"/>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2191</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69" t="s">
        <v>2192</v>
      </c>
      <c r="AG148" s="2369"/>
      <c r="AH148" s="2369"/>
      <c r="AI148" s="2369"/>
      <c r="AJ148" s="2369"/>
      <c r="AK148" s="2369"/>
      <c r="AL148" s="2369"/>
      <c r="AM148" s="439"/>
      <c r="AN148" s="435"/>
    </row>
    <row r="149" spans="1:42" s="436" customFormat="1" ht="12.75" customHeight="1">
      <c r="A149" s="438"/>
      <c r="B149" s="438" t="s">
        <v>1085</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0" t="s">
        <v>1098</v>
      </c>
      <c r="C150" s="2370"/>
      <c r="D150" s="2370"/>
      <c r="E150" s="2370"/>
      <c r="F150" s="2370"/>
      <c r="G150" s="2370"/>
      <c r="H150" s="2370"/>
      <c r="I150" s="2370"/>
      <c r="J150" s="2370"/>
      <c r="K150" s="2370"/>
      <c r="L150" s="2370"/>
      <c r="M150" s="2370"/>
      <c r="N150" s="2370"/>
      <c r="O150" s="2370"/>
      <c r="P150" s="2370"/>
      <c r="Q150" s="2370"/>
      <c r="R150" s="2370"/>
      <c r="S150" s="2370"/>
      <c r="T150" s="2370"/>
      <c r="U150" s="2370"/>
      <c r="V150" s="2370"/>
      <c r="W150" s="2370"/>
      <c r="X150" s="2370"/>
      <c r="Y150" s="2370"/>
      <c r="Z150" s="2370"/>
      <c r="AA150" s="2370"/>
      <c r="AB150" s="2370"/>
      <c r="AC150" s="237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548</v>
      </c>
      <c r="AP151" s="445"/>
    </row>
    <row r="152" spans="1:42" s="436" customFormat="1" ht="12.75" customHeight="1">
      <c r="A152" s="438"/>
      <c r="B152" s="439" t="s">
        <v>2193</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2194</v>
      </c>
      <c r="AP152" s="390">
        <v>5</v>
      </c>
    </row>
    <row r="153" spans="1:42" s="436" customFormat="1" ht="12.75" customHeight="1">
      <c r="A153" s="438"/>
      <c r="B153" s="2396" t="s">
        <v>2195</v>
      </c>
      <c r="C153" s="2396"/>
      <c r="D153" s="2396"/>
      <c r="E153" s="2396"/>
      <c r="F153" s="2396"/>
      <c r="G153" s="2396"/>
      <c r="H153" s="2396"/>
      <c r="I153" s="2396"/>
      <c r="J153" s="2396"/>
      <c r="K153" s="2396"/>
      <c r="L153" s="2396"/>
      <c r="M153" s="2396"/>
      <c r="N153" s="2396"/>
      <c r="O153" s="2396"/>
      <c r="P153" s="2396"/>
      <c r="Q153" s="2396"/>
      <c r="R153" s="2396"/>
      <c r="S153" s="2396"/>
      <c r="T153" s="2396"/>
      <c r="U153" s="2396"/>
      <c r="V153" s="2396"/>
      <c r="W153" s="2396"/>
      <c r="X153" s="2396"/>
      <c r="Y153" s="2396"/>
      <c r="Z153" s="2396"/>
      <c r="AA153" s="2396"/>
      <c r="AB153" s="2396"/>
      <c r="AC153" s="2396"/>
      <c r="AD153" s="2396"/>
      <c r="AE153" s="2396"/>
      <c r="AF153" s="2396"/>
      <c r="AG153" s="2396"/>
      <c r="AH153" s="2396"/>
      <c r="AI153" s="2396"/>
      <c r="AM153" s="439"/>
      <c r="AN153" s="435"/>
      <c r="AO153" s="377" t="s">
        <v>2195</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2196</v>
      </c>
      <c r="AP154" s="390">
        <v>7</v>
      </c>
    </row>
    <row r="155" spans="1:42" s="436" customFormat="1" ht="12.75" customHeight="1">
      <c r="A155" s="438"/>
      <c r="B155" s="439" t="s">
        <v>2197</v>
      </c>
      <c r="AB155" s="2397" t="s">
        <v>813</v>
      </c>
      <c r="AC155" s="2397"/>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2198</v>
      </c>
      <c r="AP156" s="390"/>
    </row>
    <row r="157" spans="1:42" s="436" customFormat="1" ht="12.75" customHeight="1">
      <c r="A157" s="438"/>
      <c r="B157" s="438" t="s">
        <v>2199</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2200</v>
      </c>
      <c r="AP157" s="390">
        <v>5</v>
      </c>
    </row>
    <row r="158" spans="1:42" s="436" customFormat="1" ht="12.75" customHeight="1">
      <c r="A158" s="438"/>
      <c r="B158" s="2396" t="s">
        <v>2198</v>
      </c>
      <c r="C158" s="2396"/>
      <c r="D158" s="2396"/>
      <c r="E158" s="2396"/>
      <c r="F158" s="2396"/>
      <c r="G158" s="2396"/>
      <c r="H158" s="2396"/>
      <c r="I158" s="2396"/>
      <c r="J158" s="2396"/>
      <c r="K158" s="2396"/>
      <c r="L158" s="2396"/>
      <c r="M158" s="2396"/>
      <c r="N158" s="2396"/>
      <c r="O158" s="2396"/>
      <c r="P158" s="2396"/>
      <c r="Q158" s="2396"/>
      <c r="R158" s="2396"/>
      <c r="S158" s="2396"/>
      <c r="T158" s="2396"/>
      <c r="U158" s="2396"/>
      <c r="V158" s="2396"/>
      <c r="W158" s="2396"/>
      <c r="X158" s="2396"/>
      <c r="Y158" s="2396"/>
      <c r="Z158" s="2396"/>
      <c r="AA158" s="2396"/>
      <c r="AB158" s="2396"/>
      <c r="AC158" s="2396"/>
      <c r="AD158" s="2396"/>
      <c r="AE158" s="2396"/>
      <c r="AF158" s="2396"/>
      <c r="AG158" s="2396"/>
      <c r="AH158" s="2396"/>
      <c r="AI158" s="2396"/>
      <c r="AJ158" s="2396"/>
      <c r="AN158" s="435"/>
      <c r="AO158" s="377" t="s">
        <v>2201</v>
      </c>
      <c r="AP158" s="390">
        <v>7</v>
      </c>
    </row>
    <row r="159" spans="1:42" s="436" customFormat="1" ht="12.75" customHeight="1">
      <c r="B159" s="439" t="s">
        <v>2202</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7" t="s">
        <v>2203</v>
      </c>
      <c r="C161" s="2557"/>
      <c r="D161" s="2557"/>
      <c r="E161" s="2557"/>
      <c r="F161" s="2557"/>
      <c r="G161" s="2557"/>
      <c r="H161" s="2557"/>
      <c r="I161" s="2557"/>
      <c r="J161" s="2557"/>
      <c r="K161" s="2557"/>
      <c r="L161" s="2557"/>
      <c r="M161" s="2557"/>
      <c r="N161" s="2557"/>
      <c r="O161" s="2557"/>
      <c r="P161" s="2557"/>
      <c r="Q161" s="2557"/>
      <c r="R161" s="2557"/>
      <c r="S161" s="2557"/>
      <c r="T161" s="2557"/>
      <c r="U161" s="2557"/>
      <c r="V161" s="2557"/>
      <c r="W161" s="2557"/>
      <c r="X161" s="2557"/>
      <c r="Y161" s="2557"/>
      <c r="Z161" s="2557"/>
      <c r="AA161" s="2557"/>
      <c r="AB161" s="2557"/>
      <c r="AC161" s="2557"/>
      <c r="AD161" s="2557"/>
      <c r="AE161" s="2557"/>
      <c r="AF161" s="2557"/>
      <c r="AG161" s="2557"/>
      <c r="AH161" s="2557"/>
      <c r="AI161" s="2557"/>
      <c r="AJ161" s="2557"/>
      <c r="AK161" s="1069"/>
      <c r="AM161" s="439"/>
      <c r="AN161" s="435"/>
      <c r="AO161" s="377"/>
      <c r="AP161" s="390"/>
    </row>
    <row r="162" spans="1:42" s="436" customFormat="1" ht="12.75" customHeight="1">
      <c r="B162" s="2557"/>
      <c r="C162" s="2557"/>
      <c r="D162" s="2557"/>
      <c r="E162" s="2557"/>
      <c r="F162" s="2557"/>
      <c r="G162" s="2557"/>
      <c r="H162" s="2557"/>
      <c r="I162" s="2557"/>
      <c r="J162" s="2557"/>
      <c r="K162" s="2557"/>
      <c r="L162" s="2557"/>
      <c r="M162" s="2557"/>
      <c r="N162" s="2557"/>
      <c r="O162" s="2557"/>
      <c r="P162" s="2557"/>
      <c r="Q162" s="2557"/>
      <c r="R162" s="2557"/>
      <c r="S162" s="2557"/>
      <c r="T162" s="2557"/>
      <c r="U162" s="2557"/>
      <c r="V162" s="2557"/>
      <c r="W162" s="2557"/>
      <c r="X162" s="2557"/>
      <c r="Y162" s="2557"/>
      <c r="Z162" s="2557"/>
      <c r="AA162" s="2557"/>
      <c r="AB162" s="2557"/>
      <c r="AC162" s="2557"/>
      <c r="AD162" s="2557"/>
      <c r="AE162" s="2557"/>
      <c r="AF162" s="2557"/>
      <c r="AG162" s="2557"/>
      <c r="AH162" s="2557"/>
      <c r="AI162" s="2557"/>
      <c r="AJ162" s="2557"/>
      <c r="AK162" s="1069"/>
      <c r="AM162" s="439"/>
      <c r="AN162" s="435"/>
      <c r="AO162" s="377"/>
      <c r="AP162" s="390"/>
    </row>
    <row r="163" spans="1:42" s="436" customFormat="1" ht="12.75" customHeight="1">
      <c r="C163" s="2460" t="s">
        <v>2204</v>
      </c>
      <c r="D163" s="2460"/>
      <c r="E163" s="2460"/>
      <c r="F163" s="2460"/>
      <c r="G163" s="2460"/>
      <c r="H163" s="2460"/>
      <c r="I163" s="2460"/>
      <c r="J163" s="2460"/>
      <c r="K163" s="2460"/>
      <c r="L163" s="2460"/>
      <c r="M163" s="2460"/>
      <c r="N163" s="2460"/>
      <c r="O163" s="2460"/>
      <c r="P163" s="2460"/>
      <c r="Q163" s="2460"/>
      <c r="R163" s="2460"/>
      <c r="S163" s="2460"/>
      <c r="T163" s="2460"/>
      <c r="U163" s="2460"/>
      <c r="V163" s="2460"/>
      <c r="W163" s="2460"/>
      <c r="X163" s="2460"/>
      <c r="Y163" s="2460"/>
      <c r="Z163" s="2460"/>
      <c r="AA163" s="2460"/>
      <c r="AB163" s="2460"/>
      <c r="AC163" s="2460"/>
      <c r="AD163" s="2460"/>
      <c r="AE163" s="2460"/>
      <c r="AF163" s="2460"/>
      <c r="AG163" s="2460"/>
      <c r="AH163" s="2460"/>
      <c r="AI163" s="2460"/>
      <c r="AJ163" s="2460"/>
      <c r="AK163" s="1069"/>
      <c r="AM163" s="439"/>
      <c r="AN163" s="435"/>
      <c r="AO163" s="377"/>
      <c r="AP163" s="390"/>
    </row>
    <row r="164" spans="1:42" s="436" customFormat="1" ht="12.75" customHeight="1">
      <c r="B164" s="1069"/>
      <c r="C164" s="2395" t="s">
        <v>2205</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059"/>
      <c r="AB164" s="1059"/>
      <c r="AC164" s="1059"/>
      <c r="AD164" s="1059"/>
      <c r="AE164" s="1059"/>
      <c r="AF164" s="1059"/>
      <c r="AG164" s="1059"/>
      <c r="AH164" s="1059"/>
      <c r="AJ164" s="2397" t="s">
        <v>813</v>
      </c>
      <c r="AK164" s="2397"/>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2206</v>
      </c>
      <c r="AJ166" s="2400">
        <f>IF($AB$155="N/A",VLOOKUP($B$153,$AO$151:$AP$154,2,FALSE),VLOOKUP($B$158,$AO$156:$AP$158,2,FALSE))</f>
        <v>7</v>
      </c>
      <c r="AK166" s="240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2207</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69" t="s">
        <v>2208</v>
      </c>
      <c r="AG168" s="2369"/>
      <c r="AH168" s="2369"/>
      <c r="AI168" s="2369"/>
      <c r="AJ168" s="2369"/>
      <c r="AK168" s="2369"/>
      <c r="AL168" s="2369"/>
      <c r="AM168" s="503"/>
      <c r="AN168" s="498"/>
    </row>
    <row r="169" spans="1:42" s="450" customFormat="1" ht="12.75" customHeight="1">
      <c r="A169" s="436"/>
      <c r="B169" s="439" t="s">
        <v>2209</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6" t="s">
        <v>2210</v>
      </c>
      <c r="D170" s="2396"/>
      <c r="E170" s="2396"/>
      <c r="F170" s="2396"/>
      <c r="G170" s="2396"/>
      <c r="H170" s="2396"/>
      <c r="I170" s="2396"/>
      <c r="J170" s="2396"/>
      <c r="K170" s="2396"/>
      <c r="L170" s="2396"/>
      <c r="M170" s="2396"/>
      <c r="N170" s="2396"/>
      <c r="O170" s="2396"/>
      <c r="P170" s="2396"/>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436"/>
      <c r="AK170" s="436"/>
      <c r="AL170" s="436"/>
      <c r="AM170" s="503"/>
      <c r="AN170" s="497"/>
      <c r="AO170" s="377" t="s">
        <v>548</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2211</v>
      </c>
      <c r="AP171" s="499">
        <v>2</v>
      </c>
    </row>
    <row r="172" spans="1:42" s="450" customFormat="1" ht="12.75" customHeight="1">
      <c r="A172" s="436"/>
      <c r="B172" s="436"/>
      <c r="C172" s="439" t="s">
        <v>2212</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7" t="s">
        <v>813</v>
      </c>
      <c r="AG172" s="2397"/>
      <c r="AH172" s="436"/>
      <c r="AI172" s="436"/>
      <c r="AJ172" s="436"/>
      <c r="AK172" s="436"/>
      <c r="AL172" s="436"/>
      <c r="AM172" s="503"/>
      <c r="AN172" s="497"/>
      <c r="AO172" s="377" t="s">
        <v>2210</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2213</v>
      </c>
      <c r="AP173" s="499">
        <v>3</v>
      </c>
    </row>
    <row r="174" spans="1:42" s="450" customFormat="1" ht="12.75" customHeight="1">
      <c r="A174" s="436"/>
      <c r="B174" s="436"/>
      <c r="C174" s="2396" t="s">
        <v>2198</v>
      </c>
      <c r="D174" s="2396"/>
      <c r="E174" s="2396"/>
      <c r="F174" s="2396"/>
      <c r="G174" s="2396"/>
      <c r="H174" s="2396"/>
      <c r="I174" s="2396"/>
      <c r="J174" s="2396"/>
      <c r="K174" s="2396"/>
      <c r="L174" s="2396"/>
      <c r="M174" s="2396"/>
      <c r="N174" s="2396"/>
      <c r="O174" s="2396"/>
      <c r="P174" s="2396"/>
      <c r="Q174" s="2396"/>
      <c r="R174" s="2396"/>
      <c r="S174" s="2396"/>
      <c r="T174" s="2396"/>
      <c r="U174" s="2396"/>
      <c r="V174" s="2396"/>
      <c r="W174" s="2396"/>
      <c r="X174" s="2396"/>
      <c r="Y174" s="2396"/>
      <c r="Z174" s="2396"/>
      <c r="AA174" s="2396"/>
      <c r="AB174" s="2396"/>
      <c r="AC174" s="2396"/>
      <c r="AD174" s="2396"/>
      <c r="AE174" s="436"/>
      <c r="AF174" s="436"/>
      <c r="AG174" s="436"/>
      <c r="AH174" s="436"/>
      <c r="AI174" s="436"/>
      <c r="AJ174" s="436"/>
      <c r="AK174" s="436"/>
      <c r="AL174" s="436"/>
      <c r="AM174" s="503"/>
      <c r="AN174" s="497"/>
      <c r="AO174" s="502"/>
      <c r="AP174" s="499"/>
    </row>
    <row r="175" spans="1:42" s="450" customFormat="1" ht="12.75" customHeight="1">
      <c r="A175" s="436"/>
      <c r="B175" s="436"/>
      <c r="C175" s="439" t="s">
        <v>2202</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2214</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2198</v>
      </c>
      <c r="AP177" s="377"/>
    </row>
    <row r="178" spans="1:73" s="450" customFormat="1" ht="12.75" customHeight="1">
      <c r="A178" s="436"/>
      <c r="B178" s="436"/>
      <c r="C178" s="2398" t="str">
        <f>Application!AA335</f>
        <v xml:space="preserve">CONAM Management Corporation </v>
      </c>
      <c r="D178" s="2398"/>
      <c r="E178" s="2398"/>
      <c r="F178" s="2398"/>
      <c r="G178" s="2398"/>
      <c r="H178" s="2398"/>
      <c r="I178" s="2398"/>
      <c r="J178" s="2398"/>
      <c r="K178" s="2398"/>
      <c r="L178" s="2398"/>
      <c r="M178" s="2398"/>
      <c r="N178" s="2398"/>
      <c r="O178" s="2398"/>
      <c r="P178" s="2398"/>
      <c r="Q178" s="2398"/>
      <c r="R178" s="2398"/>
      <c r="S178" s="2398"/>
      <c r="T178" s="2398"/>
      <c r="U178" s="2398"/>
      <c r="V178" s="2398"/>
      <c r="W178" s="2398"/>
      <c r="X178" s="2398"/>
      <c r="Y178" s="2398"/>
      <c r="Z178" s="2398"/>
      <c r="AA178" s="2398"/>
      <c r="AB178" s="2398"/>
      <c r="AC178" s="2398"/>
      <c r="AD178" s="2398"/>
      <c r="AE178" s="436"/>
      <c r="AF178" s="436"/>
      <c r="AG178" s="436"/>
      <c r="AH178" s="436"/>
      <c r="AI178" s="436"/>
      <c r="AJ178" s="436"/>
      <c r="AK178" s="436"/>
      <c r="AL178" s="436"/>
      <c r="AM178" s="503"/>
      <c r="AN178" s="497"/>
      <c r="AO178" s="377" t="s">
        <v>2215</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2216</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2217</v>
      </c>
      <c r="AJ180" s="2399">
        <f>IF($AF$172="N/A",VLOOKUP($C$170,$AO$170:$AP$173,2,FALSE),VLOOKUP($C$174,$AO$177:$AP$179,2,FALSE))</f>
        <v>3</v>
      </c>
      <c r="AK180" s="239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2218</v>
      </c>
      <c r="AK183" s="2357">
        <f>$AJ$166+$AJ$180</f>
        <v>10</v>
      </c>
      <c r="AL183" s="2358"/>
      <c r="AM183" s="2359"/>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2219</v>
      </c>
      <c r="AQ185" s="512">
        <v>0</v>
      </c>
    </row>
    <row r="186" spans="1:73" s="450" customFormat="1" ht="12.75" customHeight="1">
      <c r="A186" s="438" t="s">
        <v>2220</v>
      </c>
      <c r="B186" s="438" t="s">
        <v>2221</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4" t="s">
        <v>2148</v>
      </c>
      <c r="AF186" s="2334"/>
      <c r="AG186" s="2334"/>
      <c r="AH186" s="2334"/>
      <c r="AI186" s="2334"/>
      <c r="AJ186" s="2334"/>
      <c r="AK186" s="2334"/>
      <c r="AL186" s="491"/>
      <c r="AN186" s="497"/>
      <c r="AP186" s="450" t="s">
        <v>940</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2222</v>
      </c>
      <c r="AQ187" s="450">
        <v>10</v>
      </c>
    </row>
    <row r="188" spans="1:73" s="450" customFormat="1" ht="12.75" customHeight="1">
      <c r="A188" s="436"/>
      <c r="B188" s="2394" t="s">
        <v>940</v>
      </c>
      <c r="C188" s="2394"/>
      <c r="D188" s="2394"/>
      <c r="E188" s="2394"/>
      <c r="F188" s="2394"/>
      <c r="G188" s="2394"/>
      <c r="H188" s="2394"/>
      <c r="I188" s="2394"/>
      <c r="J188" s="2394"/>
      <c r="K188" s="2394"/>
      <c r="L188" s="2394"/>
      <c r="M188" s="2394"/>
      <c r="N188" s="2394"/>
      <c r="O188" s="2394"/>
      <c r="P188" s="2394"/>
      <c r="Q188" s="2394"/>
      <c r="R188" s="2394"/>
      <c r="S188" s="2394"/>
      <c r="T188" s="2394"/>
      <c r="U188" s="2394"/>
      <c r="V188" s="2394"/>
      <c r="W188" s="2394"/>
      <c r="X188" s="2394"/>
      <c r="Y188" s="2394"/>
      <c r="Z188" s="2394"/>
      <c r="AA188" s="2394"/>
      <c r="AB188" s="2394"/>
      <c r="AC188" s="2394"/>
      <c r="AD188" s="436"/>
      <c r="AE188" s="436"/>
      <c r="AF188" s="2369" t="s">
        <v>2223</v>
      </c>
      <c r="AG188" s="2369"/>
      <c r="AH188" s="2369"/>
      <c r="AI188" s="2369"/>
      <c r="AJ188" s="2369"/>
      <c r="AK188" s="2369"/>
      <c r="AL188" s="2369"/>
      <c r="AN188" s="497"/>
      <c r="AP188" s="450" t="s">
        <v>948</v>
      </c>
      <c r="AQ188" s="450">
        <v>10</v>
      </c>
    </row>
    <row r="189" spans="1:73" s="450" customFormat="1" ht="12.75" customHeight="1">
      <c r="A189" s="436"/>
      <c r="B189" s="2395" t="s">
        <v>2224</v>
      </c>
      <c r="C189" s="2395"/>
      <c r="D189" s="2395"/>
      <c r="E189" s="2395"/>
      <c r="F189" s="2395"/>
      <c r="G189" s="2395"/>
      <c r="H189" s="2395"/>
      <c r="I189" s="2395"/>
      <c r="J189" s="2395"/>
      <c r="K189" s="2395"/>
      <c r="L189" s="2395"/>
      <c r="M189" s="2395"/>
      <c r="N189" s="2395"/>
      <c r="O189" s="2395"/>
      <c r="P189" s="2395"/>
      <c r="Q189" s="2395"/>
      <c r="R189" s="2395"/>
      <c r="S189" s="2395"/>
      <c r="T189" s="2370" t="s">
        <v>813</v>
      </c>
      <c r="U189" s="2370"/>
      <c r="V189" s="2370"/>
      <c r="W189" s="2370"/>
      <c r="X189" s="2370"/>
      <c r="Y189" s="2370"/>
      <c r="Z189" s="2370"/>
      <c r="AA189" s="2370"/>
      <c r="AB189" s="2370"/>
      <c r="AC189" s="2370"/>
      <c r="AD189" s="436"/>
      <c r="AE189" s="436"/>
      <c r="AF189" s="436"/>
      <c r="AG189" s="436"/>
      <c r="AH189" s="436"/>
      <c r="AI189" s="436"/>
      <c r="AJ189" s="443"/>
      <c r="AK189" s="495"/>
      <c r="AL189" s="495"/>
      <c r="AM189" s="495"/>
      <c r="AN189" s="497"/>
      <c r="AP189" s="450" t="s">
        <v>949</v>
      </c>
      <c r="AQ189" s="450">
        <v>10</v>
      </c>
      <c r="AS189" s="450" t="s">
        <v>813</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2225</v>
      </c>
      <c r="AQ190" s="450">
        <v>10</v>
      </c>
      <c r="AS190" s="450" t="s">
        <v>2226</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2227</v>
      </c>
      <c r="AK191" s="2404">
        <f>IF(AK84&gt;0,VLOOKUP($B$188,AP185:AQ191,2,FALSE),0)</f>
        <v>10</v>
      </c>
      <c r="AL191" s="2405"/>
      <c r="AM191" s="2406"/>
      <c r="AN191" s="435"/>
      <c r="AP191" s="450" t="s">
        <v>2228</v>
      </c>
      <c r="AQ191" s="450">
        <v>10</v>
      </c>
      <c r="AS191" s="450" t="s">
        <v>2229</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2230</v>
      </c>
      <c r="B194" s="438" t="s">
        <v>2231</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4" t="s">
        <v>2232</v>
      </c>
      <c r="AF194" s="2334"/>
      <c r="AG194" s="2334"/>
      <c r="AH194" s="2334"/>
      <c r="AI194" s="2334"/>
      <c r="AJ194" s="2334"/>
      <c r="AK194" s="2334"/>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2233</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2234</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1" t="s">
        <v>804</v>
      </c>
      <c r="C199" s="2381"/>
      <c r="D199" s="2381"/>
      <c r="E199" s="2381"/>
      <c r="F199" s="2381"/>
      <c r="G199" s="2381"/>
      <c r="H199" s="2381"/>
      <c r="I199" s="2381"/>
      <c r="J199" s="2381"/>
      <c r="K199" s="2381"/>
      <c r="L199" s="2381"/>
      <c r="M199" s="2381"/>
      <c r="N199" s="2381"/>
      <c r="O199" s="2381"/>
      <c r="P199" s="2381"/>
      <c r="Q199" s="2381"/>
      <c r="R199" s="2381"/>
      <c r="S199" s="2381"/>
      <c r="T199" s="2381"/>
      <c r="U199" s="2381"/>
      <c r="V199" s="2381"/>
      <c r="W199" s="2381"/>
      <c r="X199" s="2381"/>
      <c r="Y199" s="2381"/>
      <c r="Z199" s="2381"/>
      <c r="AA199" s="2381"/>
      <c r="AB199" s="2381"/>
      <c r="AC199" s="746"/>
      <c r="AD199" s="2382">
        <v>6000000</v>
      </c>
      <c r="AE199" s="2382"/>
      <c r="AF199" s="2382"/>
      <c r="AG199" s="2382"/>
      <c r="AH199" s="2382"/>
      <c r="AI199" s="2382"/>
      <c r="AJ199" s="2382"/>
      <c r="AK199" s="510"/>
    </row>
    <row r="200" spans="1:40">
      <c r="A200" s="505"/>
      <c r="B200" s="2381" t="s">
        <v>2235</v>
      </c>
      <c r="C200" s="2381"/>
      <c r="D200" s="2381"/>
      <c r="E200" s="2381"/>
      <c r="F200" s="2381"/>
      <c r="G200" s="2381"/>
      <c r="H200" s="2381"/>
      <c r="I200" s="2381"/>
      <c r="J200" s="2381"/>
      <c r="K200" s="2381"/>
      <c r="L200" s="2381"/>
      <c r="M200" s="2381"/>
      <c r="N200" s="2381"/>
      <c r="O200" s="2381"/>
      <c r="P200" s="2381"/>
      <c r="Q200" s="2381"/>
      <c r="R200" s="2381"/>
      <c r="S200" s="2381"/>
      <c r="T200" s="2381"/>
      <c r="U200" s="2381"/>
      <c r="V200" s="2381"/>
      <c r="W200" s="2381"/>
      <c r="X200" s="2381"/>
      <c r="Y200" s="2381"/>
      <c r="Z200" s="2381"/>
      <c r="AA200" s="2381"/>
      <c r="AB200" s="2381"/>
      <c r="AC200" s="746"/>
      <c r="AD200" s="2382">
        <v>15000000</v>
      </c>
      <c r="AE200" s="2382"/>
      <c r="AF200" s="2382"/>
      <c r="AG200" s="2382"/>
      <c r="AH200" s="2382"/>
      <c r="AI200" s="2382"/>
      <c r="AJ200" s="2382"/>
      <c r="AK200" s="510"/>
    </row>
    <row r="201" spans="1:40">
      <c r="A201" s="505"/>
      <c r="B201" s="2381"/>
      <c r="C201" s="2381"/>
      <c r="D201" s="2381"/>
      <c r="E201" s="2381"/>
      <c r="F201" s="2381"/>
      <c r="G201" s="2381"/>
      <c r="H201" s="2381"/>
      <c r="I201" s="2381"/>
      <c r="J201" s="2381"/>
      <c r="K201" s="2381"/>
      <c r="L201" s="2381"/>
      <c r="M201" s="2381"/>
      <c r="N201" s="2381"/>
      <c r="O201" s="2381"/>
      <c r="P201" s="2381"/>
      <c r="Q201" s="2381"/>
      <c r="R201" s="2381"/>
      <c r="S201" s="2381"/>
      <c r="T201" s="2381"/>
      <c r="U201" s="2381"/>
      <c r="V201" s="2381"/>
      <c r="W201" s="2381"/>
      <c r="X201" s="2381"/>
      <c r="Y201" s="2381"/>
      <c r="Z201" s="2381"/>
      <c r="AA201" s="2381"/>
      <c r="AB201" s="2381"/>
      <c r="AC201" s="746"/>
      <c r="AD201" s="2382"/>
      <c r="AE201" s="2382"/>
      <c r="AF201" s="2382"/>
      <c r="AG201" s="2382"/>
      <c r="AH201" s="2382"/>
      <c r="AI201" s="2382"/>
      <c r="AJ201" s="2382"/>
      <c r="AK201" s="510"/>
    </row>
    <row r="202" spans="1:40">
      <c r="A202" s="505"/>
      <c r="B202" s="2381"/>
      <c r="C202" s="2381"/>
      <c r="D202" s="2381"/>
      <c r="E202" s="2381"/>
      <c r="F202" s="2381"/>
      <c r="G202" s="2381"/>
      <c r="H202" s="2381"/>
      <c r="I202" s="2381"/>
      <c r="J202" s="2381"/>
      <c r="K202" s="2381"/>
      <c r="L202" s="2381"/>
      <c r="M202" s="2381"/>
      <c r="N202" s="2381"/>
      <c r="O202" s="2381"/>
      <c r="P202" s="2381"/>
      <c r="Q202" s="2381"/>
      <c r="R202" s="2381"/>
      <c r="S202" s="2381"/>
      <c r="T202" s="2381"/>
      <c r="U202" s="2381"/>
      <c r="V202" s="2381"/>
      <c r="W202" s="2381"/>
      <c r="X202" s="2381"/>
      <c r="Y202" s="2381"/>
      <c r="Z202" s="2381"/>
      <c r="AA202" s="2381"/>
      <c r="AB202" s="2381"/>
      <c r="AC202" s="746"/>
      <c r="AD202" s="2382"/>
      <c r="AE202" s="2382"/>
      <c r="AF202" s="2382"/>
      <c r="AG202" s="2382"/>
      <c r="AH202" s="2382"/>
      <c r="AI202" s="2382"/>
      <c r="AJ202" s="2382"/>
      <c r="AK202" s="510"/>
    </row>
    <row r="203" spans="1:40">
      <c r="A203" s="505"/>
      <c r="B203" s="2381"/>
      <c r="C203" s="2381"/>
      <c r="D203" s="2381"/>
      <c r="E203" s="2381"/>
      <c r="F203" s="2381"/>
      <c r="G203" s="2381"/>
      <c r="H203" s="2381"/>
      <c r="I203" s="2381"/>
      <c r="J203" s="2381"/>
      <c r="K203" s="2381"/>
      <c r="L203" s="2381"/>
      <c r="M203" s="2381"/>
      <c r="N203" s="2381"/>
      <c r="O203" s="2381"/>
      <c r="P203" s="2381"/>
      <c r="Q203" s="2381"/>
      <c r="R203" s="2381"/>
      <c r="S203" s="2381"/>
      <c r="T203" s="2381"/>
      <c r="U203" s="2381"/>
      <c r="V203" s="2381"/>
      <c r="W203" s="2381"/>
      <c r="X203" s="2381"/>
      <c r="Y203" s="2381"/>
      <c r="Z203" s="2381"/>
      <c r="AA203" s="2381"/>
      <c r="AB203" s="2381"/>
      <c r="AC203" s="746"/>
      <c r="AD203" s="2382"/>
      <c r="AE203" s="2382"/>
      <c r="AF203" s="2382"/>
      <c r="AG203" s="2382"/>
      <c r="AH203" s="2382"/>
      <c r="AI203" s="2382"/>
      <c r="AJ203" s="2382"/>
      <c r="AK203" s="510"/>
    </row>
    <row r="204" spans="1:40">
      <c r="A204" s="505"/>
      <c r="B204" s="2381"/>
      <c r="C204" s="2381"/>
      <c r="D204" s="2381"/>
      <c r="E204" s="2381"/>
      <c r="F204" s="2381"/>
      <c r="G204" s="2381"/>
      <c r="H204" s="2381"/>
      <c r="I204" s="2381"/>
      <c r="J204" s="2381"/>
      <c r="K204" s="2381"/>
      <c r="L204" s="2381"/>
      <c r="M204" s="2381"/>
      <c r="N204" s="2381"/>
      <c r="O204" s="2381"/>
      <c r="P204" s="2381"/>
      <c r="Q204" s="2381"/>
      <c r="R204" s="2381"/>
      <c r="S204" s="2381"/>
      <c r="T204" s="2381"/>
      <c r="U204" s="2381"/>
      <c r="V204" s="2381"/>
      <c r="W204" s="2381"/>
      <c r="X204" s="2381"/>
      <c r="Y204" s="2381"/>
      <c r="Z204" s="2381"/>
      <c r="AA204" s="2381"/>
      <c r="AB204" s="2381"/>
      <c r="AC204" s="746"/>
      <c r="AD204" s="2382"/>
      <c r="AE204" s="2382"/>
      <c r="AF204" s="2382"/>
      <c r="AG204" s="2382"/>
      <c r="AH204" s="2382"/>
      <c r="AI204" s="2382"/>
      <c r="AJ204" s="2382"/>
      <c r="AK204" s="510"/>
    </row>
    <row r="205" spans="1:40">
      <c r="A205" s="505"/>
      <c r="B205" s="2381"/>
      <c r="C205" s="2381"/>
      <c r="D205" s="2381"/>
      <c r="E205" s="2381"/>
      <c r="F205" s="2381"/>
      <c r="G205" s="2381"/>
      <c r="H205" s="2381"/>
      <c r="I205" s="2381"/>
      <c r="J205" s="2381"/>
      <c r="K205" s="2381"/>
      <c r="L205" s="2381"/>
      <c r="M205" s="2381"/>
      <c r="N205" s="2381"/>
      <c r="O205" s="2381"/>
      <c r="P205" s="2381"/>
      <c r="Q205" s="2381"/>
      <c r="R205" s="2381"/>
      <c r="S205" s="2381"/>
      <c r="T205" s="2381"/>
      <c r="U205" s="2381"/>
      <c r="V205" s="2381"/>
      <c r="W205" s="2381"/>
      <c r="X205" s="2381"/>
      <c r="Y205" s="2381"/>
      <c r="Z205" s="2381"/>
      <c r="AA205" s="2381"/>
      <c r="AB205" s="2381"/>
      <c r="AC205" s="746"/>
      <c r="AD205" s="2382"/>
      <c r="AE205" s="2382"/>
      <c r="AF205" s="2382"/>
      <c r="AG205" s="2382"/>
      <c r="AH205" s="2382"/>
      <c r="AI205" s="2382"/>
      <c r="AJ205" s="2382"/>
      <c r="AK205" s="510"/>
    </row>
    <row r="206" spans="1:40">
      <c r="A206" s="505"/>
      <c r="B206" s="2381"/>
      <c r="C206" s="2381"/>
      <c r="D206" s="2381"/>
      <c r="E206" s="2381"/>
      <c r="F206" s="2381"/>
      <c r="G206" s="2381"/>
      <c r="H206" s="2381"/>
      <c r="I206" s="2381"/>
      <c r="J206" s="2381"/>
      <c r="K206" s="2381"/>
      <c r="L206" s="2381"/>
      <c r="M206" s="2381"/>
      <c r="N206" s="2381"/>
      <c r="O206" s="2381"/>
      <c r="P206" s="2381"/>
      <c r="Q206" s="2381"/>
      <c r="R206" s="2381"/>
      <c r="S206" s="2381"/>
      <c r="T206" s="2381"/>
      <c r="U206" s="2381"/>
      <c r="V206" s="2381"/>
      <c r="W206" s="2381"/>
      <c r="X206" s="2381"/>
      <c r="Y206" s="2381"/>
      <c r="Z206" s="2381"/>
      <c r="AA206" s="2381"/>
      <c r="AB206" s="2381"/>
      <c r="AC206" s="746"/>
      <c r="AD206" s="2382"/>
      <c r="AE206" s="2382"/>
      <c r="AF206" s="2382"/>
      <c r="AG206" s="2382"/>
      <c r="AH206" s="2382"/>
      <c r="AI206" s="2382"/>
      <c r="AJ206" s="2382"/>
      <c r="AK206" s="510"/>
    </row>
    <row r="207" spans="1:40">
      <c r="A207" s="505"/>
      <c r="B207" s="2381"/>
      <c r="C207" s="2381"/>
      <c r="D207" s="2381"/>
      <c r="E207" s="2381"/>
      <c r="F207" s="2381"/>
      <c r="G207" s="2381"/>
      <c r="H207" s="2381"/>
      <c r="I207" s="2381"/>
      <c r="J207" s="2381"/>
      <c r="K207" s="2381"/>
      <c r="L207" s="2381"/>
      <c r="M207" s="2381"/>
      <c r="N207" s="2381"/>
      <c r="O207" s="2381"/>
      <c r="P207" s="2381"/>
      <c r="Q207" s="2381"/>
      <c r="R207" s="2381"/>
      <c r="S207" s="2381"/>
      <c r="T207" s="2381"/>
      <c r="U207" s="2381"/>
      <c r="V207" s="2381"/>
      <c r="W207" s="2381"/>
      <c r="X207" s="2381"/>
      <c r="Y207" s="2381"/>
      <c r="Z207" s="2381"/>
      <c r="AA207" s="2381"/>
      <c r="AB207" s="2381"/>
      <c r="AC207" s="746"/>
      <c r="AD207" s="2382"/>
      <c r="AE207" s="2382"/>
      <c r="AF207" s="2382"/>
      <c r="AG207" s="2382"/>
      <c r="AH207" s="2382"/>
      <c r="AI207" s="2382"/>
      <c r="AJ207" s="2382"/>
      <c r="AK207" s="510"/>
    </row>
    <row r="208" spans="1:40">
      <c r="A208" s="505"/>
      <c r="B208" s="2381"/>
      <c r="C208" s="2381"/>
      <c r="D208" s="2381"/>
      <c r="E208" s="2381"/>
      <c r="F208" s="2381"/>
      <c r="G208" s="2381"/>
      <c r="H208" s="2381"/>
      <c r="I208" s="2381"/>
      <c r="J208" s="2381"/>
      <c r="K208" s="2381"/>
      <c r="L208" s="2381"/>
      <c r="M208" s="2381"/>
      <c r="N208" s="2381"/>
      <c r="O208" s="2381"/>
      <c r="P208" s="2381"/>
      <c r="Q208" s="2381"/>
      <c r="R208" s="2381"/>
      <c r="S208" s="2381"/>
      <c r="T208" s="2381"/>
      <c r="U208" s="2381"/>
      <c r="V208" s="2381"/>
      <c r="W208" s="2381"/>
      <c r="X208" s="2381"/>
      <c r="Y208" s="2381"/>
      <c r="Z208" s="2381"/>
      <c r="AA208" s="2381"/>
      <c r="AB208" s="2381"/>
      <c r="AC208" s="746"/>
      <c r="AD208" s="2382"/>
      <c r="AE208" s="2382"/>
      <c r="AF208" s="2382"/>
      <c r="AG208" s="2382"/>
      <c r="AH208" s="2382"/>
      <c r="AI208" s="2382"/>
      <c r="AJ208" s="2382"/>
      <c r="AK208" s="510"/>
    </row>
    <row r="209" spans="1:37">
      <c r="A209" s="505"/>
      <c r="B209" s="2392" t="s">
        <v>2236</v>
      </c>
      <c r="C209" s="2392"/>
      <c r="D209" s="2392"/>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c r="Z209" s="2392"/>
      <c r="AA209" s="2392"/>
      <c r="AB209" s="2392"/>
      <c r="AC209" s="436"/>
      <c r="AD209" s="2411">
        <f>AB260</f>
        <v>16583879.805892589</v>
      </c>
      <c r="AE209" s="2411"/>
      <c r="AF209" s="2411"/>
      <c r="AG209" s="2411"/>
      <c r="AH209" s="2411"/>
      <c r="AI209" s="2411"/>
      <c r="AJ209" s="2411"/>
      <c r="AK209" s="510"/>
    </row>
    <row r="210" spans="1:37">
      <c r="A210" s="505"/>
      <c r="B210" s="2538" t="s">
        <v>2237</v>
      </c>
      <c r="C210" s="2538"/>
      <c r="D210" s="2538"/>
      <c r="E210" s="2538"/>
      <c r="F210" s="2538"/>
      <c r="G210" s="2538"/>
      <c r="H210" s="2538"/>
      <c r="I210" s="2538"/>
      <c r="J210" s="2538"/>
      <c r="K210" s="2538"/>
      <c r="L210" s="2538"/>
      <c r="M210" s="2538"/>
      <c r="N210" s="2538"/>
      <c r="O210" s="2538"/>
      <c r="P210" s="2538"/>
      <c r="Q210" s="2538"/>
      <c r="R210" s="2538"/>
      <c r="S210" s="2538"/>
      <c r="T210" s="2538"/>
      <c r="U210" s="2538"/>
      <c r="V210" s="2538"/>
      <c r="W210" s="2538"/>
      <c r="X210" s="2538"/>
      <c r="Y210" s="2538"/>
      <c r="Z210" s="2538"/>
      <c r="AA210" s="2538"/>
      <c r="AB210" s="2538"/>
      <c r="AC210" s="746"/>
      <c r="AD210" s="2412">
        <f>'Sources and Uses Budget'!B15</f>
        <v>0</v>
      </c>
      <c r="AE210" s="2412"/>
      <c r="AF210" s="2412"/>
      <c r="AG210" s="2412"/>
      <c r="AH210" s="2412"/>
      <c r="AI210" s="2412"/>
      <c r="AJ210" s="2412"/>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1482</v>
      </c>
      <c r="AC211" s="436"/>
      <c r="AD211" s="2416">
        <f>SUM(AD199:AJ209)-AD210</f>
        <v>37583879.805892587</v>
      </c>
      <c r="AE211" s="2416"/>
      <c r="AF211" s="2416"/>
      <c r="AG211" s="2416"/>
      <c r="AH211" s="2416"/>
      <c r="AI211" s="2416"/>
      <c r="AJ211" s="2416"/>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2238</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2239</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2240</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2241</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2242</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2243</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2244</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2245</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5" t="s">
        <v>2246</v>
      </c>
      <c r="J222" s="2385"/>
      <c r="K222" s="2385"/>
      <c r="L222" s="436"/>
      <c r="M222" s="436"/>
      <c r="N222" s="436"/>
      <c r="O222" s="436"/>
      <c r="P222" s="436"/>
      <c r="Q222" s="436"/>
      <c r="R222" s="436"/>
      <c r="S222" s="436"/>
      <c r="T222" s="2573" t="s">
        <v>2247</v>
      </c>
      <c r="U222" s="2573"/>
      <c r="V222" s="2573"/>
      <c r="W222" s="2573"/>
      <c r="X222" s="2573"/>
      <c r="Y222" s="2573"/>
      <c r="Z222" s="749"/>
      <c r="AA222" s="390"/>
      <c r="AB222" s="2380" t="s">
        <v>2248</v>
      </c>
      <c r="AC222" s="2380"/>
      <c r="AD222" s="2380"/>
      <c r="AE222" s="2380"/>
      <c r="AF222" s="2380"/>
      <c r="AG222" s="2380"/>
      <c r="AH222" s="727"/>
      <c r="AI222" s="727"/>
      <c r="AJ222" s="727"/>
      <c r="AK222" s="510"/>
    </row>
    <row r="223" spans="1:37">
      <c r="A223" s="505"/>
      <c r="B223" s="2383" t="s">
        <v>2249</v>
      </c>
      <c r="C223" s="2383"/>
      <c r="D223" s="2383"/>
      <c r="E223" s="2383"/>
      <c r="F223" s="2383"/>
      <c r="G223" s="2383"/>
      <c r="I223" s="2384" t="s">
        <v>2250</v>
      </c>
      <c r="J223" s="2384"/>
      <c r="K223" s="2384"/>
      <c r="L223" s="902"/>
      <c r="N223" s="2390" t="s">
        <v>2251</v>
      </c>
      <c r="O223" s="2390"/>
      <c r="P223" s="2390"/>
      <c r="Q223" s="2390"/>
      <c r="R223" s="2390"/>
      <c r="T223" s="2390" t="s">
        <v>2252</v>
      </c>
      <c r="U223" s="2390"/>
      <c r="V223" s="2390"/>
      <c r="W223" s="2390"/>
      <c r="X223" s="2390"/>
      <c r="Y223" s="2390"/>
      <c r="Z223" s="750"/>
      <c r="AA223" s="390"/>
      <c r="AB223" s="2527" t="s">
        <v>2253</v>
      </c>
      <c r="AC223" s="2527"/>
      <c r="AD223" s="2527"/>
      <c r="AE223" s="2527"/>
      <c r="AF223" s="2527"/>
      <c r="AG223" s="2527"/>
      <c r="AH223" s="727"/>
      <c r="AI223" s="727"/>
      <c r="AJ223" s="727"/>
      <c r="AK223" s="510"/>
    </row>
    <row r="224" spans="1:37">
      <c r="A224" s="505"/>
      <c r="B224" s="2387" t="s">
        <v>2254</v>
      </c>
      <c r="C224" s="2387"/>
      <c r="D224" s="2387"/>
      <c r="E224" s="2387"/>
      <c r="F224" s="2387"/>
      <c r="G224" s="2387"/>
      <c r="H224" s="752"/>
      <c r="I224" s="2386">
        <v>11</v>
      </c>
      <c r="J224" s="2386"/>
      <c r="K224" s="2386"/>
      <c r="L224" s="902"/>
      <c r="N224" s="2391">
        <v>1035</v>
      </c>
      <c r="O224" s="2391"/>
      <c r="P224" s="2391"/>
      <c r="Q224" s="2391"/>
      <c r="R224" s="2391"/>
      <c r="T224" s="2539">
        <v>2839</v>
      </c>
      <c r="U224" s="2539"/>
      <c r="V224" s="2539"/>
      <c r="W224" s="2539"/>
      <c r="X224" s="2539"/>
      <c r="Y224" s="2539"/>
      <c r="Z224" s="751"/>
      <c r="AA224" s="751"/>
      <c r="AB224" s="2388">
        <f t="shared" ref="AB224:AB233" si="0">MAX(($T224-$N224)*$I224*12,0)</f>
        <v>238128</v>
      </c>
      <c r="AC224" s="2388"/>
      <c r="AD224" s="2388"/>
      <c r="AE224" s="2388"/>
      <c r="AF224" s="2388"/>
      <c r="AG224" s="2388"/>
      <c r="AH224" s="727"/>
      <c r="AI224" s="727"/>
      <c r="AJ224" s="727"/>
      <c r="AK224" s="510"/>
    </row>
    <row r="225" spans="1:37">
      <c r="A225" s="505"/>
      <c r="B225" s="2387" t="s">
        <v>2254</v>
      </c>
      <c r="C225" s="2387"/>
      <c r="D225" s="2387"/>
      <c r="E225" s="2387"/>
      <c r="F225" s="2387"/>
      <c r="G225" s="2387"/>
      <c r="I225" s="2386">
        <v>5</v>
      </c>
      <c r="J225" s="2386"/>
      <c r="K225" s="2386"/>
      <c r="L225" s="902"/>
      <c r="N225" s="2391">
        <v>1035</v>
      </c>
      <c r="O225" s="2391"/>
      <c r="P225" s="2391"/>
      <c r="Q225" s="2391"/>
      <c r="R225" s="2391"/>
      <c r="T225" s="2539">
        <v>2594</v>
      </c>
      <c r="U225" s="2539"/>
      <c r="V225" s="2539"/>
      <c r="W225" s="2539"/>
      <c r="X225" s="2539"/>
      <c r="Y225" s="2539"/>
      <c r="Z225" s="751"/>
      <c r="AA225" s="751"/>
      <c r="AB225" s="2388">
        <f t="shared" si="0"/>
        <v>93540</v>
      </c>
      <c r="AC225" s="2388"/>
      <c r="AD225" s="2388"/>
      <c r="AE225" s="2388"/>
      <c r="AF225" s="2388"/>
      <c r="AG225" s="2388"/>
      <c r="AH225" s="727"/>
      <c r="AI225" s="727"/>
      <c r="AJ225" s="727"/>
      <c r="AK225" s="510"/>
    </row>
    <row r="226" spans="1:37">
      <c r="A226" s="505"/>
      <c r="B226" s="2387" t="s">
        <v>2255</v>
      </c>
      <c r="C226" s="2387"/>
      <c r="D226" s="2387"/>
      <c r="E226" s="2387"/>
      <c r="F226" s="2387"/>
      <c r="G226" s="2387"/>
      <c r="I226" s="2386">
        <v>15</v>
      </c>
      <c r="J226" s="2386"/>
      <c r="K226" s="2386"/>
      <c r="L226" s="902"/>
      <c r="N226" s="2391">
        <v>1227</v>
      </c>
      <c r="O226" s="2391"/>
      <c r="P226" s="2391"/>
      <c r="Q226" s="2391"/>
      <c r="R226" s="2391"/>
      <c r="T226" s="2539">
        <v>3262</v>
      </c>
      <c r="U226" s="2539"/>
      <c r="V226" s="2539"/>
      <c r="W226" s="2539"/>
      <c r="X226" s="2539"/>
      <c r="Y226" s="2539"/>
      <c r="Z226" s="751"/>
      <c r="AA226" s="751"/>
      <c r="AB226" s="2388">
        <f t="shared" si="0"/>
        <v>366300</v>
      </c>
      <c r="AC226" s="2388"/>
      <c r="AD226" s="2388"/>
      <c r="AE226" s="2388"/>
      <c r="AF226" s="2388"/>
      <c r="AG226" s="2388"/>
      <c r="AH226" s="727"/>
      <c r="AI226" s="727"/>
      <c r="AJ226" s="727"/>
      <c r="AK226" s="510"/>
    </row>
    <row r="227" spans="1:37">
      <c r="A227" s="505"/>
      <c r="B227" s="2387" t="s">
        <v>2256</v>
      </c>
      <c r="C227" s="2387"/>
      <c r="D227" s="2387"/>
      <c r="E227" s="2387"/>
      <c r="F227" s="2387"/>
      <c r="G227" s="2387"/>
      <c r="I227" s="2386">
        <v>30</v>
      </c>
      <c r="J227" s="2386"/>
      <c r="K227" s="2386"/>
      <c r="L227" s="902"/>
      <c r="N227" s="2391">
        <v>1398</v>
      </c>
      <c r="O227" s="2391"/>
      <c r="P227" s="2391"/>
      <c r="Q227" s="2391"/>
      <c r="R227" s="2391"/>
      <c r="T227" s="2539">
        <v>4409</v>
      </c>
      <c r="U227" s="2539"/>
      <c r="V227" s="2539"/>
      <c r="W227" s="2539"/>
      <c r="X227" s="2539"/>
      <c r="Y227" s="2539"/>
      <c r="Z227" s="751"/>
      <c r="AA227" s="751"/>
      <c r="AB227" s="2388">
        <f t="shared" si="0"/>
        <v>1083960</v>
      </c>
      <c r="AC227" s="2388"/>
      <c r="AD227" s="2388"/>
      <c r="AE227" s="2388"/>
      <c r="AF227" s="2388"/>
      <c r="AG227" s="2388"/>
      <c r="AH227" s="727"/>
      <c r="AI227" s="727"/>
      <c r="AJ227" s="727"/>
      <c r="AK227" s="510"/>
    </row>
    <row r="228" spans="1:37">
      <c r="A228" s="505"/>
      <c r="B228" s="2387" t="s">
        <v>1003</v>
      </c>
      <c r="C228" s="2387"/>
      <c r="D228" s="2387"/>
      <c r="E228" s="2387"/>
      <c r="F228" s="2387"/>
      <c r="G228" s="2387"/>
      <c r="I228" s="2386"/>
      <c r="J228" s="2386"/>
      <c r="K228" s="2386"/>
      <c r="L228" s="907"/>
      <c r="N228" s="2391"/>
      <c r="O228" s="2391"/>
      <c r="P228" s="2391"/>
      <c r="Q228" s="2391"/>
      <c r="R228" s="2391"/>
      <c r="T228" s="2539"/>
      <c r="U228" s="2539"/>
      <c r="V228" s="2539"/>
      <c r="W228" s="2539"/>
      <c r="X228" s="2539"/>
      <c r="Y228" s="2539"/>
      <c r="Z228" s="751"/>
      <c r="AA228" s="751"/>
      <c r="AB228" s="2388">
        <f t="shared" si="0"/>
        <v>0</v>
      </c>
      <c r="AC228" s="2388"/>
      <c r="AD228" s="2388"/>
      <c r="AE228" s="2388"/>
      <c r="AF228" s="2388"/>
      <c r="AG228" s="2388"/>
      <c r="AH228" s="727"/>
      <c r="AI228" s="727"/>
      <c r="AJ228" s="727"/>
      <c r="AK228" s="510"/>
    </row>
    <row r="229" spans="1:37">
      <c r="A229" s="505"/>
      <c r="B229" s="2387" t="s">
        <v>1003</v>
      </c>
      <c r="C229" s="2387"/>
      <c r="D229" s="2387"/>
      <c r="E229" s="2387"/>
      <c r="F229" s="2387"/>
      <c r="G229" s="2387"/>
      <c r="I229" s="2386"/>
      <c r="J229" s="2386"/>
      <c r="K229" s="2386"/>
      <c r="L229" s="907"/>
      <c r="N229" s="2391"/>
      <c r="O229" s="2391"/>
      <c r="P229" s="2391"/>
      <c r="Q229" s="2391"/>
      <c r="R229" s="2391"/>
      <c r="T229" s="2539"/>
      <c r="U229" s="2539"/>
      <c r="V229" s="2539"/>
      <c r="W229" s="2539"/>
      <c r="X229" s="2539"/>
      <c r="Y229" s="2539"/>
      <c r="Z229" s="751"/>
      <c r="AA229" s="751"/>
      <c r="AB229" s="2388">
        <f t="shared" si="0"/>
        <v>0</v>
      </c>
      <c r="AC229" s="2388"/>
      <c r="AD229" s="2388"/>
      <c r="AE229" s="2388"/>
      <c r="AF229" s="2388"/>
      <c r="AG229" s="2388"/>
      <c r="AH229" s="727"/>
      <c r="AI229" s="727"/>
      <c r="AJ229" s="727"/>
      <c r="AK229" s="510"/>
    </row>
    <row r="230" spans="1:37">
      <c r="A230" s="505"/>
      <c r="B230" s="2387" t="s">
        <v>1003</v>
      </c>
      <c r="C230" s="2387"/>
      <c r="D230" s="2387"/>
      <c r="E230" s="2387"/>
      <c r="F230" s="2387"/>
      <c r="G230" s="2387"/>
      <c r="I230" s="2386"/>
      <c r="J230" s="2386"/>
      <c r="K230" s="2386"/>
      <c r="L230" s="907"/>
      <c r="N230" s="2391"/>
      <c r="O230" s="2391"/>
      <c r="P230" s="2391"/>
      <c r="Q230" s="2391"/>
      <c r="R230" s="2391"/>
      <c r="T230" s="2539"/>
      <c r="U230" s="2539"/>
      <c r="V230" s="2539"/>
      <c r="W230" s="2539"/>
      <c r="X230" s="2539"/>
      <c r="Y230" s="2539"/>
      <c r="Z230" s="751"/>
      <c r="AA230" s="751"/>
      <c r="AB230" s="2388">
        <f t="shared" si="0"/>
        <v>0</v>
      </c>
      <c r="AC230" s="2388"/>
      <c r="AD230" s="2388"/>
      <c r="AE230" s="2388"/>
      <c r="AF230" s="2388"/>
      <c r="AG230" s="2388"/>
      <c r="AH230" s="727"/>
      <c r="AI230" s="727"/>
      <c r="AJ230" s="727"/>
      <c r="AK230" s="510"/>
    </row>
    <row r="231" spans="1:37">
      <c r="A231" s="505"/>
      <c r="B231" s="2387" t="s">
        <v>1003</v>
      </c>
      <c r="C231" s="2387"/>
      <c r="D231" s="2387"/>
      <c r="E231" s="2387"/>
      <c r="F231" s="2387"/>
      <c r="G231" s="2387"/>
      <c r="I231" s="2386"/>
      <c r="J231" s="2386"/>
      <c r="K231" s="2386"/>
      <c r="L231" s="907"/>
      <c r="N231" s="2391"/>
      <c r="O231" s="2391"/>
      <c r="P231" s="2391"/>
      <c r="Q231" s="2391"/>
      <c r="R231" s="2391"/>
      <c r="T231" s="2539"/>
      <c r="U231" s="2539"/>
      <c r="V231" s="2539"/>
      <c r="W231" s="2539"/>
      <c r="X231" s="2539"/>
      <c r="Y231" s="2539"/>
      <c r="Z231" s="751"/>
      <c r="AA231" s="751"/>
      <c r="AB231" s="2388">
        <f t="shared" si="0"/>
        <v>0</v>
      </c>
      <c r="AC231" s="2388"/>
      <c r="AD231" s="2388"/>
      <c r="AE231" s="2388"/>
      <c r="AF231" s="2388"/>
      <c r="AG231" s="2388"/>
      <c r="AH231" s="727"/>
      <c r="AI231" s="727"/>
      <c r="AJ231" s="727"/>
      <c r="AK231" s="510"/>
    </row>
    <row r="232" spans="1:37">
      <c r="A232" s="505"/>
      <c r="B232" s="2387" t="s">
        <v>1003</v>
      </c>
      <c r="C232" s="2387"/>
      <c r="D232" s="2387"/>
      <c r="E232" s="2387"/>
      <c r="F232" s="2387"/>
      <c r="G232" s="2387"/>
      <c r="I232" s="2386"/>
      <c r="J232" s="2386"/>
      <c r="K232" s="2386"/>
      <c r="L232" s="907"/>
      <c r="N232" s="2391"/>
      <c r="O232" s="2391"/>
      <c r="P232" s="2391"/>
      <c r="Q232" s="2391"/>
      <c r="R232" s="2391"/>
      <c r="T232" s="2539"/>
      <c r="U232" s="2539"/>
      <c r="V232" s="2539"/>
      <c r="W232" s="2539"/>
      <c r="X232" s="2539"/>
      <c r="Y232" s="2539"/>
      <c r="Z232" s="751"/>
      <c r="AA232" s="751"/>
      <c r="AB232" s="2388">
        <f t="shared" si="0"/>
        <v>0</v>
      </c>
      <c r="AC232" s="2388"/>
      <c r="AD232" s="2388"/>
      <c r="AE232" s="2388"/>
      <c r="AF232" s="2388"/>
      <c r="AG232" s="2388"/>
      <c r="AH232" s="727"/>
      <c r="AI232" s="727"/>
      <c r="AJ232" s="727"/>
      <c r="AK232" s="510"/>
    </row>
    <row r="233" spans="1:37">
      <c r="A233" s="505"/>
      <c r="B233" s="2387" t="s">
        <v>1003</v>
      </c>
      <c r="C233" s="2387"/>
      <c r="D233" s="2387"/>
      <c r="E233" s="2387"/>
      <c r="F233" s="2387"/>
      <c r="G233" s="2387"/>
      <c r="I233" s="2389"/>
      <c r="J233" s="2389"/>
      <c r="K233" s="2389"/>
      <c r="L233" s="907"/>
      <c r="N233" s="2391"/>
      <c r="O233" s="2391"/>
      <c r="P233" s="2391"/>
      <c r="Q233" s="2391"/>
      <c r="R233" s="2391"/>
      <c r="T233" s="2539"/>
      <c r="U233" s="2539"/>
      <c r="V233" s="2539"/>
      <c r="W233" s="2539"/>
      <c r="X233" s="2539"/>
      <c r="Y233" s="2539"/>
      <c r="Z233" s="751"/>
      <c r="AA233" s="751"/>
      <c r="AB233" s="2537">
        <f t="shared" si="0"/>
        <v>0</v>
      </c>
      <c r="AC233" s="2537"/>
      <c r="AD233" s="2537"/>
      <c r="AE233" s="2537"/>
      <c r="AF233" s="2537"/>
      <c r="AG233" s="2537"/>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2257</v>
      </c>
      <c r="AA234" s="753"/>
      <c r="AB234" s="2388">
        <f>SUM(AB224:AB233)</f>
        <v>1781928</v>
      </c>
      <c r="AC234" s="2388"/>
      <c r="AD234" s="2388"/>
      <c r="AE234" s="2388"/>
      <c r="AF234" s="2388"/>
      <c r="AG234" s="2388"/>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2258</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2259</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2260</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2261</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0"/>
      <c r="AC240" s="2540"/>
      <c r="AD240" s="2540"/>
      <c r="AE240" s="2540"/>
      <c r="AF240" s="2540"/>
      <c r="AG240" s="2540"/>
      <c r="AH240" s="510"/>
      <c r="AI240" s="510"/>
      <c r="AJ240" s="510"/>
      <c r="AK240" s="510"/>
    </row>
    <row r="241" spans="1:37">
      <c r="A241" s="505"/>
      <c r="B241" s="737" t="s">
        <v>2262</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2263</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2264</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0"/>
      <c r="AC243" s="2540"/>
      <c r="AD243" s="2540"/>
      <c r="AE243" s="2540"/>
      <c r="AF243" s="2540"/>
      <c r="AG243" s="2540"/>
      <c r="AH243" s="510"/>
      <c r="AI243" s="510"/>
      <c r="AJ243" s="510"/>
      <c r="AK243" s="510"/>
    </row>
    <row r="244" spans="1:37">
      <c r="A244" s="505"/>
      <c r="B244" s="738" t="s">
        <v>2265</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2"/>
      <c r="AC244" s="2572"/>
      <c r="AD244" s="2572"/>
      <c r="AE244" s="2572"/>
      <c r="AF244" s="2572"/>
      <c r="AG244" s="2572"/>
      <c r="AH244" s="510"/>
      <c r="AI244" s="510"/>
      <c r="AJ244" s="510"/>
      <c r="AK244" s="510"/>
    </row>
    <row r="245" spans="1:37">
      <c r="A245" s="505"/>
      <c r="B245" s="738" t="s">
        <v>2266</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4">
        <f>IFERROR(AB243/AB244,0)</f>
        <v>0</v>
      </c>
      <c r="AC245" s="2554"/>
      <c r="AD245" s="2554"/>
      <c r="AE245" s="2554"/>
      <c r="AF245" s="2554"/>
      <c r="AG245" s="255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2267</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7">
        <f>MAX(AB240,AB245)</f>
        <v>0</v>
      </c>
      <c r="AC247" s="2537"/>
      <c r="AD247" s="2537"/>
      <c r="AE247" s="2537"/>
      <c r="AF247" s="2537"/>
      <c r="AG247" s="2537"/>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2268</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88">
        <f>AB234+AB247</f>
        <v>1781928</v>
      </c>
      <c r="AC250" s="2388"/>
      <c r="AD250" s="2388"/>
      <c r="AE250" s="2388"/>
      <c r="AF250" s="2388"/>
      <c r="AG250" s="2388"/>
      <c r="AH250" s="510"/>
      <c r="AI250" s="510"/>
      <c r="AJ250" s="510"/>
      <c r="AK250" s="510"/>
    </row>
    <row r="251" spans="1:37">
      <c r="A251" s="505"/>
      <c r="B251" s="377" t="s">
        <v>2269</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0">
        <v>0.05</v>
      </c>
      <c r="AC251" s="2420"/>
      <c r="AD251" s="2420"/>
      <c r="AE251" s="2420"/>
      <c r="AF251" s="2420"/>
      <c r="AG251" s="2420"/>
      <c r="AH251" s="510"/>
      <c r="AI251" s="510"/>
      <c r="AJ251" s="510"/>
      <c r="AK251" s="510"/>
    </row>
    <row r="252" spans="1:37">
      <c r="A252" s="505"/>
      <c r="B252" s="377" t="s">
        <v>2270</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1">
        <f>AB250-(AB250*AB251)</f>
        <v>1692831.6</v>
      </c>
      <c r="AC252" s="2421"/>
      <c r="AD252" s="2421"/>
      <c r="AE252" s="2421"/>
      <c r="AF252" s="2421"/>
      <c r="AG252" s="2421"/>
      <c r="AH252" s="510"/>
      <c r="AI252" s="510"/>
      <c r="AJ252" s="510"/>
      <c r="AK252" s="510"/>
    </row>
    <row r="253" spans="1:37">
      <c r="A253" s="505"/>
      <c r="B253" s="377" t="s">
        <v>2271</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2272</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88">
        <f>AB252/AB258</f>
        <v>1472027.4782608699</v>
      </c>
      <c r="AC254" s="2388"/>
      <c r="AD254" s="2388"/>
      <c r="AE254" s="2388"/>
      <c r="AF254" s="2388"/>
      <c r="AG254" s="2388"/>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2273</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0">
        <v>15</v>
      </c>
      <c r="AC256" s="2380"/>
      <c r="AD256" s="2380"/>
      <c r="AE256" s="2380"/>
      <c r="AF256" s="2380"/>
      <c r="AG256" s="2380"/>
      <c r="AH256" s="510"/>
      <c r="AI256" s="510"/>
      <c r="AJ256" s="510"/>
      <c r="AK256" s="510"/>
    </row>
    <row r="257" spans="1:37">
      <c r="A257" s="505"/>
      <c r="B257" s="377" t="s">
        <v>2274</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2">
        <v>0.04</v>
      </c>
      <c r="AC257" s="2422"/>
      <c r="AD257" s="2422"/>
      <c r="AE257" s="2422"/>
      <c r="AF257" s="2422"/>
      <c r="AG257" s="2422"/>
      <c r="AH257" s="510"/>
      <c r="AI257" s="510"/>
      <c r="AJ257" s="510"/>
      <c r="AK257" s="510"/>
    </row>
    <row r="258" spans="1:37">
      <c r="A258" s="505"/>
      <c r="B258" s="377" t="s">
        <v>2275</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3">
        <v>1.1499999999999999</v>
      </c>
      <c r="AC258" s="2393"/>
      <c r="AD258" s="2393"/>
      <c r="AE258" s="2393"/>
      <c r="AF258" s="2393"/>
      <c r="AG258" s="2393"/>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2276</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3">
        <f>PV(AB257/12,AB256*12,-AB254/12, ,0)</f>
        <v>16583879.805892589</v>
      </c>
      <c r="AC260" s="2414"/>
      <c r="AD260" s="2414"/>
      <c r="AE260" s="2414"/>
      <c r="AF260" s="2414"/>
      <c r="AG260" s="2415"/>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2277</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2278</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2279</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2280</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7">
        <f>IFERROR(('Sources and Uses Budget'!D105/'Sources and Uses Budget'!B105),0)</f>
        <v>0</v>
      </c>
      <c r="AC266" s="2418"/>
      <c r="AD266" s="2418"/>
      <c r="AE266" s="2418"/>
      <c r="AF266" s="2418"/>
      <c r="AG266" s="2419"/>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2281</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7">
        <f>AD211*(1-AB266)</f>
        <v>37583879.805892587</v>
      </c>
      <c r="AH268" s="2407"/>
      <c r="AI268" s="2407"/>
      <c r="AJ268" s="2407"/>
      <c r="AK268" s="2407"/>
    </row>
    <row r="269" spans="1:37">
      <c r="A269" s="522"/>
      <c r="B269" s="525" t="s">
        <v>2282</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7">
        <f>'Sources and Uses Budget'!C105</f>
        <v>162858396</v>
      </c>
      <c r="AH269" s="2407"/>
      <c r="AI269" s="2407"/>
      <c r="AJ269" s="2407"/>
      <c r="AK269" s="2407"/>
    </row>
    <row r="270" spans="1:37">
      <c r="A270" s="522"/>
      <c r="B270" s="524" t="s">
        <v>1637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08">
        <f>ROUNDDOWN(IF(AND(C292="Yes",AK84=10),((AG268*2)/AG269),AG268/AG269),2)</f>
        <v>0.46</v>
      </c>
      <c r="AH270" s="2408"/>
      <c r="AI270" s="2408"/>
      <c r="AJ270" s="2408"/>
      <c r="AK270" s="2408"/>
    </row>
    <row r="271" spans="1:37">
      <c r="A271" s="522"/>
      <c r="B271" s="872" t="s">
        <v>2283</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2284</v>
      </c>
      <c r="AK273" s="2409">
        <f>IFERROR(IF(AG270=0,0,IF((AG270*100)&gt;8,8,(AG270*100))),0)</f>
        <v>8</v>
      </c>
      <c r="AL273" s="2409"/>
      <c r="AM273" s="2410"/>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2285</v>
      </c>
      <c r="B276" s="438" t="s">
        <v>2286</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2148</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01" t="s">
        <v>848</v>
      </c>
      <c r="D278" s="2401"/>
      <c r="E278" s="447"/>
      <c r="F278" s="2558" t="s">
        <v>2287</v>
      </c>
      <c r="G278" s="2559"/>
      <c r="H278" s="2559"/>
      <c r="I278" s="2559"/>
      <c r="J278" s="2559"/>
      <c r="K278" s="2559"/>
      <c r="L278" s="2559"/>
      <c r="M278" s="2559"/>
      <c r="N278" s="2559"/>
      <c r="O278" s="2559"/>
      <c r="P278" s="2559"/>
      <c r="Q278" s="2559"/>
      <c r="R278" s="2559"/>
      <c r="S278" s="2559"/>
      <c r="T278" s="2559"/>
      <c r="U278" s="2559"/>
      <c r="V278" s="2559"/>
      <c r="W278" s="2559"/>
      <c r="X278" s="2559"/>
      <c r="Y278" s="2559"/>
      <c r="Z278" s="2559"/>
      <c r="AA278" s="2559"/>
      <c r="AB278" s="2559"/>
      <c r="AC278" s="2559"/>
      <c r="AD278" s="2560"/>
      <c r="AE278" s="450"/>
      <c r="AF278" s="535"/>
      <c r="AG278" s="2402" t="s">
        <v>2223</v>
      </c>
      <c r="AH278" s="2402"/>
      <c r="AI278" s="2402"/>
      <c r="AJ278" s="2402"/>
      <c r="AK278" s="450"/>
      <c r="AL278" s="450"/>
      <c r="AM278" s="450"/>
      <c r="AO278" s="450"/>
    </row>
    <row r="279" spans="1:52" ht="13.75" customHeight="1">
      <c r="A279" s="450"/>
      <c r="B279" s="496"/>
      <c r="C279" s="536"/>
      <c r="D279" s="450"/>
      <c r="E279" s="447"/>
      <c r="F279" s="2561"/>
      <c r="G279" s="2562"/>
      <c r="H279" s="2562"/>
      <c r="I279" s="2562"/>
      <c r="J279" s="2562"/>
      <c r="K279" s="2562"/>
      <c r="L279" s="2562"/>
      <c r="M279" s="2562"/>
      <c r="N279" s="2562"/>
      <c r="O279" s="2562"/>
      <c r="P279" s="2562"/>
      <c r="Q279" s="2562"/>
      <c r="R279" s="2562"/>
      <c r="S279" s="2562"/>
      <c r="T279" s="2562"/>
      <c r="U279" s="2562"/>
      <c r="V279" s="2562"/>
      <c r="W279" s="2562"/>
      <c r="X279" s="2562"/>
      <c r="Y279" s="2562"/>
      <c r="Z279" s="2562"/>
      <c r="AA279" s="2562"/>
      <c r="AB279" s="2562"/>
      <c r="AC279" s="2562"/>
      <c r="AD279" s="2563"/>
      <c r="AE279" s="450"/>
      <c r="AF279" s="535"/>
      <c r="AG279" s="535"/>
      <c r="AH279" s="535"/>
      <c r="AI279" s="535"/>
      <c r="AJ279" s="450"/>
      <c r="AK279" s="450"/>
      <c r="AL279" s="450"/>
      <c r="AM279" s="450"/>
      <c r="AO279" s="450"/>
    </row>
    <row r="280" spans="1:52">
      <c r="A280" s="450"/>
      <c r="B280" s="496"/>
      <c r="C280" s="536"/>
      <c r="D280" s="450"/>
      <c r="E280" s="447"/>
      <c r="F280" s="2561"/>
      <c r="G280" s="2562"/>
      <c r="H280" s="2562"/>
      <c r="I280" s="2562"/>
      <c r="J280" s="2562"/>
      <c r="K280" s="2562"/>
      <c r="L280" s="2562"/>
      <c r="M280" s="2562"/>
      <c r="N280" s="2562"/>
      <c r="O280" s="2562"/>
      <c r="P280" s="2562"/>
      <c r="Q280" s="2562"/>
      <c r="R280" s="2562"/>
      <c r="S280" s="2562"/>
      <c r="T280" s="2562"/>
      <c r="U280" s="2562"/>
      <c r="V280" s="2562"/>
      <c r="W280" s="2562"/>
      <c r="X280" s="2562"/>
      <c r="Y280" s="2562"/>
      <c r="Z280" s="2562"/>
      <c r="AA280" s="2562"/>
      <c r="AB280" s="2562"/>
      <c r="AC280" s="2562"/>
      <c r="AD280" s="2563"/>
      <c r="AE280" s="450"/>
      <c r="AF280" s="535"/>
      <c r="AG280" s="535"/>
      <c r="AH280" s="535"/>
      <c r="AI280" s="535"/>
      <c r="AJ280" s="450"/>
      <c r="AK280" s="450"/>
      <c r="AL280" s="450"/>
      <c r="AM280" s="450"/>
      <c r="AO280" s="450"/>
      <c r="AP280" s="537"/>
    </row>
    <row r="281" spans="1:52">
      <c r="A281" s="450"/>
      <c r="B281" s="496"/>
      <c r="C281" s="536"/>
      <c r="D281" s="450"/>
      <c r="E281" s="447"/>
      <c r="F281" s="2561"/>
      <c r="G281" s="2562"/>
      <c r="H281" s="2562"/>
      <c r="I281" s="2562"/>
      <c r="J281" s="2562"/>
      <c r="K281" s="2562"/>
      <c r="L281" s="2562"/>
      <c r="M281" s="2562"/>
      <c r="N281" s="2562"/>
      <c r="O281" s="2562"/>
      <c r="P281" s="2562"/>
      <c r="Q281" s="2562"/>
      <c r="R281" s="2562"/>
      <c r="S281" s="2562"/>
      <c r="T281" s="2562"/>
      <c r="U281" s="2562"/>
      <c r="V281" s="2562"/>
      <c r="W281" s="2562"/>
      <c r="X281" s="2562"/>
      <c r="Y281" s="2562"/>
      <c r="Z281" s="2562"/>
      <c r="AA281" s="2562"/>
      <c r="AB281" s="2562"/>
      <c r="AC281" s="2562"/>
      <c r="AD281" s="2563"/>
      <c r="AE281" s="450"/>
      <c r="AF281" s="535"/>
      <c r="AG281" s="535"/>
      <c r="AH281" s="535"/>
      <c r="AI281" s="535"/>
      <c r="AJ281" s="450"/>
      <c r="AK281" s="450"/>
      <c r="AL281" s="450"/>
      <c r="AM281" s="450"/>
      <c r="AO281" s="450"/>
      <c r="AP281" s="537"/>
    </row>
    <row r="282" spans="1:52" ht="13.75" customHeight="1">
      <c r="A282" s="450"/>
      <c r="B282" s="496"/>
      <c r="C282" s="2403"/>
      <c r="D282" s="2403"/>
      <c r="E282" s="447"/>
      <c r="F282" s="2564"/>
      <c r="G282" s="2565"/>
      <c r="H282" s="2565"/>
      <c r="I282" s="2565"/>
      <c r="J282" s="2565"/>
      <c r="K282" s="2565"/>
      <c r="L282" s="2565"/>
      <c r="M282" s="2565"/>
      <c r="N282" s="2565"/>
      <c r="O282" s="2565"/>
      <c r="P282" s="2565"/>
      <c r="Q282" s="2565"/>
      <c r="R282" s="2565"/>
      <c r="S282" s="2565"/>
      <c r="T282" s="2565"/>
      <c r="U282" s="2565"/>
      <c r="V282" s="2565"/>
      <c r="W282" s="2565"/>
      <c r="X282" s="2565"/>
      <c r="Y282" s="2565"/>
      <c r="Z282" s="2565"/>
      <c r="AA282" s="2565"/>
      <c r="AB282" s="2565"/>
      <c r="AC282" s="2565"/>
      <c r="AD282" s="2566"/>
      <c r="AE282" s="450"/>
      <c r="AF282" s="535"/>
      <c r="AG282" s="2402"/>
      <c r="AH282" s="2402"/>
      <c r="AI282" s="2402"/>
      <c r="AJ282" s="2402"/>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2288</v>
      </c>
      <c r="AK285" s="2409">
        <f>IF($C$278="yes",10,0)</f>
        <v>10</v>
      </c>
      <c r="AL285" s="2409"/>
      <c r="AM285" s="2410"/>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2289</v>
      </c>
      <c r="B288" s="438" t="s">
        <v>2290</v>
      </c>
      <c r="AH288" s="491" t="s">
        <v>2148</v>
      </c>
    </row>
    <row r="289" spans="1:49" ht="15" customHeight="1">
      <c r="B289" s="439"/>
    </row>
    <row r="290" spans="1:49" ht="15" customHeight="1">
      <c r="B290" s="439" t="s">
        <v>2149</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6" t="s">
        <v>2291</v>
      </c>
      <c r="B292" s="1296"/>
      <c r="C292" s="2397" t="s">
        <v>848</v>
      </c>
      <c r="D292" s="2401"/>
      <c r="E292" s="447"/>
      <c r="F292" s="2429" t="s">
        <v>2292</v>
      </c>
      <c r="G292" s="2430"/>
      <c r="H292" s="2430"/>
      <c r="I292" s="2430"/>
      <c r="J292" s="2430"/>
      <c r="K292" s="2430"/>
      <c r="L292" s="2430"/>
      <c r="M292" s="2430"/>
      <c r="N292" s="2430"/>
      <c r="O292" s="2430"/>
      <c r="P292" s="2430"/>
      <c r="Q292" s="2430"/>
      <c r="R292" s="2430"/>
      <c r="S292" s="2430"/>
      <c r="T292" s="2430"/>
      <c r="U292" s="2430"/>
      <c r="V292" s="2430"/>
      <c r="W292" s="2430"/>
      <c r="X292" s="2430"/>
      <c r="Y292" s="2430"/>
      <c r="Z292" s="2430"/>
      <c r="AA292" s="2430"/>
      <c r="AB292" s="2430"/>
      <c r="AC292" s="2430"/>
      <c r="AD292" s="2431"/>
      <c r="AE292" s="542"/>
      <c r="AF292" s="450"/>
      <c r="AG292" s="2432" t="s">
        <v>2293</v>
      </c>
      <c r="AH292" s="2432"/>
      <c r="AI292" s="2432"/>
      <c r="AJ292" s="2432"/>
      <c r="AK292" s="2432"/>
      <c r="AL292" s="450"/>
      <c r="AM292" s="450"/>
      <c r="AN292" s="58"/>
      <c r="AO292" s="13"/>
      <c r="AP292" s="25"/>
      <c r="AS292" s="470"/>
      <c r="AT292" s="470"/>
      <c r="AU292" s="470"/>
      <c r="AV292" s="27"/>
      <c r="AW292" s="27"/>
    </row>
    <row r="293" spans="1:49">
      <c r="A293" s="540"/>
      <c r="B293" s="4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3" t="s">
        <v>2294</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542"/>
      <c r="AF295" s="451"/>
      <c r="AH295" s="451"/>
      <c r="AI295" s="451"/>
      <c r="AJ295" s="450"/>
      <c r="AK295" s="450"/>
      <c r="AL295" s="450"/>
      <c r="AM295" s="450"/>
      <c r="AN295" s="58"/>
      <c r="AO295" s="13"/>
      <c r="AP295" s="511">
        <f>MAX(AP293,AP294)</f>
        <v>10</v>
      </c>
      <c r="AQ295" s="474" t="s">
        <v>2152</v>
      </c>
      <c r="AS295" s="470"/>
      <c r="AT295" s="470"/>
      <c r="AU295" s="470"/>
      <c r="AV295" s="27"/>
      <c r="AW295" s="27"/>
    </row>
    <row r="296" spans="1:49">
      <c r="A296" s="540"/>
      <c r="B296" s="4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3" t="s">
        <v>2295</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3" t="s">
        <v>2296</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42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6" t="s">
        <v>2297</v>
      </c>
      <c r="B302" s="1296"/>
      <c r="C302" s="2401" t="s">
        <v>813</v>
      </c>
      <c r="D302" s="2401"/>
      <c r="E302" s="447"/>
      <c r="F302" s="544" t="s">
        <v>2298</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2299</v>
      </c>
      <c r="AH302" s="451"/>
      <c r="AI302" s="451"/>
      <c r="AJ302" s="450"/>
      <c r="AK302" s="450"/>
      <c r="AL302" s="450"/>
      <c r="AM302" s="450"/>
      <c r="AN302" s="547"/>
      <c r="AO302" s="13"/>
    </row>
    <row r="303" spans="1:49">
      <c r="A303" s="450"/>
      <c r="B303" s="451"/>
      <c r="C303" s="450"/>
      <c r="D303" s="451"/>
      <c r="E303" s="450"/>
      <c r="F303" s="2331" t="s">
        <v>2300</v>
      </c>
      <c r="G303" s="2332"/>
      <c r="H303" s="2332"/>
      <c r="I303" s="2332"/>
      <c r="J303" s="2332"/>
      <c r="K303" s="2332"/>
      <c r="L303" s="2332"/>
      <c r="M303" s="2332"/>
      <c r="N303" s="2332"/>
      <c r="O303" s="2332"/>
      <c r="P303" s="2332"/>
      <c r="Q303" s="2332"/>
      <c r="R303" s="2332"/>
      <c r="S303" s="2332"/>
      <c r="T303" s="2332"/>
      <c r="U303" s="2332"/>
      <c r="V303" s="2332"/>
      <c r="W303" s="2332"/>
      <c r="X303" s="2332"/>
      <c r="Y303" s="2332"/>
      <c r="Z303" s="2332"/>
      <c r="AA303" s="2332"/>
      <c r="AB303" s="2332"/>
      <c r="AC303" s="2332"/>
      <c r="AD303" s="2333"/>
      <c r="AE303" s="451"/>
      <c r="AF303" s="451"/>
      <c r="AG303" s="451"/>
      <c r="AH303" s="451"/>
      <c r="AI303" s="451"/>
      <c r="AJ303" s="450"/>
      <c r="AK303" s="450"/>
      <c r="AL303" s="450"/>
      <c r="AM303" s="450"/>
      <c r="AR303" s="548"/>
    </row>
    <row r="304" spans="1:49" ht="15" customHeight="1">
      <c r="A304" s="450"/>
      <c r="B304" s="451"/>
      <c r="C304" s="450"/>
      <c r="D304" s="451"/>
      <c r="E304" s="450"/>
      <c r="F304" s="2331"/>
      <c r="G304" s="2332"/>
      <c r="H304" s="2332"/>
      <c r="I304" s="2332"/>
      <c r="J304" s="2332"/>
      <c r="K304" s="2332"/>
      <c r="L304" s="2332"/>
      <c r="M304" s="2332"/>
      <c r="N304" s="2332"/>
      <c r="O304" s="2332"/>
      <c r="P304" s="2332"/>
      <c r="Q304" s="2332"/>
      <c r="R304" s="2332"/>
      <c r="S304" s="2332"/>
      <c r="T304" s="2332"/>
      <c r="U304" s="2332"/>
      <c r="V304" s="2332"/>
      <c r="W304" s="2332"/>
      <c r="X304" s="2332"/>
      <c r="Y304" s="2332"/>
      <c r="Z304" s="2332"/>
      <c r="AA304" s="2332"/>
      <c r="AB304" s="2332"/>
      <c r="AC304" s="2332"/>
      <c r="AD304" s="2333"/>
      <c r="AE304" s="451"/>
      <c r="AF304" s="451"/>
      <c r="AG304" s="451"/>
      <c r="AH304" s="451"/>
      <c r="AI304" s="451"/>
      <c r="AJ304" s="450"/>
      <c r="AK304" s="450"/>
      <c r="AL304" s="450"/>
      <c r="AM304" s="450"/>
      <c r="AR304" s="548"/>
    </row>
    <row r="305" spans="1:44">
      <c r="A305" s="450"/>
      <c r="B305" s="451"/>
      <c r="C305" s="450"/>
      <c r="D305" s="451"/>
      <c r="E305" s="450"/>
      <c r="F305" s="2331"/>
      <c r="G305" s="2332"/>
      <c r="H305" s="2332"/>
      <c r="I305" s="2332"/>
      <c r="J305" s="2332"/>
      <c r="K305" s="2332"/>
      <c r="L305" s="2332"/>
      <c r="M305" s="2332"/>
      <c r="N305" s="2332"/>
      <c r="O305" s="2332"/>
      <c r="P305" s="2332"/>
      <c r="Q305" s="2332"/>
      <c r="R305" s="2332"/>
      <c r="S305" s="2332"/>
      <c r="T305" s="2332"/>
      <c r="U305" s="2332"/>
      <c r="V305" s="2332"/>
      <c r="W305" s="2332"/>
      <c r="X305" s="2332"/>
      <c r="Y305" s="2332"/>
      <c r="Z305" s="2332"/>
      <c r="AA305" s="2332"/>
      <c r="AB305" s="2332"/>
      <c r="AC305" s="2332"/>
      <c r="AD305" s="2333"/>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28"/>
      <c r="G306" s="2329"/>
      <c r="H306" s="2329"/>
      <c r="I306" s="2329"/>
      <c r="J306" s="2329"/>
      <c r="K306" s="2329"/>
      <c r="L306" s="2329"/>
      <c r="M306" s="2329"/>
      <c r="N306" s="2329"/>
      <c r="O306" s="2329"/>
      <c r="P306" s="2329"/>
      <c r="Q306" s="2329"/>
      <c r="R306" s="2329"/>
      <c r="S306" s="2329"/>
      <c r="T306" s="2329"/>
      <c r="U306" s="2329"/>
      <c r="V306" s="2329"/>
      <c r="W306" s="2329"/>
      <c r="X306" s="2329"/>
      <c r="Y306" s="2329"/>
      <c r="Z306" s="2329"/>
      <c r="AA306" s="2329"/>
      <c r="AB306" s="2329"/>
      <c r="AC306" s="2329"/>
      <c r="AD306" s="2330"/>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6" t="s">
        <v>2301</v>
      </c>
      <c r="B310" s="1296"/>
      <c r="C310" s="2401" t="s">
        <v>813</v>
      </c>
      <c r="D310" s="2401"/>
      <c r="E310" s="447"/>
      <c r="F310" s="544" t="s">
        <v>2302</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2299</v>
      </c>
      <c r="AH310" s="451"/>
      <c r="AI310" s="451"/>
      <c r="AJ310" s="450"/>
      <c r="AK310" s="450"/>
      <c r="AL310" s="450"/>
      <c r="AM310" s="450"/>
      <c r="AN310" s="58"/>
      <c r="AO310" s="13"/>
    </row>
    <row r="311" spans="1:44" hidden="1">
      <c r="A311" s="65"/>
      <c r="B311" s="65"/>
      <c r="C311" s="630"/>
      <c r="D311" s="630"/>
      <c r="E311" s="447"/>
      <c r="F311" s="2423" t="s">
        <v>2303</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451"/>
      <c r="AF311" s="451"/>
      <c r="AG311" s="439"/>
      <c r="AH311" s="451"/>
      <c r="AI311" s="451"/>
      <c r="AJ311" s="450"/>
      <c r="AK311" s="450"/>
      <c r="AL311" s="450"/>
      <c r="AM311" s="450"/>
      <c r="AN311" s="58"/>
      <c r="AO311" s="13"/>
      <c r="AP311" s="457" t="s">
        <v>1003</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451"/>
      <c r="AF312" s="451"/>
      <c r="AH312" s="451"/>
      <c r="AI312" s="451"/>
      <c r="AJ312" s="450"/>
      <c r="AK312" s="450"/>
      <c r="AL312" s="450"/>
      <c r="AM312" s="450"/>
      <c r="AN312" s="58"/>
      <c r="AO312" s="13"/>
      <c r="AP312" s="457" t="s">
        <v>2304</v>
      </c>
    </row>
    <row r="313" spans="1:44" hidden="1">
      <c r="A313" s="450"/>
      <c r="B313" s="451"/>
      <c r="C313" s="630"/>
      <c r="D313" s="630"/>
      <c r="E313" s="447"/>
      <c r="F313" s="552" t="s">
        <v>2305</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2306</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2307</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3" t="s">
        <v>1003</v>
      </c>
      <c r="G316" s="2434"/>
      <c r="H316" s="2434"/>
      <c r="I316" s="2434"/>
      <c r="J316" s="2434"/>
      <c r="K316" s="2434"/>
      <c r="L316" s="2434"/>
      <c r="M316" s="2434"/>
      <c r="N316" s="2434"/>
      <c r="O316" s="2434"/>
      <c r="P316" s="2434"/>
      <c r="Q316" s="2434"/>
      <c r="R316" s="2434"/>
      <c r="S316" s="2434"/>
      <c r="T316" s="2434"/>
      <c r="U316" s="2434"/>
      <c r="V316" s="2434"/>
      <c r="W316" s="2434"/>
      <c r="X316" s="2434"/>
      <c r="Y316" s="2434"/>
      <c r="Z316" s="2434"/>
      <c r="AA316" s="2434"/>
      <c r="AB316" s="2434"/>
      <c r="AC316" s="2434"/>
      <c r="AD316" s="2435"/>
      <c r="AE316" s="542"/>
      <c r="AF316" s="542"/>
      <c r="AG316" s="542"/>
      <c r="AH316" s="542"/>
      <c r="AI316" s="542"/>
      <c r="AJ316" s="542"/>
      <c r="AK316" s="542"/>
      <c r="AL316" s="450"/>
      <c r="AM316" s="450"/>
      <c r="AN316" s="58"/>
      <c r="AO316" s="13"/>
      <c r="AP316" s="25"/>
    </row>
    <row r="317" spans="1:44" hidden="1">
      <c r="A317" s="450"/>
      <c r="B317" s="451"/>
      <c r="C317" s="630"/>
      <c r="D317" s="630"/>
      <c r="E317" s="447"/>
      <c r="F317" s="2433"/>
      <c r="G317" s="2434"/>
      <c r="H317" s="2434"/>
      <c r="I317" s="2434"/>
      <c r="J317" s="2434"/>
      <c r="K317" s="2434"/>
      <c r="L317" s="2434"/>
      <c r="M317" s="2434"/>
      <c r="N317" s="2434"/>
      <c r="O317" s="2434"/>
      <c r="P317" s="2434"/>
      <c r="Q317" s="2434"/>
      <c r="R317" s="2434"/>
      <c r="S317" s="2434"/>
      <c r="T317" s="2434"/>
      <c r="U317" s="2434"/>
      <c r="V317" s="2434"/>
      <c r="W317" s="2434"/>
      <c r="X317" s="2434"/>
      <c r="Y317" s="2434"/>
      <c r="Z317" s="2434"/>
      <c r="AA317" s="2434"/>
      <c r="AB317" s="2434"/>
      <c r="AC317" s="2434"/>
      <c r="AD317" s="2435"/>
      <c r="AE317" s="451"/>
      <c r="AF317" s="451"/>
      <c r="AG317" s="439"/>
      <c r="AH317" s="451"/>
      <c r="AI317" s="451"/>
      <c r="AJ317" s="450"/>
      <c r="AK317" s="450"/>
      <c r="AL317" s="450"/>
      <c r="AM317" s="450"/>
      <c r="AN317" s="58"/>
      <c r="AO317" s="13"/>
      <c r="AP317" s="25"/>
    </row>
    <row r="318" spans="1:44" hidden="1">
      <c r="A318" s="450"/>
      <c r="B318" s="451"/>
      <c r="C318" s="630"/>
      <c r="D318" s="630"/>
      <c r="E318" s="447"/>
      <c r="F318" s="2433"/>
      <c r="G318" s="2434"/>
      <c r="H318" s="2434"/>
      <c r="I318" s="2434"/>
      <c r="J318" s="2434"/>
      <c r="K318" s="2434"/>
      <c r="L318" s="2434"/>
      <c r="M318" s="2434"/>
      <c r="N318" s="2434"/>
      <c r="O318" s="2434"/>
      <c r="P318" s="2434"/>
      <c r="Q318" s="2434"/>
      <c r="R318" s="2434"/>
      <c r="S318" s="2434"/>
      <c r="T318" s="2434"/>
      <c r="U318" s="2434"/>
      <c r="V318" s="2434"/>
      <c r="W318" s="2434"/>
      <c r="X318" s="2434"/>
      <c r="Y318" s="2434"/>
      <c r="Z318" s="2434"/>
      <c r="AA318" s="2434"/>
      <c r="AB318" s="2434"/>
      <c r="AC318" s="2434"/>
      <c r="AD318" s="2435"/>
      <c r="AE318" s="451"/>
      <c r="AF318" s="451"/>
      <c r="AG318" s="439"/>
      <c r="AH318" s="451"/>
      <c r="AI318" s="451"/>
      <c r="AJ318" s="450"/>
      <c r="AK318" s="450"/>
      <c r="AL318" s="450"/>
      <c r="AM318" s="450"/>
      <c r="AN318" s="58"/>
      <c r="AO318" s="13"/>
      <c r="AP318" s="25"/>
    </row>
    <row r="319" spans="1:44" hidden="1">
      <c r="A319" s="450"/>
      <c r="B319" s="451"/>
      <c r="C319" s="630"/>
      <c r="D319" s="630"/>
      <c r="E319" s="447"/>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435"/>
      <c r="AE319" s="451"/>
      <c r="AF319" s="451"/>
      <c r="AG319" s="439"/>
      <c r="AH319" s="451"/>
      <c r="AI319" s="451"/>
      <c r="AJ319" s="450"/>
      <c r="AK319" s="450"/>
      <c r="AL319" s="450"/>
      <c r="AM319" s="450"/>
      <c r="AN319" s="58"/>
      <c r="AO319" s="13"/>
      <c r="AP319" s="25"/>
    </row>
    <row r="320" spans="1:44" hidden="1">
      <c r="A320" s="450"/>
      <c r="B320" s="451"/>
      <c r="C320" s="630"/>
      <c r="D320" s="630"/>
      <c r="E320" s="447"/>
      <c r="F320" s="2436"/>
      <c r="G320" s="2437"/>
      <c r="H320" s="2437"/>
      <c r="I320" s="2437"/>
      <c r="J320" s="2437"/>
      <c r="K320" s="2437"/>
      <c r="L320" s="2437"/>
      <c r="M320" s="2437"/>
      <c r="N320" s="2437"/>
      <c r="O320" s="2437"/>
      <c r="P320" s="2437"/>
      <c r="Q320" s="2437"/>
      <c r="R320" s="2437"/>
      <c r="S320" s="2437"/>
      <c r="T320" s="2437"/>
      <c r="U320" s="2437"/>
      <c r="V320" s="2437"/>
      <c r="W320" s="2437"/>
      <c r="X320" s="2437"/>
      <c r="Y320" s="2437"/>
      <c r="Z320" s="2437"/>
      <c r="AA320" s="2437"/>
      <c r="AB320" s="2437"/>
      <c r="AC320" s="2437"/>
      <c r="AD320" s="2438"/>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2308</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1003</v>
      </c>
    </row>
    <row r="324" spans="1:42" ht="12.75" hidden="1" customHeight="1">
      <c r="A324" s="450"/>
      <c r="B324" s="451"/>
      <c r="C324" s="630"/>
      <c r="D324" s="630"/>
      <c r="E324" s="447"/>
      <c r="F324" s="556"/>
      <c r="G324" s="475" t="s">
        <v>22</v>
      </c>
      <c r="H324" s="475"/>
      <c r="I324" s="2439" t="s">
        <v>1003</v>
      </c>
      <c r="J324" s="2439"/>
      <c r="K324" s="2439"/>
      <c r="L324" s="2439"/>
      <c r="M324" s="2439"/>
      <c r="N324" s="2439"/>
      <c r="O324" s="2439"/>
      <c r="P324" s="2439"/>
      <c r="Q324" s="2439"/>
      <c r="R324" s="2439"/>
      <c r="S324" s="2439"/>
      <c r="T324" s="2439"/>
      <c r="U324" s="2439"/>
      <c r="V324" s="2439"/>
      <c r="W324" s="2439"/>
      <c r="X324" s="2439"/>
      <c r="Y324" s="2439"/>
      <c r="Z324" s="2439"/>
      <c r="AA324" s="2439"/>
      <c r="AB324" s="2439"/>
      <c r="AC324" s="2439"/>
      <c r="AD324" s="2440"/>
      <c r="AE324" s="451"/>
      <c r="AF324" s="451"/>
      <c r="AG324" s="439"/>
      <c r="AH324" s="451"/>
      <c r="AI324" s="451"/>
      <c r="AJ324" s="450"/>
      <c r="AK324" s="450"/>
      <c r="AL324" s="450"/>
      <c r="AM324" s="450"/>
      <c r="AN324" s="58"/>
      <c r="AO324" s="13"/>
      <c r="AP324" s="457" t="s">
        <v>2309</v>
      </c>
    </row>
    <row r="325" spans="1:42" hidden="1">
      <c r="A325" s="450"/>
      <c r="B325" s="451"/>
      <c r="C325" s="630"/>
      <c r="D325" s="630"/>
      <c r="E325" s="447"/>
      <c r="F325" s="556"/>
      <c r="G325" s="475"/>
      <c r="H325" s="475"/>
      <c r="I325" s="2439"/>
      <c r="J325" s="2439"/>
      <c r="K325" s="2439"/>
      <c r="L325" s="2439"/>
      <c r="M325" s="2439"/>
      <c r="N325" s="2439"/>
      <c r="O325" s="2439"/>
      <c r="P325" s="2439"/>
      <c r="Q325" s="2439"/>
      <c r="R325" s="2439"/>
      <c r="S325" s="2439"/>
      <c r="T325" s="2439"/>
      <c r="U325" s="2439"/>
      <c r="V325" s="2439"/>
      <c r="W325" s="2439"/>
      <c r="X325" s="2439"/>
      <c r="Y325" s="2439"/>
      <c r="Z325" s="2439"/>
      <c r="AA325" s="2439"/>
      <c r="AB325" s="2439"/>
      <c r="AC325" s="2439"/>
      <c r="AD325" s="2440"/>
      <c r="AE325" s="451"/>
      <c r="AF325" s="451"/>
      <c r="AG325" s="439"/>
      <c r="AH325" s="451"/>
      <c r="AI325" s="451"/>
      <c r="AJ325" s="450"/>
      <c r="AK325" s="450"/>
      <c r="AL325" s="450"/>
      <c r="AM325" s="450"/>
      <c r="AN325" s="58"/>
      <c r="AO325" s="13"/>
      <c r="AP325" s="457" t="s">
        <v>2310</v>
      </c>
    </row>
    <row r="326" spans="1:42" hidden="1">
      <c r="A326" s="450"/>
      <c r="B326" s="451"/>
      <c r="C326" s="551"/>
      <c r="D326" s="551"/>
      <c r="E326" s="447"/>
      <c r="F326" s="556"/>
      <c r="G326" s="475"/>
      <c r="H326" s="475"/>
      <c r="I326" s="2439"/>
      <c r="J326" s="2439"/>
      <c r="K326" s="2439"/>
      <c r="L326" s="2439"/>
      <c r="M326" s="2439"/>
      <c r="N326" s="2439"/>
      <c r="O326" s="2439"/>
      <c r="P326" s="2439"/>
      <c r="Q326" s="2439"/>
      <c r="R326" s="2439"/>
      <c r="S326" s="2439"/>
      <c r="T326" s="2439"/>
      <c r="U326" s="2439"/>
      <c r="V326" s="2439"/>
      <c r="W326" s="2439"/>
      <c r="X326" s="2439"/>
      <c r="Y326" s="2439"/>
      <c r="Z326" s="2439"/>
      <c r="AA326" s="2439"/>
      <c r="AB326" s="2439"/>
      <c r="AC326" s="2439"/>
      <c r="AD326" s="2440"/>
      <c r="AE326" s="451"/>
      <c r="AF326" s="451"/>
      <c r="AG326" s="439"/>
      <c r="AH326" s="451"/>
      <c r="AI326" s="451"/>
      <c r="AJ326" s="450"/>
      <c r="AK326" s="450"/>
      <c r="AL326" s="450"/>
      <c r="AM326" s="450"/>
      <c r="AN326" s="58"/>
      <c r="AO326" s="13"/>
      <c r="AP326" s="457" t="s">
        <v>2311</v>
      </c>
    </row>
    <row r="327" spans="1:42" hidden="1">
      <c r="A327" s="450"/>
      <c r="B327" s="451"/>
      <c r="C327" s="551"/>
      <c r="D327" s="551"/>
      <c r="E327" s="447"/>
      <c r="F327" s="554"/>
      <c r="G327" s="451"/>
      <c r="H327" s="451"/>
      <c r="I327" s="2441"/>
      <c r="J327" s="2441"/>
      <c r="K327" s="2441"/>
      <c r="L327" s="2441"/>
      <c r="M327" s="2441"/>
      <c r="N327" s="2441"/>
      <c r="O327" s="2441"/>
      <c r="P327" s="2441"/>
      <c r="Q327" s="2441"/>
      <c r="R327" s="2441"/>
      <c r="S327" s="2441"/>
      <c r="T327" s="2441"/>
      <c r="U327" s="2441"/>
      <c r="V327" s="2441"/>
      <c r="W327" s="2441"/>
      <c r="X327" s="2441"/>
      <c r="Y327" s="2441"/>
      <c r="Z327" s="2441"/>
      <c r="AA327" s="2441"/>
      <c r="AB327" s="2441"/>
      <c r="AC327" s="2441"/>
      <c r="AD327" s="2442"/>
      <c r="AE327" s="451"/>
      <c r="AF327" s="451"/>
      <c r="AG327" s="439"/>
      <c r="AH327" s="451"/>
      <c r="AI327" s="451"/>
      <c r="AJ327" s="450"/>
      <c r="AK327" s="450"/>
      <c r="AL327" s="450"/>
      <c r="AM327" s="450"/>
      <c r="AN327" s="58"/>
      <c r="AO327" s="13"/>
      <c r="AP327" s="457" t="s">
        <v>2312</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39" t="s">
        <v>1003</v>
      </c>
      <c r="J329" s="2439"/>
      <c r="K329" s="2439"/>
      <c r="L329" s="2439"/>
      <c r="M329" s="2439"/>
      <c r="N329" s="2439"/>
      <c r="O329" s="2439"/>
      <c r="P329" s="2439"/>
      <c r="Q329" s="2439"/>
      <c r="R329" s="2439"/>
      <c r="S329" s="2439"/>
      <c r="T329" s="2439"/>
      <c r="U329" s="2439"/>
      <c r="V329" s="2439"/>
      <c r="W329" s="2439"/>
      <c r="X329" s="2439"/>
      <c r="Y329" s="2439"/>
      <c r="Z329" s="2439"/>
      <c r="AA329" s="2439"/>
      <c r="AB329" s="2439"/>
      <c r="AC329" s="2439"/>
      <c r="AD329" s="2440"/>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39"/>
      <c r="J330" s="2439"/>
      <c r="K330" s="2439"/>
      <c r="L330" s="2439"/>
      <c r="M330" s="2439"/>
      <c r="N330" s="2439"/>
      <c r="O330" s="2439"/>
      <c r="P330" s="2439"/>
      <c r="Q330" s="2439"/>
      <c r="R330" s="2439"/>
      <c r="S330" s="2439"/>
      <c r="T330" s="2439"/>
      <c r="U330" s="2439"/>
      <c r="V330" s="2439"/>
      <c r="W330" s="2439"/>
      <c r="X330" s="2439"/>
      <c r="Y330" s="2439"/>
      <c r="Z330" s="2439"/>
      <c r="AA330" s="2439"/>
      <c r="AB330" s="2439"/>
      <c r="AC330" s="2439"/>
      <c r="AD330" s="2440"/>
      <c r="AE330" s="451"/>
      <c r="AF330" s="451"/>
      <c r="AG330" s="439"/>
      <c r="AH330" s="451"/>
      <c r="AI330" s="451"/>
      <c r="AJ330" s="450"/>
      <c r="AK330" s="450"/>
      <c r="AL330" s="450"/>
      <c r="AM330" s="450"/>
      <c r="AN330" s="58"/>
      <c r="AO330" s="13"/>
      <c r="AP330" s="457" t="s">
        <v>1003</v>
      </c>
    </row>
    <row r="331" spans="1:42" hidden="1">
      <c r="A331" s="450"/>
      <c r="B331" s="451"/>
      <c r="C331" s="551"/>
      <c r="D331" s="551"/>
      <c r="E331" s="447"/>
      <c r="F331" s="557"/>
      <c r="G331" s="558"/>
      <c r="H331" s="558"/>
      <c r="I331" s="2441"/>
      <c r="J331" s="2441"/>
      <c r="K331" s="2441"/>
      <c r="L331" s="2441"/>
      <c r="M331" s="2441"/>
      <c r="N331" s="2441"/>
      <c r="O331" s="2441"/>
      <c r="P331" s="2441"/>
      <c r="Q331" s="2441"/>
      <c r="R331" s="2441"/>
      <c r="S331" s="2441"/>
      <c r="T331" s="2441"/>
      <c r="U331" s="2441"/>
      <c r="V331" s="2441"/>
      <c r="W331" s="2441"/>
      <c r="X331" s="2441"/>
      <c r="Y331" s="2441"/>
      <c r="Z331" s="2441"/>
      <c r="AA331" s="2441"/>
      <c r="AB331" s="2441"/>
      <c r="AC331" s="2441"/>
      <c r="AD331" s="2442"/>
      <c r="AE331" s="451"/>
      <c r="AF331" s="451"/>
      <c r="AG331" s="439"/>
      <c r="AH331" s="451"/>
      <c r="AI331" s="451"/>
      <c r="AJ331" s="450"/>
      <c r="AK331" s="450"/>
      <c r="AL331" s="450"/>
      <c r="AM331" s="450"/>
      <c r="AN331" s="58"/>
      <c r="AO331" s="13"/>
      <c r="AP331" s="457" t="s">
        <v>2313</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2314</v>
      </c>
    </row>
    <row r="333" spans="1:42" ht="12.75" hidden="1" customHeight="1">
      <c r="A333" s="1296" t="s">
        <v>2315</v>
      </c>
      <c r="B333" s="1296"/>
      <c r="C333" s="2401" t="s">
        <v>813</v>
      </c>
      <c r="D333" s="2401"/>
      <c r="E333" s="447"/>
      <c r="F333" s="2325" t="s">
        <v>2316</v>
      </c>
      <c r="G333" s="2326"/>
      <c r="H333" s="2326"/>
      <c r="I333" s="2326"/>
      <c r="J333" s="2326"/>
      <c r="K333" s="2326"/>
      <c r="L333" s="2326"/>
      <c r="M333" s="2326"/>
      <c r="N333" s="2326"/>
      <c r="O333" s="2326"/>
      <c r="P333" s="2326"/>
      <c r="Q333" s="2326"/>
      <c r="R333" s="2326"/>
      <c r="S333" s="2326"/>
      <c r="T333" s="2326"/>
      <c r="U333" s="2326"/>
      <c r="V333" s="2326"/>
      <c r="W333" s="2326"/>
      <c r="X333" s="2326"/>
      <c r="Y333" s="2326"/>
      <c r="Z333" s="2326"/>
      <c r="AA333" s="2326"/>
      <c r="AB333" s="2326"/>
      <c r="AC333" s="2326"/>
      <c r="AD333" s="2327"/>
      <c r="AE333" s="451"/>
      <c r="AF333" s="451"/>
      <c r="AG333" s="439" t="s">
        <v>2299</v>
      </c>
      <c r="AH333" s="451"/>
      <c r="AI333" s="451"/>
      <c r="AJ333" s="450"/>
      <c r="AK333" s="450"/>
      <c r="AL333" s="450"/>
      <c r="AM333" s="450"/>
      <c r="AN333" s="58"/>
      <c r="AO333" s="13"/>
    </row>
    <row r="334" spans="1:42" ht="15" hidden="1" customHeight="1">
      <c r="A334" s="450"/>
      <c r="B334" s="451"/>
      <c r="C334" s="451"/>
      <c r="D334" s="451"/>
      <c r="E334" s="451"/>
      <c r="F334" s="2331"/>
      <c r="G334" s="2332"/>
      <c r="H334" s="2332"/>
      <c r="I334" s="2332"/>
      <c r="J334" s="2332"/>
      <c r="K334" s="2332"/>
      <c r="L334" s="2332"/>
      <c r="M334" s="2332"/>
      <c r="N334" s="2332"/>
      <c r="O334" s="2332"/>
      <c r="P334" s="2332"/>
      <c r="Q334" s="2332"/>
      <c r="R334" s="2332"/>
      <c r="S334" s="2332"/>
      <c r="T334" s="2332"/>
      <c r="U334" s="2332"/>
      <c r="V334" s="2332"/>
      <c r="W334" s="2332"/>
      <c r="X334" s="2332"/>
      <c r="Y334" s="2332"/>
      <c r="Z334" s="2332"/>
      <c r="AA334" s="2332"/>
      <c r="AB334" s="2332"/>
      <c r="AC334" s="2332"/>
      <c r="AD334" s="2333"/>
      <c r="AE334" s="451"/>
      <c r="AF334" s="451"/>
      <c r="AG334" s="451"/>
      <c r="AH334" s="451"/>
      <c r="AI334" s="451"/>
      <c r="AJ334" s="450"/>
      <c r="AK334" s="450"/>
      <c r="AL334" s="450"/>
      <c r="AM334" s="450"/>
      <c r="AN334" s="58"/>
      <c r="AO334" s="13"/>
    </row>
    <row r="335" spans="1:42" ht="15" hidden="1" customHeight="1">
      <c r="A335" s="450"/>
      <c r="B335" s="451"/>
      <c r="C335" s="451"/>
      <c r="D335" s="451"/>
      <c r="E335" s="451"/>
      <c r="F335" s="2331"/>
      <c r="G335" s="2332"/>
      <c r="H335" s="2332"/>
      <c r="I335" s="2332"/>
      <c r="J335" s="2332"/>
      <c r="K335" s="2332"/>
      <c r="L335" s="2332"/>
      <c r="M335" s="2332"/>
      <c r="N335" s="2332"/>
      <c r="O335" s="2332"/>
      <c r="P335" s="2332"/>
      <c r="Q335" s="2332"/>
      <c r="R335" s="2332"/>
      <c r="S335" s="2332"/>
      <c r="T335" s="2332"/>
      <c r="U335" s="2332"/>
      <c r="V335" s="2332"/>
      <c r="W335" s="2332"/>
      <c r="X335" s="2332"/>
      <c r="Y335" s="2332"/>
      <c r="Z335" s="2332"/>
      <c r="AA335" s="2332"/>
      <c r="AB335" s="2332"/>
      <c r="AC335" s="2332"/>
      <c r="AD335" s="2333"/>
      <c r="AE335" s="451"/>
      <c r="AF335" s="451"/>
      <c r="AG335" s="451"/>
      <c r="AH335" s="451"/>
      <c r="AI335" s="451"/>
      <c r="AJ335" s="450"/>
      <c r="AK335" s="450"/>
      <c r="AL335" s="450"/>
      <c r="AM335" s="559"/>
      <c r="AN335" s="13"/>
      <c r="AO335" s="13"/>
    </row>
    <row r="336" spans="1:42" hidden="1">
      <c r="A336" s="450"/>
      <c r="B336" s="451"/>
      <c r="C336" s="450"/>
      <c r="D336" s="451"/>
      <c r="E336" s="450"/>
      <c r="F336" s="560" t="s">
        <v>2317</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2318</v>
      </c>
      <c r="AK338" s="2404">
        <f>IF(NOT(OR(Application!M355="Yes",Application!M356="Yes")),0,AP295)</f>
        <v>10</v>
      </c>
      <c r="AL338" s="2405"/>
      <c r="AM338" s="240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2319</v>
      </c>
      <c r="B341" s="439" t="s">
        <v>2320</v>
      </c>
      <c r="C341" s="436"/>
      <c r="AC341" s="439"/>
      <c r="AE341" s="2334" t="s">
        <v>2148</v>
      </c>
      <c r="AF341" s="2334"/>
      <c r="AG341" s="2334"/>
      <c r="AH341" s="2334"/>
      <c r="AI341" s="2334"/>
      <c r="AJ341" s="2334"/>
      <c r="AK341" s="2334"/>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3" t="s">
        <v>2321</v>
      </c>
      <c r="D343" s="2443"/>
      <c r="E343" s="2443"/>
      <c r="F343" s="2443"/>
      <c r="G343" s="2443"/>
      <c r="H343" s="2443"/>
      <c r="I343" s="2443"/>
      <c r="J343" s="2443"/>
      <c r="K343" s="2443"/>
      <c r="L343" s="2443"/>
      <c r="M343" s="2443"/>
      <c r="N343" s="2443"/>
      <c r="O343" s="2443"/>
      <c r="P343" s="2443"/>
      <c r="Q343" s="2443"/>
      <c r="R343" s="2443"/>
      <c r="S343" s="2443"/>
      <c r="T343" s="2443"/>
      <c r="U343" s="2443"/>
      <c r="V343" s="2443"/>
      <c r="W343" s="2443"/>
      <c r="X343" s="2443"/>
      <c r="Y343" s="2443"/>
      <c r="Z343" s="2443"/>
      <c r="AA343" s="2443"/>
      <c r="AB343" s="2443"/>
      <c r="AC343" s="2443"/>
      <c r="AD343" s="2443"/>
      <c r="AE343" s="2443"/>
      <c r="AF343" s="2443"/>
      <c r="AG343" s="2443"/>
      <c r="AH343" s="2443"/>
      <c r="AI343" s="2443"/>
      <c r="AJ343" s="2443"/>
      <c r="AK343" s="503"/>
      <c r="AL343" s="503"/>
      <c r="AM343" s="503"/>
      <c r="AN343" s="497"/>
    </row>
    <row r="344" spans="1:44" s="450" customFormat="1" ht="12.75" customHeight="1">
      <c r="A344" s="503"/>
      <c r="B344" s="511"/>
      <c r="C344" s="2443"/>
      <c r="D344" s="2443"/>
      <c r="E344" s="2443"/>
      <c r="F344" s="2443"/>
      <c r="G344" s="2443"/>
      <c r="H344" s="2443"/>
      <c r="I344" s="2443"/>
      <c r="J344" s="2443"/>
      <c r="K344" s="2443"/>
      <c r="L344" s="2443"/>
      <c r="M344" s="2443"/>
      <c r="N344" s="2443"/>
      <c r="O344" s="2443"/>
      <c r="P344" s="2443"/>
      <c r="Q344" s="2443"/>
      <c r="R344" s="2443"/>
      <c r="S344" s="2443"/>
      <c r="T344" s="2443"/>
      <c r="U344" s="2443"/>
      <c r="V344" s="2443"/>
      <c r="W344" s="2443"/>
      <c r="X344" s="2443"/>
      <c r="Y344" s="2443"/>
      <c r="Z344" s="2443"/>
      <c r="AA344" s="2443"/>
      <c r="AB344" s="2443"/>
      <c r="AC344" s="2443"/>
      <c r="AD344" s="2443"/>
      <c r="AE344" s="2443"/>
      <c r="AF344" s="2443"/>
      <c r="AG344" s="2443"/>
      <c r="AH344" s="2443"/>
      <c r="AI344" s="2443"/>
      <c r="AJ344" s="2443"/>
      <c r="AK344" s="503"/>
      <c r="AL344" s="503"/>
      <c r="AM344" s="503"/>
      <c r="AN344" s="497"/>
    </row>
    <row r="345" spans="1:44" s="450" customFormat="1" ht="12.75" customHeight="1">
      <c r="A345" s="503"/>
      <c r="B345" s="511"/>
      <c r="C345" s="2443"/>
      <c r="D345" s="2443"/>
      <c r="E345" s="2443"/>
      <c r="F345" s="2443"/>
      <c r="G345" s="2443"/>
      <c r="H345" s="2443"/>
      <c r="I345" s="2443"/>
      <c r="J345" s="2443"/>
      <c r="K345" s="2443"/>
      <c r="L345" s="2443"/>
      <c r="M345" s="2443"/>
      <c r="N345" s="2443"/>
      <c r="O345" s="2443"/>
      <c r="P345" s="2443"/>
      <c r="Q345" s="2443"/>
      <c r="R345" s="2443"/>
      <c r="S345" s="2443"/>
      <c r="T345" s="2443"/>
      <c r="U345" s="2443"/>
      <c r="V345" s="2443"/>
      <c r="W345" s="2443"/>
      <c r="X345" s="2443"/>
      <c r="Y345" s="2443"/>
      <c r="Z345" s="2443"/>
      <c r="AA345" s="2443"/>
      <c r="AB345" s="2443"/>
      <c r="AC345" s="2443"/>
      <c r="AD345" s="2443"/>
      <c r="AE345" s="2443"/>
      <c r="AF345" s="2443"/>
      <c r="AG345" s="2443"/>
      <c r="AH345" s="2443"/>
      <c r="AI345" s="2443"/>
      <c r="AJ345" s="2443"/>
      <c r="AK345" s="503"/>
      <c r="AL345" s="503"/>
      <c r="AM345" s="503"/>
      <c r="AN345" s="497"/>
      <c r="AQ345" s="470"/>
    </row>
    <row r="346" spans="1:44" s="450" customFormat="1" ht="12.75" customHeight="1">
      <c r="A346" s="503"/>
      <c r="B346" s="511"/>
      <c r="C346" s="2443"/>
      <c r="D346" s="2443"/>
      <c r="E346" s="2443"/>
      <c r="F346" s="2443"/>
      <c r="G346" s="2443"/>
      <c r="H346" s="2443"/>
      <c r="I346" s="2443"/>
      <c r="J346" s="2443"/>
      <c r="K346" s="2443"/>
      <c r="L346" s="2443"/>
      <c r="M346" s="2443"/>
      <c r="N346" s="2443"/>
      <c r="O346" s="2443"/>
      <c r="P346" s="2443"/>
      <c r="Q346" s="2443"/>
      <c r="R346" s="2443"/>
      <c r="S346" s="2443"/>
      <c r="T346" s="2443"/>
      <c r="U346" s="2443"/>
      <c r="V346" s="2443"/>
      <c r="W346" s="2443"/>
      <c r="X346" s="2443"/>
      <c r="Y346" s="2443"/>
      <c r="Z346" s="2443"/>
      <c r="AA346" s="2443"/>
      <c r="AB346" s="2443"/>
      <c r="AC346" s="2443"/>
      <c r="AD346" s="2443"/>
      <c r="AE346" s="2443"/>
      <c r="AF346" s="2443"/>
      <c r="AG346" s="2443"/>
      <c r="AH346" s="2443"/>
      <c r="AI346" s="2443"/>
      <c r="AJ346" s="2443"/>
      <c r="AK346" s="503"/>
      <c r="AL346" s="503"/>
      <c r="AM346" s="503"/>
      <c r="AN346" s="497"/>
      <c r="AQ346" s="470"/>
    </row>
    <row r="347" spans="1:44" s="450" customFormat="1" ht="12.5" customHeight="1">
      <c r="A347" s="503"/>
      <c r="B347" s="511"/>
      <c r="C347" s="2443"/>
      <c r="D347" s="2443"/>
      <c r="E347" s="2443"/>
      <c r="F347" s="2443"/>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3"/>
      <c r="AE347" s="2443"/>
      <c r="AF347" s="2443"/>
      <c r="AG347" s="2443"/>
      <c r="AH347" s="2443"/>
      <c r="AI347" s="2443"/>
      <c r="AJ347" s="2443"/>
      <c r="AK347" s="503"/>
      <c r="AL347" s="503"/>
      <c r="AM347" s="503"/>
      <c r="AN347" s="497"/>
      <c r="AQ347" s="470"/>
      <c r="AR347" s="470"/>
    </row>
    <row r="348" spans="1:44" s="450" customFormat="1" ht="45.75" customHeight="1">
      <c r="A348" s="503"/>
      <c r="B348" s="511"/>
      <c r="C348" s="2443" t="s">
        <v>2322</v>
      </c>
      <c r="D348" s="2443"/>
      <c r="E348" s="2443"/>
      <c r="F348" s="2443"/>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3"/>
      <c r="AE348" s="2443"/>
      <c r="AF348" s="2443"/>
      <c r="AG348" s="2443"/>
      <c r="AH348" s="2443"/>
      <c r="AI348" s="2443"/>
      <c r="AJ348" s="2443"/>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3" t="s">
        <v>2323</v>
      </c>
      <c r="D350" s="2443"/>
      <c r="E350" s="2443"/>
      <c r="F350" s="2443"/>
      <c r="G350" s="2443"/>
      <c r="H350" s="2443"/>
      <c r="I350" s="2443"/>
      <c r="J350" s="2443"/>
      <c r="K350" s="2443"/>
      <c r="L350" s="2443"/>
      <c r="M350" s="2443"/>
      <c r="N350" s="2443"/>
      <c r="O350" s="2443"/>
      <c r="P350" s="2443"/>
      <c r="Q350" s="2443"/>
      <c r="R350" s="2443"/>
      <c r="S350" s="2443"/>
      <c r="T350" s="2443"/>
      <c r="U350" s="2443"/>
      <c r="V350" s="2443"/>
      <c r="W350" s="2443"/>
      <c r="X350" s="2443"/>
      <c r="Y350" s="2443"/>
      <c r="Z350" s="2443"/>
      <c r="AA350" s="2443"/>
      <c r="AB350" s="2443"/>
      <c r="AC350" s="2443"/>
      <c r="AD350" s="2443"/>
      <c r="AE350" s="2443"/>
      <c r="AF350" s="2443"/>
      <c r="AG350" s="2443"/>
      <c r="AH350" s="2443"/>
      <c r="AI350" s="2443"/>
      <c r="AJ350" s="2443"/>
      <c r="AK350" s="503"/>
      <c r="AL350" s="503"/>
      <c r="AM350" s="503"/>
      <c r="AN350" s="497"/>
      <c r="AQ350" s="470"/>
      <c r="AR350" s="470"/>
    </row>
    <row r="351" spans="1:44" s="450" customFormat="1" ht="30" customHeight="1">
      <c r="A351" s="503"/>
      <c r="B351" s="511"/>
      <c r="C351" s="2443"/>
      <c r="D351" s="2443"/>
      <c r="E351" s="2443"/>
      <c r="F351" s="2443"/>
      <c r="G351" s="2443"/>
      <c r="H351" s="2443"/>
      <c r="I351" s="2443"/>
      <c r="J351" s="2443"/>
      <c r="K351" s="2443"/>
      <c r="L351" s="2443"/>
      <c r="M351" s="2443"/>
      <c r="N351" s="2443"/>
      <c r="O351" s="2443"/>
      <c r="P351" s="2443"/>
      <c r="Q351" s="2443"/>
      <c r="R351" s="2443"/>
      <c r="S351" s="2443"/>
      <c r="T351" s="2443"/>
      <c r="U351" s="2443"/>
      <c r="V351" s="2443"/>
      <c r="W351" s="2443"/>
      <c r="X351" s="2443"/>
      <c r="Y351" s="2443"/>
      <c r="Z351" s="2443"/>
      <c r="AA351" s="2443"/>
      <c r="AB351" s="2443"/>
      <c r="AC351" s="2443"/>
      <c r="AD351" s="2443"/>
      <c r="AE351" s="2443"/>
      <c r="AF351" s="2443"/>
      <c r="AG351" s="2443"/>
      <c r="AH351" s="2443"/>
      <c r="AI351" s="2443"/>
      <c r="AJ351" s="2443"/>
      <c r="AK351" s="503"/>
      <c r="AL351" s="503"/>
      <c r="AM351" s="503"/>
      <c r="AN351" s="497"/>
      <c r="AR351" s="470"/>
    </row>
    <row r="352" spans="1:44" s="450" customFormat="1" ht="12.75" customHeight="1">
      <c r="A352" s="503"/>
      <c r="B352" s="511"/>
      <c r="C352" s="2443"/>
      <c r="D352" s="2443"/>
      <c r="E352" s="2443"/>
      <c r="F352" s="2443"/>
      <c r="G352" s="2443"/>
      <c r="H352" s="2443"/>
      <c r="I352" s="2443"/>
      <c r="J352" s="2443"/>
      <c r="K352" s="2443"/>
      <c r="L352" s="2443"/>
      <c r="M352" s="2443"/>
      <c r="N352" s="2443"/>
      <c r="O352" s="2443"/>
      <c r="P352" s="2443"/>
      <c r="Q352" s="2443"/>
      <c r="R352" s="2443"/>
      <c r="S352" s="2443"/>
      <c r="T352" s="2443"/>
      <c r="U352" s="2443"/>
      <c r="V352" s="2443"/>
      <c r="W352" s="2443"/>
      <c r="X352" s="2443"/>
      <c r="Y352" s="2443"/>
      <c r="Z352" s="2443"/>
      <c r="AA352" s="2443"/>
      <c r="AB352" s="2443"/>
      <c r="AC352" s="2443"/>
      <c r="AD352" s="2443"/>
      <c r="AE352" s="2443"/>
      <c r="AF352" s="2443"/>
      <c r="AG352" s="2443"/>
      <c r="AH352" s="2443"/>
      <c r="AI352" s="2443"/>
      <c r="AJ352" s="2443"/>
      <c r="AK352" s="503"/>
      <c r="AL352" s="503"/>
      <c r="AM352" s="503"/>
      <c r="AN352" s="497"/>
      <c r="AR352" s="470"/>
    </row>
    <row r="353" spans="1:46" s="450" customFormat="1" ht="12.75" customHeight="1">
      <c r="A353" s="503"/>
      <c r="B353" s="511"/>
      <c r="C353" s="2443" t="s">
        <v>2324</v>
      </c>
      <c r="D353" s="2443"/>
      <c r="E353" s="2443"/>
      <c r="F353" s="2443"/>
      <c r="G353" s="2443"/>
      <c r="H353" s="2443"/>
      <c r="I353" s="2443"/>
      <c r="J353" s="2443"/>
      <c r="K353" s="2443"/>
      <c r="L353" s="2443"/>
      <c r="M353" s="2443"/>
      <c r="N353" s="2443"/>
      <c r="O353" s="2443"/>
      <c r="P353" s="2443"/>
      <c r="Q353" s="2443"/>
      <c r="R353" s="2443"/>
      <c r="S353" s="2443"/>
      <c r="T353" s="2443"/>
      <c r="U353" s="2443"/>
      <c r="V353" s="2443"/>
      <c r="W353" s="2443"/>
      <c r="X353" s="2443"/>
      <c r="Y353" s="2443"/>
      <c r="Z353" s="2443"/>
      <c r="AA353" s="2443"/>
      <c r="AB353" s="2443"/>
      <c r="AC353" s="2443"/>
      <c r="AD353" s="2443"/>
      <c r="AE353" s="2443"/>
      <c r="AF353" s="2443"/>
      <c r="AG353" s="2443"/>
      <c r="AH353" s="2443"/>
      <c r="AI353" s="2443"/>
      <c r="AJ353" s="2443"/>
      <c r="AK353" s="503"/>
      <c r="AL353" s="503"/>
      <c r="AM353" s="503"/>
      <c r="AN353" s="497"/>
      <c r="AQ353" s="470"/>
      <c r="AR353" s="470"/>
    </row>
    <row r="354" spans="1:46" s="450" customFormat="1" ht="12.75" customHeight="1">
      <c r="A354" s="503"/>
      <c r="B354" s="511"/>
      <c r="C354" s="2443"/>
      <c r="D354" s="2443"/>
      <c r="E354" s="2443"/>
      <c r="F354" s="2443"/>
      <c r="G354" s="2443"/>
      <c r="H354" s="2443"/>
      <c r="I354" s="2443"/>
      <c r="J354" s="2443"/>
      <c r="K354" s="2443"/>
      <c r="L354" s="2443"/>
      <c r="M354" s="2443"/>
      <c r="N354" s="2443"/>
      <c r="O354" s="2443"/>
      <c r="P354" s="2443"/>
      <c r="Q354" s="2443"/>
      <c r="R354" s="2443"/>
      <c r="S354" s="2443"/>
      <c r="T354" s="2443"/>
      <c r="U354" s="2443"/>
      <c r="V354" s="2443"/>
      <c r="W354" s="2443"/>
      <c r="X354" s="2443"/>
      <c r="Y354" s="2443"/>
      <c r="Z354" s="2443"/>
      <c r="AA354" s="2443"/>
      <c r="AB354" s="2443"/>
      <c r="AC354" s="2443"/>
      <c r="AD354" s="2443"/>
      <c r="AE354" s="2443"/>
      <c r="AF354" s="2443"/>
      <c r="AG354" s="2443"/>
      <c r="AH354" s="2443"/>
      <c r="AI354" s="2443"/>
      <c r="AJ354" s="2443"/>
      <c r="AK354" s="503"/>
      <c r="AL354" s="503"/>
      <c r="AM354" s="503"/>
      <c r="AN354" s="497"/>
      <c r="AQ354" s="470"/>
      <c r="AR354" s="470"/>
    </row>
    <row r="355" spans="1:46" s="450" customFormat="1" ht="13.25" customHeight="1">
      <c r="A355" s="503"/>
      <c r="B355" s="511"/>
      <c r="C355" s="2443"/>
      <c r="D355" s="2443"/>
      <c r="E355" s="2443"/>
      <c r="F355" s="2443"/>
      <c r="G355" s="2443"/>
      <c r="H355" s="2443"/>
      <c r="I355" s="2443"/>
      <c r="J355" s="2443"/>
      <c r="K355" s="2443"/>
      <c r="L355" s="2443"/>
      <c r="M355" s="2443"/>
      <c r="N355" s="2443"/>
      <c r="O355" s="2443"/>
      <c r="P355" s="2443"/>
      <c r="Q355" s="2443"/>
      <c r="R355" s="2443"/>
      <c r="S355" s="2443"/>
      <c r="T355" s="2443"/>
      <c r="U355" s="2443"/>
      <c r="V355" s="2443"/>
      <c r="W355" s="2443"/>
      <c r="X355" s="2443"/>
      <c r="Y355" s="2443"/>
      <c r="Z355" s="2443"/>
      <c r="AA355" s="2443"/>
      <c r="AB355" s="2443"/>
      <c r="AC355" s="2443"/>
      <c r="AD355" s="2443"/>
      <c r="AE355" s="2443"/>
      <c r="AF355" s="2443"/>
      <c r="AG355" s="2443"/>
      <c r="AH355" s="2443"/>
      <c r="AI355" s="2443"/>
      <c r="AJ355" s="2443"/>
      <c r="AK355" s="503"/>
      <c r="AL355" s="503"/>
      <c r="AM355" s="503"/>
      <c r="AN355" s="497"/>
      <c r="AQ355" s="470"/>
      <c r="AR355" s="470"/>
    </row>
    <row r="356" spans="1:46" s="450" customFormat="1" ht="12.75" customHeight="1">
      <c r="A356" s="503"/>
      <c r="B356" s="511"/>
      <c r="C356" s="2443"/>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503"/>
      <c r="AL356" s="503"/>
      <c r="AM356" s="503"/>
      <c r="AN356" s="497"/>
      <c r="AO356" s="594"/>
      <c r="AP356" s="594"/>
      <c r="AQ356" s="470"/>
    </row>
    <row r="357" spans="1:46" s="450" customFormat="1" ht="11.75" customHeight="1">
      <c r="A357" s="503"/>
      <c r="B357" s="511"/>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503"/>
      <c r="AL357" s="503"/>
      <c r="AM357" s="503"/>
      <c r="AN357" s="497"/>
      <c r="AO357" s="595" t="s">
        <v>18</v>
      </c>
      <c r="AP357" s="596">
        <f>IF(C381="Yes",5,0)</f>
        <v>0</v>
      </c>
      <c r="AS357" s="439" t="s">
        <v>2325</v>
      </c>
    </row>
    <row r="358" spans="1:46" s="450" customFormat="1" ht="12.75" customHeight="1">
      <c r="A358" s="503"/>
      <c r="B358" s="511"/>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503"/>
      <c r="AL358" s="503"/>
      <c r="AM358" s="503"/>
      <c r="AN358" s="497"/>
      <c r="AO358" s="595" t="s">
        <v>31</v>
      </c>
      <c r="AP358" s="596">
        <f>IF(C389="Yes",5,0)</f>
        <v>0</v>
      </c>
      <c r="AS358" s="2464">
        <f>IF(Application!D211="Non-Targeted",(SUM(AQ366+AQ375)),AS362)</f>
        <v>10</v>
      </c>
      <c r="AT358" s="2464"/>
    </row>
    <row r="359" spans="1:46" s="450" customFormat="1" ht="12.75" customHeight="1">
      <c r="A359" s="503"/>
      <c r="B359" s="511"/>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503"/>
      <c r="AL359" s="503"/>
      <c r="AM359" s="503"/>
      <c r="AN359" s="497"/>
      <c r="AO359" s="595" t="s">
        <v>39</v>
      </c>
      <c r="AP359" s="596">
        <f>IF(C397="Yes",7,0)</f>
        <v>7</v>
      </c>
      <c r="AS359" s="439" t="s">
        <v>2326</v>
      </c>
    </row>
    <row r="360" spans="1:46" s="450" customFormat="1" ht="12.75" customHeight="1">
      <c r="A360" s="503"/>
      <c r="B360" s="511"/>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503"/>
      <c r="AL360" s="503"/>
      <c r="AM360" s="503"/>
      <c r="AN360" s="497"/>
      <c r="AO360" s="497"/>
      <c r="AP360" s="596">
        <f>IF(C399="Yes",5,0)</f>
        <v>0</v>
      </c>
      <c r="AS360" s="2464">
        <f>IF(AND(AQ366&gt;0,AQ375&gt;0),(AQ366+AQ375)/2,0)</f>
        <v>0</v>
      </c>
      <c r="AT360" s="2464"/>
    </row>
    <row r="361" spans="1:46" s="450" customFormat="1" ht="12.75" customHeight="1">
      <c r="A361" s="503"/>
      <c r="B361" s="511"/>
      <c r="C361" s="2443"/>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503"/>
      <c r="AL361" s="503"/>
      <c r="AM361" s="503"/>
      <c r="AN361" s="497"/>
      <c r="AO361" s="595" t="s">
        <v>82</v>
      </c>
      <c r="AP361" s="596">
        <f>IF(C407="Yes",5,0)</f>
        <v>0</v>
      </c>
      <c r="AS361" s="439" t="s">
        <v>2327</v>
      </c>
    </row>
    <row r="362" spans="1:46" s="450" customFormat="1" ht="12.75" customHeight="1">
      <c r="A362" s="503"/>
      <c r="B362" s="511"/>
      <c r="C362" s="2465" t="s">
        <v>2328</v>
      </c>
      <c r="D362" s="2465"/>
      <c r="E362" s="2465"/>
      <c r="F362" s="2465"/>
      <c r="G362" s="2465"/>
      <c r="H362" s="2465"/>
      <c r="I362" s="2465"/>
      <c r="J362" s="2465"/>
      <c r="K362" s="2465"/>
      <c r="L362" s="2465"/>
      <c r="M362" s="2465"/>
      <c r="N362" s="2465"/>
      <c r="O362" s="2465"/>
      <c r="P362" s="2465"/>
      <c r="Q362" s="2465"/>
      <c r="R362" s="2465"/>
      <c r="S362" s="2465"/>
      <c r="T362" s="2465"/>
      <c r="U362" s="2465"/>
      <c r="V362" s="2465"/>
      <c r="W362" s="2465"/>
      <c r="X362" s="2465"/>
      <c r="Y362" s="2465"/>
      <c r="Z362" s="2465"/>
      <c r="AA362" s="2465"/>
      <c r="AB362" s="2465"/>
      <c r="AC362" s="2465"/>
      <c r="AD362" s="2465"/>
      <c r="AE362" s="2465"/>
      <c r="AF362" s="2465"/>
      <c r="AG362" s="2465"/>
      <c r="AH362" s="2465"/>
      <c r="AI362" s="2465"/>
      <c r="AJ362" s="2465"/>
      <c r="AK362" s="503"/>
      <c r="AL362" s="503"/>
      <c r="AM362" s="503"/>
      <c r="AN362" s="497"/>
      <c r="AO362" s="497"/>
      <c r="AP362" s="596">
        <f>IF(C409="Yes",3,0)</f>
        <v>0</v>
      </c>
      <c r="AS362" s="2464">
        <f>IF(AQ366=0,AQ375,AQ366)</f>
        <v>10</v>
      </c>
      <c r="AT362" s="2464"/>
    </row>
    <row r="363" spans="1:46" s="450" customFormat="1" ht="12.75" customHeight="1">
      <c r="A363" s="503"/>
      <c r="B363" s="511"/>
      <c r="C363" s="2465"/>
      <c r="D363" s="2465"/>
      <c r="E363" s="2465"/>
      <c r="F363" s="2465"/>
      <c r="G363" s="2465"/>
      <c r="H363" s="2465"/>
      <c r="I363" s="2465"/>
      <c r="J363" s="2465"/>
      <c r="K363" s="2465"/>
      <c r="L363" s="2465"/>
      <c r="M363" s="2465"/>
      <c r="N363" s="2465"/>
      <c r="O363" s="2465"/>
      <c r="P363" s="2465"/>
      <c r="Q363" s="2465"/>
      <c r="R363" s="2465"/>
      <c r="S363" s="2465"/>
      <c r="T363" s="2465"/>
      <c r="U363" s="2465"/>
      <c r="V363" s="2465"/>
      <c r="W363" s="2465"/>
      <c r="X363" s="2465"/>
      <c r="Y363" s="2465"/>
      <c r="Z363" s="2465"/>
      <c r="AA363" s="2465"/>
      <c r="AB363" s="2465"/>
      <c r="AC363" s="2465"/>
      <c r="AD363" s="2465"/>
      <c r="AE363" s="2465"/>
      <c r="AF363" s="2465"/>
      <c r="AG363" s="2465"/>
      <c r="AH363" s="2465"/>
      <c r="AI363" s="2465"/>
      <c r="AJ363" s="2465"/>
      <c r="AK363" s="503"/>
      <c r="AL363" s="503"/>
      <c r="AM363" s="503"/>
      <c r="AN363" s="497"/>
      <c r="AO363" s="595" t="s">
        <v>86</v>
      </c>
      <c r="AP363" s="596">
        <f>IF(C412="Yes",5,0)</f>
        <v>0</v>
      </c>
    </row>
    <row r="364" spans="1:46" s="450" customFormat="1" ht="12.75" customHeight="1">
      <c r="A364" s="503"/>
      <c r="B364" s="511"/>
      <c r="C364" s="2465"/>
      <c r="D364" s="2465"/>
      <c r="E364" s="2465"/>
      <c r="F364" s="2465"/>
      <c r="G364" s="2465"/>
      <c r="H364" s="2465"/>
      <c r="I364" s="2465"/>
      <c r="J364" s="2465"/>
      <c r="K364" s="2465"/>
      <c r="L364" s="2465"/>
      <c r="M364" s="2465"/>
      <c r="N364" s="2465"/>
      <c r="O364" s="2465"/>
      <c r="P364" s="2465"/>
      <c r="Q364" s="2465"/>
      <c r="R364" s="2465"/>
      <c r="S364" s="2465"/>
      <c r="T364" s="2465"/>
      <c r="U364" s="2465"/>
      <c r="V364" s="2465"/>
      <c r="W364" s="2465"/>
      <c r="X364" s="2465"/>
      <c r="Y364" s="2465"/>
      <c r="Z364" s="2465"/>
      <c r="AA364" s="2465"/>
      <c r="AB364" s="2465"/>
      <c r="AC364" s="2465"/>
      <c r="AD364" s="2465"/>
      <c r="AE364" s="2465"/>
      <c r="AF364" s="2465"/>
      <c r="AG364" s="2465"/>
      <c r="AH364" s="2465"/>
      <c r="AI364" s="2465"/>
      <c r="AJ364" s="2465"/>
      <c r="AK364" s="503"/>
      <c r="AL364" s="503"/>
      <c r="AM364" s="503"/>
      <c r="AN364" s="497"/>
      <c r="AO364" s="595" t="s">
        <v>1399</v>
      </c>
      <c r="AP364" s="596">
        <f>IF(C421="Yes",5,0)</f>
        <v>0</v>
      </c>
    </row>
    <row r="365" spans="1:46" s="450" customFormat="1" ht="11.75" customHeight="1">
      <c r="A365" s="503"/>
      <c r="B365" s="511"/>
      <c r="C365" s="2465"/>
      <c r="D365" s="2465"/>
      <c r="E365" s="2465"/>
      <c r="F365" s="2465"/>
      <c r="G365" s="2465"/>
      <c r="H365" s="2465"/>
      <c r="I365" s="2465"/>
      <c r="J365" s="2465"/>
      <c r="K365" s="2465"/>
      <c r="L365" s="2465"/>
      <c r="M365" s="2465"/>
      <c r="N365" s="2465"/>
      <c r="O365" s="2465"/>
      <c r="P365" s="2465"/>
      <c r="Q365" s="2465"/>
      <c r="R365" s="2465"/>
      <c r="S365" s="2465"/>
      <c r="T365" s="2465"/>
      <c r="U365" s="2465"/>
      <c r="V365" s="2465"/>
      <c r="W365" s="2465"/>
      <c r="X365" s="2465"/>
      <c r="Y365" s="2465"/>
      <c r="Z365" s="2465"/>
      <c r="AA365" s="2465"/>
      <c r="AB365" s="2465"/>
      <c r="AC365" s="2465"/>
      <c r="AD365" s="2465"/>
      <c r="AE365" s="2465"/>
      <c r="AF365" s="2465"/>
      <c r="AG365" s="2465"/>
      <c r="AH365" s="2465"/>
      <c r="AI365" s="2465"/>
      <c r="AJ365" s="2465"/>
      <c r="AK365" s="503"/>
      <c r="AL365" s="503"/>
      <c r="AM365" s="503"/>
      <c r="AN365" s="497"/>
      <c r="AO365" s="597"/>
      <c r="AP365" s="598">
        <f>IF(C423="Yes",3,0)</f>
        <v>3</v>
      </c>
    </row>
    <row r="366" spans="1:46" s="450" customFormat="1" ht="12.5" customHeight="1">
      <c r="A366" s="503"/>
      <c r="B366" s="511"/>
      <c r="C366" s="2465"/>
      <c r="D366" s="2465"/>
      <c r="E366" s="2465"/>
      <c r="F366" s="2465"/>
      <c r="G366" s="2465"/>
      <c r="H366" s="2465"/>
      <c r="I366" s="2465"/>
      <c r="J366" s="2465"/>
      <c r="K366" s="2465"/>
      <c r="L366" s="2465"/>
      <c r="M366" s="2465"/>
      <c r="N366" s="2465"/>
      <c r="O366" s="2465"/>
      <c r="P366" s="2465"/>
      <c r="Q366" s="2465"/>
      <c r="R366" s="2465"/>
      <c r="S366" s="2465"/>
      <c r="T366" s="2465"/>
      <c r="U366" s="2465"/>
      <c r="V366" s="2465"/>
      <c r="W366" s="2465"/>
      <c r="X366" s="2465"/>
      <c r="Y366" s="2465"/>
      <c r="Z366" s="2465"/>
      <c r="AA366" s="2465"/>
      <c r="AB366" s="2465"/>
      <c r="AC366" s="2465"/>
      <c r="AD366" s="2465"/>
      <c r="AE366" s="2465"/>
      <c r="AF366" s="2465"/>
      <c r="AG366" s="2465"/>
      <c r="AH366" s="2465"/>
      <c r="AI366" s="2465"/>
      <c r="AJ366" s="2465"/>
      <c r="AK366" s="503"/>
      <c r="AL366" s="503"/>
      <c r="AM366" s="503"/>
      <c r="AN366" s="497"/>
      <c r="AO366" s="599" t="s">
        <v>2329</v>
      </c>
      <c r="AP366" s="600">
        <f>SUM(AP357:AP365)</f>
        <v>10</v>
      </c>
      <c r="AQ366" s="2466">
        <f>IF(AP366&gt;0,AP366,0)</f>
        <v>10</v>
      </c>
      <c r="AR366" s="2466"/>
    </row>
    <row r="367" spans="1:46" s="450" customFormat="1" ht="12.75" customHeight="1">
      <c r="A367" s="503"/>
      <c r="B367" s="511"/>
      <c r="C367" s="2465"/>
      <c r="D367" s="2465"/>
      <c r="E367" s="2465"/>
      <c r="F367" s="2465"/>
      <c r="G367" s="2465"/>
      <c r="H367" s="2465"/>
      <c r="I367" s="2465"/>
      <c r="J367" s="2465"/>
      <c r="K367" s="2465"/>
      <c r="L367" s="2465"/>
      <c r="M367" s="2465"/>
      <c r="N367" s="2465"/>
      <c r="O367" s="2465"/>
      <c r="P367" s="2465"/>
      <c r="Q367" s="2465"/>
      <c r="R367" s="2465"/>
      <c r="S367" s="2465"/>
      <c r="T367" s="2465"/>
      <c r="U367" s="2465"/>
      <c r="V367" s="2465"/>
      <c r="W367" s="2465"/>
      <c r="X367" s="2465"/>
      <c r="Y367" s="2465"/>
      <c r="Z367" s="2465"/>
      <c r="AA367" s="2465"/>
      <c r="AB367" s="2465"/>
      <c r="AC367" s="2465"/>
      <c r="AD367" s="2465"/>
      <c r="AE367" s="2465"/>
      <c r="AF367" s="2465"/>
      <c r="AG367" s="2465"/>
      <c r="AH367" s="2465"/>
      <c r="AI367" s="2465"/>
      <c r="AJ367" s="2465"/>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1401</v>
      </c>
      <c r="AP368" s="596">
        <f>IF(C430="Yes",5,0)</f>
        <v>0</v>
      </c>
    </row>
    <row r="369" spans="1:81" s="450" customFormat="1" ht="12.75" customHeight="1">
      <c r="A369" s="503"/>
      <c r="B369" s="511"/>
      <c r="C369" s="2443" t="s">
        <v>2330</v>
      </c>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503"/>
      <c r="AL369" s="503"/>
      <c r="AM369" s="503"/>
      <c r="AN369" s="497"/>
      <c r="AO369" s="595" t="s">
        <v>1403</v>
      </c>
      <c r="AP369" s="596">
        <f>IF(C442="Yes",5,0)</f>
        <v>0</v>
      </c>
    </row>
    <row r="370" spans="1:81" s="450" customFormat="1" ht="12.75" customHeight="1">
      <c r="A370" s="503"/>
      <c r="B370" s="511"/>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503"/>
      <c r="AL370" s="503"/>
      <c r="AM370" s="503"/>
      <c r="AN370" s="497"/>
      <c r="AO370" s="595" t="s">
        <v>1404</v>
      </c>
      <c r="AP370" s="596">
        <f>IF(C449="Yes",5,0)</f>
        <v>0</v>
      </c>
    </row>
    <row r="371" spans="1:81" s="450" customFormat="1" ht="68" customHeight="1">
      <c r="A371" s="503"/>
      <c r="B371" s="511"/>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503"/>
      <c r="AL371" s="503"/>
      <c r="AM371" s="503"/>
      <c r="AN371" s="497"/>
      <c r="AO371" s="595" t="s">
        <v>1405</v>
      </c>
      <c r="AP371" s="601">
        <f>IF(C453="Yes",5,0)</f>
        <v>0</v>
      </c>
    </row>
    <row r="372" spans="1:81" s="450" customFormat="1" ht="12.5" customHeight="1">
      <c r="A372" s="503"/>
      <c r="B372" s="511"/>
      <c r="C372" s="450" t="s">
        <v>2331</v>
      </c>
      <c r="AF372" s="503"/>
      <c r="AG372" s="503"/>
      <c r="AH372" s="503"/>
      <c r="AI372" s="503"/>
      <c r="AJ372" s="503"/>
      <c r="AK372" s="503"/>
      <c r="AL372" s="503"/>
      <c r="AM372" s="503"/>
      <c r="AN372" s="497"/>
      <c r="AO372" s="595" t="s">
        <v>1406</v>
      </c>
      <c r="AP372" s="596">
        <f>IF(C457="Yes",5,0)</f>
        <v>0</v>
      </c>
    </row>
    <row r="373" spans="1:81" s="450" customFormat="1" ht="12.75" customHeight="1">
      <c r="A373" s="503"/>
      <c r="B373" s="511"/>
      <c r="C373" s="602" t="s">
        <v>2332</v>
      </c>
      <c r="D373" s="603"/>
      <c r="E373" s="603"/>
      <c r="F373" s="603"/>
      <c r="G373" s="603"/>
      <c r="H373" s="603"/>
      <c r="I373" s="603"/>
      <c r="J373" s="603"/>
      <c r="K373" s="603"/>
      <c r="L373" s="603"/>
      <c r="M373" s="567"/>
      <c r="N373" s="567"/>
      <c r="O373" s="604"/>
      <c r="P373" s="603"/>
      <c r="Q373" s="603"/>
      <c r="R373" s="567"/>
      <c r="S373" s="567"/>
      <c r="T373" s="603"/>
      <c r="U373" s="2551">
        <f>Application!DU802-U374</f>
        <v>438</v>
      </c>
      <c r="V373" s="2551"/>
      <c r="W373" s="2551"/>
      <c r="X373" s="603"/>
      <c r="Y373" s="603"/>
      <c r="Z373" s="603"/>
      <c r="AA373" s="605"/>
      <c r="AB373" s="606"/>
      <c r="AC373" s="606"/>
      <c r="AD373" s="606"/>
      <c r="AE373" s="503"/>
      <c r="AF373" s="503"/>
      <c r="AG373" s="503"/>
      <c r="AH373" s="503"/>
      <c r="AI373" s="503"/>
      <c r="AJ373" s="503"/>
      <c r="AK373" s="503"/>
      <c r="AL373" s="503"/>
      <c r="AM373" s="503"/>
      <c r="AN373" s="497"/>
      <c r="AO373" s="595" t="s">
        <v>1407</v>
      </c>
      <c r="AP373" s="596">
        <f>IF(C466="Yes",5,0)</f>
        <v>0</v>
      </c>
    </row>
    <row r="374" spans="1:81" s="450" customFormat="1" ht="12.75" customHeight="1">
      <c r="A374" s="503"/>
      <c r="B374" s="511"/>
      <c r="C374" s="607" t="s">
        <v>2333</v>
      </c>
      <c r="D374" s="594"/>
      <c r="E374" s="594"/>
      <c r="F374" s="594"/>
      <c r="G374" s="594"/>
      <c r="H374" s="594"/>
      <c r="I374" s="594"/>
      <c r="J374" s="594"/>
      <c r="K374" s="594"/>
      <c r="L374" s="594"/>
      <c r="M374" s="594"/>
      <c r="N374" s="594"/>
      <c r="O374" s="594"/>
      <c r="P374" s="594"/>
      <c r="Q374" s="594"/>
      <c r="R374" s="594"/>
      <c r="S374" s="594"/>
      <c r="T374" s="594"/>
      <c r="U374" s="2552">
        <f>IF(Application!D211="SRO",Application!DU755,Application!AG756)</f>
        <v>0</v>
      </c>
      <c r="V374" s="2552"/>
      <c r="W374" s="2552"/>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2329</v>
      </c>
      <c r="AP375" s="611">
        <f>SUM(AP368:AP373)</f>
        <v>0</v>
      </c>
      <c r="AQ375" s="2466">
        <f>IF(AP375&gt;0,AP375,0)</f>
        <v>0</v>
      </c>
      <c r="AR375" s="2466"/>
    </row>
    <row r="376" spans="1:81" s="450" customFormat="1" ht="12.75" customHeight="1">
      <c r="A376" s="503"/>
      <c r="B376" s="13"/>
      <c r="C376" s="612" t="s">
        <v>2334</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2150</v>
      </c>
      <c r="F377" s="2447" t="s">
        <v>2335</v>
      </c>
      <c r="G377" s="2447"/>
      <c r="H377" s="2447"/>
      <c r="I377" s="2447"/>
      <c r="J377" s="2447"/>
      <c r="K377" s="2447"/>
      <c r="L377" s="2447"/>
      <c r="M377" s="2447"/>
      <c r="N377" s="2447"/>
      <c r="O377" s="2447"/>
      <c r="P377" s="2447"/>
      <c r="Q377" s="2447"/>
      <c r="R377" s="2447"/>
      <c r="S377" s="2447"/>
      <c r="T377" s="2447"/>
      <c r="U377" s="2447"/>
      <c r="V377" s="2447"/>
      <c r="W377" s="2447"/>
      <c r="X377" s="2447"/>
      <c r="Y377" s="2447"/>
      <c r="Z377" s="2447"/>
      <c r="AA377" s="2447"/>
      <c r="AB377" s="2447"/>
      <c r="AC377" s="2447"/>
      <c r="AD377" s="2447"/>
      <c r="AE377" s="2447"/>
      <c r="AF377" s="2447"/>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48"/>
      <c r="G378" s="2448"/>
      <c r="H378" s="2448"/>
      <c r="I378" s="2448"/>
      <c r="J378" s="2448"/>
      <c r="K378" s="2448"/>
      <c r="L378" s="2448"/>
      <c r="M378" s="2448"/>
      <c r="N378" s="2448"/>
      <c r="O378" s="2448"/>
      <c r="P378" s="2448"/>
      <c r="Q378" s="2448"/>
      <c r="R378" s="2448"/>
      <c r="S378" s="2448"/>
      <c r="T378" s="2448"/>
      <c r="U378" s="2448"/>
      <c r="V378" s="2448"/>
      <c r="W378" s="2448"/>
      <c r="X378" s="2448"/>
      <c r="Y378" s="2448"/>
      <c r="Z378" s="2448"/>
      <c r="AA378" s="2448"/>
      <c r="AB378" s="2448"/>
      <c r="AC378" s="2448"/>
      <c r="AD378" s="2448"/>
      <c r="AE378" s="2448"/>
      <c r="AF378" s="2448"/>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48"/>
      <c r="G379" s="2448"/>
      <c r="H379" s="2448"/>
      <c r="I379" s="2448"/>
      <c r="J379" s="2448"/>
      <c r="K379" s="2448"/>
      <c r="L379" s="2448"/>
      <c r="M379" s="2448"/>
      <c r="N379" s="2448"/>
      <c r="O379" s="2448"/>
      <c r="P379" s="2448"/>
      <c r="Q379" s="2448"/>
      <c r="R379" s="2448"/>
      <c r="S379" s="2448"/>
      <c r="T379" s="2448"/>
      <c r="U379" s="2448"/>
      <c r="V379" s="2448"/>
      <c r="W379" s="2448"/>
      <c r="X379" s="2448"/>
      <c r="Y379" s="2448"/>
      <c r="Z379" s="2448"/>
      <c r="AA379" s="2448"/>
      <c r="AB379" s="2448"/>
      <c r="AC379" s="2448"/>
      <c r="AD379" s="2448"/>
      <c r="AE379" s="2448"/>
      <c r="AF379" s="2448"/>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48"/>
      <c r="G380" s="2448"/>
      <c r="H380" s="2448"/>
      <c r="I380" s="2448"/>
      <c r="J380" s="2448"/>
      <c r="K380" s="2448"/>
      <c r="L380" s="2448"/>
      <c r="M380" s="2448"/>
      <c r="N380" s="2448"/>
      <c r="O380" s="2448"/>
      <c r="P380" s="2448"/>
      <c r="Q380" s="2448"/>
      <c r="R380" s="2448"/>
      <c r="S380" s="2448"/>
      <c r="T380" s="2448"/>
      <c r="U380" s="2448"/>
      <c r="V380" s="2448"/>
      <c r="W380" s="2448"/>
      <c r="X380" s="2448"/>
      <c r="Y380" s="2448"/>
      <c r="Z380" s="2448"/>
      <c r="AA380" s="2448"/>
      <c r="AB380" s="2448"/>
      <c r="AC380" s="2448"/>
      <c r="AD380" s="2448"/>
      <c r="AE380" s="2448"/>
      <c r="AF380" s="2448"/>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4" t="s">
        <v>813</v>
      </c>
      <c r="D381" s="2401"/>
      <c r="E381" s="619"/>
      <c r="F381" s="621" t="s">
        <v>2336</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5" t="s">
        <v>2337</v>
      </c>
      <c r="AG381" s="2445"/>
      <c r="AH381" s="2445"/>
      <c r="AI381" s="2445"/>
      <c r="AJ381" s="2445"/>
      <c r="AK381" s="2445"/>
      <c r="AL381" s="2446"/>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2153</v>
      </c>
      <c r="F384" s="2447" t="s">
        <v>2338</v>
      </c>
      <c r="G384" s="2447"/>
      <c r="H384" s="2447"/>
      <c r="I384" s="2447"/>
      <c r="J384" s="2447"/>
      <c r="K384" s="2447"/>
      <c r="L384" s="2447"/>
      <c r="M384" s="2447"/>
      <c r="N384" s="2447"/>
      <c r="O384" s="2447"/>
      <c r="P384" s="2447"/>
      <c r="Q384" s="2447"/>
      <c r="R384" s="2447"/>
      <c r="S384" s="2447"/>
      <c r="T384" s="2447"/>
      <c r="U384" s="2447"/>
      <c r="V384" s="2447"/>
      <c r="W384" s="2447"/>
      <c r="X384" s="2447"/>
      <c r="Y384" s="2447"/>
      <c r="Z384" s="2447"/>
      <c r="AA384" s="2447"/>
      <c r="AB384" s="2447"/>
      <c r="AC384" s="2447"/>
      <c r="AD384" s="2447"/>
      <c r="AE384" s="2447"/>
      <c r="AF384" s="2447"/>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48"/>
      <c r="G385" s="2448"/>
      <c r="H385" s="2448"/>
      <c r="I385" s="2448"/>
      <c r="J385" s="2448"/>
      <c r="K385" s="2448"/>
      <c r="L385" s="2448"/>
      <c r="M385" s="2448"/>
      <c r="N385" s="2448"/>
      <c r="O385" s="2448"/>
      <c r="P385" s="2448"/>
      <c r="Q385" s="2448"/>
      <c r="R385" s="2448"/>
      <c r="S385" s="2448"/>
      <c r="T385" s="2448"/>
      <c r="U385" s="2448"/>
      <c r="V385" s="2448"/>
      <c r="W385" s="2448"/>
      <c r="X385" s="2448"/>
      <c r="Y385" s="2448"/>
      <c r="Z385" s="2448"/>
      <c r="AA385" s="2448"/>
      <c r="AB385" s="2448"/>
      <c r="AC385" s="2448"/>
      <c r="AD385" s="2448"/>
      <c r="AE385" s="2448"/>
      <c r="AF385" s="2448"/>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48"/>
      <c r="G386" s="2448"/>
      <c r="H386" s="2448"/>
      <c r="I386" s="2448"/>
      <c r="J386" s="2448"/>
      <c r="K386" s="2448"/>
      <c r="L386" s="2448"/>
      <c r="M386" s="2448"/>
      <c r="N386" s="2448"/>
      <c r="O386" s="2448"/>
      <c r="P386" s="2448"/>
      <c r="Q386" s="2448"/>
      <c r="R386" s="2448"/>
      <c r="S386" s="2448"/>
      <c r="T386" s="2448"/>
      <c r="U386" s="2448"/>
      <c r="V386" s="2448"/>
      <c r="W386" s="2448"/>
      <c r="X386" s="2448"/>
      <c r="Y386" s="2448"/>
      <c r="Z386" s="2448"/>
      <c r="AA386" s="2448"/>
      <c r="AB386" s="2448"/>
      <c r="AC386" s="2448"/>
      <c r="AD386" s="2448"/>
      <c r="AE386" s="2448"/>
      <c r="AF386" s="2448"/>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48"/>
      <c r="G387" s="2448"/>
      <c r="H387" s="2448"/>
      <c r="I387" s="2448"/>
      <c r="J387" s="2448"/>
      <c r="K387" s="2448"/>
      <c r="L387" s="2448"/>
      <c r="M387" s="2448"/>
      <c r="N387" s="2448"/>
      <c r="O387" s="2448"/>
      <c r="P387" s="2448"/>
      <c r="Q387" s="2448"/>
      <c r="R387" s="2448"/>
      <c r="S387" s="2448"/>
      <c r="T387" s="2448"/>
      <c r="U387" s="2448"/>
      <c r="V387" s="2448"/>
      <c r="W387" s="2448"/>
      <c r="X387" s="2448"/>
      <c r="Y387" s="2448"/>
      <c r="Z387" s="2448"/>
      <c r="AA387" s="2448"/>
      <c r="AB387" s="2448"/>
      <c r="AC387" s="2448"/>
      <c r="AD387" s="2448"/>
      <c r="AE387" s="2448"/>
      <c r="AF387" s="2448"/>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48"/>
      <c r="G388" s="2448"/>
      <c r="H388" s="2448"/>
      <c r="I388" s="2448"/>
      <c r="J388" s="2448"/>
      <c r="K388" s="2448"/>
      <c r="L388" s="2448"/>
      <c r="M388" s="2448"/>
      <c r="N388" s="2448"/>
      <c r="O388" s="2448"/>
      <c r="P388" s="2448"/>
      <c r="Q388" s="2448"/>
      <c r="R388" s="2448"/>
      <c r="S388" s="2448"/>
      <c r="T388" s="2448"/>
      <c r="U388" s="2448"/>
      <c r="V388" s="2448"/>
      <c r="W388" s="2448"/>
      <c r="X388" s="2448"/>
      <c r="Y388" s="2448"/>
      <c r="Z388" s="2448"/>
      <c r="AA388" s="2448"/>
      <c r="AB388" s="2448"/>
      <c r="AC388" s="2448"/>
      <c r="AD388" s="2448"/>
      <c r="AE388" s="2448"/>
      <c r="AF388" s="2448"/>
      <c r="AL388" s="632"/>
      <c r="AN388" s="497"/>
      <c r="BS388" s="25"/>
      <c r="BT388" s="25"/>
      <c r="BU388" s="13"/>
      <c r="BV388" s="13"/>
      <c r="BW388" s="13"/>
      <c r="BX388" s="13"/>
      <c r="BY388" s="13"/>
      <c r="BZ388" s="13"/>
      <c r="CA388" s="13"/>
      <c r="CB388" s="13"/>
      <c r="CC388" s="13"/>
    </row>
    <row r="389" spans="1:81" s="450" customFormat="1" ht="12.75" customHeight="1">
      <c r="A389" s="436"/>
      <c r="B389" s="13"/>
      <c r="C389" s="2444" t="s">
        <v>813</v>
      </c>
      <c r="D389" s="2401"/>
      <c r="E389" s="591"/>
      <c r="F389" s="621" t="s">
        <v>2339</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5" t="s">
        <v>2337</v>
      </c>
      <c r="AG389" s="2445"/>
      <c r="AH389" s="2445"/>
      <c r="AI389" s="2445"/>
      <c r="AJ389" s="2445"/>
      <c r="AK389" s="2445"/>
      <c r="AL389" s="2446"/>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2159</v>
      </c>
      <c r="F392" s="2447" t="s">
        <v>2340</v>
      </c>
      <c r="G392" s="2447"/>
      <c r="H392" s="2447"/>
      <c r="I392" s="2447"/>
      <c r="J392" s="2447"/>
      <c r="K392" s="2447"/>
      <c r="L392" s="2447"/>
      <c r="M392" s="2447"/>
      <c r="N392" s="2447"/>
      <c r="O392" s="2447"/>
      <c r="P392" s="2447"/>
      <c r="Q392" s="2447"/>
      <c r="R392" s="2447"/>
      <c r="S392" s="2447"/>
      <c r="T392" s="2447"/>
      <c r="U392" s="2447"/>
      <c r="V392" s="2447"/>
      <c r="W392" s="2447"/>
      <c r="X392" s="2447"/>
      <c r="Y392" s="2447"/>
      <c r="Z392" s="2447"/>
      <c r="AA392" s="2447"/>
      <c r="AB392" s="2447"/>
      <c r="AC392" s="2447"/>
      <c r="AD392" s="2447"/>
      <c r="AE392" s="2447"/>
      <c r="AF392" s="2447"/>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48"/>
      <c r="G393" s="2448"/>
      <c r="H393" s="2448"/>
      <c r="I393" s="2448"/>
      <c r="J393" s="2448"/>
      <c r="K393" s="2448"/>
      <c r="L393" s="2448"/>
      <c r="M393" s="2448"/>
      <c r="N393" s="2448"/>
      <c r="O393" s="2448"/>
      <c r="P393" s="2448"/>
      <c r="Q393" s="2448"/>
      <c r="R393" s="2448"/>
      <c r="S393" s="2448"/>
      <c r="T393" s="2448"/>
      <c r="U393" s="2448"/>
      <c r="V393" s="2448"/>
      <c r="W393" s="2448"/>
      <c r="X393" s="2448"/>
      <c r="Y393" s="2448"/>
      <c r="Z393" s="2448"/>
      <c r="AA393" s="2448"/>
      <c r="AB393" s="2448"/>
      <c r="AC393" s="2448"/>
      <c r="AD393" s="2448"/>
      <c r="AE393" s="2448"/>
      <c r="AF393" s="2448"/>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48"/>
      <c r="G394" s="2448"/>
      <c r="H394" s="2448"/>
      <c r="I394" s="2448"/>
      <c r="J394" s="2448"/>
      <c r="K394" s="2448"/>
      <c r="L394" s="2448"/>
      <c r="M394" s="2448"/>
      <c r="N394" s="2448"/>
      <c r="O394" s="2448"/>
      <c r="P394" s="2448"/>
      <c r="Q394" s="2448"/>
      <c r="R394" s="2448"/>
      <c r="S394" s="2448"/>
      <c r="T394" s="2448"/>
      <c r="U394" s="2448"/>
      <c r="V394" s="2448"/>
      <c r="W394" s="2448"/>
      <c r="X394" s="2448"/>
      <c r="Y394" s="2448"/>
      <c r="Z394" s="2448"/>
      <c r="AA394" s="2448"/>
      <c r="AB394" s="2448"/>
      <c r="AC394" s="2448"/>
      <c r="AD394" s="2448"/>
      <c r="AE394" s="2448"/>
      <c r="AF394" s="2448"/>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48"/>
      <c r="G395" s="2448"/>
      <c r="H395" s="2448"/>
      <c r="I395" s="2448"/>
      <c r="J395" s="2448"/>
      <c r="K395" s="2448"/>
      <c r="L395" s="2448"/>
      <c r="M395" s="2448"/>
      <c r="N395" s="2448"/>
      <c r="O395" s="2448"/>
      <c r="P395" s="2448"/>
      <c r="Q395" s="2448"/>
      <c r="R395" s="2448"/>
      <c r="S395" s="2448"/>
      <c r="T395" s="2448"/>
      <c r="U395" s="2448"/>
      <c r="V395" s="2448"/>
      <c r="W395" s="2448"/>
      <c r="X395" s="2448"/>
      <c r="Y395" s="2448"/>
      <c r="Z395" s="2448"/>
      <c r="AA395" s="2448"/>
      <c r="AB395" s="2448"/>
      <c r="AC395" s="2448"/>
      <c r="AD395" s="2448"/>
      <c r="AE395" s="2448"/>
      <c r="AF395" s="2448"/>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48"/>
      <c r="G396" s="2448"/>
      <c r="H396" s="2448"/>
      <c r="I396" s="2448"/>
      <c r="J396" s="2448"/>
      <c r="K396" s="2448"/>
      <c r="L396" s="2448"/>
      <c r="M396" s="2448"/>
      <c r="N396" s="2448"/>
      <c r="O396" s="2448"/>
      <c r="P396" s="2448"/>
      <c r="Q396" s="2448"/>
      <c r="R396" s="2448"/>
      <c r="S396" s="2448"/>
      <c r="T396" s="2448"/>
      <c r="U396" s="2448"/>
      <c r="V396" s="2448"/>
      <c r="W396" s="2448"/>
      <c r="X396" s="2448"/>
      <c r="Y396" s="2448"/>
      <c r="Z396" s="2448"/>
      <c r="AA396" s="2448"/>
      <c r="AB396" s="2448"/>
      <c r="AC396" s="2448"/>
      <c r="AD396" s="2448"/>
      <c r="AE396" s="2448"/>
      <c r="AF396" s="2448"/>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4" t="s">
        <v>848</v>
      </c>
      <c r="D397" s="2401"/>
      <c r="E397" s="591"/>
      <c r="F397" s="621" t="s">
        <v>2341</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5" t="s">
        <v>2342</v>
      </c>
      <c r="AG397" s="2445"/>
      <c r="AH397" s="2445"/>
      <c r="AI397" s="2445"/>
      <c r="AJ397" s="2445"/>
      <c r="AK397" s="2445"/>
      <c r="AL397" s="2446"/>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4" t="s">
        <v>813</v>
      </c>
      <c r="D399" s="2401"/>
      <c r="E399" s="591"/>
      <c r="F399" s="638" t="s">
        <v>2343</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5" t="s">
        <v>2337</v>
      </c>
      <c r="AG399" s="2445"/>
      <c r="AH399" s="2445"/>
      <c r="AI399" s="2445"/>
      <c r="AJ399" s="2445"/>
      <c r="AK399" s="2445"/>
      <c r="AL399" s="2446"/>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2344</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2345</v>
      </c>
      <c r="F403" s="2447" t="s">
        <v>2346</v>
      </c>
      <c r="G403" s="2447"/>
      <c r="H403" s="2447"/>
      <c r="I403" s="2447"/>
      <c r="J403" s="2447"/>
      <c r="K403" s="2447"/>
      <c r="L403" s="2447"/>
      <c r="M403" s="2447"/>
      <c r="N403" s="2447"/>
      <c r="O403" s="2447"/>
      <c r="P403" s="2447"/>
      <c r="Q403" s="2447"/>
      <c r="R403" s="2447"/>
      <c r="S403" s="2447"/>
      <c r="T403" s="2447"/>
      <c r="U403" s="2447"/>
      <c r="V403" s="2447"/>
      <c r="W403" s="2447"/>
      <c r="X403" s="2447"/>
      <c r="Y403" s="2447"/>
      <c r="Z403" s="2447"/>
      <c r="AA403" s="2447"/>
      <c r="AB403" s="2447"/>
      <c r="AC403" s="2447"/>
      <c r="AD403" s="2447"/>
      <c r="AE403" s="2447"/>
      <c r="AF403" s="2447"/>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48"/>
      <c r="G404" s="2448"/>
      <c r="H404" s="2448"/>
      <c r="I404" s="2448"/>
      <c r="J404" s="2448"/>
      <c r="K404" s="2448"/>
      <c r="L404" s="2448"/>
      <c r="M404" s="2448"/>
      <c r="N404" s="2448"/>
      <c r="O404" s="2448"/>
      <c r="P404" s="2448"/>
      <c r="Q404" s="2448"/>
      <c r="R404" s="2448"/>
      <c r="S404" s="2448"/>
      <c r="T404" s="2448"/>
      <c r="U404" s="2448"/>
      <c r="V404" s="2448"/>
      <c r="W404" s="2448"/>
      <c r="X404" s="2448"/>
      <c r="Y404" s="2448"/>
      <c r="Z404" s="2448"/>
      <c r="AA404" s="2448"/>
      <c r="AB404" s="2448"/>
      <c r="AC404" s="2448"/>
      <c r="AD404" s="2448"/>
      <c r="AE404" s="2448"/>
      <c r="AF404" s="2448"/>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48"/>
      <c r="G405" s="2448"/>
      <c r="H405" s="2448"/>
      <c r="I405" s="2448"/>
      <c r="J405" s="2448"/>
      <c r="K405" s="2448"/>
      <c r="L405" s="2448"/>
      <c r="M405" s="2448"/>
      <c r="N405" s="2448"/>
      <c r="O405" s="2448"/>
      <c r="P405" s="2448"/>
      <c r="Q405" s="2448"/>
      <c r="R405" s="2448"/>
      <c r="S405" s="2448"/>
      <c r="T405" s="2448"/>
      <c r="U405" s="2448"/>
      <c r="V405" s="2448"/>
      <c r="W405" s="2448"/>
      <c r="X405" s="2448"/>
      <c r="Y405" s="2448"/>
      <c r="Z405" s="2448"/>
      <c r="AA405" s="2448"/>
      <c r="AB405" s="2448"/>
      <c r="AC405" s="2448"/>
      <c r="AD405" s="2448"/>
      <c r="AE405" s="2448"/>
      <c r="AF405" s="2448"/>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48"/>
      <c r="G406" s="2448"/>
      <c r="H406" s="2448"/>
      <c r="I406" s="2448"/>
      <c r="J406" s="2448"/>
      <c r="K406" s="2448"/>
      <c r="L406" s="2448"/>
      <c r="M406" s="2448"/>
      <c r="N406" s="2448"/>
      <c r="O406" s="2448"/>
      <c r="P406" s="2448"/>
      <c r="Q406" s="2448"/>
      <c r="R406" s="2448"/>
      <c r="S406" s="2448"/>
      <c r="T406" s="2448"/>
      <c r="U406" s="2448"/>
      <c r="V406" s="2448"/>
      <c r="W406" s="2448"/>
      <c r="X406" s="2448"/>
      <c r="Y406" s="2448"/>
      <c r="Z406" s="2448"/>
      <c r="AA406" s="2448"/>
      <c r="AB406" s="2448"/>
      <c r="AC406" s="2448"/>
      <c r="AD406" s="2448"/>
      <c r="AE406" s="2448"/>
      <c r="AF406" s="2448"/>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4" t="s">
        <v>813</v>
      </c>
      <c r="D407" s="2401"/>
      <c r="E407" s="591"/>
      <c r="F407" s="621" t="s">
        <v>2347</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5" t="s">
        <v>2337</v>
      </c>
      <c r="AG407" s="2445"/>
      <c r="AH407" s="2445"/>
      <c r="AI407" s="2445"/>
      <c r="AJ407" s="2445"/>
      <c r="AK407" s="2445"/>
      <c r="AL407" s="2446"/>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4" t="s">
        <v>813</v>
      </c>
      <c r="D409" s="2401"/>
      <c r="E409" s="619"/>
      <c r="F409" s="621" t="s">
        <v>2348</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5" t="s">
        <v>2349</v>
      </c>
      <c r="AG409" s="2445"/>
      <c r="AH409" s="2445"/>
      <c r="AI409" s="2445"/>
      <c r="AJ409" s="2445"/>
      <c r="AK409" s="2445"/>
      <c r="AL409" s="2446"/>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4" t="s">
        <v>813</v>
      </c>
      <c r="D412" s="2401"/>
      <c r="E412" s="615" t="s">
        <v>2350</v>
      </c>
      <c r="F412" s="2447" t="s">
        <v>2351</v>
      </c>
      <c r="G412" s="2447"/>
      <c r="H412" s="2447"/>
      <c r="I412" s="2447"/>
      <c r="J412" s="2447"/>
      <c r="K412" s="2447"/>
      <c r="L412" s="2447"/>
      <c r="M412" s="2447"/>
      <c r="N412" s="2447"/>
      <c r="O412" s="2447"/>
      <c r="P412" s="2447"/>
      <c r="Q412" s="2447"/>
      <c r="R412" s="2447"/>
      <c r="S412" s="2447"/>
      <c r="T412" s="2447"/>
      <c r="U412" s="2447"/>
      <c r="V412" s="2447"/>
      <c r="W412" s="2447"/>
      <c r="X412" s="2447"/>
      <c r="Y412" s="2447"/>
      <c r="Z412" s="2447"/>
      <c r="AA412" s="2447"/>
      <c r="AB412" s="2447"/>
      <c r="AC412" s="2447"/>
      <c r="AD412" s="2447"/>
      <c r="AE412" s="2447"/>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48"/>
      <c r="G413" s="2448"/>
      <c r="H413" s="2448"/>
      <c r="I413" s="2448"/>
      <c r="J413" s="2448"/>
      <c r="K413" s="2448"/>
      <c r="L413" s="2448"/>
      <c r="M413" s="2448"/>
      <c r="N413" s="2448"/>
      <c r="O413" s="2448"/>
      <c r="P413" s="2448"/>
      <c r="Q413" s="2448"/>
      <c r="R413" s="2448"/>
      <c r="S413" s="2448"/>
      <c r="T413" s="2448"/>
      <c r="U413" s="2448"/>
      <c r="V413" s="2448"/>
      <c r="W413" s="2448"/>
      <c r="X413" s="2448"/>
      <c r="Y413" s="2448"/>
      <c r="Z413" s="2448"/>
      <c r="AA413" s="2448"/>
      <c r="AB413" s="2448"/>
      <c r="AC413" s="2448"/>
      <c r="AD413" s="2448"/>
      <c r="AE413" s="2448"/>
      <c r="AF413" s="2369" t="s">
        <v>2337</v>
      </c>
      <c r="AG413" s="2369"/>
      <c r="AH413" s="2369"/>
      <c r="AI413" s="2369"/>
      <c r="AJ413" s="2369"/>
      <c r="AK413" s="2369"/>
      <c r="AL413" s="2449"/>
      <c r="AM413" s="470"/>
      <c r="AN413" s="497"/>
      <c r="BS413" s="470"/>
      <c r="BT413" s="470"/>
      <c r="BY413" s="470"/>
      <c r="BZ413" s="470"/>
      <c r="CA413" s="470"/>
      <c r="CB413" s="470"/>
      <c r="CC413" s="470"/>
    </row>
    <row r="414" spans="1:81" s="450" customFormat="1" ht="12.75" customHeight="1">
      <c r="A414" s="436"/>
      <c r="B414" s="13"/>
      <c r="C414" s="631"/>
      <c r="D414" s="13"/>
      <c r="E414" s="591"/>
      <c r="F414" s="2448"/>
      <c r="G414" s="2448"/>
      <c r="H414" s="2448"/>
      <c r="I414" s="2448"/>
      <c r="J414" s="2448"/>
      <c r="K414" s="2448"/>
      <c r="L414" s="2448"/>
      <c r="M414" s="2448"/>
      <c r="N414" s="2448"/>
      <c r="O414" s="2448"/>
      <c r="P414" s="2448"/>
      <c r="Q414" s="2448"/>
      <c r="R414" s="2448"/>
      <c r="S414" s="2448"/>
      <c r="T414" s="2448"/>
      <c r="U414" s="2448"/>
      <c r="V414" s="2448"/>
      <c r="W414" s="2448"/>
      <c r="X414" s="2448"/>
      <c r="Y414" s="2448"/>
      <c r="Z414" s="2448"/>
      <c r="AA414" s="2448"/>
      <c r="AB414" s="2448"/>
      <c r="AC414" s="2448"/>
      <c r="AD414" s="2448"/>
      <c r="AE414" s="2448"/>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7"/>
      <c r="G415" s="2467"/>
      <c r="H415" s="2467"/>
      <c r="I415" s="2467"/>
      <c r="J415" s="2467"/>
      <c r="K415" s="2467"/>
      <c r="L415" s="2467"/>
      <c r="M415" s="2467"/>
      <c r="N415" s="2467"/>
      <c r="O415" s="2467"/>
      <c r="P415" s="2467"/>
      <c r="Q415" s="2467"/>
      <c r="R415" s="2467"/>
      <c r="S415" s="2467"/>
      <c r="T415" s="2467"/>
      <c r="U415" s="2467"/>
      <c r="V415" s="2467"/>
      <c r="W415" s="2467"/>
      <c r="X415" s="2467"/>
      <c r="Y415" s="2467"/>
      <c r="Z415" s="2467"/>
      <c r="AA415" s="2467"/>
      <c r="AB415" s="2467"/>
      <c r="AC415" s="2467"/>
      <c r="AD415" s="2467"/>
      <c r="AE415" s="2467"/>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2352</v>
      </c>
      <c r="F417" s="2447" t="s">
        <v>2353</v>
      </c>
      <c r="G417" s="2447"/>
      <c r="H417" s="2447"/>
      <c r="I417" s="2447"/>
      <c r="J417" s="2447"/>
      <c r="K417" s="2447"/>
      <c r="L417" s="2447"/>
      <c r="M417" s="2447"/>
      <c r="N417" s="2447"/>
      <c r="O417" s="2447"/>
      <c r="P417" s="2447"/>
      <c r="Q417" s="2447"/>
      <c r="R417" s="2447"/>
      <c r="S417" s="2447"/>
      <c r="T417" s="2447"/>
      <c r="U417" s="2447"/>
      <c r="V417" s="2447"/>
      <c r="W417" s="2447"/>
      <c r="X417" s="2447"/>
      <c r="Y417" s="2447"/>
      <c r="Z417" s="2447"/>
      <c r="AA417" s="2447"/>
      <c r="AB417" s="2447"/>
      <c r="AC417" s="2447"/>
      <c r="AD417" s="2447"/>
      <c r="AE417" s="2447"/>
      <c r="AF417" s="647"/>
      <c r="AG417" s="647"/>
      <c r="AH417" s="647"/>
      <c r="AI417" s="647"/>
      <c r="AJ417" s="647"/>
      <c r="AK417" s="647"/>
      <c r="AL417" s="648"/>
      <c r="AM417" s="470"/>
    </row>
    <row r="418" spans="1:55">
      <c r="A418" s="436"/>
      <c r="C418" s="631"/>
      <c r="E418" s="591"/>
      <c r="F418" s="2448"/>
      <c r="G418" s="2448"/>
      <c r="H418" s="2448"/>
      <c r="I418" s="2448"/>
      <c r="J418" s="2448"/>
      <c r="K418" s="2448"/>
      <c r="L418" s="2448"/>
      <c r="M418" s="2448"/>
      <c r="N418" s="2448"/>
      <c r="O418" s="2448"/>
      <c r="P418" s="2448"/>
      <c r="Q418" s="2448"/>
      <c r="R418" s="2448"/>
      <c r="S418" s="2448"/>
      <c r="T418" s="2448"/>
      <c r="U418" s="2448"/>
      <c r="V418" s="2448"/>
      <c r="W418" s="2448"/>
      <c r="X418" s="2448"/>
      <c r="Y418" s="2448"/>
      <c r="Z418" s="2448"/>
      <c r="AA418" s="2448"/>
      <c r="AB418" s="2448"/>
      <c r="AC418" s="2448"/>
      <c r="AD418" s="2448"/>
      <c r="AE418" s="2448"/>
      <c r="AF418" s="439"/>
      <c r="AG418" s="436"/>
      <c r="AH418" s="450"/>
      <c r="AI418" s="450"/>
      <c r="AJ418" s="450"/>
      <c r="AK418" s="450"/>
      <c r="AL418" s="632"/>
      <c r="AM418" s="470"/>
    </row>
    <row r="419" spans="1:55" s="450" customFormat="1" ht="12.75" customHeight="1">
      <c r="A419" s="436"/>
      <c r="B419" s="13"/>
      <c r="C419" s="631"/>
      <c r="D419" s="13"/>
      <c r="E419" s="591"/>
      <c r="F419" s="2448"/>
      <c r="G419" s="2448"/>
      <c r="H419" s="2448"/>
      <c r="I419" s="2448"/>
      <c r="J419" s="2448"/>
      <c r="K419" s="2448"/>
      <c r="L419" s="2448"/>
      <c r="M419" s="2448"/>
      <c r="N419" s="2448"/>
      <c r="O419" s="2448"/>
      <c r="P419" s="2448"/>
      <c r="Q419" s="2448"/>
      <c r="R419" s="2448"/>
      <c r="S419" s="2448"/>
      <c r="T419" s="2448"/>
      <c r="U419" s="2448"/>
      <c r="V419" s="2448"/>
      <c r="W419" s="2448"/>
      <c r="X419" s="2448"/>
      <c r="Y419" s="2448"/>
      <c r="Z419" s="2448"/>
      <c r="AA419" s="2448"/>
      <c r="AB419" s="2448"/>
      <c r="AC419" s="2448"/>
      <c r="AD419" s="2448"/>
      <c r="AE419" s="2448"/>
      <c r="AL419" s="632"/>
      <c r="AM419" s="470"/>
      <c r="AN419" s="497"/>
    </row>
    <row r="420" spans="1:55" s="450" customFormat="1" ht="12.75" customHeight="1">
      <c r="A420" s="436"/>
      <c r="B420" s="13"/>
      <c r="C420" s="639"/>
      <c r="F420" s="2448"/>
      <c r="G420" s="2448"/>
      <c r="H420" s="2448"/>
      <c r="I420" s="2448"/>
      <c r="J420" s="2448"/>
      <c r="K420" s="2448"/>
      <c r="L420" s="2448"/>
      <c r="M420" s="2448"/>
      <c r="N420" s="2448"/>
      <c r="O420" s="2448"/>
      <c r="P420" s="2448"/>
      <c r="Q420" s="2448"/>
      <c r="R420" s="2448"/>
      <c r="S420" s="2448"/>
      <c r="T420" s="2448"/>
      <c r="U420" s="2448"/>
      <c r="V420" s="2448"/>
      <c r="W420" s="2448"/>
      <c r="X420" s="2448"/>
      <c r="Y420" s="2448"/>
      <c r="Z420" s="2448"/>
      <c r="AA420" s="2448"/>
      <c r="AB420" s="2448"/>
      <c r="AC420" s="2448"/>
      <c r="AD420" s="2448"/>
      <c r="AE420" s="2448"/>
      <c r="AL420" s="632"/>
      <c r="AM420" s="470"/>
      <c r="AN420" s="497"/>
    </row>
    <row r="421" spans="1:55" s="450" customFormat="1" ht="12.75" customHeight="1">
      <c r="A421" s="436"/>
      <c r="B421" s="13"/>
      <c r="C421" s="2444" t="s">
        <v>813</v>
      </c>
      <c r="D421" s="2401"/>
      <c r="E421" s="591"/>
      <c r="F421" s="621" t="s">
        <v>2354</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69" t="s">
        <v>2337</v>
      </c>
      <c r="AG421" s="2369"/>
      <c r="AH421" s="2369"/>
      <c r="AI421" s="2369"/>
      <c r="AJ421" s="2369"/>
      <c r="AK421" s="2369"/>
      <c r="AL421" s="2449"/>
      <c r="AM421" s="470"/>
      <c r="AN421" s="497"/>
    </row>
    <row r="422" spans="1:55" s="450" customFormat="1" ht="12.75" customHeight="1">
      <c r="A422" s="436"/>
      <c r="B422" s="13"/>
      <c r="C422" s="639"/>
      <c r="AL422" s="632"/>
      <c r="AM422" s="470"/>
      <c r="AN422" s="497"/>
    </row>
    <row r="423" spans="1:55" s="450" customFormat="1" ht="12.75" customHeight="1">
      <c r="A423" s="436"/>
      <c r="B423" s="13"/>
      <c r="C423" s="2444" t="s">
        <v>848</v>
      </c>
      <c r="D423" s="2401"/>
      <c r="E423" s="619"/>
      <c r="F423" s="621" t="s">
        <v>2355</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69" t="s">
        <v>2349</v>
      </c>
      <c r="AG423" s="2369"/>
      <c r="AH423" s="2369"/>
      <c r="AI423" s="2369"/>
      <c r="AJ423" s="2369"/>
      <c r="AK423" s="2369"/>
      <c r="AL423" s="244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2356</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2357</v>
      </c>
      <c r="F427" s="2447" t="s">
        <v>2358</v>
      </c>
      <c r="G427" s="2447"/>
      <c r="H427" s="2447"/>
      <c r="I427" s="2447"/>
      <c r="J427" s="2447"/>
      <c r="K427" s="2447"/>
      <c r="L427" s="2447"/>
      <c r="M427" s="2447"/>
      <c r="N427" s="2447"/>
      <c r="O427" s="2447"/>
      <c r="P427" s="2447"/>
      <c r="Q427" s="2447"/>
      <c r="R427" s="2447"/>
      <c r="S427" s="2447"/>
      <c r="T427" s="2447"/>
      <c r="U427" s="2447"/>
      <c r="V427" s="2447"/>
      <c r="W427" s="2447"/>
      <c r="X427" s="2447"/>
      <c r="Y427" s="2447"/>
      <c r="Z427" s="2447"/>
      <c r="AA427" s="2447"/>
      <c r="AB427" s="2447"/>
      <c r="AC427" s="2447"/>
      <c r="AD427" s="2447"/>
      <c r="AE427" s="2447"/>
      <c r="AF427" s="614"/>
      <c r="AG427" s="614"/>
      <c r="AH427" s="614"/>
      <c r="AI427" s="614"/>
      <c r="AJ427" s="614"/>
      <c r="AK427" s="614"/>
      <c r="AL427" s="645"/>
      <c r="AM427" s="470"/>
      <c r="AN427" s="497"/>
    </row>
    <row r="428" spans="1:55" s="450" customFormat="1" ht="12.75" customHeight="1">
      <c r="A428" s="436"/>
      <c r="B428" s="13"/>
      <c r="C428" s="631"/>
      <c r="D428" s="13"/>
      <c r="E428" s="591"/>
      <c r="F428" s="2448"/>
      <c r="G428" s="2448"/>
      <c r="H428" s="2448"/>
      <c r="I428" s="2448"/>
      <c r="J428" s="2448"/>
      <c r="K428" s="2448"/>
      <c r="L428" s="2448"/>
      <c r="M428" s="2448"/>
      <c r="N428" s="2448"/>
      <c r="O428" s="2448"/>
      <c r="P428" s="2448"/>
      <c r="Q428" s="2448"/>
      <c r="R428" s="2448"/>
      <c r="S428" s="2448"/>
      <c r="T428" s="2448"/>
      <c r="U428" s="2448"/>
      <c r="V428" s="2448"/>
      <c r="W428" s="2448"/>
      <c r="X428" s="2448"/>
      <c r="Y428" s="2448"/>
      <c r="Z428" s="2448"/>
      <c r="AA428" s="2448"/>
      <c r="AB428" s="2448"/>
      <c r="AC428" s="2448"/>
      <c r="AD428" s="2448"/>
      <c r="AE428" s="2448"/>
      <c r="AF428" s="439"/>
      <c r="AG428" s="436"/>
      <c r="AL428" s="632"/>
      <c r="AM428" s="470"/>
      <c r="AN428" s="497"/>
    </row>
    <row r="429" spans="1:55" s="450" customFormat="1" ht="12.5" customHeight="1">
      <c r="A429" s="436"/>
      <c r="B429" s="13"/>
      <c r="C429" s="631"/>
      <c r="D429" s="13"/>
      <c r="E429" s="591"/>
      <c r="F429" s="2448"/>
      <c r="G429" s="2448"/>
      <c r="H429" s="2448"/>
      <c r="I429" s="2448"/>
      <c r="J429" s="2448"/>
      <c r="K429" s="2448"/>
      <c r="L429" s="2448"/>
      <c r="M429" s="2448"/>
      <c r="N429" s="2448"/>
      <c r="O429" s="2448"/>
      <c r="P429" s="2448"/>
      <c r="Q429" s="2448"/>
      <c r="R429" s="2448"/>
      <c r="S429" s="2448"/>
      <c r="T429" s="2448"/>
      <c r="U429" s="2448"/>
      <c r="V429" s="2448"/>
      <c r="W429" s="2448"/>
      <c r="X429" s="2448"/>
      <c r="Y429" s="2448"/>
      <c r="Z429" s="2448"/>
      <c r="AA429" s="2448"/>
      <c r="AB429" s="2448"/>
      <c r="AC429" s="2448"/>
      <c r="AD429" s="2448"/>
      <c r="AE429" s="2448"/>
      <c r="AL429" s="632"/>
      <c r="AM429" s="470"/>
      <c r="AN429" s="497"/>
    </row>
    <row r="430" spans="1:55" s="450" customFormat="1" ht="12.75" customHeight="1">
      <c r="A430" s="436"/>
      <c r="B430" s="13"/>
      <c r="C430" s="2444" t="s">
        <v>813</v>
      </c>
      <c r="D430" s="2401"/>
      <c r="E430" s="591"/>
      <c r="F430" s="621" t="s">
        <v>2359</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69" t="s">
        <v>2337</v>
      </c>
      <c r="AG430" s="2369"/>
      <c r="AH430" s="2369"/>
      <c r="AI430" s="2369"/>
      <c r="AJ430" s="2369"/>
      <c r="AK430" s="2369"/>
      <c r="AL430" s="244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2360</v>
      </c>
      <c r="F433" s="2447" t="s">
        <v>2361</v>
      </c>
      <c r="G433" s="2447"/>
      <c r="H433" s="2447"/>
      <c r="I433" s="2447"/>
      <c r="J433" s="2447"/>
      <c r="K433" s="2447"/>
      <c r="L433" s="2447"/>
      <c r="M433" s="2447"/>
      <c r="N433" s="2447"/>
      <c r="O433" s="2447"/>
      <c r="P433" s="2447"/>
      <c r="Q433" s="2447"/>
      <c r="R433" s="2447"/>
      <c r="S433" s="2447"/>
      <c r="T433" s="2447"/>
      <c r="U433" s="2447"/>
      <c r="V433" s="2447"/>
      <c r="W433" s="2447"/>
      <c r="X433" s="2447"/>
      <c r="Y433" s="2447"/>
      <c r="Z433" s="2447"/>
      <c r="AA433" s="2447"/>
      <c r="AB433" s="2447"/>
      <c r="AC433" s="2447"/>
      <c r="AD433" s="2447"/>
      <c r="AE433" s="2447"/>
      <c r="AF433" s="647"/>
      <c r="AG433" s="647"/>
      <c r="AH433" s="647"/>
      <c r="AI433" s="647"/>
      <c r="AJ433" s="647"/>
      <c r="AK433" s="647"/>
      <c r="AL433" s="648"/>
      <c r="AM433" s="470"/>
      <c r="AO433" s="450"/>
      <c r="AP433" s="450"/>
      <c r="BD433" s="13"/>
      <c r="BE433" s="13"/>
      <c r="BF433" s="13"/>
      <c r="BG433" s="13"/>
      <c r="BH433" s="13"/>
    </row>
    <row r="434" spans="1:60">
      <c r="A434" s="436"/>
      <c r="C434" s="631"/>
      <c r="E434" s="591"/>
      <c r="F434" s="2448"/>
      <c r="G434" s="2448"/>
      <c r="H434" s="2448"/>
      <c r="I434" s="2448"/>
      <c r="J434" s="2448"/>
      <c r="K434" s="2448"/>
      <c r="L434" s="2448"/>
      <c r="M434" s="2448"/>
      <c r="N434" s="2448"/>
      <c r="O434" s="2448"/>
      <c r="P434" s="2448"/>
      <c r="Q434" s="2448"/>
      <c r="R434" s="2448"/>
      <c r="S434" s="2448"/>
      <c r="T434" s="2448"/>
      <c r="U434" s="2448"/>
      <c r="V434" s="2448"/>
      <c r="W434" s="2448"/>
      <c r="X434" s="2448"/>
      <c r="Y434" s="2448"/>
      <c r="Z434" s="2448"/>
      <c r="AA434" s="2448"/>
      <c r="AB434" s="2448"/>
      <c r="AC434" s="2448"/>
      <c r="AD434" s="2448"/>
      <c r="AE434" s="2448"/>
      <c r="AF434" s="494"/>
      <c r="AG434" s="494"/>
      <c r="AH434" s="494"/>
      <c r="AI434" s="494"/>
      <c r="AJ434" s="494"/>
      <c r="AK434" s="494"/>
      <c r="AL434" s="650"/>
      <c r="AM434" s="470"/>
      <c r="AO434" s="450"/>
      <c r="AP434" s="450"/>
    </row>
    <row r="435" spans="1:60" s="450" customFormat="1" ht="12.75" customHeight="1">
      <c r="A435" s="436"/>
      <c r="B435" s="13"/>
      <c r="C435" s="631"/>
      <c r="D435" s="13"/>
      <c r="E435" s="591"/>
      <c r="F435" s="2448"/>
      <c r="G435" s="2448"/>
      <c r="H435" s="2448"/>
      <c r="I435" s="2448"/>
      <c r="J435" s="2448"/>
      <c r="K435" s="2448"/>
      <c r="L435" s="2448"/>
      <c r="M435" s="2448"/>
      <c r="N435" s="2448"/>
      <c r="O435" s="2448"/>
      <c r="P435" s="2448"/>
      <c r="Q435" s="2448"/>
      <c r="R435" s="2448"/>
      <c r="S435" s="2448"/>
      <c r="T435" s="2448"/>
      <c r="U435" s="2448"/>
      <c r="V435" s="2448"/>
      <c r="W435" s="2448"/>
      <c r="X435" s="2448"/>
      <c r="Y435" s="2448"/>
      <c r="Z435" s="2448"/>
      <c r="AA435" s="2448"/>
      <c r="AB435" s="2448"/>
      <c r="AC435" s="2448"/>
      <c r="AD435" s="2448"/>
      <c r="AE435" s="2448"/>
      <c r="AF435" s="494"/>
      <c r="AG435" s="494"/>
      <c r="AH435" s="494"/>
      <c r="AI435" s="494"/>
      <c r="AJ435" s="494"/>
      <c r="AK435" s="494"/>
      <c r="AL435" s="650"/>
      <c r="AM435" s="470"/>
      <c r="AN435" s="497"/>
    </row>
    <row r="436" spans="1:60" s="450" customFormat="1" ht="12.75" customHeight="1">
      <c r="A436" s="436"/>
      <c r="B436" s="13"/>
      <c r="C436" s="651"/>
      <c r="D436" s="630"/>
      <c r="E436" s="619"/>
      <c r="F436" s="2448"/>
      <c r="G436" s="2448"/>
      <c r="H436" s="2448"/>
      <c r="I436" s="2448"/>
      <c r="J436" s="2448"/>
      <c r="K436" s="2448"/>
      <c r="L436" s="2448"/>
      <c r="M436" s="2448"/>
      <c r="N436" s="2448"/>
      <c r="O436" s="2448"/>
      <c r="P436" s="2448"/>
      <c r="Q436" s="2448"/>
      <c r="R436" s="2448"/>
      <c r="S436" s="2448"/>
      <c r="T436" s="2448"/>
      <c r="U436" s="2448"/>
      <c r="V436" s="2448"/>
      <c r="W436" s="2448"/>
      <c r="X436" s="2448"/>
      <c r="Y436" s="2448"/>
      <c r="Z436" s="2448"/>
      <c r="AA436" s="2448"/>
      <c r="AB436" s="2448"/>
      <c r="AC436" s="2448"/>
      <c r="AD436" s="2448"/>
      <c r="AE436" s="2448"/>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48"/>
      <c r="G437" s="2448"/>
      <c r="H437" s="2448"/>
      <c r="I437" s="2448"/>
      <c r="J437" s="2448"/>
      <c r="K437" s="2448"/>
      <c r="L437" s="2448"/>
      <c r="M437" s="2448"/>
      <c r="N437" s="2448"/>
      <c r="O437" s="2448"/>
      <c r="P437" s="2448"/>
      <c r="Q437" s="2448"/>
      <c r="R437" s="2448"/>
      <c r="S437" s="2448"/>
      <c r="T437" s="2448"/>
      <c r="U437" s="2448"/>
      <c r="V437" s="2448"/>
      <c r="W437" s="2448"/>
      <c r="X437" s="2448"/>
      <c r="Y437" s="2448"/>
      <c r="Z437" s="2448"/>
      <c r="AA437" s="2448"/>
      <c r="AB437" s="2448"/>
      <c r="AC437" s="2448"/>
      <c r="AD437" s="2448"/>
      <c r="AE437" s="2448"/>
      <c r="AF437" s="494"/>
      <c r="AG437" s="494"/>
      <c r="AH437" s="494"/>
      <c r="AI437" s="494"/>
      <c r="AJ437" s="494"/>
      <c r="AK437" s="494"/>
      <c r="AL437" s="650"/>
      <c r="AM437" s="470"/>
      <c r="AN437" s="497"/>
    </row>
    <row r="438" spans="1:60" s="450" customFormat="1" ht="12.75" customHeight="1">
      <c r="A438" s="436"/>
      <c r="B438" s="13"/>
      <c r="C438" s="651"/>
      <c r="D438" s="630"/>
      <c r="E438" s="619"/>
      <c r="F438" s="2448"/>
      <c r="G438" s="2448"/>
      <c r="H438" s="2448"/>
      <c r="I438" s="2448"/>
      <c r="J438" s="2448"/>
      <c r="K438" s="2448"/>
      <c r="L438" s="2448"/>
      <c r="M438" s="2448"/>
      <c r="N438" s="2448"/>
      <c r="O438" s="2448"/>
      <c r="P438" s="2448"/>
      <c r="Q438" s="2448"/>
      <c r="R438" s="2448"/>
      <c r="S438" s="2448"/>
      <c r="T438" s="2448"/>
      <c r="U438" s="2448"/>
      <c r="V438" s="2448"/>
      <c r="W438" s="2448"/>
      <c r="X438" s="2448"/>
      <c r="Y438" s="2448"/>
      <c r="Z438" s="2448"/>
      <c r="AA438" s="2448"/>
      <c r="AB438" s="2448"/>
      <c r="AC438" s="2448"/>
      <c r="AD438" s="2448"/>
      <c r="AE438" s="2448"/>
      <c r="AF438" s="494"/>
      <c r="AG438" s="494"/>
      <c r="AH438" s="494"/>
      <c r="AI438" s="494"/>
      <c r="AJ438" s="494"/>
      <c r="AK438" s="494"/>
      <c r="AL438" s="650"/>
      <c r="AM438" s="470"/>
      <c r="AN438" s="497"/>
    </row>
    <row r="439" spans="1:60" s="450" customFormat="1" ht="12.75" customHeight="1">
      <c r="A439" s="436"/>
      <c r="B439" s="13"/>
      <c r="C439" s="651"/>
      <c r="D439" s="630"/>
      <c r="E439" s="619"/>
      <c r="F439" s="2448"/>
      <c r="G439" s="2448"/>
      <c r="H439" s="2448"/>
      <c r="I439" s="2448"/>
      <c r="J439" s="2448"/>
      <c r="K439" s="2448"/>
      <c r="L439" s="2448"/>
      <c r="M439" s="2448"/>
      <c r="N439" s="2448"/>
      <c r="O439" s="2448"/>
      <c r="P439" s="2448"/>
      <c r="Q439" s="2448"/>
      <c r="R439" s="2448"/>
      <c r="S439" s="2448"/>
      <c r="T439" s="2448"/>
      <c r="U439" s="2448"/>
      <c r="V439" s="2448"/>
      <c r="W439" s="2448"/>
      <c r="X439" s="2448"/>
      <c r="Y439" s="2448"/>
      <c r="Z439" s="2448"/>
      <c r="AA439" s="2448"/>
      <c r="AB439" s="2448"/>
      <c r="AC439" s="2448"/>
      <c r="AD439" s="2448"/>
      <c r="AE439" s="2448"/>
      <c r="AF439" s="494"/>
      <c r="AG439" s="494"/>
      <c r="AH439" s="494"/>
      <c r="AI439" s="494"/>
      <c r="AJ439" s="494"/>
      <c r="AK439" s="494"/>
      <c r="AL439" s="650"/>
      <c r="AM439" s="470"/>
      <c r="AN439" s="497"/>
    </row>
    <row r="440" spans="1:60" s="450" customFormat="1" ht="12.75" customHeight="1">
      <c r="A440" s="436"/>
      <c r="B440" s="13"/>
      <c r="C440" s="651"/>
      <c r="D440" s="630"/>
      <c r="E440" s="619"/>
      <c r="F440" s="2448"/>
      <c r="G440" s="2448"/>
      <c r="H440" s="2448"/>
      <c r="I440" s="2448"/>
      <c r="J440" s="2448"/>
      <c r="K440" s="2448"/>
      <c r="L440" s="2448"/>
      <c r="M440" s="2448"/>
      <c r="N440" s="2448"/>
      <c r="O440" s="2448"/>
      <c r="P440" s="2448"/>
      <c r="Q440" s="2448"/>
      <c r="R440" s="2448"/>
      <c r="S440" s="2448"/>
      <c r="T440" s="2448"/>
      <c r="U440" s="2448"/>
      <c r="V440" s="2448"/>
      <c r="W440" s="2448"/>
      <c r="X440" s="2448"/>
      <c r="Y440" s="2448"/>
      <c r="Z440" s="2448"/>
      <c r="AA440" s="2448"/>
      <c r="AB440" s="2448"/>
      <c r="AC440" s="2448"/>
      <c r="AD440" s="2448"/>
      <c r="AE440" s="2448"/>
      <c r="AF440" s="494"/>
      <c r="AG440" s="494"/>
      <c r="AH440" s="494"/>
      <c r="AI440" s="494"/>
      <c r="AJ440" s="494"/>
      <c r="AK440" s="494"/>
      <c r="AL440" s="650"/>
      <c r="AM440" s="470"/>
      <c r="AN440" s="497"/>
    </row>
    <row r="441" spans="1:60" s="450" customFormat="1" ht="17.25" customHeight="1">
      <c r="A441" s="436"/>
      <c r="B441" s="13"/>
      <c r="C441" s="651"/>
      <c r="D441" s="630"/>
      <c r="E441" s="619"/>
      <c r="F441" s="2448"/>
      <c r="G441" s="2448"/>
      <c r="H441" s="2448"/>
      <c r="I441" s="2448"/>
      <c r="J441" s="2448"/>
      <c r="K441" s="2448"/>
      <c r="L441" s="2448"/>
      <c r="M441" s="2448"/>
      <c r="N441" s="2448"/>
      <c r="O441" s="2448"/>
      <c r="P441" s="2448"/>
      <c r="Q441" s="2448"/>
      <c r="R441" s="2448"/>
      <c r="S441" s="2448"/>
      <c r="T441" s="2448"/>
      <c r="U441" s="2448"/>
      <c r="V441" s="2448"/>
      <c r="W441" s="2448"/>
      <c r="X441" s="2448"/>
      <c r="Y441" s="2448"/>
      <c r="Z441" s="2448"/>
      <c r="AA441" s="2448"/>
      <c r="AB441" s="2448"/>
      <c r="AC441" s="2448"/>
      <c r="AD441" s="2448"/>
      <c r="AE441" s="2448"/>
      <c r="AL441" s="632"/>
      <c r="AM441" s="470"/>
      <c r="AN441" s="497"/>
    </row>
    <row r="442" spans="1:60" s="450" customFormat="1" ht="12.75" customHeight="1">
      <c r="A442" s="436"/>
      <c r="B442" s="13"/>
      <c r="C442" s="2444" t="s">
        <v>813</v>
      </c>
      <c r="D442" s="2401"/>
      <c r="E442" s="619"/>
      <c r="F442" s="496" t="s">
        <v>2362</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69" t="s">
        <v>2337</v>
      </c>
      <c r="AG442" s="2369"/>
      <c r="AH442" s="2369"/>
      <c r="AI442" s="2369"/>
      <c r="AJ442" s="2369"/>
      <c r="AK442" s="2369"/>
      <c r="AL442" s="244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2363</v>
      </c>
      <c r="F445" s="2447" t="s">
        <v>2364</v>
      </c>
      <c r="G445" s="2447"/>
      <c r="H445" s="2447"/>
      <c r="I445" s="2447"/>
      <c r="J445" s="2447"/>
      <c r="K445" s="2447"/>
      <c r="L445" s="2447"/>
      <c r="M445" s="2447"/>
      <c r="N445" s="2447"/>
      <c r="O445" s="2447"/>
      <c r="P445" s="2447"/>
      <c r="Q445" s="2447"/>
      <c r="R445" s="2447"/>
      <c r="S445" s="2447"/>
      <c r="T445" s="2447"/>
      <c r="U445" s="2447"/>
      <c r="V445" s="2447"/>
      <c r="W445" s="2447"/>
      <c r="X445" s="2447"/>
      <c r="Y445" s="2447"/>
      <c r="Z445" s="2447"/>
      <c r="AA445" s="2447"/>
      <c r="AB445" s="2447"/>
      <c r="AC445" s="2447"/>
      <c r="AD445" s="2447"/>
      <c r="AE445" s="2447"/>
      <c r="AF445" s="614"/>
      <c r="AG445" s="614"/>
      <c r="AH445" s="614"/>
      <c r="AI445" s="614"/>
      <c r="AJ445" s="614"/>
      <c r="AK445" s="614"/>
      <c r="AL445" s="645"/>
      <c r="AM445" s="470"/>
      <c r="AN445" s="497"/>
    </row>
    <row r="446" spans="1:60" s="450" customFormat="1" ht="12.75" customHeight="1">
      <c r="A446" s="436"/>
      <c r="B446" s="13"/>
      <c r="C446" s="651"/>
      <c r="D446" s="630"/>
      <c r="E446" s="619"/>
      <c r="F446" s="2448"/>
      <c r="G446" s="2448"/>
      <c r="H446" s="2448"/>
      <c r="I446" s="2448"/>
      <c r="J446" s="2448"/>
      <c r="K446" s="2448"/>
      <c r="L446" s="2448"/>
      <c r="M446" s="2448"/>
      <c r="N446" s="2448"/>
      <c r="O446" s="2448"/>
      <c r="P446" s="2448"/>
      <c r="Q446" s="2448"/>
      <c r="R446" s="2448"/>
      <c r="S446" s="2448"/>
      <c r="T446" s="2448"/>
      <c r="U446" s="2448"/>
      <c r="V446" s="2448"/>
      <c r="W446" s="2448"/>
      <c r="X446" s="2448"/>
      <c r="Y446" s="2448"/>
      <c r="Z446" s="2448"/>
      <c r="AA446" s="2448"/>
      <c r="AB446" s="2448"/>
      <c r="AC446" s="2448"/>
      <c r="AD446" s="2448"/>
      <c r="AE446" s="2448"/>
      <c r="AF446" s="491"/>
      <c r="AG446" s="491"/>
      <c r="AH446" s="491"/>
      <c r="AI446" s="491"/>
      <c r="AJ446" s="491"/>
      <c r="AK446" s="491"/>
      <c r="AL446" s="620"/>
      <c r="AM446" s="470"/>
      <c r="AN446" s="497"/>
    </row>
    <row r="447" spans="1:60" s="450" customFormat="1" ht="12.75" customHeight="1">
      <c r="A447" s="436"/>
      <c r="B447" s="13"/>
      <c r="C447" s="651"/>
      <c r="D447" s="630"/>
      <c r="E447" s="619"/>
      <c r="F447" s="2448"/>
      <c r="G447" s="2448"/>
      <c r="H447" s="2448"/>
      <c r="I447" s="2448"/>
      <c r="J447" s="2448"/>
      <c r="K447" s="2448"/>
      <c r="L447" s="2448"/>
      <c r="M447" s="2448"/>
      <c r="N447" s="2448"/>
      <c r="O447" s="2448"/>
      <c r="P447" s="2448"/>
      <c r="Q447" s="2448"/>
      <c r="R447" s="2448"/>
      <c r="S447" s="2448"/>
      <c r="T447" s="2448"/>
      <c r="U447" s="2448"/>
      <c r="V447" s="2448"/>
      <c r="W447" s="2448"/>
      <c r="X447" s="2448"/>
      <c r="Y447" s="2448"/>
      <c r="Z447" s="2448"/>
      <c r="AA447" s="2448"/>
      <c r="AB447" s="2448"/>
      <c r="AC447" s="2448"/>
      <c r="AD447" s="2448"/>
      <c r="AE447" s="2448"/>
      <c r="AF447" s="491"/>
      <c r="AG447" s="491"/>
      <c r="AH447" s="491"/>
      <c r="AI447" s="491"/>
      <c r="AJ447" s="491"/>
      <c r="AK447" s="491"/>
      <c r="AL447" s="620"/>
      <c r="AM447" s="470"/>
      <c r="AN447" s="497"/>
    </row>
    <row r="448" spans="1:60" s="450" customFormat="1" ht="12.75" customHeight="1">
      <c r="A448" s="436"/>
      <c r="B448" s="13"/>
      <c r="C448" s="651"/>
      <c r="D448" s="630"/>
      <c r="E448" s="619"/>
      <c r="F448" s="2448"/>
      <c r="G448" s="2448"/>
      <c r="H448" s="2448"/>
      <c r="I448" s="2448"/>
      <c r="J448" s="2448"/>
      <c r="K448" s="2448"/>
      <c r="L448" s="2448"/>
      <c r="M448" s="2448"/>
      <c r="N448" s="2448"/>
      <c r="O448" s="2448"/>
      <c r="P448" s="2448"/>
      <c r="Q448" s="2448"/>
      <c r="R448" s="2448"/>
      <c r="S448" s="2448"/>
      <c r="T448" s="2448"/>
      <c r="U448" s="2448"/>
      <c r="V448" s="2448"/>
      <c r="W448" s="2448"/>
      <c r="X448" s="2448"/>
      <c r="Y448" s="2448"/>
      <c r="Z448" s="2448"/>
      <c r="AA448" s="2448"/>
      <c r="AB448" s="2448"/>
      <c r="AC448" s="2448"/>
      <c r="AD448" s="2448"/>
      <c r="AE448" s="2448"/>
      <c r="AL448" s="632"/>
      <c r="AM448" s="470"/>
      <c r="AN448" s="497"/>
    </row>
    <row r="449" spans="1:40" s="450" customFormat="1" ht="12.75" customHeight="1">
      <c r="A449" s="436"/>
      <c r="B449" s="13"/>
      <c r="C449" s="2444" t="s">
        <v>813</v>
      </c>
      <c r="D449" s="2401"/>
      <c r="E449" s="619"/>
      <c r="F449" s="621" t="s">
        <v>2365</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69" t="s">
        <v>2337</v>
      </c>
      <c r="AG449" s="2369"/>
      <c r="AH449" s="2369"/>
      <c r="AI449" s="2369"/>
      <c r="AJ449" s="2369"/>
      <c r="AK449" s="2369"/>
      <c r="AL449" s="244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2344</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0" t="s">
        <v>813</v>
      </c>
      <c r="D453" s="2451"/>
      <c r="E453" s="615" t="s">
        <v>2366</v>
      </c>
      <c r="F453" s="2447" t="s">
        <v>2367</v>
      </c>
      <c r="G453" s="2447"/>
      <c r="H453" s="2447"/>
      <c r="I453" s="2447"/>
      <c r="J453" s="2447"/>
      <c r="K453" s="2447"/>
      <c r="L453" s="2447"/>
      <c r="M453" s="2447"/>
      <c r="N453" s="2447"/>
      <c r="O453" s="2447"/>
      <c r="P453" s="2447"/>
      <c r="Q453" s="2447"/>
      <c r="R453" s="2447"/>
      <c r="S453" s="2447"/>
      <c r="T453" s="2447"/>
      <c r="U453" s="2447"/>
      <c r="V453" s="2447"/>
      <c r="W453" s="2447"/>
      <c r="X453" s="2447"/>
      <c r="Y453" s="2447"/>
      <c r="Z453" s="2447"/>
      <c r="AA453" s="2447"/>
      <c r="AB453" s="2447"/>
      <c r="AC453" s="2447"/>
      <c r="AD453" s="2447"/>
      <c r="AE453" s="2447"/>
      <c r="AF453" s="2468" t="s">
        <v>2337</v>
      </c>
      <c r="AG453" s="2468"/>
      <c r="AH453" s="2468"/>
      <c r="AI453" s="2468"/>
      <c r="AJ453" s="2468"/>
      <c r="AK453" s="2468"/>
      <c r="AL453" s="2469"/>
      <c r="AM453" s="470"/>
      <c r="AN453" s="653"/>
    </row>
    <row r="454" spans="1:40" s="450" customFormat="1" ht="12.75" customHeight="1">
      <c r="A454" s="436"/>
      <c r="B454" s="13"/>
      <c r="C454" s="651"/>
      <c r="D454" s="630"/>
      <c r="E454" s="619"/>
      <c r="F454" s="2448"/>
      <c r="G454" s="2448"/>
      <c r="H454" s="2448"/>
      <c r="I454" s="2448"/>
      <c r="J454" s="2448"/>
      <c r="K454" s="2448"/>
      <c r="L454" s="2448"/>
      <c r="M454" s="2448"/>
      <c r="N454" s="2448"/>
      <c r="O454" s="2448"/>
      <c r="P454" s="2448"/>
      <c r="Q454" s="2448"/>
      <c r="R454" s="2448"/>
      <c r="S454" s="2448"/>
      <c r="T454" s="2448"/>
      <c r="U454" s="2448"/>
      <c r="V454" s="2448"/>
      <c r="W454" s="2448"/>
      <c r="X454" s="2448"/>
      <c r="Y454" s="2448"/>
      <c r="Z454" s="2448"/>
      <c r="AA454" s="2448"/>
      <c r="AB454" s="2448"/>
      <c r="AC454" s="2448"/>
      <c r="AD454" s="2448"/>
      <c r="AE454" s="2448"/>
      <c r="AF454" s="491"/>
      <c r="AG454" s="491"/>
      <c r="AH454" s="491"/>
      <c r="AI454" s="491"/>
      <c r="AJ454" s="491"/>
      <c r="AK454" s="491"/>
      <c r="AL454" s="620"/>
      <c r="AM454" s="470"/>
      <c r="AN454" s="654"/>
    </row>
    <row r="455" spans="1:40" s="450" customFormat="1" ht="17.75" customHeight="1">
      <c r="A455" s="436"/>
      <c r="B455" s="13"/>
      <c r="C455" s="656"/>
      <c r="D455" s="623"/>
      <c r="E455" s="624"/>
      <c r="F455" s="2467"/>
      <c r="G455" s="2467"/>
      <c r="H455" s="2467"/>
      <c r="I455" s="2467"/>
      <c r="J455" s="2467"/>
      <c r="K455" s="2467"/>
      <c r="L455" s="2467"/>
      <c r="M455" s="2467"/>
      <c r="N455" s="2467"/>
      <c r="O455" s="2467"/>
      <c r="P455" s="2467"/>
      <c r="Q455" s="2467"/>
      <c r="R455" s="2467"/>
      <c r="S455" s="2467"/>
      <c r="T455" s="2467"/>
      <c r="U455" s="2467"/>
      <c r="V455" s="2467"/>
      <c r="W455" s="2467"/>
      <c r="X455" s="2467"/>
      <c r="Y455" s="2467"/>
      <c r="Z455" s="2467"/>
      <c r="AA455" s="2467"/>
      <c r="AB455" s="2467"/>
      <c r="AC455" s="2467"/>
      <c r="AD455" s="2467"/>
      <c r="AE455" s="2467"/>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4" t="s">
        <v>813</v>
      </c>
      <c r="D457" s="2401"/>
      <c r="E457" s="615" t="s">
        <v>2368</v>
      </c>
      <c r="F457" s="2447" t="s">
        <v>2369</v>
      </c>
      <c r="G457" s="2447"/>
      <c r="H457" s="2447"/>
      <c r="I457" s="2447"/>
      <c r="J457" s="2447"/>
      <c r="K457" s="2447"/>
      <c r="L457" s="2447"/>
      <c r="M457" s="2447"/>
      <c r="N457" s="2447"/>
      <c r="O457" s="2447"/>
      <c r="P457" s="2447"/>
      <c r="Q457" s="2447"/>
      <c r="R457" s="2447"/>
      <c r="S457" s="2447"/>
      <c r="T457" s="2447"/>
      <c r="U457" s="2447"/>
      <c r="V457" s="2447"/>
      <c r="W457" s="2447"/>
      <c r="X457" s="2447"/>
      <c r="Y457" s="2447"/>
      <c r="Z457" s="2447"/>
      <c r="AA457" s="2447"/>
      <c r="AB457" s="2447"/>
      <c r="AC457" s="2447"/>
      <c r="AD457" s="2447"/>
      <c r="AE457" s="2447"/>
      <c r="AF457" s="2468" t="s">
        <v>2337</v>
      </c>
      <c r="AG457" s="2468"/>
      <c r="AH457" s="2468"/>
      <c r="AI457" s="2468"/>
      <c r="AJ457" s="2468"/>
      <c r="AK457" s="2468"/>
      <c r="AL457" s="2469"/>
      <c r="AM457" s="470"/>
      <c r="AN457" s="435"/>
    </row>
    <row r="458" spans="1:40" s="450" customFormat="1" ht="12.75" customHeight="1">
      <c r="A458" s="436"/>
      <c r="B458" s="13"/>
      <c r="C458" s="631"/>
      <c r="D458" s="13"/>
      <c r="E458" s="591"/>
      <c r="F458" s="2448"/>
      <c r="G458" s="2448"/>
      <c r="H458" s="2448"/>
      <c r="I458" s="2448"/>
      <c r="J458" s="2448"/>
      <c r="K458" s="2448"/>
      <c r="L458" s="2448"/>
      <c r="M458" s="2448"/>
      <c r="N458" s="2448"/>
      <c r="O458" s="2448"/>
      <c r="P458" s="2448"/>
      <c r="Q458" s="2448"/>
      <c r="R458" s="2448"/>
      <c r="S458" s="2448"/>
      <c r="T458" s="2448"/>
      <c r="U458" s="2448"/>
      <c r="V458" s="2448"/>
      <c r="W458" s="2448"/>
      <c r="X458" s="2448"/>
      <c r="Y458" s="2448"/>
      <c r="Z458" s="2448"/>
      <c r="AA458" s="2448"/>
      <c r="AB458" s="2448"/>
      <c r="AC458" s="2448"/>
      <c r="AD458" s="2448"/>
      <c r="AE458" s="2448"/>
      <c r="AF458" s="439"/>
      <c r="AG458" s="436"/>
      <c r="AL458" s="632"/>
      <c r="AM458" s="470"/>
      <c r="AN458" s="435"/>
    </row>
    <row r="459" spans="1:40" s="450" customFormat="1" ht="12.75" customHeight="1">
      <c r="A459" s="436"/>
      <c r="B459" s="13"/>
      <c r="C459" s="631"/>
      <c r="D459" s="13"/>
      <c r="E459" s="591"/>
      <c r="F459" s="2448"/>
      <c r="G459" s="2448"/>
      <c r="H459" s="2448"/>
      <c r="I459" s="2448"/>
      <c r="J459" s="2448"/>
      <c r="K459" s="2448"/>
      <c r="L459" s="2448"/>
      <c r="M459" s="2448"/>
      <c r="N459" s="2448"/>
      <c r="O459" s="2448"/>
      <c r="P459" s="2448"/>
      <c r="Q459" s="2448"/>
      <c r="R459" s="2448"/>
      <c r="S459" s="2448"/>
      <c r="T459" s="2448"/>
      <c r="U459" s="2448"/>
      <c r="V459" s="2448"/>
      <c r="W459" s="2448"/>
      <c r="X459" s="2448"/>
      <c r="Y459" s="2448"/>
      <c r="Z459" s="2448"/>
      <c r="AA459" s="2448"/>
      <c r="AB459" s="2448"/>
      <c r="AC459" s="2448"/>
      <c r="AD459" s="2448"/>
      <c r="AE459" s="2448"/>
      <c r="AF459" s="439"/>
      <c r="AG459" s="436"/>
      <c r="AL459" s="632"/>
      <c r="AM459" s="470"/>
      <c r="AN459" s="435"/>
    </row>
    <row r="460" spans="1:40" s="450" customFormat="1" ht="12.75" customHeight="1">
      <c r="A460" s="436"/>
      <c r="B460" s="13"/>
      <c r="C460" s="656"/>
      <c r="D460" s="623"/>
      <c r="E460" s="624"/>
      <c r="F460" s="2467"/>
      <c r="G460" s="2467"/>
      <c r="H460" s="2467"/>
      <c r="I460" s="2467"/>
      <c r="J460" s="2467"/>
      <c r="K460" s="2467"/>
      <c r="L460" s="2467"/>
      <c r="M460" s="2467"/>
      <c r="N460" s="2467"/>
      <c r="O460" s="2467"/>
      <c r="P460" s="2467"/>
      <c r="Q460" s="2467"/>
      <c r="R460" s="2467"/>
      <c r="S460" s="2467"/>
      <c r="T460" s="2467"/>
      <c r="U460" s="2467"/>
      <c r="V460" s="2467"/>
      <c r="W460" s="2467"/>
      <c r="X460" s="2467"/>
      <c r="Y460" s="2467"/>
      <c r="Z460" s="2467"/>
      <c r="AA460" s="2467"/>
      <c r="AB460" s="2467"/>
      <c r="AC460" s="2467"/>
      <c r="AD460" s="2467"/>
      <c r="AE460" s="2467"/>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2370</v>
      </c>
      <c r="F462" s="2447" t="s">
        <v>2371</v>
      </c>
      <c r="G462" s="2447"/>
      <c r="H462" s="2447"/>
      <c r="I462" s="2447"/>
      <c r="J462" s="2447"/>
      <c r="K462" s="2447"/>
      <c r="L462" s="2447"/>
      <c r="M462" s="2447"/>
      <c r="N462" s="2447"/>
      <c r="O462" s="2447"/>
      <c r="P462" s="2447"/>
      <c r="Q462" s="2447"/>
      <c r="R462" s="2447"/>
      <c r="S462" s="2447"/>
      <c r="T462" s="2447"/>
      <c r="U462" s="2447"/>
      <c r="V462" s="2447"/>
      <c r="W462" s="2447"/>
      <c r="X462" s="2447"/>
      <c r="Y462" s="2447"/>
      <c r="Z462" s="2447"/>
      <c r="AA462" s="2447"/>
      <c r="AB462" s="2447"/>
      <c r="AC462" s="2447"/>
      <c r="AD462" s="2447"/>
      <c r="AE462" s="2447"/>
      <c r="AF462" s="2447"/>
      <c r="AG462" s="644"/>
      <c r="AH462" s="614"/>
      <c r="AI462" s="614"/>
      <c r="AJ462" s="614"/>
      <c r="AK462" s="614"/>
      <c r="AL462" s="645"/>
      <c r="AM462" s="470"/>
      <c r="AN462" s="497"/>
    </row>
    <row r="463" spans="1:40" s="450" customFormat="1" ht="12.75" customHeight="1">
      <c r="A463" s="436"/>
      <c r="B463" s="13"/>
      <c r="C463" s="631"/>
      <c r="D463" s="13"/>
      <c r="E463" s="591"/>
      <c r="F463" s="2448"/>
      <c r="G463" s="2448"/>
      <c r="H463" s="2448"/>
      <c r="I463" s="2448"/>
      <c r="J463" s="2448"/>
      <c r="K463" s="2448"/>
      <c r="L463" s="2448"/>
      <c r="M463" s="2448"/>
      <c r="N463" s="2448"/>
      <c r="O463" s="2448"/>
      <c r="P463" s="2448"/>
      <c r="Q463" s="2448"/>
      <c r="R463" s="2448"/>
      <c r="S463" s="2448"/>
      <c r="T463" s="2448"/>
      <c r="U463" s="2448"/>
      <c r="V463" s="2448"/>
      <c r="W463" s="2448"/>
      <c r="X463" s="2448"/>
      <c r="Y463" s="2448"/>
      <c r="Z463" s="2448"/>
      <c r="AA463" s="2448"/>
      <c r="AB463" s="2448"/>
      <c r="AC463" s="2448"/>
      <c r="AD463" s="2448"/>
      <c r="AE463" s="2448"/>
      <c r="AF463" s="2448"/>
      <c r="AL463" s="632"/>
      <c r="AM463" s="470"/>
      <c r="AN463" s="497"/>
    </row>
    <row r="464" spans="1:40" s="450" customFormat="1" ht="12.75" customHeight="1">
      <c r="A464" s="436"/>
      <c r="B464" s="13"/>
      <c r="C464" s="639"/>
      <c r="F464" s="2448"/>
      <c r="G464" s="2448"/>
      <c r="H464" s="2448"/>
      <c r="I464" s="2448"/>
      <c r="J464" s="2448"/>
      <c r="K464" s="2448"/>
      <c r="L464" s="2448"/>
      <c r="M464" s="2448"/>
      <c r="N464" s="2448"/>
      <c r="O464" s="2448"/>
      <c r="P464" s="2448"/>
      <c r="Q464" s="2448"/>
      <c r="R464" s="2448"/>
      <c r="S464" s="2448"/>
      <c r="T464" s="2448"/>
      <c r="U464" s="2448"/>
      <c r="V464" s="2448"/>
      <c r="W464" s="2448"/>
      <c r="X464" s="2448"/>
      <c r="Y464" s="2448"/>
      <c r="Z464" s="2448"/>
      <c r="AA464" s="2448"/>
      <c r="AB464" s="2448"/>
      <c r="AC464" s="2448"/>
      <c r="AD464" s="2448"/>
      <c r="AE464" s="2448"/>
      <c r="AF464" s="2448"/>
      <c r="AL464" s="632"/>
      <c r="AM464" s="470"/>
      <c r="AN464" s="497"/>
    </row>
    <row r="465" spans="1:58" s="450" customFormat="1" ht="12.75" customHeight="1">
      <c r="A465" s="436"/>
      <c r="B465" s="13"/>
      <c r="C465" s="639"/>
      <c r="F465" s="2448"/>
      <c r="G465" s="2448"/>
      <c r="H465" s="2448"/>
      <c r="I465" s="2448"/>
      <c r="J465" s="2448"/>
      <c r="K465" s="2448"/>
      <c r="L465" s="2448"/>
      <c r="M465" s="2448"/>
      <c r="N465" s="2448"/>
      <c r="O465" s="2448"/>
      <c r="P465" s="2448"/>
      <c r="Q465" s="2448"/>
      <c r="R465" s="2448"/>
      <c r="S465" s="2448"/>
      <c r="T465" s="2448"/>
      <c r="U465" s="2448"/>
      <c r="V465" s="2448"/>
      <c r="W465" s="2448"/>
      <c r="X465" s="2448"/>
      <c r="Y465" s="2448"/>
      <c r="Z465" s="2448"/>
      <c r="AA465" s="2448"/>
      <c r="AB465" s="2448"/>
      <c r="AC465" s="2448"/>
      <c r="AD465" s="2448"/>
      <c r="AE465" s="2448"/>
      <c r="AF465" s="2448"/>
      <c r="AL465" s="632"/>
      <c r="AM465" s="470"/>
      <c r="AN465" s="497"/>
    </row>
    <row r="466" spans="1:58" s="450" customFormat="1" ht="12.75" customHeight="1">
      <c r="A466" s="436"/>
      <c r="B466" s="13"/>
      <c r="C466" s="2444" t="s">
        <v>813</v>
      </c>
      <c r="D466" s="2401"/>
      <c r="E466" s="619"/>
      <c r="F466" s="621" t="s">
        <v>2354</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5" t="s">
        <v>2337</v>
      </c>
      <c r="AG466" s="2445"/>
      <c r="AH466" s="2445"/>
      <c r="AI466" s="2445"/>
      <c r="AJ466" s="2445"/>
      <c r="AK466" s="2445"/>
      <c r="AL466" s="2446"/>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2372</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2373</v>
      </c>
      <c r="AK469" s="2404">
        <f>IF(Application!D214="N/A",AS358,AS360)</f>
        <v>10</v>
      </c>
      <c r="AL469" s="2405"/>
      <c r="AM469" s="240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813</v>
      </c>
      <c r="AP471" s="450">
        <v>0</v>
      </c>
      <c r="AT471" s="450" t="s">
        <v>813</v>
      </c>
      <c r="AU471" s="450">
        <v>0</v>
      </c>
      <c r="AV471" s="652"/>
    </row>
    <row r="472" spans="1:58" s="450" customFormat="1" ht="12.75" hidden="1" customHeight="1">
      <c r="A472" s="439" t="s">
        <v>2374</v>
      </c>
      <c r="C472" s="439"/>
      <c r="E472" s="496"/>
      <c r="AE472" s="2445" t="s">
        <v>2375</v>
      </c>
      <c r="AF472" s="2445"/>
      <c r="AG472" s="2445"/>
      <c r="AH472" s="2445"/>
      <c r="AI472" s="2445"/>
      <c r="AJ472" s="2445"/>
      <c r="AK472" s="2445"/>
      <c r="AL472" s="491"/>
      <c r="AN472" s="497"/>
      <c r="AO472" s="450" t="s">
        <v>2376</v>
      </c>
      <c r="AP472" s="450">
        <v>5</v>
      </c>
      <c r="AT472" s="450" t="s">
        <v>2376</v>
      </c>
      <c r="AU472" s="450">
        <v>5</v>
      </c>
      <c r="AV472" s="652"/>
    </row>
    <row r="473" spans="1:58" s="450" customFormat="1" ht="12.75" hidden="1" customHeight="1">
      <c r="A473" s="439"/>
      <c r="B473" s="436" t="s">
        <v>2377</v>
      </c>
      <c r="C473" s="439"/>
      <c r="E473" s="496"/>
      <c r="AE473" s="491"/>
      <c r="AF473" s="491"/>
      <c r="AG473" s="491"/>
      <c r="AH473" s="491"/>
      <c r="AI473" s="491"/>
      <c r="AJ473" s="491"/>
      <c r="AK473" s="491"/>
      <c r="AL473" s="491"/>
      <c r="AN473" s="497"/>
      <c r="AO473" s="450" t="s">
        <v>2378</v>
      </c>
      <c r="AP473" s="450">
        <v>5</v>
      </c>
      <c r="AT473" s="450" t="s">
        <v>2379</v>
      </c>
      <c r="AU473" s="450">
        <v>5</v>
      </c>
      <c r="AV473" s="652"/>
    </row>
    <row r="474" spans="1:58" s="450" customFormat="1" ht="12.75" hidden="1" customHeight="1">
      <c r="A474" s="439"/>
      <c r="B474" s="439" t="s">
        <v>2380</v>
      </c>
      <c r="C474" s="439"/>
      <c r="E474" s="496"/>
      <c r="AE474" s="491"/>
      <c r="AF474" s="491"/>
      <c r="AG474" s="491"/>
      <c r="AH474" s="491"/>
      <c r="AI474" s="491"/>
      <c r="AJ474" s="491"/>
      <c r="AK474" s="491"/>
      <c r="AL474" s="491"/>
      <c r="AN474" s="497"/>
      <c r="AO474" s="450" t="s">
        <v>2381</v>
      </c>
      <c r="AP474" s="450">
        <v>5</v>
      </c>
      <c r="AQ474" s="439"/>
      <c r="AR474" s="439"/>
      <c r="AS474" s="655"/>
      <c r="AT474" s="450" t="s">
        <v>2381</v>
      </c>
      <c r="AU474" s="450">
        <v>5</v>
      </c>
      <c r="AV474" s="436"/>
    </row>
    <row r="475" spans="1:58" s="450" customFormat="1" ht="12.75" hidden="1" customHeight="1">
      <c r="A475" s="439"/>
      <c r="B475" s="439" t="s">
        <v>2382</v>
      </c>
      <c r="C475" s="439"/>
      <c r="E475" s="496"/>
      <c r="AE475" s="491"/>
      <c r="AF475" s="491"/>
      <c r="AG475" s="491"/>
      <c r="AH475" s="491"/>
      <c r="AI475" s="491"/>
      <c r="AJ475" s="491"/>
      <c r="AK475" s="491"/>
      <c r="AL475" s="491"/>
      <c r="AN475" s="497"/>
      <c r="AO475" s="450" t="s">
        <v>2383</v>
      </c>
      <c r="AP475" s="450">
        <v>5</v>
      </c>
      <c r="AQ475" s="439"/>
      <c r="AR475" s="439"/>
      <c r="AT475" s="450" t="s">
        <v>2383</v>
      </c>
      <c r="AU475" s="450">
        <v>5</v>
      </c>
    </row>
    <row r="476" spans="1:58" s="450" customFormat="1" ht="12.75" hidden="1" customHeight="1">
      <c r="A476" s="439"/>
      <c r="C476" s="439"/>
      <c r="E476" s="496"/>
      <c r="AE476" s="491"/>
      <c r="AF476" s="491"/>
      <c r="AG476" s="491"/>
      <c r="AH476" s="491"/>
      <c r="AI476" s="491"/>
      <c r="AJ476" s="491"/>
      <c r="AK476" s="491"/>
      <c r="AL476" s="491"/>
      <c r="AN476" s="497"/>
      <c r="AO476" s="450" t="s">
        <v>2384</v>
      </c>
      <c r="AP476" s="450">
        <v>5</v>
      </c>
      <c r="AQ476" s="439"/>
      <c r="AR476" s="439"/>
      <c r="AT476" s="450" t="s">
        <v>2384</v>
      </c>
      <c r="AU476" s="450">
        <v>5</v>
      </c>
    </row>
    <row r="477" spans="1:58" s="450" customFormat="1" ht="12.75" hidden="1" customHeight="1">
      <c r="A477" s="439"/>
      <c r="C477" s="612" t="s">
        <v>2385</v>
      </c>
      <c r="D477" s="470"/>
      <c r="AE477" s="491"/>
      <c r="AF477" s="491"/>
      <c r="AG477" s="496"/>
      <c r="AH477" s="496"/>
      <c r="AI477" s="496"/>
      <c r="AJ477" s="496"/>
      <c r="AK477" s="496"/>
      <c r="AL477" s="496"/>
      <c r="AN477" s="497"/>
      <c r="AO477" s="450" t="s">
        <v>2386</v>
      </c>
      <c r="AP477" s="450">
        <v>5</v>
      </c>
      <c r="AT477" s="450" t="s">
        <v>2386</v>
      </c>
      <c r="AU477" s="450">
        <v>5</v>
      </c>
    </row>
    <row r="478" spans="1:58" s="450" customFormat="1" ht="12.75" hidden="1" customHeight="1">
      <c r="A478" s="439"/>
      <c r="C478" s="2470" t="s">
        <v>813</v>
      </c>
      <c r="D478" s="2471"/>
      <c r="E478" s="661" t="s">
        <v>51</v>
      </c>
      <c r="F478" s="2472" t="s">
        <v>2387</v>
      </c>
      <c r="G478" s="2472"/>
      <c r="H478" s="2472"/>
      <c r="I478" s="2472"/>
      <c r="J478" s="2472"/>
      <c r="K478" s="2472"/>
      <c r="L478" s="2472"/>
      <c r="M478" s="2472"/>
      <c r="N478" s="2472"/>
      <c r="O478" s="2472"/>
      <c r="P478" s="2472"/>
      <c r="Q478" s="2472"/>
      <c r="R478" s="2472"/>
      <c r="S478" s="2472"/>
      <c r="T478" s="2472"/>
      <c r="U478" s="2472"/>
      <c r="V478" s="2472"/>
      <c r="W478" s="2472"/>
      <c r="X478" s="2472"/>
      <c r="Y478" s="2472"/>
      <c r="Z478" s="2472"/>
      <c r="AA478" s="2472"/>
      <c r="AB478" s="2472"/>
      <c r="AC478" s="2472"/>
      <c r="AD478" s="2472"/>
      <c r="AE478" s="2472"/>
      <c r="AF478" s="614"/>
      <c r="AG478" s="614"/>
      <c r="AH478" s="614"/>
      <c r="AI478" s="614"/>
      <c r="AJ478" s="614"/>
      <c r="AK478" s="645"/>
      <c r="AN478" s="497"/>
      <c r="AO478" s="450" t="s">
        <v>2388</v>
      </c>
      <c r="AP478" s="450">
        <v>5</v>
      </c>
      <c r="AS478" s="658"/>
      <c r="AT478" s="450" t="s">
        <v>2389</v>
      </c>
      <c r="AU478" s="450">
        <v>5</v>
      </c>
    </row>
    <row r="479" spans="1:58" s="450" customFormat="1" ht="12.75" hidden="1" customHeight="1">
      <c r="C479" s="662"/>
      <c r="E479" s="663"/>
      <c r="F479" s="2473"/>
      <c r="G479" s="2473"/>
      <c r="H479" s="2473"/>
      <c r="I479" s="2473"/>
      <c r="J479" s="2473"/>
      <c r="K479" s="2473"/>
      <c r="L479" s="2473"/>
      <c r="M479" s="2473"/>
      <c r="N479" s="2473"/>
      <c r="O479" s="2473"/>
      <c r="P479" s="2473"/>
      <c r="Q479" s="2473"/>
      <c r="R479" s="2473"/>
      <c r="S479" s="2473"/>
      <c r="T479" s="2473"/>
      <c r="U479" s="2473"/>
      <c r="V479" s="2473"/>
      <c r="W479" s="2473"/>
      <c r="X479" s="2473"/>
      <c r="Y479" s="2473"/>
      <c r="Z479" s="2473"/>
      <c r="AA479" s="2473"/>
      <c r="AB479" s="2473"/>
      <c r="AC479" s="2473"/>
      <c r="AD479" s="2473"/>
      <c r="AE479" s="2473"/>
      <c r="AG479" s="451"/>
      <c r="AH479" s="451"/>
      <c r="AI479" s="451"/>
      <c r="AJ479" s="451"/>
      <c r="AK479" s="632"/>
      <c r="AN479" s="497"/>
      <c r="AO479" s="450" t="s">
        <v>2390</v>
      </c>
      <c r="AP479" s="450">
        <v>1</v>
      </c>
      <c r="AT479" s="450" t="s">
        <v>2390</v>
      </c>
      <c r="AU479" s="450">
        <v>1</v>
      </c>
    </row>
    <row r="480" spans="1:58" s="450" customFormat="1" ht="12.75" hidden="1" customHeight="1">
      <c r="C480" s="664"/>
      <c r="D480" s="627"/>
      <c r="E480" s="665"/>
      <c r="F480" s="2546" t="s">
        <v>813</v>
      </c>
      <c r="G480" s="2546"/>
      <c r="H480" s="2546"/>
      <c r="I480" s="2546"/>
      <c r="J480" s="2546"/>
      <c r="K480" s="2546"/>
      <c r="L480" s="2546"/>
      <c r="M480" s="2546"/>
      <c r="N480" s="2546"/>
      <c r="O480" s="2546"/>
      <c r="P480" s="2546"/>
      <c r="Q480" s="2546"/>
      <c r="R480" s="2546"/>
      <c r="S480" s="2546"/>
      <c r="T480" s="2546"/>
      <c r="U480" s="2546"/>
      <c r="V480" s="2546"/>
      <c r="W480" s="2546"/>
      <c r="X480" s="2546"/>
      <c r="Y480" s="2546"/>
      <c r="Z480" s="2546"/>
      <c r="AA480" s="666"/>
      <c r="AB480" s="558"/>
      <c r="AC480" s="558"/>
      <c r="AD480" s="627"/>
      <c r="AE480" s="627"/>
      <c r="AF480" s="627"/>
      <c r="AG480" s="667">
        <f>IF($C$478="Yes",(VLOOKUP($F$480,$AT$471:$AU$479,2,FALSE)),0)</f>
        <v>0</v>
      </c>
      <c r="AH480" s="668" t="s">
        <v>2168</v>
      </c>
      <c r="AI480" s="667"/>
      <c r="AJ480" s="667"/>
      <c r="AK480" s="642"/>
      <c r="AN480" s="497"/>
      <c r="AS480" s="655"/>
      <c r="AX480" s="655"/>
      <c r="BB480" s="655" t="s">
        <v>2391</v>
      </c>
      <c r="BF480" s="655" t="s">
        <v>2392</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813</v>
      </c>
      <c r="AP481" s="537">
        <v>0</v>
      </c>
      <c r="AT481" s="450" t="s">
        <v>813</v>
      </c>
      <c r="AU481" s="537">
        <v>0</v>
      </c>
      <c r="AW481" s="450" t="s">
        <v>813</v>
      </c>
      <c r="AX481" s="537">
        <v>0</v>
      </c>
      <c r="AY481" s="493"/>
      <c r="BB481" s="450" t="s">
        <v>813</v>
      </c>
      <c r="BC481" s="493">
        <v>0</v>
      </c>
      <c r="BF481" s="450" t="s">
        <v>813</v>
      </c>
      <c r="BG481" s="493">
        <v>0</v>
      </c>
    </row>
    <row r="482" spans="1:81" s="450" customFormat="1" ht="12.75" hidden="1" customHeight="1">
      <c r="C482" s="2547" t="s">
        <v>848</v>
      </c>
      <c r="D482" s="2548"/>
      <c r="E482" s="661" t="s">
        <v>53</v>
      </c>
      <c r="F482" s="669" t="s">
        <v>2393</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2394</v>
      </c>
      <c r="AX482" s="537">
        <v>3</v>
      </c>
      <c r="AY482" s="493"/>
      <c r="BB482" s="658">
        <v>0.4</v>
      </c>
      <c r="BC482" s="493">
        <v>3</v>
      </c>
      <c r="BF482" s="658">
        <v>0.4</v>
      </c>
      <c r="BG482" s="493">
        <v>4</v>
      </c>
    </row>
    <row r="483" spans="1:81" s="450" customFormat="1" ht="12.75" hidden="1" customHeight="1">
      <c r="C483" s="670" t="s">
        <v>2395</v>
      </c>
      <c r="F483" s="671" t="s">
        <v>2396</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2397</v>
      </c>
      <c r="AX483" s="537">
        <v>5</v>
      </c>
      <c r="AY483" s="493"/>
      <c r="BB483" s="658">
        <v>0.6</v>
      </c>
      <c r="BC483" s="493">
        <v>4</v>
      </c>
      <c r="BF483" s="658">
        <v>0.6</v>
      </c>
      <c r="BG483" s="493">
        <v>5</v>
      </c>
    </row>
    <row r="484" spans="1:81" s="450" customFormat="1" ht="12.75" hidden="1" customHeight="1">
      <c r="C484" s="651"/>
      <c r="D484" s="630"/>
      <c r="E484" s="672"/>
      <c r="F484" s="671" t="s">
        <v>2398</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2399</v>
      </c>
      <c r="G485" s="450"/>
      <c r="H485" s="450"/>
      <c r="I485" s="671"/>
      <c r="J485" s="671"/>
      <c r="K485" s="671"/>
      <c r="L485" s="671"/>
      <c r="M485" s="671"/>
      <c r="N485" s="671"/>
      <c r="O485" s="671"/>
      <c r="P485" s="671"/>
      <c r="Q485" s="671"/>
      <c r="R485" s="671"/>
      <c r="S485" s="671"/>
      <c r="T485" s="671"/>
      <c r="U485" s="671"/>
      <c r="V485" s="2545" t="s">
        <v>813</v>
      </c>
      <c r="W485" s="2545"/>
      <c r="X485" s="2545"/>
      <c r="Y485" s="671"/>
      <c r="Z485" s="671"/>
      <c r="AA485" s="671"/>
      <c r="AB485" s="671"/>
      <c r="AC485" s="671"/>
      <c r="AD485" s="509"/>
      <c r="AE485" s="509"/>
      <c r="AF485" s="509"/>
      <c r="AG485" s="513">
        <f>IF(AND($C$482="Yes",$V$487="N/A",$V$492="N/A",$V$496="N/A",$V$498="N/A"),(VLOOKUP(V485,$AW$481:$AX$483,2,FALSE)),0)</f>
        <v>0</v>
      </c>
      <c r="AH485" s="540" t="s">
        <v>2168</v>
      </c>
      <c r="AI485" s="451"/>
      <c r="AJ485" s="451"/>
      <c r="AK485" s="632"/>
      <c r="AL485" s="450"/>
      <c r="AM485" s="450"/>
      <c r="AN485" s="497"/>
      <c r="AT485" s="450" t="s">
        <v>813</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2400</v>
      </c>
      <c r="G487" s="450"/>
      <c r="H487" s="450"/>
      <c r="I487" s="671"/>
      <c r="J487" s="671"/>
      <c r="K487" s="671"/>
      <c r="L487" s="671"/>
      <c r="M487" s="671"/>
      <c r="N487" s="671"/>
      <c r="O487" s="671"/>
      <c r="P487" s="671"/>
      <c r="Q487" s="671"/>
      <c r="R487" s="671"/>
      <c r="S487" s="671"/>
      <c r="T487" s="671"/>
      <c r="U487" s="671"/>
      <c r="V487" s="2545" t="s">
        <v>813</v>
      </c>
      <c r="W487" s="2545"/>
      <c r="X487" s="2545"/>
      <c r="Y487" s="671"/>
      <c r="Z487" s="671"/>
      <c r="AA487" s="671"/>
      <c r="AB487" s="671"/>
      <c r="AC487" s="671"/>
      <c r="AD487" s="509"/>
      <c r="AE487" s="509"/>
      <c r="AF487" s="509"/>
      <c r="AG487" s="513">
        <f>IF(AND($C$482="Yes",$V$485="N/A", $V$492="N/A",$V$496="N/A",$V$498="N/A"),(VLOOKUP(V487,$AT$481:$AU$483,2,FALSE)),0)</f>
        <v>0</v>
      </c>
      <c r="AH487" s="540" t="s">
        <v>2168</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813</v>
      </c>
      <c r="AP488" s="450">
        <v>0</v>
      </c>
    </row>
    <row r="489" spans="1:81" s="450" customFormat="1" ht="12.75" hidden="1" customHeight="1">
      <c r="C489" s="662"/>
      <c r="E489" s="663"/>
      <c r="F489" s="676" t="s">
        <v>2401</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2402</v>
      </c>
      <c r="AP489" s="537">
        <v>2</v>
      </c>
    </row>
    <row r="490" spans="1:81" s="450" customFormat="1" ht="12.75" hidden="1" customHeight="1">
      <c r="C490" s="662"/>
      <c r="F490" s="509" t="s">
        <v>2403</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2404</v>
      </c>
      <c r="AP490" s="450">
        <v>2</v>
      </c>
    </row>
    <row r="491" spans="1:81" s="496" customFormat="1" ht="12.75" hidden="1" customHeight="1">
      <c r="A491" s="450"/>
      <c r="B491" s="450"/>
      <c r="C491" s="639"/>
      <c r="D491" s="470"/>
      <c r="E491" s="470"/>
      <c r="F491" s="509" t="s">
        <v>2405</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2406</v>
      </c>
      <c r="AP491" s="450">
        <v>2</v>
      </c>
    </row>
    <row r="492" spans="1:81" s="450" customFormat="1" ht="12.75" hidden="1" customHeight="1">
      <c r="C492" s="677"/>
      <c r="F492" s="675" t="s">
        <v>2407</v>
      </c>
      <c r="M492" s="663"/>
      <c r="N492" s="663"/>
      <c r="O492" s="663"/>
      <c r="P492" s="663"/>
      <c r="Q492" s="451"/>
      <c r="R492" s="451"/>
      <c r="S492" s="451"/>
      <c r="T492" s="451"/>
      <c r="U492" s="451"/>
      <c r="V492" s="2545" t="s">
        <v>813</v>
      </c>
      <c r="W492" s="2545"/>
      <c r="X492" s="2545"/>
      <c r="Y492" s="451"/>
      <c r="Z492" s="451"/>
      <c r="AA492" s="451"/>
      <c r="AB492" s="451"/>
      <c r="AC492" s="451"/>
      <c r="AG492" s="513">
        <f>IF(AND($C$482="Yes",$V$485="N/A",$V$487="N/A", $V$496="N/A",$V$498="N/A"),(VLOOKUP($V$492,$AT$485:$AU$487,2,FALSE)),0)</f>
        <v>0</v>
      </c>
      <c r="AH492" s="540" t="s">
        <v>2168</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2408</v>
      </c>
      <c r="D494" s="614"/>
      <c r="E494" s="614"/>
      <c r="F494" s="680" t="s">
        <v>2409</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813</v>
      </c>
      <c r="AP494" s="450">
        <v>0</v>
      </c>
      <c r="AQ494" s="439"/>
    </row>
    <row r="495" spans="1:81" s="496" customFormat="1" ht="12.75" hidden="1" customHeight="1">
      <c r="A495" s="450"/>
      <c r="B495" s="450"/>
      <c r="C495" s="681"/>
      <c r="D495" s="2535"/>
      <c r="E495" s="2535"/>
      <c r="F495" s="671" t="s">
        <v>2410</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2411</v>
      </c>
      <c r="AP495" s="537">
        <v>5</v>
      </c>
      <c r="AQ495" s="439"/>
    </row>
    <row r="496" spans="1:81" s="470" customFormat="1" ht="12.75" hidden="1" customHeight="1">
      <c r="A496" s="579"/>
      <c r="B496" s="450"/>
      <c r="C496" s="662"/>
      <c r="D496" s="450"/>
      <c r="E496" s="450"/>
      <c r="F496" s="682" t="s">
        <v>2399</v>
      </c>
      <c r="G496" s="450"/>
      <c r="H496" s="450"/>
      <c r="I496" s="450"/>
      <c r="J496" s="450"/>
      <c r="K496" s="450"/>
      <c r="L496" s="450"/>
      <c r="M496" s="450"/>
      <c r="N496" s="450"/>
      <c r="O496" s="450"/>
      <c r="P496" s="450"/>
      <c r="Q496" s="450"/>
      <c r="R496" s="450"/>
      <c r="S496" s="450"/>
      <c r="T496" s="450"/>
      <c r="U496" s="450"/>
      <c r="V496" s="2545" t="s">
        <v>813</v>
      </c>
      <c r="W496" s="2545"/>
      <c r="X496" s="2545"/>
      <c r="Y496" s="450"/>
      <c r="Z496" s="450"/>
      <c r="AA496" s="450"/>
      <c r="AB496" s="450"/>
      <c r="AC496" s="450"/>
      <c r="AD496" s="450"/>
      <c r="AE496" s="450"/>
      <c r="AF496" s="450"/>
      <c r="AG496" s="513">
        <f>IF(AND($C$482="Yes",$V$485="N/A",V487="N/A",$V$492="N/A",$V$498="N/A"),(VLOOKUP($V$496,$BB$481:$BC$484,2,FALSE)),0)</f>
        <v>0</v>
      </c>
      <c r="AH496" s="540" t="s">
        <v>2168</v>
      </c>
      <c r="AI496" s="451"/>
      <c r="AJ496" s="450"/>
      <c r="AK496" s="632"/>
      <c r="AL496" s="450"/>
      <c r="AM496" s="450"/>
      <c r="AN496" s="584"/>
      <c r="AO496" s="450" t="s">
        <v>2412</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2413</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2400</v>
      </c>
      <c r="G498" s="666"/>
      <c r="H498" s="666"/>
      <c r="I498" s="627"/>
      <c r="J498" s="627"/>
      <c r="K498" s="627"/>
      <c r="L498" s="627"/>
      <c r="M498" s="627"/>
      <c r="N498" s="627"/>
      <c r="O498" s="627"/>
      <c r="P498" s="627"/>
      <c r="Q498" s="627"/>
      <c r="R498" s="627"/>
      <c r="S498" s="627"/>
      <c r="T498" s="627"/>
      <c r="U498" s="627"/>
      <c r="V498" s="2545" t="s">
        <v>813</v>
      </c>
      <c r="W498" s="2545"/>
      <c r="X498" s="2545"/>
      <c r="Y498" s="627"/>
      <c r="Z498" s="627"/>
      <c r="AA498" s="627"/>
      <c r="AB498" s="627"/>
      <c r="AC498" s="627"/>
      <c r="AD498" s="627"/>
      <c r="AE498" s="627"/>
      <c r="AF498" s="627"/>
      <c r="AG498" s="683">
        <f>IF(AND($C$482="Yes",$V$485="N/A",$V$487="N/A",$V$492="N/A",$V$496="N/A"),(VLOOKUP($V$498,$BF$481:$BG$483,2,FALSE)),0)</f>
        <v>0</v>
      </c>
      <c r="AH498" s="668" t="s">
        <v>2168</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2414</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0" t="s">
        <v>813</v>
      </c>
      <c r="D501" s="2471"/>
      <c r="E501" s="661" t="s">
        <v>51</v>
      </c>
      <c r="F501" s="2472" t="s">
        <v>2387</v>
      </c>
      <c r="G501" s="2472"/>
      <c r="H501" s="2472"/>
      <c r="I501" s="2472"/>
      <c r="J501" s="2472"/>
      <c r="K501" s="2472"/>
      <c r="L501" s="2472"/>
      <c r="M501" s="2472"/>
      <c r="N501" s="2472"/>
      <c r="O501" s="2472"/>
      <c r="P501" s="2472"/>
      <c r="Q501" s="2472"/>
      <c r="R501" s="2472"/>
      <c r="S501" s="2472"/>
      <c r="T501" s="2472"/>
      <c r="U501" s="2472"/>
      <c r="V501" s="2472"/>
      <c r="W501" s="2472"/>
      <c r="X501" s="2472"/>
      <c r="Y501" s="2472"/>
      <c r="Z501" s="2472"/>
      <c r="AA501" s="2472"/>
      <c r="AB501" s="2472"/>
      <c r="AC501" s="2472"/>
      <c r="AD501" s="2472"/>
      <c r="AE501" s="2472"/>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3"/>
      <c r="G502" s="2473"/>
      <c r="H502" s="2473"/>
      <c r="I502" s="2473"/>
      <c r="J502" s="2473"/>
      <c r="K502" s="2473"/>
      <c r="L502" s="2473"/>
      <c r="M502" s="2473"/>
      <c r="N502" s="2473"/>
      <c r="O502" s="2473"/>
      <c r="P502" s="2473"/>
      <c r="Q502" s="2473"/>
      <c r="R502" s="2473"/>
      <c r="S502" s="2473"/>
      <c r="T502" s="2473"/>
      <c r="U502" s="2473"/>
      <c r="V502" s="2473"/>
      <c r="W502" s="2473"/>
      <c r="X502" s="2473"/>
      <c r="Y502" s="2473"/>
      <c r="Z502" s="2473"/>
      <c r="AA502" s="2473"/>
      <c r="AB502" s="2473"/>
      <c r="AC502" s="2473"/>
      <c r="AD502" s="2473"/>
      <c r="AE502" s="2473"/>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1" t="s">
        <v>813</v>
      </c>
      <c r="G503" s="2541"/>
      <c r="H503" s="2541"/>
      <c r="I503" s="2541"/>
      <c r="J503" s="2541"/>
      <c r="K503" s="2541"/>
      <c r="L503" s="2541"/>
      <c r="M503" s="2541"/>
      <c r="N503" s="2541"/>
      <c r="O503" s="2541"/>
      <c r="P503" s="2541"/>
      <c r="Q503" s="2541"/>
      <c r="R503" s="2541"/>
      <c r="S503" s="2541"/>
      <c r="T503" s="2541"/>
      <c r="U503" s="2541"/>
      <c r="V503" s="2541"/>
      <c r="W503" s="2541"/>
      <c r="X503" s="2541"/>
      <c r="Y503" s="2541"/>
      <c r="Z503" s="2541"/>
      <c r="AA503" s="666"/>
      <c r="AB503" s="558"/>
      <c r="AC503" s="558"/>
      <c r="AD503" s="627"/>
      <c r="AE503" s="627"/>
      <c r="AF503" s="627"/>
      <c r="AG503" s="667">
        <f>IF($C$501="Yes",(VLOOKUP($F$503,$AO$471:$AP$479,2,FALSE)),0)</f>
        <v>0</v>
      </c>
      <c r="AH503" s="668" t="s">
        <v>2168</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0" t="s">
        <v>813</v>
      </c>
      <c r="D505" s="2471"/>
      <c r="E505" s="661" t="s">
        <v>53</v>
      </c>
      <c r="F505" s="2542" t="s">
        <v>2415</v>
      </c>
      <c r="G505" s="2542"/>
      <c r="H505" s="2542"/>
      <c r="I505" s="2542"/>
      <c r="J505" s="2542"/>
      <c r="K505" s="2542"/>
      <c r="L505" s="2542"/>
      <c r="M505" s="2542"/>
      <c r="N505" s="2542"/>
      <c r="O505" s="2542"/>
      <c r="P505" s="2542"/>
      <c r="Q505" s="2542"/>
      <c r="R505" s="2542"/>
      <c r="S505" s="2542"/>
      <c r="T505" s="2542"/>
      <c r="U505" s="2542"/>
      <c r="V505" s="2542"/>
      <c r="W505" s="2542"/>
      <c r="X505" s="2542"/>
      <c r="Y505" s="2542"/>
      <c r="Z505" s="2542"/>
      <c r="AA505" s="2542"/>
      <c r="AB505" s="2542"/>
      <c r="AC505" s="2542"/>
      <c r="AD505" s="2542"/>
      <c r="AE505" s="2542"/>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3"/>
      <c r="G506" s="2543"/>
      <c r="H506" s="2543"/>
      <c r="I506" s="2543"/>
      <c r="J506" s="2543"/>
      <c r="K506" s="2543"/>
      <c r="L506" s="2543"/>
      <c r="M506" s="2543"/>
      <c r="N506" s="2543"/>
      <c r="O506" s="2543"/>
      <c r="P506" s="2543"/>
      <c r="Q506" s="2543"/>
      <c r="R506" s="2543"/>
      <c r="S506" s="2543"/>
      <c r="T506" s="2543"/>
      <c r="U506" s="2543"/>
      <c r="V506" s="2543"/>
      <c r="W506" s="2543"/>
      <c r="X506" s="2543"/>
      <c r="Y506" s="2543"/>
      <c r="Z506" s="2543"/>
      <c r="AA506" s="2543"/>
      <c r="AB506" s="2543"/>
      <c r="AC506" s="2543"/>
      <c r="AD506" s="2543"/>
      <c r="AE506" s="2543"/>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2416</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4" t="s">
        <v>813</v>
      </c>
      <c r="G508" s="2544"/>
      <c r="H508" s="2544"/>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2168</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0" t="s">
        <v>813</v>
      </c>
      <c r="D510" s="2471"/>
      <c r="E510" s="661" t="s">
        <v>2417</v>
      </c>
      <c r="F510" s="680" t="s">
        <v>2418</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4"/>
      <c r="D512" s="2535"/>
      <c r="E512" s="672"/>
      <c r="F512" s="451" t="s">
        <v>2419</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2168</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6" t="s">
        <v>813</v>
      </c>
      <c r="H513" s="2536"/>
      <c r="I513" s="2536"/>
      <c r="J513" s="2536"/>
      <c r="K513" s="2536"/>
      <c r="L513" s="2536"/>
      <c r="M513" s="2536"/>
      <c r="N513" s="2536"/>
      <c r="O513" s="2536"/>
      <c r="P513" s="2536"/>
      <c r="Q513" s="2536"/>
      <c r="R513" s="2536"/>
      <c r="S513" s="2536"/>
      <c r="T513" s="2536"/>
      <c r="U513" s="2536"/>
      <c r="V513" s="2536"/>
      <c r="W513" s="2536"/>
      <c r="X513" s="2536"/>
      <c r="Y513" s="2536"/>
      <c r="Z513" s="2536"/>
      <c r="AA513" s="2536"/>
      <c r="AB513" s="2536"/>
      <c r="AC513" s="2536"/>
      <c r="AD513" s="2536"/>
      <c r="AE513" s="2536"/>
      <c r="AF513" s="2536"/>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4" t="s">
        <v>813</v>
      </c>
      <c r="D515" s="2475"/>
      <c r="F515" s="451" t="s">
        <v>2420</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2168</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2421</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2422</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4" t="s">
        <v>813</v>
      </c>
      <c r="D519" s="2475"/>
      <c r="F519" s="695" t="s">
        <v>2423</v>
      </c>
      <c r="G519" s="2448" t="s">
        <v>2424</v>
      </c>
      <c r="H519" s="2448"/>
      <c r="I519" s="2448"/>
      <c r="J519" s="2448"/>
      <c r="K519" s="2448"/>
      <c r="L519" s="2448"/>
      <c r="M519" s="2448"/>
      <c r="N519" s="2448"/>
      <c r="O519" s="2448"/>
      <c r="P519" s="2448"/>
      <c r="Q519" s="2448"/>
      <c r="R519" s="2448"/>
      <c r="S519" s="2448"/>
      <c r="T519" s="2448"/>
      <c r="U519" s="2448"/>
      <c r="V519" s="2448"/>
      <c r="W519" s="2448"/>
      <c r="X519" s="2448"/>
      <c r="Y519" s="2448"/>
      <c r="Z519" s="2448"/>
      <c r="AA519" s="2448"/>
      <c r="AB519" s="2448"/>
      <c r="AC519" s="2448"/>
      <c r="AD519" s="2448"/>
      <c r="AE519" s="2448"/>
      <c r="AF519" s="2448"/>
      <c r="AG519" s="513">
        <f>IF(AND($C$519="Yes",$C$510="Yes"),2,0)</f>
        <v>0</v>
      </c>
      <c r="AH519" s="540" t="s">
        <v>2168</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7"/>
      <c r="H520" s="2467"/>
      <c r="I520" s="2467"/>
      <c r="J520" s="2467"/>
      <c r="K520" s="2467"/>
      <c r="L520" s="2467"/>
      <c r="M520" s="2467"/>
      <c r="N520" s="2467"/>
      <c r="O520" s="2467"/>
      <c r="P520" s="2467"/>
      <c r="Q520" s="2467"/>
      <c r="R520" s="2467"/>
      <c r="S520" s="2467"/>
      <c r="T520" s="2467"/>
      <c r="U520" s="2467"/>
      <c r="V520" s="2467"/>
      <c r="W520" s="2467"/>
      <c r="X520" s="2467"/>
      <c r="Y520" s="2467"/>
      <c r="Z520" s="2467"/>
      <c r="AA520" s="2467"/>
      <c r="AB520" s="2467"/>
      <c r="AC520" s="2467"/>
      <c r="AD520" s="2467"/>
      <c r="AE520" s="2467"/>
      <c r="AF520" s="2467"/>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2425</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6" t="s">
        <v>813</v>
      </c>
      <c r="D523" s="2477"/>
      <c r="E523" s="702" t="s">
        <v>2426</v>
      </c>
      <c r="F523" s="671" t="s">
        <v>2427</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2168</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78" t="s">
        <v>813</v>
      </c>
      <c r="G524" s="2478"/>
      <c r="H524" s="2478"/>
      <c r="I524" s="2478"/>
      <c r="J524" s="2478"/>
      <c r="K524" s="2478"/>
      <c r="L524" s="2478"/>
      <c r="M524" s="2478"/>
      <c r="N524" s="2478"/>
      <c r="O524" s="2478"/>
      <c r="P524" s="2478"/>
      <c r="Q524" s="2478"/>
      <c r="R524" s="2478"/>
      <c r="S524" s="2478"/>
      <c r="T524" s="2478"/>
      <c r="U524" s="2478"/>
      <c r="V524" s="2478"/>
      <c r="W524" s="2478"/>
      <c r="X524" s="2478"/>
      <c r="Y524" s="2478"/>
      <c r="Z524" s="2478"/>
      <c r="AA524" s="2478"/>
      <c r="AB524" s="2478"/>
      <c r="AC524" s="2478"/>
      <c r="AD524" s="2478"/>
      <c r="AE524" s="2478"/>
      <c r="AF524" s="2478"/>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79"/>
      <c r="G525" s="2479"/>
      <c r="H525" s="2479"/>
      <c r="I525" s="2479"/>
      <c r="J525" s="2479"/>
      <c r="K525" s="2479"/>
      <c r="L525" s="2479"/>
      <c r="M525" s="2479"/>
      <c r="N525" s="2479"/>
      <c r="O525" s="2479"/>
      <c r="P525" s="2479"/>
      <c r="Q525" s="2479"/>
      <c r="R525" s="2479"/>
      <c r="S525" s="2479"/>
      <c r="T525" s="2479"/>
      <c r="U525" s="2479"/>
      <c r="V525" s="2479"/>
      <c r="W525" s="2479"/>
      <c r="X525" s="2479"/>
      <c r="Y525" s="2479"/>
      <c r="Z525" s="2479"/>
      <c r="AA525" s="2479"/>
      <c r="AB525" s="2479"/>
      <c r="AC525" s="2479"/>
      <c r="AD525" s="2479"/>
      <c r="AE525" s="2479"/>
      <c r="AF525" s="2479"/>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2428</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2429</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2430</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2431</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2432</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2433</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2434</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2435</v>
      </c>
      <c r="AK535" s="2404">
        <f>SUM(AG479:AG524)</f>
        <v>0</v>
      </c>
      <c r="AL535" s="2405"/>
      <c r="AM535" s="240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2436</v>
      </c>
      <c r="B538" s="439" t="s">
        <v>2437</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4" t="s">
        <v>2438</v>
      </c>
      <c r="AF538" s="2334"/>
      <c r="AG538" s="2334"/>
      <c r="AH538" s="2334"/>
      <c r="AI538" s="2334"/>
      <c r="AJ538" s="2334"/>
      <c r="AK538" s="2334"/>
      <c r="AL538" s="495"/>
      <c r="AM538" s="495"/>
      <c r="AN538" s="497"/>
    </row>
    <row r="539" spans="1:81" s="450" customFormat="1" ht="12.75" customHeight="1">
      <c r="A539" s="439"/>
      <c r="B539" s="439" t="s">
        <v>2164</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1" t="s">
        <v>813</v>
      </c>
      <c r="D541" s="2401"/>
      <c r="E541" s="451"/>
      <c r="F541" s="2528" t="s">
        <v>2439</v>
      </c>
      <c r="G541" s="2529"/>
      <c r="H541" s="2529"/>
      <c r="I541" s="2529"/>
      <c r="J541" s="2529"/>
      <c r="K541" s="2529"/>
      <c r="L541" s="2529"/>
      <c r="M541" s="2529"/>
      <c r="N541" s="2529"/>
      <c r="O541" s="2529"/>
      <c r="P541" s="2529"/>
      <c r="Q541" s="2529"/>
      <c r="R541" s="2529"/>
      <c r="S541" s="2529"/>
      <c r="T541" s="2529"/>
      <c r="U541" s="2529"/>
      <c r="V541" s="2529"/>
      <c r="W541" s="2529"/>
      <c r="X541" s="2529"/>
      <c r="Y541" s="2529"/>
      <c r="Z541" s="2529"/>
      <c r="AA541" s="2529"/>
      <c r="AB541" s="2529"/>
      <c r="AC541" s="2529"/>
      <c r="AD541" s="2529"/>
      <c r="AE541" s="2529"/>
      <c r="AF541" s="2529"/>
      <c r="AG541" s="2529"/>
      <c r="AH541" s="2529"/>
      <c r="AI541" s="2529"/>
      <c r="AJ541" s="2529"/>
      <c r="AK541" s="2529"/>
      <c r="AL541" s="2530"/>
      <c r="AM541" s="495"/>
      <c r="AN541" s="497"/>
    </row>
    <row r="542" spans="1:81" s="450" customFormat="1" ht="12.75" customHeight="1">
      <c r="A542" s="439"/>
      <c r="B542" s="439"/>
      <c r="C542" s="451"/>
      <c r="D542" s="451"/>
      <c r="E542" s="451"/>
      <c r="F542" s="2531"/>
      <c r="G542" s="2532"/>
      <c r="H542" s="2532"/>
      <c r="I542" s="2532"/>
      <c r="J542" s="2532"/>
      <c r="K542" s="2532"/>
      <c r="L542" s="2532"/>
      <c r="M542" s="2532"/>
      <c r="N542" s="2532"/>
      <c r="O542" s="2532"/>
      <c r="P542" s="2532"/>
      <c r="Q542" s="2532"/>
      <c r="R542" s="2532"/>
      <c r="S542" s="2532"/>
      <c r="T542" s="2532"/>
      <c r="U542" s="2532"/>
      <c r="V542" s="2532"/>
      <c r="W542" s="2532"/>
      <c r="X542" s="2532"/>
      <c r="Y542" s="2532"/>
      <c r="Z542" s="2532"/>
      <c r="AA542" s="2532"/>
      <c r="AB542" s="2532"/>
      <c r="AC542" s="2532"/>
      <c r="AD542" s="2532"/>
      <c r="AE542" s="2532"/>
      <c r="AF542" s="2532"/>
      <c r="AG542" s="2532"/>
      <c r="AH542" s="2532"/>
      <c r="AI542" s="2532"/>
      <c r="AJ542" s="2532"/>
      <c r="AK542" s="2532"/>
      <c r="AL542" s="2533"/>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1" t="s">
        <v>848</v>
      </c>
      <c r="D544" s="2401"/>
      <c r="E544" s="706"/>
      <c r="F544" s="544" t="s">
        <v>2440</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3" t="s">
        <v>2441</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495"/>
      <c r="AN545" s="497"/>
      <c r="AS545" s="769"/>
      <c r="AT545" s="769"/>
      <c r="AU545" s="769"/>
      <c r="AV545" s="769"/>
      <c r="AW545" s="769"/>
    </row>
    <row r="546" spans="1:49" s="450" customFormat="1" ht="12.75" customHeight="1">
      <c r="B546" s="706"/>
      <c r="C546" s="706"/>
      <c r="D546" s="706"/>
      <c r="E546" s="7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495"/>
      <c r="AN546" s="497"/>
    </row>
    <row r="547" spans="1:49" s="450" customFormat="1" ht="12.75" customHeight="1">
      <c r="B547" s="706"/>
      <c r="C547" s="706"/>
      <c r="D547" s="706"/>
      <c r="E547" s="706"/>
      <c r="F547" s="711" t="s">
        <v>2442</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3" t="s">
        <v>2443</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713"/>
      <c r="AM548" s="495"/>
      <c r="AN548" s="497"/>
    </row>
    <row r="549" spans="1:49" s="450" customFormat="1" ht="12.75" customHeight="1">
      <c r="B549" s="706"/>
      <c r="C549" s="706"/>
      <c r="D549" s="706"/>
      <c r="E549" s="7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0">
        <f>Application!AJ992</f>
        <v>106370352</v>
      </c>
      <c r="AQ550" s="2550"/>
      <c r="AR550" s="2550"/>
      <c r="AS550" s="450" t="s">
        <v>2444</v>
      </c>
    </row>
    <row r="551" spans="1:49" s="450" customFormat="1" ht="12.75" customHeight="1">
      <c r="A551" s="399"/>
      <c r="B551" s="349" t="s">
        <v>2445</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7">
        <f>'Sources and Uses Budget'!S107+'Sources and Uses Budget'!T107</f>
        <v>147699796</v>
      </c>
      <c r="AG551" s="2407"/>
      <c r="AH551" s="2407"/>
      <c r="AI551" s="2407"/>
      <c r="AJ551" s="2407"/>
      <c r="AK551" s="495"/>
      <c r="AL551" s="495"/>
      <c r="AM551" s="495"/>
      <c r="AN551" s="497"/>
    </row>
    <row r="552" spans="1:49" s="450" customFormat="1" ht="12.75" customHeight="1">
      <c r="A552" s="525"/>
      <c r="B552" s="525" t="s">
        <v>2446</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5">
        <f>IFERROR(AP559,0)</f>
        <v>221220736.59999999</v>
      </c>
      <c r="AG552" s="2555"/>
      <c r="AH552" s="2555"/>
      <c r="AI552" s="2555"/>
      <c r="AJ552" s="2555"/>
      <c r="AK552" s="495"/>
      <c r="AL552" s="495"/>
      <c r="AM552" s="495"/>
      <c r="AN552" s="497"/>
      <c r="AP552" s="2550">
        <f>Application!AJ1045</f>
        <v>5318517.6000000006</v>
      </c>
      <c r="AQ552" s="2550"/>
      <c r="AR552" s="2550"/>
      <c r="AS552" s="450" t="s">
        <v>1710</v>
      </c>
    </row>
    <row r="553" spans="1:49" s="450" customFormat="1" ht="12.75" customHeight="1">
      <c r="A553" s="524"/>
      <c r="B553" s="524" t="s">
        <v>1637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6">
        <f>IFERROR(ROUNDDOWN(IF(C544="YES",((1-(AF551/AF552))*2),(1-(AF551/AF552))),2),0)</f>
        <v>0.66</v>
      </c>
      <c r="AG553" s="2556"/>
      <c r="AH553" s="2556"/>
      <c r="AI553" s="2556"/>
      <c r="AJ553" s="2556"/>
      <c r="AK553" s="495"/>
      <c r="AL553" s="495"/>
      <c r="AM553" s="495"/>
      <c r="AN553" s="497"/>
      <c r="AP553" s="2553">
        <f>Application!AJ1049</f>
        <v>53185176</v>
      </c>
      <c r="AQ553" s="2553"/>
      <c r="AR553" s="2553"/>
      <c r="AS553" s="450" t="s">
        <v>1720</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49">
        <f>IF(((AP552+AP553)/AP550)&gt;0.8,0.8,((AP552+AP553)/AP550))</f>
        <v>0.55000000000000004</v>
      </c>
      <c r="AQ554" s="2549"/>
      <c r="AR554" s="2549"/>
      <c r="AS554" s="450" t="s">
        <v>2447</v>
      </c>
    </row>
    <row r="555" spans="1:49" s="450" customFormat="1" ht="12.75" customHeight="1">
      <c r="A555" s="524"/>
      <c r="B555" s="2486" t="s">
        <v>2448</v>
      </c>
      <c r="C555" s="2487"/>
      <c r="D555" s="2487"/>
      <c r="E555" s="2487"/>
      <c r="F555" s="2487"/>
      <c r="G555" s="2487"/>
      <c r="H555" s="2487"/>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87"/>
      <c r="AD555" s="2487"/>
      <c r="AE555" s="2487"/>
      <c r="AF555" s="2487"/>
      <c r="AG555" s="2487"/>
      <c r="AH555" s="2487"/>
      <c r="AI555" s="2487"/>
      <c r="AJ555" s="2488"/>
      <c r="AK555" s="495"/>
      <c r="AL555" s="495"/>
      <c r="AM555" s="495"/>
      <c r="AN555" s="497"/>
    </row>
    <row r="556" spans="1:49" s="450" customFormat="1" ht="12.75" customHeight="1">
      <c r="A556" s="524"/>
      <c r="B556" s="2489"/>
      <c r="C556" s="2490"/>
      <c r="D556" s="2490"/>
      <c r="E556" s="2490"/>
      <c r="F556" s="2490"/>
      <c r="G556" s="2490"/>
      <c r="H556" s="2490"/>
      <c r="I556" s="2490"/>
      <c r="J556" s="2490"/>
      <c r="K556" s="2490"/>
      <c r="L556" s="2490"/>
      <c r="M556" s="2490"/>
      <c r="N556" s="2490"/>
      <c r="O556" s="2490"/>
      <c r="P556" s="2490"/>
      <c r="Q556" s="2490"/>
      <c r="R556" s="2490"/>
      <c r="S556" s="2490"/>
      <c r="T556" s="2490"/>
      <c r="U556" s="2490"/>
      <c r="V556" s="2490"/>
      <c r="W556" s="2490"/>
      <c r="X556" s="2490"/>
      <c r="Y556" s="2490"/>
      <c r="Z556" s="2490"/>
      <c r="AA556" s="2490"/>
      <c r="AB556" s="2490"/>
      <c r="AC556" s="2490"/>
      <c r="AD556" s="2490"/>
      <c r="AE556" s="2490"/>
      <c r="AF556" s="2490"/>
      <c r="AG556" s="2490"/>
      <c r="AH556" s="2490"/>
      <c r="AI556" s="2490"/>
      <c r="AJ556" s="2491"/>
      <c r="AK556" s="495"/>
      <c r="AL556" s="495"/>
      <c r="AM556" s="495"/>
      <c r="AN556" s="497"/>
      <c r="AP556" s="2550">
        <f>AP557-AP552-AP553</f>
        <v>162717043</v>
      </c>
      <c r="AQ556" s="2459"/>
      <c r="AR556" s="2459"/>
      <c r="AS556" s="450" t="s">
        <v>2449</v>
      </c>
    </row>
    <row r="557" spans="1:49" s="450" customFormat="1" ht="12.75" customHeight="1">
      <c r="A557" s="524"/>
      <c r="B557" s="2492"/>
      <c r="C557" s="2493"/>
      <c r="D557" s="2493"/>
      <c r="E557" s="2493"/>
      <c r="F557" s="2493"/>
      <c r="G557" s="2493"/>
      <c r="H557" s="2493"/>
      <c r="I557" s="2493"/>
      <c r="J557" s="2493"/>
      <c r="K557" s="2493"/>
      <c r="L557" s="2493"/>
      <c r="M557" s="2493"/>
      <c r="N557" s="2493"/>
      <c r="O557" s="2493"/>
      <c r="P557" s="2493"/>
      <c r="Q557" s="2493"/>
      <c r="R557" s="2493"/>
      <c r="S557" s="2493"/>
      <c r="T557" s="2493"/>
      <c r="U557" s="2493"/>
      <c r="V557" s="2493"/>
      <c r="W557" s="2493"/>
      <c r="X557" s="2493"/>
      <c r="Y557" s="2493"/>
      <c r="Z557" s="2493"/>
      <c r="AA557" s="2493"/>
      <c r="AB557" s="2493"/>
      <c r="AC557" s="2493"/>
      <c r="AD557" s="2493"/>
      <c r="AE557" s="2493"/>
      <c r="AF557" s="2493"/>
      <c r="AG557" s="2493"/>
      <c r="AH557" s="2493"/>
      <c r="AI557" s="2493"/>
      <c r="AJ557" s="2494"/>
      <c r="AK557" s="495"/>
      <c r="AL557" s="495"/>
      <c r="AM557" s="495"/>
      <c r="AN557" s="497"/>
      <c r="AP557" s="2550">
        <f>Application!AJ1053</f>
        <v>221220736.59999999</v>
      </c>
      <c r="AQ557" s="2550"/>
      <c r="AR557" s="2550"/>
      <c r="AS557" s="450" t="s">
        <v>2450</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2451</v>
      </c>
      <c r="AK559" s="2495">
        <f>IFERROR(IF(AND(C541="N/A",C544="N/A"),0,IF(AF553=0,0,IF((AF553*100)&gt;12,12,(AF553*100)))),0)</f>
        <v>12</v>
      </c>
      <c r="AL559" s="2495"/>
      <c r="AM559" s="2496"/>
      <c r="AN559" s="497"/>
      <c r="AP559" s="2567">
        <f>AP556+(AP550*AP554)</f>
        <v>221220736.59999999</v>
      </c>
      <c r="AQ559" s="2568"/>
      <c r="AR559" s="2569"/>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2452</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4" t="s">
        <v>2148</v>
      </c>
      <c r="AF562" s="2334"/>
      <c r="AG562" s="2334"/>
      <c r="AH562" s="2334"/>
      <c r="AI562" s="2334"/>
      <c r="AJ562" s="2334"/>
      <c r="AK562" s="2334"/>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4" t="s">
        <v>2453</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542"/>
      <c r="AL564" s="473"/>
      <c r="AM564" s="503"/>
      <c r="AN564" s="497"/>
    </row>
    <row r="565" spans="1:42" s="450" customFormat="1" ht="12.75" customHeight="1">
      <c r="A565" s="5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542"/>
      <c r="AL565" s="473"/>
      <c r="AM565" s="503"/>
      <c r="AN565" s="497"/>
    </row>
    <row r="566" spans="1:42" s="450" customFormat="1" ht="12.75" customHeight="1">
      <c r="A566" s="5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542"/>
      <c r="AL566" s="473"/>
      <c r="AM566" s="503"/>
      <c r="AN566" s="497"/>
    </row>
    <row r="567" spans="1:42" s="450" customFormat="1" ht="12.75" customHeight="1">
      <c r="A567" s="5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542"/>
      <c r="AL567" s="473"/>
      <c r="AM567" s="503"/>
      <c r="AN567" s="497"/>
    </row>
    <row r="568" spans="1:42" s="450" customFormat="1" ht="12.75" customHeight="1">
      <c r="A568" s="5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542"/>
      <c r="AL568" s="473"/>
      <c r="AM568" s="503"/>
      <c r="AN568" s="497"/>
    </row>
    <row r="569" spans="1:42" s="450" customFormat="1" ht="12.75" customHeight="1">
      <c r="A569" s="5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542"/>
      <c r="AL569" s="473"/>
      <c r="AM569" s="503"/>
      <c r="AN569" s="497"/>
    </row>
    <row r="570" spans="1:42" s="450" customFormat="1" ht="12.75" customHeight="1">
      <c r="A570" s="5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542"/>
      <c r="AL570" s="473"/>
      <c r="AM570" s="503"/>
      <c r="AN570" s="497"/>
    </row>
    <row r="571" spans="1:42" ht="12.75" customHeight="1">
      <c r="A571" s="5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542"/>
      <c r="AL571" s="473"/>
      <c r="AM571" s="503"/>
    </row>
    <row r="572" spans="1:42" s="4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2454</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813</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848</v>
      </c>
    </row>
    <row r="576" spans="1:42" s="450" customFormat="1" ht="12.75" customHeight="1">
      <c r="C576" s="439" t="s">
        <v>2455</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2456</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69" t="s">
        <v>2192</v>
      </c>
      <c r="AG578" s="2369"/>
      <c r="AH578" s="2369"/>
      <c r="AI578" s="2369"/>
      <c r="AJ578" s="2369"/>
      <c r="AK578" s="2369"/>
      <c r="AL578" s="2369"/>
      <c r="AN578" s="497"/>
    </row>
    <row r="579" spans="1:42" s="450" customFormat="1" ht="12.75" customHeight="1">
      <c r="B579" s="436"/>
      <c r="C579" s="516"/>
      <c r="D579" s="563"/>
      <c r="E579" s="738" t="s">
        <v>2457</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2458</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2459</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2460</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2461</v>
      </c>
      <c r="AP582" s="450" t="b">
        <f>IF(Application!AF418&gt;=25,TRUE,FALSE)</f>
        <v>0</v>
      </c>
    </row>
    <row r="583" spans="1:42" s="450" customFormat="1" ht="12.75" customHeight="1">
      <c r="B583" s="436"/>
      <c r="C583" s="516"/>
      <c r="D583" s="563"/>
      <c r="E583" s="738" t="s">
        <v>2462</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782</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2463</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69" t="s">
        <v>2464</v>
      </c>
      <c r="AG585" s="2369"/>
      <c r="AH585" s="2369"/>
      <c r="AI585" s="2369"/>
      <c r="AJ585" s="2369"/>
      <c r="AK585" s="2369"/>
      <c r="AL585" s="2369"/>
      <c r="AN585" s="497"/>
    </row>
    <row r="586" spans="1:42" s="450" customFormat="1" ht="12.75" customHeight="1">
      <c r="B586" s="436"/>
      <c r="C586" s="827"/>
      <c r="D586" s="563"/>
      <c r="E586" s="738" t="s">
        <v>2465</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813</v>
      </c>
      <c r="AP586" s="573">
        <v>0</v>
      </c>
    </row>
    <row r="587" spans="1:42" s="450" customFormat="1" ht="12.75" customHeight="1">
      <c r="B587" s="510"/>
      <c r="C587" s="825"/>
      <c r="D587" s="563"/>
      <c r="E587" s="738" t="s">
        <v>2466</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2467</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2468</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2469</v>
      </c>
      <c r="AP590" s="450">
        <v>4</v>
      </c>
    </row>
    <row r="591" spans="1:42" s="450" customFormat="1" ht="12.75" customHeight="1">
      <c r="B591" s="436"/>
      <c r="C591" s="825"/>
      <c r="D591" s="563" t="s">
        <v>49</v>
      </c>
      <c r="E591" s="738" t="s">
        <v>2470</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69" t="s">
        <v>2471</v>
      </c>
      <c r="AG591" s="2369"/>
      <c r="AH591" s="2369"/>
      <c r="AI591" s="2369"/>
      <c r="AJ591" s="2369"/>
      <c r="AK591" s="2369"/>
      <c r="AL591" s="2369"/>
      <c r="AN591" s="497"/>
      <c r="AO591" s="511" t="s">
        <v>2472</v>
      </c>
      <c r="AP591" s="450">
        <v>3</v>
      </c>
    </row>
    <row r="592" spans="1:42" s="450" customFormat="1" ht="12.75" customHeight="1">
      <c r="B592" s="436"/>
      <c r="C592" s="827"/>
      <c r="D592" s="563"/>
      <c r="E592" s="738" t="s">
        <v>2465</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2466</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2473</v>
      </c>
    </row>
    <row r="594" spans="1:53" s="450" customFormat="1" ht="12.75" customHeight="1">
      <c r="B594" s="436"/>
      <c r="C594" s="827"/>
      <c r="D594" s="563"/>
      <c r="E594" s="738" t="s">
        <v>2467</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2474</v>
      </c>
    </row>
    <row r="595" spans="1:53" s="450" customFormat="1" ht="12.75" customHeight="1">
      <c r="B595" s="436"/>
      <c r="C595" s="827"/>
      <c r="D595" s="563"/>
      <c r="E595" s="738" t="s">
        <v>2468</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2475</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2469</v>
      </c>
      <c r="E597" s="738" t="s">
        <v>2476</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69" t="s">
        <v>2477</v>
      </c>
      <c r="AG597" s="2369"/>
      <c r="AH597" s="2369"/>
      <c r="AI597" s="2369"/>
      <c r="AJ597" s="2369"/>
      <c r="AK597" s="2369"/>
      <c r="AL597" s="2369"/>
      <c r="AN597" s="497"/>
      <c r="AO597" s="450" t="str">
        <f>X634</f>
        <v>N/A</v>
      </c>
    </row>
    <row r="598" spans="1:53" s="450" customFormat="1" ht="12.75" customHeight="1">
      <c r="B598" s="436"/>
      <c r="C598" s="827"/>
      <c r="D598" s="563"/>
      <c r="E598" s="738" t="s">
        <v>2478</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2479</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2480</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2481</v>
      </c>
    </row>
    <row r="601" spans="1:53" s="450" customFormat="1" ht="12.75" customHeight="1">
      <c r="B601" s="510"/>
      <c r="C601" s="825"/>
      <c r="D601" s="563"/>
      <c r="E601" s="436" t="s">
        <v>2482</v>
      </c>
      <c r="O601" s="2455" t="s">
        <v>1003</v>
      </c>
      <c r="P601" s="2455"/>
      <c r="Q601" s="2455"/>
      <c r="R601" s="2455"/>
      <c r="S601" s="2455"/>
      <c r="T601" s="2455"/>
      <c r="U601" s="2455"/>
      <c r="V601" s="2455"/>
      <c r="W601" s="2455"/>
      <c r="X601" s="2455"/>
      <c r="Y601" s="2455"/>
      <c r="Z601" s="2455"/>
      <c r="AA601" s="2455"/>
      <c r="AB601" s="2455"/>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2472</v>
      </c>
      <c r="E603" s="738" t="s">
        <v>2483</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69" t="s">
        <v>2208</v>
      </c>
      <c r="AG603" s="2369"/>
      <c r="AH603" s="2369"/>
      <c r="AI603" s="2369"/>
      <c r="AJ603" s="2369"/>
      <c r="AK603" s="2369"/>
      <c r="AL603" s="2369"/>
      <c r="AN603" s="497"/>
    </row>
    <row r="604" spans="1:53" s="450" customFormat="1" ht="12.75" customHeight="1">
      <c r="B604" s="436"/>
      <c r="C604" s="825"/>
      <c r="D604" s="563"/>
      <c r="E604" s="738" t="s">
        <v>2484</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813</v>
      </c>
      <c r="AP605" s="573">
        <v>0</v>
      </c>
      <c r="AT605" s="450" t="s">
        <v>813</v>
      </c>
      <c r="AU605" s="573">
        <v>0</v>
      </c>
    </row>
    <row r="606" spans="1:53" s="450" customFormat="1" ht="12.75" customHeight="1">
      <c r="B606" s="436"/>
      <c r="C606" s="827"/>
      <c r="D606" s="436" t="s">
        <v>2485</v>
      </c>
      <c r="E606" s="830"/>
      <c r="F606" s="830"/>
      <c r="G606" s="830"/>
      <c r="H606" s="2453" t="s">
        <v>27</v>
      </c>
      <c r="I606" s="2453"/>
      <c r="J606" s="830"/>
      <c r="K606" s="830"/>
      <c r="L606" s="830"/>
      <c r="N606" s="19"/>
      <c r="O606" s="19"/>
      <c r="P606" s="19"/>
      <c r="Q606" s="1040" t="s">
        <v>2486</v>
      </c>
      <c r="R606" s="2456"/>
      <c r="S606" s="2456"/>
      <c r="T606" s="2456"/>
      <c r="U606" s="2456"/>
      <c r="V606" s="2456"/>
      <c r="W606" s="2456"/>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7" t="str">
        <f>IF(AND(H606="(i)",NOT(AP582)),AO599,IF(AND(H606="(iv)",OR(R606=AO595,R606=AO594),NOT(AP583)),AO600,""))</f>
        <v/>
      </c>
      <c r="Z607" s="2457"/>
      <c r="AA607" s="2457"/>
      <c r="AB607" s="2457"/>
      <c r="AC607" s="2457"/>
      <c r="AD607" s="2457"/>
      <c r="AE607" s="2457"/>
      <c r="AF607" s="2457"/>
      <c r="AG607" s="2457"/>
      <c r="AH607" s="2457"/>
      <c r="AI607" s="2457"/>
      <c r="AJ607" s="2457"/>
      <c r="AK607" s="2457"/>
      <c r="AL607" s="2457"/>
      <c r="AM607" s="2458"/>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7"/>
      <c r="Z608" s="2457"/>
      <c r="AA608" s="2457"/>
      <c r="AB608" s="2457"/>
      <c r="AC608" s="2457"/>
      <c r="AD608" s="2457"/>
      <c r="AE608" s="2457"/>
      <c r="AF608" s="2457"/>
      <c r="AG608" s="2457"/>
      <c r="AH608" s="2457"/>
      <c r="AI608" s="2457"/>
      <c r="AJ608" s="2457"/>
      <c r="AK608" s="2457"/>
      <c r="AL608" s="2457"/>
      <c r="AM608" s="2458"/>
      <c r="AN608" s="497"/>
      <c r="AO608" s="511"/>
      <c r="AT608" s="511"/>
    </row>
    <row r="609" spans="1:42" s="450" customFormat="1" ht="12.75" customHeight="1">
      <c r="B609" s="436"/>
      <c r="C609" s="827"/>
      <c r="D609" s="436" t="s">
        <v>2487</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2488</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2489</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2490</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813</v>
      </c>
      <c r="AP613" s="573">
        <v>0</v>
      </c>
    </row>
    <row r="614" spans="1:42" s="450" customFormat="1" ht="12.75" customHeight="1">
      <c r="B614" s="436"/>
      <c r="C614" s="827"/>
      <c r="D614" s="436"/>
      <c r="E614" s="436" t="s">
        <v>2485</v>
      </c>
      <c r="F614" s="830"/>
      <c r="G614" s="830"/>
      <c r="I614" s="2454" t="s">
        <v>813</v>
      </c>
      <c r="J614" s="2454"/>
      <c r="K614" s="2454"/>
      <c r="L614" s="2454"/>
      <c r="M614" s="2454"/>
      <c r="N614" s="2454"/>
      <c r="O614" s="2454"/>
      <c r="P614" s="2454"/>
      <c r="Q614" s="2454"/>
      <c r="R614" s="2454"/>
      <c r="S614" s="2454"/>
      <c r="T614" s="2454"/>
      <c r="U614" s="2454"/>
      <c r="V614" s="2454"/>
      <c r="W614" s="2454"/>
      <c r="X614" s="2454"/>
      <c r="Y614" s="2454"/>
      <c r="Z614" s="2454"/>
      <c r="AA614" s="2454"/>
      <c r="AB614" s="2454"/>
      <c r="AC614" s="2454"/>
      <c r="AD614" s="2454"/>
      <c r="AE614" s="2454"/>
      <c r="AF614" s="436"/>
      <c r="AG614" s="436"/>
      <c r="AH614" s="436"/>
      <c r="AI614" s="436"/>
      <c r="AJ614" s="436"/>
      <c r="AK614" s="436"/>
      <c r="AL614" s="436"/>
      <c r="AN614" s="497"/>
      <c r="AO614" s="450" t="s">
        <v>2491</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2492</v>
      </c>
      <c r="AP615" s="450">
        <v>2</v>
      </c>
    </row>
    <row r="616" spans="1:42" s="450" customFormat="1" ht="12.75" customHeight="1">
      <c r="B616" s="2397" t="s">
        <v>813</v>
      </c>
      <c r="C616" s="2397"/>
      <c r="D616" s="542"/>
      <c r="E616" s="2424" t="s">
        <v>2493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542"/>
      <c r="AI616" s="542"/>
      <c r="AJ616" s="542"/>
      <c r="AK616" s="542"/>
      <c r="AL616" s="542"/>
      <c r="AN616" s="497"/>
    </row>
    <row r="617" spans="1:42" s="450" customFormat="1" ht="12.75" customHeight="1">
      <c r="B617" s="436"/>
      <c r="C617" s="827"/>
      <c r="D617" s="5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542"/>
      <c r="AI617" s="542"/>
      <c r="AJ617" s="542"/>
      <c r="AK617" s="542"/>
      <c r="AL617" s="542"/>
      <c r="AN617" s="497"/>
    </row>
    <row r="618" spans="1:42" s="450" customFormat="1" ht="12.75" customHeight="1">
      <c r="B618" s="436"/>
      <c r="C618" s="827"/>
      <c r="D618" s="5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542"/>
      <c r="AI618" s="542"/>
      <c r="AJ618" s="542"/>
      <c r="AK618" s="542"/>
      <c r="AL618" s="542"/>
      <c r="AN618" s="497"/>
    </row>
    <row r="619" spans="1:42" s="450" customFormat="1" ht="12.75" customHeight="1">
      <c r="B619" s="436"/>
      <c r="C619" s="827"/>
      <c r="D619" s="5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2494</v>
      </c>
      <c r="AJ621" s="2404">
        <f>VLOOKUP($H$606,$AO$586:$AP$591,2,FALSE)+IF(R606=AO594,0,VLOOKUP($I$614,$AO$613:$AP$615,2,FALSE))</f>
        <v>6</v>
      </c>
      <c r="AK621" s="240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2495</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2" t="s">
        <v>2496</v>
      </c>
      <c r="F625" s="2452"/>
      <c r="G625" s="2452"/>
      <c r="H625" s="2452"/>
      <c r="I625" s="2452"/>
      <c r="J625" s="2452"/>
      <c r="K625" s="2452"/>
      <c r="L625" s="2452"/>
      <c r="M625" s="2452"/>
      <c r="N625" s="2452"/>
      <c r="O625" s="2452"/>
      <c r="P625" s="2452"/>
      <c r="Q625" s="2452"/>
      <c r="R625" s="2452"/>
      <c r="S625" s="2452"/>
      <c r="T625" s="2452"/>
      <c r="U625" s="2452"/>
      <c r="V625" s="2452"/>
      <c r="W625" s="2452"/>
      <c r="X625" s="2452"/>
      <c r="Y625" s="2452"/>
      <c r="Z625" s="2452"/>
      <c r="AA625" s="2452"/>
      <c r="AB625" s="2452"/>
      <c r="AC625" s="2452"/>
      <c r="AD625" s="2452"/>
      <c r="AE625" s="439"/>
      <c r="AF625" s="2369" t="s">
        <v>2208</v>
      </c>
      <c r="AG625" s="2369"/>
      <c r="AH625" s="2369"/>
      <c r="AI625" s="2369"/>
      <c r="AJ625" s="2369"/>
      <c r="AK625" s="2369"/>
      <c r="AL625" s="2369"/>
      <c r="AM625" s="450"/>
      <c r="AN625" s="578"/>
    </row>
    <row r="626" spans="1:42" s="450" customFormat="1" ht="12.75" customHeight="1">
      <c r="A626" s="579"/>
      <c r="B626" s="436"/>
      <c r="C626" s="827"/>
      <c r="D626" s="563"/>
      <c r="E626" s="2452"/>
      <c r="F626" s="2452"/>
      <c r="G626" s="2452"/>
      <c r="H626" s="2452"/>
      <c r="I626" s="2452"/>
      <c r="J626" s="2452"/>
      <c r="K626" s="2452"/>
      <c r="L626" s="2452"/>
      <c r="M626" s="2452"/>
      <c r="N626" s="2452"/>
      <c r="O626" s="2452"/>
      <c r="P626" s="2452"/>
      <c r="Q626" s="2452"/>
      <c r="R626" s="2452"/>
      <c r="S626" s="2452"/>
      <c r="T626" s="2452"/>
      <c r="U626" s="2452"/>
      <c r="V626" s="2452"/>
      <c r="W626" s="2452"/>
      <c r="X626" s="2452"/>
      <c r="Y626" s="2452"/>
      <c r="Z626" s="2452"/>
      <c r="AA626" s="2452"/>
      <c r="AB626" s="2452"/>
      <c r="AC626" s="2452"/>
      <c r="AD626" s="2452"/>
      <c r="AE626" s="436"/>
      <c r="AF626" s="436"/>
      <c r="AG626" s="436"/>
      <c r="AH626" s="436"/>
      <c r="AI626" s="436"/>
      <c r="AJ626" s="436"/>
      <c r="AK626" s="436"/>
      <c r="AL626" s="436"/>
      <c r="AN626" s="497"/>
    </row>
    <row r="627" spans="1:42" s="450" customFormat="1" ht="12.75" customHeight="1">
      <c r="B627" s="436"/>
      <c r="C627" s="825"/>
      <c r="D627" s="563"/>
      <c r="E627" s="2452"/>
      <c r="F627" s="2452"/>
      <c r="G627" s="2452"/>
      <c r="H627" s="2452"/>
      <c r="I627" s="2452"/>
      <c r="J627" s="2452"/>
      <c r="K627" s="2452"/>
      <c r="L627" s="2452"/>
      <c r="M627" s="2452"/>
      <c r="N627" s="2452"/>
      <c r="O627" s="2452"/>
      <c r="P627" s="2452"/>
      <c r="Q627" s="2452"/>
      <c r="R627" s="2452"/>
      <c r="S627" s="2452"/>
      <c r="T627" s="2452"/>
      <c r="U627" s="2452"/>
      <c r="V627" s="2452"/>
      <c r="W627" s="2452"/>
      <c r="X627" s="2452"/>
      <c r="Y627" s="2452"/>
      <c r="Z627" s="2452"/>
      <c r="AA627" s="2452"/>
      <c r="AB627" s="2452"/>
      <c r="AC627" s="2452"/>
      <c r="AD627" s="2452"/>
      <c r="AE627" s="436"/>
      <c r="AF627" s="436"/>
      <c r="AG627" s="436"/>
      <c r="AH627" s="436"/>
      <c r="AI627" s="436"/>
      <c r="AJ627" s="436"/>
      <c r="AK627" s="436"/>
      <c r="AL627" s="436"/>
      <c r="AN627" s="497"/>
    </row>
    <row r="628" spans="1:42" s="450" customFormat="1" ht="12.75" customHeight="1">
      <c r="B628" s="436"/>
      <c r="C628" s="825"/>
      <c r="D628" s="563"/>
      <c r="E628" s="2452"/>
      <c r="F628" s="2452"/>
      <c r="G628" s="2452"/>
      <c r="H628" s="2452"/>
      <c r="I628" s="2452"/>
      <c r="J628" s="2452"/>
      <c r="K628" s="2452"/>
      <c r="L628" s="2452"/>
      <c r="M628" s="2452"/>
      <c r="N628" s="2452"/>
      <c r="O628" s="2452"/>
      <c r="P628" s="2452"/>
      <c r="Q628" s="2452"/>
      <c r="R628" s="2452"/>
      <c r="S628" s="2452"/>
      <c r="T628" s="2452"/>
      <c r="U628" s="2452"/>
      <c r="V628" s="2452"/>
      <c r="W628" s="2452"/>
      <c r="X628" s="2452"/>
      <c r="Y628" s="2452"/>
      <c r="Z628" s="2452"/>
      <c r="AA628" s="2452"/>
      <c r="AB628" s="2452"/>
      <c r="AC628" s="2452"/>
      <c r="AD628" s="2452"/>
      <c r="AE628" s="436"/>
      <c r="AF628" s="436"/>
      <c r="AG628" s="436"/>
      <c r="AH628" s="436"/>
      <c r="AI628" s="436"/>
      <c r="AJ628" s="436"/>
      <c r="AK628" s="436"/>
      <c r="AL628" s="436"/>
      <c r="AN628" s="497"/>
    </row>
    <row r="629" spans="1:42" s="450" customFormat="1" ht="12.75" customHeight="1">
      <c r="B629" s="436"/>
      <c r="C629" s="825"/>
      <c r="D629" s="563"/>
      <c r="E629" s="2452"/>
      <c r="F629" s="2452"/>
      <c r="G629" s="2452"/>
      <c r="H629" s="2452"/>
      <c r="I629" s="2452"/>
      <c r="J629" s="2452"/>
      <c r="K629" s="2452"/>
      <c r="L629" s="2452"/>
      <c r="M629" s="2452"/>
      <c r="N629" s="2452"/>
      <c r="O629" s="2452"/>
      <c r="P629" s="2452"/>
      <c r="Q629" s="2452"/>
      <c r="R629" s="2452"/>
      <c r="S629" s="2452"/>
      <c r="T629" s="2452"/>
      <c r="U629" s="2452"/>
      <c r="V629" s="2452"/>
      <c r="W629" s="2452"/>
      <c r="X629" s="2452"/>
      <c r="Y629" s="2452"/>
      <c r="Z629" s="2452"/>
      <c r="AA629" s="2452"/>
      <c r="AB629" s="2452"/>
      <c r="AC629" s="2452"/>
      <c r="AD629" s="2452"/>
      <c r="AE629" s="436"/>
      <c r="AF629" s="436"/>
      <c r="AG629" s="436"/>
      <c r="AH629" s="436"/>
      <c r="AI629" s="436"/>
      <c r="AJ629" s="436"/>
      <c r="AK629" s="436"/>
      <c r="AL629" s="436"/>
      <c r="AN629" s="497"/>
    </row>
    <row r="630" spans="1:42" s="450" customFormat="1" ht="12.75" customHeight="1">
      <c r="B630" s="436"/>
      <c r="C630" s="825"/>
      <c r="D630" s="563"/>
      <c r="E630" s="2452"/>
      <c r="F630" s="2452"/>
      <c r="G630" s="2452"/>
      <c r="H630" s="2452"/>
      <c r="I630" s="2452"/>
      <c r="J630" s="2452"/>
      <c r="K630" s="2452"/>
      <c r="L630" s="2452"/>
      <c r="M630" s="2452"/>
      <c r="N630" s="2452"/>
      <c r="O630" s="2452"/>
      <c r="P630" s="2452"/>
      <c r="Q630" s="2452"/>
      <c r="R630" s="2452"/>
      <c r="S630" s="2452"/>
      <c r="T630" s="2452"/>
      <c r="U630" s="2452"/>
      <c r="V630" s="2452"/>
      <c r="W630" s="2452"/>
      <c r="X630" s="2452"/>
      <c r="Y630" s="2452"/>
      <c r="Z630" s="2452"/>
      <c r="AA630" s="2452"/>
      <c r="AB630" s="2452"/>
      <c r="AC630" s="2452"/>
      <c r="AD630" s="2452"/>
      <c r="AE630" s="436"/>
      <c r="AF630" s="436"/>
      <c r="AG630" s="436"/>
      <c r="AH630" s="436"/>
      <c r="AI630" s="436"/>
      <c r="AJ630" s="436"/>
      <c r="AK630" s="436"/>
      <c r="AL630" s="436"/>
      <c r="AN630" s="497"/>
    </row>
    <row r="631" spans="1:42" s="450" customFormat="1" ht="12.75" customHeight="1">
      <c r="A631" s="537"/>
      <c r="B631" s="516"/>
      <c r="C631" s="834"/>
      <c r="D631" s="563"/>
      <c r="E631" s="2452"/>
      <c r="F631" s="2452"/>
      <c r="G631" s="2452"/>
      <c r="H631" s="2452"/>
      <c r="I631" s="2452"/>
      <c r="J631" s="2452"/>
      <c r="K631" s="2452"/>
      <c r="L631" s="2452"/>
      <c r="M631" s="2452"/>
      <c r="N631" s="2452"/>
      <c r="O631" s="2452"/>
      <c r="P631" s="2452"/>
      <c r="Q631" s="2452"/>
      <c r="R631" s="2452"/>
      <c r="S631" s="2452"/>
      <c r="T631" s="2452"/>
      <c r="U631" s="2452"/>
      <c r="V631" s="2452"/>
      <c r="W631" s="2452"/>
      <c r="X631" s="2452"/>
      <c r="Y631" s="2452"/>
      <c r="Z631" s="2452"/>
      <c r="AA631" s="2452"/>
      <c r="AB631" s="2452"/>
      <c r="AC631" s="2452"/>
      <c r="AD631" s="2452"/>
      <c r="AE631" s="516"/>
      <c r="AF631" s="516"/>
      <c r="AG631" s="516"/>
      <c r="AH631" s="516"/>
      <c r="AI631" s="516"/>
      <c r="AJ631" s="516"/>
      <c r="AK631" s="436"/>
      <c r="AL631" s="436"/>
      <c r="AN631" s="497"/>
    </row>
    <row r="632" spans="1:42" s="450" customFormat="1" ht="12.75" customHeight="1">
      <c r="B632" s="516"/>
      <c r="C632" s="834"/>
      <c r="D632" s="563"/>
      <c r="E632" s="2452"/>
      <c r="F632" s="2452"/>
      <c r="G632" s="2452"/>
      <c r="H632" s="2452"/>
      <c r="I632" s="2452"/>
      <c r="J632" s="2452"/>
      <c r="K632" s="2452"/>
      <c r="L632" s="2452"/>
      <c r="M632" s="2452"/>
      <c r="N632" s="2452"/>
      <c r="O632" s="2452"/>
      <c r="P632" s="2452"/>
      <c r="Q632" s="2452"/>
      <c r="R632" s="2452"/>
      <c r="S632" s="2452"/>
      <c r="T632" s="2452"/>
      <c r="U632" s="2452"/>
      <c r="V632" s="2452"/>
      <c r="W632" s="2452"/>
      <c r="X632" s="2452"/>
      <c r="Y632" s="2452"/>
      <c r="Z632" s="2452"/>
      <c r="AA632" s="2452"/>
      <c r="AB632" s="2452"/>
      <c r="AC632" s="2452"/>
      <c r="AD632" s="2452"/>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813</v>
      </c>
      <c r="AP633" s="573">
        <v>0</v>
      </c>
    </row>
    <row r="634" spans="1:42" s="450" customFormat="1" ht="12.75" customHeight="1">
      <c r="B634" s="516"/>
      <c r="C634" s="825"/>
      <c r="D634" s="563"/>
      <c r="E634" s="516" t="s">
        <v>2497</v>
      </c>
      <c r="F634" s="835"/>
      <c r="G634" s="835"/>
      <c r="H634" s="835"/>
      <c r="I634" s="835"/>
      <c r="J634" s="835"/>
      <c r="K634" s="835"/>
      <c r="L634" s="835"/>
      <c r="M634" s="835"/>
      <c r="N634" s="835"/>
      <c r="O634" s="835"/>
      <c r="P634" s="835"/>
      <c r="Q634" s="835"/>
      <c r="R634" s="835"/>
      <c r="U634" s="835"/>
      <c r="V634" s="835"/>
      <c r="W634" s="835"/>
      <c r="X634" s="2397" t="s">
        <v>813</v>
      </c>
      <c r="Y634" s="2397"/>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2498</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69" t="s">
        <v>2499</v>
      </c>
      <c r="AG636" s="2369"/>
      <c r="AH636" s="2369"/>
      <c r="AI636" s="2369"/>
      <c r="AJ636" s="2369"/>
      <c r="AK636" s="2369"/>
      <c r="AL636" s="2369"/>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2469</v>
      </c>
      <c r="AP637" s="580">
        <v>4</v>
      </c>
    </row>
    <row r="638" spans="1:42" s="450" customFormat="1" ht="12.75" customHeight="1">
      <c r="B638" s="436"/>
      <c r="C638" s="825"/>
      <c r="D638" s="436" t="s">
        <v>2485</v>
      </c>
      <c r="E638" s="830"/>
      <c r="F638" s="830"/>
      <c r="G638" s="830"/>
      <c r="H638" s="2453" t="s">
        <v>22</v>
      </c>
      <c r="I638" s="2453"/>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2472</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2500</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2501</v>
      </c>
      <c r="AJ640" s="2404">
        <f>VLOOKUP($H$638,$AO$605:$AP$607,2,FALSE)</f>
        <v>3</v>
      </c>
      <c r="AK640" s="2406"/>
      <c r="AL640" s="495"/>
      <c r="AN640" s="497"/>
      <c r="AO640" s="511" t="s">
        <v>2502</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2503</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4" t="s">
        <v>2504</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436"/>
      <c r="AF644" s="2369" t="s">
        <v>2208</v>
      </c>
      <c r="AG644" s="2369"/>
      <c r="AH644" s="2369"/>
      <c r="AI644" s="2369"/>
      <c r="AJ644" s="2369"/>
      <c r="AK644" s="2369"/>
      <c r="AL644" s="2369"/>
      <c r="AN644" s="497"/>
    </row>
    <row r="645" spans="1:42" s="450" customFormat="1" ht="12.75" customHeight="1">
      <c r="B645" s="436"/>
      <c r="C645" s="436"/>
      <c r="D645" s="5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2505</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69" t="s">
        <v>2499</v>
      </c>
      <c r="AG647" s="2369"/>
      <c r="AH647" s="2369"/>
      <c r="AI647" s="2369"/>
      <c r="AJ647" s="2369"/>
      <c r="AK647" s="2369"/>
      <c r="AL647" s="2369"/>
      <c r="AN647" s="497"/>
    </row>
    <row r="648" spans="1:42" s="450" customFormat="1" ht="12.75" customHeight="1">
      <c r="B648" s="436"/>
      <c r="C648" s="825"/>
      <c r="D648" s="563"/>
      <c r="E648" s="516" t="s">
        <v>2506</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2485</v>
      </c>
      <c r="E650" s="830"/>
      <c r="F650" s="830"/>
      <c r="G650" s="830"/>
      <c r="H650" s="2453" t="s">
        <v>22</v>
      </c>
      <c r="I650" s="2453"/>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2507</v>
      </c>
      <c r="AJ652" s="2404">
        <f>VLOOKUP(H650,AT605:AU607,2,FALSE)</f>
        <v>3</v>
      </c>
      <c r="AK652" s="240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2508</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2509</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4" t="s">
        <v>2510</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436"/>
      <c r="AE657" s="436"/>
      <c r="AF657" s="2369" t="s">
        <v>2471</v>
      </c>
      <c r="AG657" s="2369"/>
      <c r="AH657" s="2369"/>
      <c r="AI657" s="2369"/>
      <c r="AJ657" s="2369"/>
      <c r="AK657" s="2369"/>
      <c r="AL657" s="2369"/>
      <c r="AN657" s="497"/>
    </row>
    <row r="658" spans="1:42" s="450" customFormat="1" ht="12.75" customHeight="1">
      <c r="B658" s="436"/>
      <c r="C658" s="439"/>
      <c r="D658" s="4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436"/>
      <c r="AE658" s="436"/>
      <c r="AF658" s="436"/>
      <c r="AG658" s="436"/>
      <c r="AH658" s="436"/>
      <c r="AI658" s="436"/>
      <c r="AJ658" s="436"/>
      <c r="AK658" s="436"/>
      <c r="AL658" s="436"/>
      <c r="AN658" s="497"/>
    </row>
    <row r="659" spans="1:42" s="450" customFormat="1" ht="12.75" customHeight="1">
      <c r="B659" s="436"/>
      <c r="C659" s="439"/>
      <c r="D659" s="5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4" t="s">
        <v>2511</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436"/>
      <c r="AE661" s="436"/>
      <c r="AF661" s="2369" t="s">
        <v>2477</v>
      </c>
      <c r="AG661" s="2369"/>
      <c r="AH661" s="2369"/>
      <c r="AI661" s="2369"/>
      <c r="AJ661" s="2369"/>
      <c r="AK661" s="2369"/>
      <c r="AL661" s="2369"/>
      <c r="AN661" s="497"/>
    </row>
    <row r="662" spans="1:42" s="450" customFormat="1" ht="12.75" customHeight="1">
      <c r="B662" s="436"/>
      <c r="C662" s="439"/>
      <c r="D662" s="4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436"/>
      <c r="AE662" s="436"/>
      <c r="AF662" s="436"/>
      <c r="AG662" s="436"/>
      <c r="AH662" s="436"/>
      <c r="AI662" s="436"/>
      <c r="AJ662" s="436"/>
      <c r="AK662" s="436"/>
      <c r="AL662" s="436"/>
      <c r="AN662" s="497"/>
    </row>
    <row r="663" spans="1:42" s="450" customFormat="1" ht="15" customHeight="1">
      <c r="B663" s="436"/>
      <c r="C663" s="439"/>
      <c r="D663" s="5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4" t="s">
        <v>2512</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436"/>
      <c r="AE665" s="436"/>
      <c r="AF665" s="2369" t="s">
        <v>2208</v>
      </c>
      <c r="AG665" s="2369"/>
      <c r="AH665" s="2369"/>
      <c r="AI665" s="2369"/>
      <c r="AJ665" s="2369"/>
      <c r="AK665" s="2369"/>
      <c r="AL665" s="2369"/>
      <c r="AN665" s="497"/>
    </row>
    <row r="666" spans="1:42" s="450" customFormat="1" ht="12.75" customHeight="1">
      <c r="B666" s="436"/>
      <c r="C666" s="825"/>
      <c r="D666" s="4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436"/>
      <c r="AE666" s="2369"/>
      <c r="AF666" s="2369"/>
      <c r="AG666" s="2369"/>
      <c r="AH666" s="2369"/>
      <c r="AI666" s="2369"/>
      <c r="AJ666" s="2369"/>
      <c r="AK666" s="2369"/>
      <c r="AL666" s="494"/>
      <c r="AN666" s="497"/>
      <c r="AO666" s="450" t="s">
        <v>813</v>
      </c>
      <c r="AP666" s="573">
        <v>0</v>
      </c>
    </row>
    <row r="667" spans="1:42" s="450" customFormat="1" ht="12.75" customHeight="1">
      <c r="A667" s="579"/>
      <c r="B667" s="436"/>
      <c r="C667" s="436"/>
      <c r="D667" s="5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2469</v>
      </c>
      <c r="E669" s="2424" t="s">
        <v>2513</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436"/>
      <c r="AE669" s="436"/>
      <c r="AF669" s="2369" t="s">
        <v>2477</v>
      </c>
      <c r="AG669" s="2369"/>
      <c r="AH669" s="2369"/>
      <c r="AI669" s="2369"/>
      <c r="AJ669" s="2369"/>
      <c r="AK669" s="2369"/>
      <c r="AL669" s="2369"/>
      <c r="AN669" s="497"/>
    </row>
    <row r="670" spans="1:42" s="450" customFormat="1" ht="12.75" customHeight="1">
      <c r="A670" s="570"/>
      <c r="B670" s="436"/>
      <c r="C670" s="841"/>
      <c r="D670" s="5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2472</v>
      </c>
      <c r="E673" s="2424" t="s">
        <v>2514</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436"/>
      <c r="AE673" s="436"/>
      <c r="AF673" s="2369" t="s">
        <v>2208</v>
      </c>
      <c r="AG673" s="2369"/>
      <c r="AH673" s="2369"/>
      <c r="AI673" s="2369"/>
      <c r="AJ673" s="2369"/>
      <c r="AK673" s="2369"/>
      <c r="AL673" s="2369"/>
      <c r="AM673" s="496"/>
      <c r="AN673" s="497"/>
    </row>
    <row r="674" spans="1:42" s="450" customFormat="1" ht="12.75" customHeight="1">
      <c r="B674" s="436"/>
      <c r="C674" s="825"/>
      <c r="D674" s="5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436"/>
      <c r="AE674" s="436"/>
      <c r="AF674" s="436"/>
      <c r="AG674" s="436"/>
      <c r="AH674" s="436"/>
      <c r="AI674" s="436"/>
      <c r="AJ674" s="436"/>
      <c r="AK674" s="436"/>
      <c r="AL674" s="436"/>
      <c r="AM674" s="496"/>
      <c r="AN674" s="497"/>
    </row>
    <row r="675" spans="1:42" s="450" customFormat="1" ht="12.75" customHeight="1">
      <c r="B675" s="436"/>
      <c r="C675" s="825"/>
      <c r="D675" s="5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2500</v>
      </c>
      <c r="E677" s="2424" t="s">
        <v>2515</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436"/>
      <c r="AE677" s="436"/>
      <c r="AF677" s="2369" t="s">
        <v>2499</v>
      </c>
      <c r="AG677" s="2369"/>
      <c r="AH677" s="2369"/>
      <c r="AI677" s="2369"/>
      <c r="AJ677" s="2369"/>
      <c r="AK677" s="2369"/>
      <c r="AL677" s="2369"/>
      <c r="AM677" s="496"/>
      <c r="AN677" s="497"/>
    </row>
    <row r="678" spans="1:42" s="450" customFormat="1" ht="12.75" customHeight="1">
      <c r="A678" s="579"/>
      <c r="B678" s="436"/>
      <c r="C678" s="825"/>
      <c r="D678" s="5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813</v>
      </c>
      <c r="AP680" s="537">
        <v>0</v>
      </c>
    </row>
    <row r="681" spans="1:42" s="450" customFormat="1" ht="12.75" customHeight="1">
      <c r="A681" s="579"/>
      <c r="B681" s="436"/>
      <c r="C681" s="825"/>
      <c r="D681" s="563" t="s">
        <v>2502</v>
      </c>
      <c r="E681" s="2424" t="s">
        <v>2516</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436"/>
      <c r="AE681" s="436"/>
      <c r="AF681" s="2369" t="s">
        <v>2517</v>
      </c>
      <c r="AG681" s="2369"/>
      <c r="AH681" s="2369"/>
      <c r="AI681" s="2369"/>
      <c r="AJ681" s="2369"/>
      <c r="AK681" s="2369"/>
      <c r="AL681" s="2369"/>
      <c r="AM681" s="496"/>
      <c r="AN681" s="497"/>
      <c r="AO681" s="511" t="s">
        <v>22</v>
      </c>
      <c r="AP681" s="450">
        <v>3</v>
      </c>
    </row>
    <row r="682" spans="1:42" s="450" customFormat="1" ht="12.75" customHeight="1">
      <c r="A682" s="579"/>
      <c r="B682" s="436"/>
      <c r="C682" s="825"/>
      <c r="D682" s="5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2485</v>
      </c>
      <c r="E685" s="830"/>
      <c r="F685" s="830"/>
      <c r="G685" s="830"/>
      <c r="H685" s="2453" t="s">
        <v>22</v>
      </c>
      <c r="I685" s="2453"/>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2518</v>
      </c>
      <c r="AJ687" s="2404">
        <f>VLOOKUP($H$685,$AO$633:$AP$640,2,FALSE)</f>
        <v>5</v>
      </c>
      <c r="AK687" s="240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2519</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2520</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2521</v>
      </c>
      <c r="AX690" s="1041">
        <f>Application!G753</f>
        <v>197</v>
      </c>
    </row>
    <row r="691" spans="1:51" s="450" customFormat="1" ht="12.75" customHeight="1">
      <c r="A691" s="579"/>
      <c r="B691" s="436"/>
      <c r="C691" s="842"/>
      <c r="D691" s="563" t="s">
        <v>22</v>
      </c>
      <c r="E691" s="2460" t="s">
        <v>2522</v>
      </c>
      <c r="F691" s="2460"/>
      <c r="G691" s="2460"/>
      <c r="H691" s="2460"/>
      <c r="I691" s="2460"/>
      <c r="J691" s="2460"/>
      <c r="K691" s="2460"/>
      <c r="L691" s="2460"/>
      <c r="M691" s="2460"/>
      <c r="N691" s="2460"/>
      <c r="O691" s="2460"/>
      <c r="P691" s="2460"/>
      <c r="Q691" s="2460"/>
      <c r="R691" s="2460"/>
      <c r="S691" s="2460"/>
      <c r="T691" s="2460"/>
      <c r="U691" s="2460"/>
      <c r="V691" s="2460"/>
      <c r="W691" s="2460"/>
      <c r="X691" s="2460"/>
      <c r="Y691" s="2460"/>
      <c r="Z691" s="2460"/>
      <c r="AA691" s="2460"/>
      <c r="AB691" s="2460"/>
      <c r="AC691" s="436"/>
      <c r="AD691" s="436"/>
      <c r="AE691" s="436"/>
      <c r="AF691" s="2369" t="s">
        <v>2208</v>
      </c>
      <c r="AG691" s="2369"/>
      <c r="AH691" s="2369"/>
      <c r="AI691" s="2369"/>
      <c r="AJ691" s="2369"/>
      <c r="AK691" s="2369"/>
      <c r="AL691" s="2369"/>
      <c r="AN691" s="497"/>
      <c r="AW691" s="19" t="s">
        <v>2523</v>
      </c>
      <c r="AX691" s="450">
        <f>Application!DE753</f>
        <v>92</v>
      </c>
    </row>
    <row r="692" spans="1:51" s="450" customFormat="1" ht="12.75" customHeight="1">
      <c r="A692" s="579"/>
      <c r="B692" s="436"/>
      <c r="C692" s="842"/>
      <c r="D692" s="563"/>
      <c r="E692" s="2460"/>
      <c r="F692" s="2460"/>
      <c r="G692" s="2460"/>
      <c r="H692" s="2460"/>
      <c r="I692" s="2460"/>
      <c r="J692" s="2460"/>
      <c r="K692" s="2460"/>
      <c r="L692" s="2460"/>
      <c r="M692" s="2460"/>
      <c r="N692" s="2460"/>
      <c r="O692" s="2460"/>
      <c r="P692" s="2460"/>
      <c r="Q692" s="2460"/>
      <c r="R692" s="2460"/>
      <c r="S692" s="2460"/>
      <c r="T692" s="2460"/>
      <c r="U692" s="2460"/>
      <c r="V692" s="2460"/>
      <c r="W692" s="2460"/>
      <c r="X692" s="2460"/>
      <c r="Y692" s="2460"/>
      <c r="Z692" s="2460"/>
      <c r="AA692" s="2460"/>
      <c r="AB692" s="2460"/>
      <c r="AC692" s="436"/>
      <c r="AD692" s="436"/>
      <c r="AE692" s="436"/>
      <c r="AF692" s="436"/>
      <c r="AG692" s="436"/>
      <c r="AH692" s="436"/>
      <c r="AI692" s="436"/>
      <c r="AJ692" s="436"/>
      <c r="AK692" s="436"/>
      <c r="AL692" s="436"/>
      <c r="AN692" s="497"/>
      <c r="AW692" s="19" t="s">
        <v>2524</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2525</v>
      </c>
      <c r="AX693" s="450">
        <f>Application!DO753</f>
        <v>0</v>
      </c>
    </row>
    <row r="694" spans="1:51" s="450" customFormat="1" ht="12.75" customHeight="1">
      <c r="B694" s="436"/>
      <c r="C694" s="825"/>
      <c r="D694" s="563" t="s">
        <v>27</v>
      </c>
      <c r="E694" s="2424" t="s">
        <v>2526</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436"/>
      <c r="AD694" s="436"/>
      <c r="AE694" s="436"/>
      <c r="AF694" s="2369" t="s">
        <v>2208</v>
      </c>
      <c r="AG694" s="2369"/>
      <c r="AH694" s="2369"/>
      <c r="AI694" s="2369"/>
      <c r="AJ694" s="2369"/>
      <c r="AK694" s="2369"/>
      <c r="AL694" s="2369"/>
      <c r="AN694" s="497"/>
      <c r="AW694" s="19" t="s">
        <v>2527</v>
      </c>
      <c r="AX694" s="450">
        <f>AX691+AX692+AX693</f>
        <v>92</v>
      </c>
    </row>
    <row r="695" spans="1:51" s="450" customFormat="1" ht="12.75" customHeight="1">
      <c r="B695" s="436"/>
      <c r="C695" s="834"/>
      <c r="D695" s="5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436"/>
      <c r="AD695" s="436"/>
      <c r="AE695" s="516"/>
      <c r="AF695" s="436"/>
      <c r="AG695" s="436"/>
      <c r="AH695" s="436"/>
      <c r="AI695" s="436"/>
      <c r="AJ695" s="436"/>
      <c r="AK695" s="436"/>
      <c r="AL695" s="436"/>
      <c r="AN695" s="497"/>
      <c r="AO695" s="2459" t="b">
        <f>IF(Application!D211="Special Needs",IF(AY695&gt;=0.25,TRUE,FALSE),IF(AX695&gt;=0.25,TRUE,FALSE))</f>
        <v>1</v>
      </c>
      <c r="AP695" s="2459"/>
      <c r="AW695" s="19" t="s">
        <v>1970</v>
      </c>
      <c r="AX695" s="450">
        <f>IFERROR(AX694/AX690,0)</f>
        <v>0.46700507614213199</v>
      </c>
      <c r="AY695" s="450">
        <f>IFERROR(AX694/(AX690-AX689),0)</f>
        <v>0.46700507614213199</v>
      </c>
    </row>
    <row r="696" spans="1:51" s="450" customFormat="1" ht="12.75" customHeight="1">
      <c r="B696" s="436"/>
      <c r="C696" s="834"/>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436"/>
      <c r="AD697" s="436"/>
      <c r="AE697" s="516"/>
      <c r="AF697" s="516"/>
      <c r="AG697" s="516"/>
      <c r="AH697" s="516"/>
      <c r="AI697" s="516"/>
      <c r="AJ697" s="516"/>
      <c r="AK697" s="516"/>
      <c r="AL697" s="516"/>
      <c r="AN697" s="497"/>
      <c r="AO697" s="450" t="s">
        <v>813</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4" t="s">
        <v>2528</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436"/>
      <c r="AD699" s="436"/>
      <c r="AE699" s="436"/>
      <c r="AF699" s="2369" t="s">
        <v>2499</v>
      </c>
      <c r="AG699" s="2369"/>
      <c r="AH699" s="2369"/>
      <c r="AI699" s="2369"/>
      <c r="AJ699" s="2369"/>
      <c r="AK699" s="2369"/>
      <c r="AL699" s="2369"/>
      <c r="AN699" s="497"/>
      <c r="AO699" s="511" t="s">
        <v>27</v>
      </c>
      <c r="AP699" s="450">
        <v>1</v>
      </c>
    </row>
    <row r="700" spans="1:51" s="450" customFormat="1" ht="12" customHeight="1">
      <c r="B700" s="436"/>
      <c r="C700" s="825"/>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436"/>
      <c r="AD700" s="436"/>
      <c r="AE700" s="516"/>
      <c r="AF700" s="436"/>
      <c r="AG700" s="436"/>
      <c r="AH700" s="436"/>
      <c r="AI700" s="436"/>
      <c r="AJ700" s="436"/>
      <c r="AK700" s="436"/>
      <c r="AL700" s="436"/>
      <c r="AN700" s="497"/>
    </row>
    <row r="701" spans="1:51" s="450" customFormat="1" ht="12" customHeight="1">
      <c r="B701" s="436"/>
      <c r="C701" s="825"/>
      <c r="D701" s="4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436"/>
      <c r="AD701" s="436"/>
      <c r="AE701" s="516"/>
      <c r="AF701" s="436"/>
      <c r="AG701" s="436"/>
      <c r="AH701" s="436"/>
      <c r="AI701" s="436"/>
      <c r="AJ701" s="436"/>
      <c r="AK701" s="436"/>
      <c r="AL701" s="436"/>
      <c r="AN701" s="497"/>
    </row>
    <row r="702" spans="1:51" s="450" customFormat="1" ht="12" customHeight="1">
      <c r="B702" s="436"/>
      <c r="C702" s="825"/>
      <c r="D702" s="4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436"/>
      <c r="AD702" s="436"/>
      <c r="AE702" s="516"/>
      <c r="AF702" s="436"/>
      <c r="AG702" s="436"/>
      <c r="AH702" s="436"/>
      <c r="AI702" s="436"/>
      <c r="AJ702" s="436"/>
      <c r="AK702" s="436"/>
      <c r="AL702" s="436"/>
      <c r="AN702" s="497"/>
    </row>
    <row r="703" spans="1:51" s="470" customFormat="1" ht="13" customHeight="1">
      <c r="A703" s="450"/>
      <c r="B703" s="436"/>
      <c r="C703" s="825"/>
      <c r="D703" s="4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436"/>
      <c r="AD703" s="436"/>
      <c r="AE703" s="516"/>
      <c r="AF703" s="516"/>
      <c r="AG703" s="516"/>
      <c r="AH703" s="516"/>
      <c r="AI703" s="516"/>
      <c r="AJ703" s="436"/>
      <c r="AK703" s="436"/>
      <c r="AL703" s="436"/>
      <c r="AM703" s="450"/>
      <c r="AN703" s="584"/>
      <c r="AO703" s="450" t="s">
        <v>813</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4" t="s">
        <v>2529</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2485</v>
      </c>
      <c r="E709" s="830"/>
      <c r="F709" s="830"/>
      <c r="G709" s="830"/>
      <c r="H709" s="2453" t="s">
        <v>22</v>
      </c>
      <c r="I709" s="2453"/>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2530</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2495</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2531</v>
      </c>
      <c r="AJ711" s="2404">
        <f>VLOOKUP($H$709,$AO$703:$AP$706,2,FALSE)</f>
        <v>3</v>
      </c>
      <c r="AK711" s="2406"/>
      <c r="AL711" s="495"/>
      <c r="AM711" s="450"/>
      <c r="AN711" s="584"/>
      <c r="AP711" s="470" t="s">
        <v>2503</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2532</v>
      </c>
    </row>
    <row r="713" spans="1:43" s="470" customFormat="1" ht="12.75" customHeight="1">
      <c r="A713" s="450"/>
      <c r="B713" s="436"/>
      <c r="C713" s="439" t="s">
        <v>2533</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2534</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2535</v>
      </c>
    </row>
    <row r="715" spans="1:43" s="470" customFormat="1" ht="12.75" customHeight="1">
      <c r="A715" s="537"/>
      <c r="B715" s="436"/>
      <c r="C715" s="825"/>
      <c r="D715" s="563" t="s">
        <v>22</v>
      </c>
      <c r="E715" s="2461" t="s">
        <v>2536</v>
      </c>
      <c r="F715" s="2461"/>
      <c r="G715" s="2461"/>
      <c r="H715" s="2461"/>
      <c r="I715" s="2461"/>
      <c r="J715" s="2461"/>
      <c r="K715" s="2461"/>
      <c r="L715" s="2461"/>
      <c r="M715" s="2461"/>
      <c r="N715" s="2461"/>
      <c r="O715" s="2461"/>
      <c r="P715" s="2461"/>
      <c r="Q715" s="2461"/>
      <c r="R715" s="2461"/>
      <c r="S715" s="2461"/>
      <c r="T715" s="2461"/>
      <c r="U715" s="2461"/>
      <c r="V715" s="2461"/>
      <c r="W715" s="2461"/>
      <c r="X715" s="2461"/>
      <c r="Y715" s="2461"/>
      <c r="Z715" s="2461"/>
      <c r="AA715" s="2461"/>
      <c r="AB715" s="2461"/>
      <c r="AC715" s="436"/>
      <c r="AD715" s="436"/>
      <c r="AE715" s="436"/>
      <c r="AF715" s="2369" t="s">
        <v>2208</v>
      </c>
      <c r="AG715" s="2369"/>
      <c r="AH715" s="2369"/>
      <c r="AI715" s="2369"/>
      <c r="AJ715" s="2369"/>
      <c r="AK715" s="2369"/>
      <c r="AL715" s="2369"/>
      <c r="AM715" s="450"/>
      <c r="AN715" s="584"/>
      <c r="AP715" s="470" t="s">
        <v>2537</v>
      </c>
    </row>
    <row r="716" spans="1:43" s="470" customFormat="1" ht="11.75" customHeight="1">
      <c r="A716" s="450"/>
      <c r="B716" s="436"/>
      <c r="C716" s="827"/>
      <c r="D716" s="563"/>
      <c r="E716" s="2461"/>
      <c r="F716" s="2461"/>
      <c r="G716" s="2461"/>
      <c r="H716" s="2461"/>
      <c r="I716" s="2461"/>
      <c r="J716" s="2461"/>
      <c r="K716" s="2461"/>
      <c r="L716" s="2461"/>
      <c r="M716" s="2461"/>
      <c r="N716" s="2461"/>
      <c r="O716" s="2461"/>
      <c r="P716" s="2461"/>
      <c r="Q716" s="2461"/>
      <c r="R716" s="2461"/>
      <c r="S716" s="2461"/>
      <c r="T716" s="2461"/>
      <c r="U716" s="2461"/>
      <c r="V716" s="2461"/>
      <c r="W716" s="2461"/>
      <c r="X716" s="2461"/>
      <c r="Y716" s="2461"/>
      <c r="Z716" s="2461"/>
      <c r="AA716" s="2461"/>
      <c r="AB716" s="2461"/>
      <c r="AC716" s="436"/>
      <c r="AD716" s="436"/>
      <c r="AE716" s="436"/>
      <c r="AF716" s="436"/>
      <c r="AG716" s="436"/>
      <c r="AH716" s="436"/>
      <c r="AI716" s="436"/>
      <c r="AJ716" s="436"/>
      <c r="AK716" s="436"/>
      <c r="AL716" s="436"/>
      <c r="AM716" s="450"/>
      <c r="AN716" s="584"/>
      <c r="AP716" s="470" t="s">
        <v>2538</v>
      </c>
    </row>
    <row r="717" spans="1:43" s="470" customFormat="1" ht="14" customHeight="1">
      <c r="A717" s="450"/>
      <c r="B717" s="510"/>
      <c r="C717" s="825"/>
      <c r="D717" s="563"/>
      <c r="E717" s="2461"/>
      <c r="F717" s="2461"/>
      <c r="G717" s="2461"/>
      <c r="H717" s="2461"/>
      <c r="I717" s="2461"/>
      <c r="J717" s="2461"/>
      <c r="K717" s="2461"/>
      <c r="L717" s="2461"/>
      <c r="M717" s="2461"/>
      <c r="N717" s="2461"/>
      <c r="O717" s="2461"/>
      <c r="P717" s="2461"/>
      <c r="Q717" s="2461"/>
      <c r="R717" s="2461"/>
      <c r="S717" s="2461"/>
      <c r="T717" s="2461"/>
      <c r="U717" s="2461"/>
      <c r="V717" s="2461"/>
      <c r="W717" s="2461"/>
      <c r="X717" s="2461"/>
      <c r="Y717" s="2461"/>
      <c r="Z717" s="2461"/>
      <c r="AA717" s="2461"/>
      <c r="AB717" s="2461"/>
      <c r="AC717" s="436"/>
      <c r="AD717" s="436"/>
      <c r="AE717" s="516"/>
      <c r="AF717" s="436"/>
      <c r="AG717" s="436"/>
      <c r="AH717" s="436"/>
      <c r="AI717" s="436"/>
      <c r="AJ717" s="436"/>
      <c r="AK717" s="436"/>
      <c r="AL717" s="436"/>
      <c r="AM717" s="450"/>
      <c r="AN717" s="584"/>
      <c r="AP717" s="470" t="s">
        <v>2539</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2540</v>
      </c>
    </row>
    <row r="719" spans="1:43" s="470" customFormat="1" ht="14" customHeight="1">
      <c r="A719" s="450"/>
      <c r="B719" s="436"/>
      <c r="C719" s="825"/>
      <c r="D719" s="563" t="s">
        <v>27</v>
      </c>
      <c r="E719" s="2462" t="s">
        <v>2541</v>
      </c>
      <c r="F719" s="2462"/>
      <c r="G719" s="2462"/>
      <c r="H719" s="2462"/>
      <c r="I719" s="2462"/>
      <c r="J719" s="2462"/>
      <c r="K719" s="2462"/>
      <c r="L719" s="2462"/>
      <c r="M719" s="2462"/>
      <c r="N719" s="2462"/>
      <c r="O719" s="2462"/>
      <c r="P719" s="2462"/>
      <c r="Q719" s="2462"/>
      <c r="R719" s="2462"/>
      <c r="S719" s="2462"/>
      <c r="T719" s="2462"/>
      <c r="U719" s="2462"/>
      <c r="V719" s="2462"/>
      <c r="W719" s="2462"/>
      <c r="X719" s="2462"/>
      <c r="Y719" s="2462"/>
      <c r="Z719" s="2462"/>
      <c r="AA719" s="2462"/>
      <c r="AB719" s="2462"/>
      <c r="AC719" s="436"/>
      <c r="AD719" s="436"/>
      <c r="AE719" s="436"/>
      <c r="AF719" s="2369" t="s">
        <v>2499</v>
      </c>
      <c r="AG719" s="2369"/>
      <c r="AH719" s="2369"/>
      <c r="AI719" s="2369"/>
      <c r="AJ719" s="2369"/>
      <c r="AK719" s="2369"/>
      <c r="AL719" s="2369"/>
      <c r="AM719" s="450"/>
      <c r="AN719" s="585"/>
    </row>
    <row r="720" spans="1:43" s="470" customFormat="1" ht="12.75" customHeight="1">
      <c r="A720" s="450"/>
      <c r="B720" s="436"/>
      <c r="C720" s="827"/>
      <c r="D720" s="436"/>
      <c r="E720" s="2462"/>
      <c r="F720" s="2462"/>
      <c r="G720" s="2462"/>
      <c r="H720" s="2462"/>
      <c r="I720" s="2462"/>
      <c r="J720" s="2462"/>
      <c r="K720" s="2462"/>
      <c r="L720" s="2462"/>
      <c r="M720" s="2462"/>
      <c r="N720" s="2462"/>
      <c r="O720" s="2462"/>
      <c r="P720" s="2462"/>
      <c r="Q720" s="2462"/>
      <c r="R720" s="2462"/>
      <c r="S720" s="2462"/>
      <c r="T720" s="2462"/>
      <c r="U720" s="2462"/>
      <c r="V720" s="2462"/>
      <c r="W720" s="2462"/>
      <c r="X720" s="2462"/>
      <c r="Y720" s="2462"/>
      <c r="Z720" s="2462"/>
      <c r="AA720" s="2462"/>
      <c r="AB720" s="2462"/>
      <c r="AC720" s="436"/>
      <c r="AD720" s="436"/>
      <c r="AE720" s="436"/>
      <c r="AF720" s="436"/>
      <c r="AG720" s="436"/>
      <c r="AH720" s="436"/>
      <c r="AI720" s="436"/>
      <c r="AJ720" s="436"/>
      <c r="AK720" s="436"/>
      <c r="AL720" s="436"/>
      <c r="AM720" s="450"/>
      <c r="AN720" s="584"/>
      <c r="AP720" s="450" t="s">
        <v>813</v>
      </c>
      <c r="AQ720" s="573">
        <v>0</v>
      </c>
    </row>
    <row r="721" spans="1:81" s="470" customFormat="1" ht="14" customHeight="1">
      <c r="A721" s="450"/>
      <c r="B721" s="436"/>
      <c r="C721" s="827"/>
      <c r="D721" s="436"/>
      <c r="E721" s="2462"/>
      <c r="F721" s="2462"/>
      <c r="G721" s="2462"/>
      <c r="H721" s="2462"/>
      <c r="I721" s="2462"/>
      <c r="J721" s="2462"/>
      <c r="K721" s="2462"/>
      <c r="L721" s="2462"/>
      <c r="M721" s="2462"/>
      <c r="N721" s="2462"/>
      <c r="O721" s="2462"/>
      <c r="P721" s="2462"/>
      <c r="Q721" s="2462"/>
      <c r="R721" s="2462"/>
      <c r="S721" s="2462"/>
      <c r="T721" s="2462"/>
      <c r="U721" s="2462"/>
      <c r="V721" s="2462"/>
      <c r="W721" s="2462"/>
      <c r="X721" s="2462"/>
      <c r="Y721" s="2462"/>
      <c r="Z721" s="2462"/>
      <c r="AA721" s="2462"/>
      <c r="AB721" s="2462"/>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2485</v>
      </c>
      <c r="E723" s="830"/>
      <c r="F723" s="830"/>
      <c r="G723" s="830"/>
      <c r="H723" s="2453" t="s">
        <v>813</v>
      </c>
      <c r="I723" s="2453"/>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2542</v>
      </c>
      <c r="AJ725" s="2404">
        <f>VLOOKUP($H$723,$AP$720:$AQ$722,2,FALSE)</f>
        <v>0</v>
      </c>
      <c r="AK725" s="2406"/>
      <c r="AL725" s="495"/>
      <c r="AM725" s="450"/>
      <c r="AN725" s="584"/>
      <c r="AP725" s="2404"/>
      <c r="AQ725" s="240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2543</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4" t="s">
        <v>2544</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436"/>
      <c r="AD729" s="436"/>
      <c r="AE729" s="436"/>
      <c r="AF729" s="2369" t="s">
        <v>2208</v>
      </c>
      <c r="AG729" s="2369"/>
      <c r="AH729" s="2369"/>
      <c r="AI729" s="2369"/>
      <c r="AJ729" s="2369"/>
      <c r="AK729" s="2369"/>
      <c r="AL729" s="2369"/>
      <c r="AM729" s="450"/>
      <c r="AN729" s="584"/>
      <c r="AT729" s="13"/>
      <c r="AU729" s="13"/>
      <c r="AV729" s="13"/>
      <c r="AW729" s="13"/>
      <c r="AX729" s="13"/>
      <c r="AY729" s="13"/>
      <c r="AZ729" s="13"/>
    </row>
    <row r="730" spans="1:81" s="470" customFormat="1">
      <c r="A730" s="450"/>
      <c r="B730" s="436"/>
      <c r="C730" s="827"/>
      <c r="D730" s="5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4" t="s">
        <v>2545</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436"/>
      <c r="AD732" s="436"/>
      <c r="AE732" s="436"/>
      <c r="AF732" s="2369" t="s">
        <v>2499</v>
      </c>
      <c r="AG732" s="2369"/>
      <c r="AH732" s="2369"/>
      <c r="AI732" s="2369"/>
      <c r="AJ732" s="2369"/>
      <c r="AK732" s="2369"/>
      <c r="AL732" s="2369"/>
      <c r="AM732" s="450"/>
      <c r="AN732" s="584"/>
      <c r="AT732" s="13"/>
      <c r="AU732" s="13"/>
      <c r="AV732" s="13"/>
      <c r="AW732" s="13"/>
      <c r="AX732" s="13"/>
      <c r="AY732" s="13"/>
      <c r="AZ732" s="13"/>
    </row>
    <row r="733" spans="1:81" s="470" customFormat="1">
      <c r="A733" s="450"/>
      <c r="B733" s="436"/>
      <c r="C733" s="827"/>
      <c r="D733" s="4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2485</v>
      </c>
      <c r="E735" s="830"/>
      <c r="F735" s="830"/>
      <c r="G735" s="830"/>
      <c r="H735" s="2453" t="s">
        <v>813</v>
      </c>
      <c r="I735" s="2453"/>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2546</v>
      </c>
      <c r="AJ737" s="2404">
        <f>VLOOKUP($H$735,$AO$666:$AP$668,2,FALSE)</f>
        <v>0</v>
      </c>
      <c r="AK737" s="240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2547</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4" t="s">
        <v>2548</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436"/>
      <c r="AD741" s="436"/>
      <c r="AE741" s="436"/>
      <c r="AF741" s="2369" t="s">
        <v>2208</v>
      </c>
      <c r="AG741" s="2369"/>
      <c r="AH741" s="2369"/>
      <c r="AI741" s="2369"/>
      <c r="AJ741" s="2369"/>
      <c r="AK741" s="2369"/>
      <c r="AL741" s="2369"/>
      <c r="AM741" s="450"/>
      <c r="AN741" s="584"/>
      <c r="AT741" s="13"/>
      <c r="AU741" s="13"/>
      <c r="AV741" s="13"/>
      <c r="AW741" s="13"/>
      <c r="AX741" s="13"/>
      <c r="AY741" s="13"/>
      <c r="AZ741" s="13"/>
    </row>
    <row r="742" spans="1:81" s="470" customFormat="1">
      <c r="A742" s="450"/>
      <c r="B742" s="436"/>
      <c r="C742" s="825"/>
      <c r="D742" s="5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4" t="s">
        <v>2549</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475"/>
      <c r="AC746" s="436"/>
      <c r="AD746" s="436"/>
      <c r="AE746" s="436"/>
      <c r="AF746" s="2369" t="s">
        <v>2499</v>
      </c>
      <c r="AG746" s="2369"/>
      <c r="AH746" s="2369"/>
      <c r="AI746" s="2369"/>
      <c r="AJ746" s="2369"/>
      <c r="AK746" s="2369"/>
      <c r="AL746" s="2369"/>
      <c r="AM746" s="450"/>
      <c r="AN746" s="584"/>
      <c r="AO746" s="25"/>
      <c r="AP746" s="13"/>
    </row>
    <row r="747" spans="1:81" s="470" customFormat="1">
      <c r="A747" s="450"/>
      <c r="B747" s="436"/>
      <c r="C747" s="825"/>
      <c r="D747" s="5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2485</v>
      </c>
      <c r="E751" s="830"/>
      <c r="F751" s="830"/>
      <c r="G751" s="830"/>
      <c r="H751" s="2453" t="s">
        <v>22</v>
      </c>
      <c r="I751" s="2453"/>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2550</v>
      </c>
      <c r="AJ753" s="2404">
        <f>VLOOKUP($H$751,$AO$680:$AP$682,2,FALSE)</f>
        <v>3</v>
      </c>
      <c r="AK753" s="240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2539</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4" t="s">
        <v>2551</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436"/>
      <c r="AD757" s="436"/>
      <c r="AE757" s="436"/>
      <c r="AF757" s="2369" t="s">
        <v>2499</v>
      </c>
      <c r="AG757" s="2369"/>
      <c r="AH757" s="2369"/>
      <c r="AI757" s="2369"/>
      <c r="AJ757" s="2369"/>
      <c r="AK757" s="2369"/>
      <c r="AL757" s="2369"/>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4" t="s">
        <v>2552</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436"/>
      <c r="AD760" s="436"/>
      <c r="AE760" s="436"/>
      <c r="AF760" s="2369" t="s">
        <v>2517</v>
      </c>
      <c r="AG760" s="2369"/>
      <c r="AH760" s="2369"/>
      <c r="AI760" s="2369"/>
      <c r="AJ760" s="2369"/>
      <c r="AK760" s="2369"/>
      <c r="AL760" s="2369"/>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2485</v>
      </c>
      <c r="E763" s="830"/>
      <c r="F763" s="830"/>
      <c r="G763" s="830"/>
      <c r="H763" s="2453" t="s">
        <v>22</v>
      </c>
      <c r="I763" s="2453"/>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2553</v>
      </c>
      <c r="AJ765" s="2404">
        <f>VLOOKUP($H$763,$AO$697:$AP$699,2,FALSE)</f>
        <v>2</v>
      </c>
      <c r="AK765" s="240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2540</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24" t="s">
        <v>2554</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436"/>
      <c r="AF769" s="2369" t="s">
        <v>2499</v>
      </c>
      <c r="AG769" s="2369"/>
      <c r="AH769" s="2369"/>
      <c r="AI769" s="2369"/>
      <c r="AJ769" s="2369"/>
      <c r="AK769" s="2369"/>
      <c r="AL769" s="2369"/>
      <c r="AM769" s="513"/>
      <c r="AN769" s="584"/>
      <c r="AO769" s="450" t="s">
        <v>813</v>
      </c>
      <c r="AP769" s="573">
        <v>0</v>
      </c>
    </row>
    <row r="770" spans="1:81" s="470" customFormat="1" ht="13.75" customHeight="1">
      <c r="A770" s="450"/>
      <c r="B770" s="516"/>
      <c r="C770" s="834"/>
      <c r="D770" s="5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3" t="s">
        <v>2555</v>
      </c>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2463"/>
      <c r="AD774" s="2463"/>
      <c r="AE774" s="436"/>
      <c r="AF774" s="2369" t="s">
        <v>2208</v>
      </c>
      <c r="AG774" s="2369"/>
      <c r="AH774" s="2369"/>
      <c r="AI774" s="2369"/>
      <c r="AJ774" s="2369"/>
      <c r="AK774" s="2369"/>
      <c r="AL774" s="2369"/>
      <c r="AM774" s="513"/>
      <c r="AN774" s="497"/>
    </row>
    <row r="775" spans="1:81" s="450" customFormat="1" ht="12.75" customHeight="1">
      <c r="B775" s="516"/>
      <c r="C775" s="834"/>
      <c r="D775" s="563"/>
      <c r="E775" s="2463"/>
      <c r="F775" s="2463"/>
      <c r="G775" s="2463"/>
      <c r="H775" s="2463"/>
      <c r="I775" s="2463"/>
      <c r="J775" s="2463"/>
      <c r="K775" s="2463"/>
      <c r="L775" s="2463"/>
      <c r="M775" s="2463"/>
      <c r="N775" s="2463"/>
      <c r="O775" s="2463"/>
      <c r="P775" s="2463"/>
      <c r="Q775" s="2463"/>
      <c r="R775" s="2463"/>
      <c r="S775" s="2463"/>
      <c r="T775" s="2463"/>
      <c r="U775" s="2463"/>
      <c r="V775" s="2463"/>
      <c r="W775" s="2463"/>
      <c r="X775" s="2463"/>
      <c r="Y775" s="2463"/>
      <c r="Z775" s="2463"/>
      <c r="AA775" s="2463"/>
      <c r="AB775" s="2463"/>
      <c r="AC775" s="2463"/>
      <c r="AD775" s="2463"/>
      <c r="AE775" s="494"/>
      <c r="AF775" s="494"/>
      <c r="AG775" s="494"/>
      <c r="AH775" s="494"/>
      <c r="AI775" s="494"/>
      <c r="AJ775" s="494"/>
      <c r="AK775" s="494"/>
      <c r="AL775" s="494"/>
      <c r="AM775" s="513"/>
      <c r="AN775" s="497"/>
    </row>
    <row r="776" spans="1:81" s="450" customFormat="1" ht="12.75" customHeight="1">
      <c r="B776" s="516"/>
      <c r="C776" s="834"/>
      <c r="D776" s="563"/>
      <c r="E776" s="2463"/>
      <c r="F776" s="2463"/>
      <c r="G776" s="2463"/>
      <c r="H776" s="2463"/>
      <c r="I776" s="2463"/>
      <c r="J776" s="2463"/>
      <c r="K776" s="2463"/>
      <c r="L776" s="2463"/>
      <c r="M776" s="2463"/>
      <c r="N776" s="2463"/>
      <c r="O776" s="2463"/>
      <c r="P776" s="2463"/>
      <c r="Q776" s="2463"/>
      <c r="R776" s="2463"/>
      <c r="S776" s="2463"/>
      <c r="T776" s="2463"/>
      <c r="U776" s="2463"/>
      <c r="V776" s="2463"/>
      <c r="W776" s="2463"/>
      <c r="X776" s="2463"/>
      <c r="Y776" s="2463"/>
      <c r="Z776" s="2463"/>
      <c r="AA776" s="2463"/>
      <c r="AB776" s="2463"/>
      <c r="AC776" s="2463"/>
      <c r="AD776" s="2463"/>
      <c r="AE776" s="494"/>
      <c r="AF776" s="494"/>
      <c r="AG776" s="494"/>
      <c r="AH776" s="494"/>
      <c r="AI776" s="494"/>
      <c r="AJ776" s="494"/>
      <c r="AK776" s="494"/>
      <c r="AL776" s="494"/>
      <c r="AM776" s="513"/>
      <c r="AN776" s="497"/>
    </row>
    <row r="777" spans="1:81" s="450" customFormat="1" ht="12.75" customHeight="1">
      <c r="B777" s="516"/>
      <c r="C777" s="834"/>
      <c r="D777" s="563"/>
      <c r="E777" s="2463"/>
      <c r="F777" s="2463"/>
      <c r="G777" s="2463"/>
      <c r="H777" s="2463"/>
      <c r="I777" s="2463"/>
      <c r="J777" s="2463"/>
      <c r="K777" s="2463"/>
      <c r="L777" s="2463"/>
      <c r="M777" s="2463"/>
      <c r="N777" s="2463"/>
      <c r="O777" s="2463"/>
      <c r="P777" s="2463"/>
      <c r="Q777" s="2463"/>
      <c r="R777" s="2463"/>
      <c r="S777" s="2463"/>
      <c r="T777" s="2463"/>
      <c r="U777" s="2463"/>
      <c r="V777" s="2463"/>
      <c r="W777" s="2463"/>
      <c r="X777" s="2463"/>
      <c r="Y777" s="2463"/>
      <c r="Z777" s="2463"/>
      <c r="AA777" s="2463"/>
      <c r="AB777" s="2463"/>
      <c r="AC777" s="2463"/>
      <c r="AD777" s="2463"/>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2485</v>
      </c>
      <c r="E779" s="830"/>
      <c r="F779" s="830"/>
      <c r="G779" s="830"/>
      <c r="H779" s="2453" t="s">
        <v>813</v>
      </c>
      <c r="I779" s="2453"/>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2556</v>
      </c>
      <c r="AJ781" s="2404">
        <f>VLOOKUP($H$779,$AO$769:$AP$771,2,FALSE)</f>
        <v>0</v>
      </c>
      <c r="AK781" s="240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2557</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813</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24" t="s">
        <v>2558</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436"/>
      <c r="AF785" s="2369" t="s">
        <v>2208</v>
      </c>
      <c r="AG785" s="2369"/>
      <c r="AH785" s="2369"/>
      <c r="AI785" s="2369"/>
      <c r="AJ785" s="2369"/>
      <c r="AK785" s="2369"/>
      <c r="AL785" s="2369"/>
      <c r="AM785" s="513"/>
      <c r="AN785" s="584"/>
      <c r="AO785" s="511" t="s">
        <v>848</v>
      </c>
      <c r="AP785" s="450">
        <v>3</v>
      </c>
      <c r="AT785" s="574"/>
      <c r="AU785" s="574"/>
      <c r="AV785" s="574"/>
      <c r="AW785" s="574"/>
      <c r="AX785" s="574"/>
      <c r="AY785" s="574"/>
      <c r="AZ785" s="574"/>
    </row>
    <row r="786" spans="1:81" s="470" customFormat="1" ht="13.75" customHeight="1">
      <c r="A786" s="450"/>
      <c r="B786" s="516"/>
      <c r="C786" s="834"/>
      <c r="D786" s="5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2485</v>
      </c>
      <c r="E790" s="830"/>
      <c r="F790" s="830"/>
      <c r="G790" s="830"/>
      <c r="H790" s="2453" t="s">
        <v>848</v>
      </c>
      <c r="I790" s="2453"/>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2559</v>
      </c>
      <c r="AJ792" s="2404">
        <f>VLOOKUP($H$790,$AO$784:$AP$785,2,FALSE)</f>
        <v>3</v>
      </c>
      <c r="AK792" s="240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2560</v>
      </c>
      <c r="AK794" s="2404">
        <f>IF(($AJ$621+$AJ$640+$AJ$652+$AJ$687+$AJ$711+$AJ$725+$AJ$737+$AJ$753+$AJ$765+$AJ$781+AJ792)&gt;10,10,($AJ$621+$AJ$640+$AJ$652+$AJ$687+$AJ$711+$AJ$725+$AJ$737+$AJ$753+$AJ$765+$AJ$781+AJ792))</f>
        <v>10</v>
      </c>
      <c r="AL794" s="2405"/>
      <c r="AM794" s="240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7" t="s">
        <v>2561</v>
      </c>
      <c r="B797" s="2498"/>
      <c r="C797" s="2498"/>
      <c r="D797" s="2498"/>
      <c r="E797" s="2498"/>
      <c r="F797" s="2498"/>
      <c r="G797" s="2498"/>
      <c r="H797" s="2498"/>
      <c r="I797" s="2498"/>
      <c r="J797" s="2498"/>
      <c r="K797" s="2498"/>
      <c r="L797" s="2498"/>
      <c r="M797" s="2498"/>
      <c r="N797" s="2498"/>
      <c r="O797" s="2498"/>
      <c r="P797" s="2498"/>
      <c r="Q797" s="2498"/>
      <c r="R797" s="2498"/>
      <c r="S797" s="2498"/>
      <c r="T797" s="2498"/>
      <c r="U797" s="2498"/>
      <c r="V797" s="2498"/>
      <c r="W797" s="2498"/>
      <c r="X797" s="2498"/>
      <c r="Y797" s="2498"/>
      <c r="Z797" s="2498"/>
      <c r="AA797" s="2498"/>
      <c r="AB797" s="2498"/>
      <c r="AC797" s="2498"/>
      <c r="AD797" s="2498"/>
      <c r="AE797" s="2498"/>
      <c r="AF797" s="2498"/>
      <c r="AG797" s="2498"/>
      <c r="AH797" s="2498"/>
      <c r="AI797" s="2498"/>
      <c r="AJ797" s="2498"/>
      <c r="AK797" s="2498"/>
      <c r="AL797" s="2498"/>
      <c r="AM797" s="2498"/>
    </row>
    <row r="798" spans="1:81">
      <c r="A798" s="2499"/>
      <c r="B798" s="2499"/>
      <c r="C798" s="2499"/>
      <c r="D798" s="2499"/>
      <c r="E798" s="2499"/>
      <c r="F798" s="2499"/>
      <c r="G798" s="2499"/>
      <c r="H798" s="2499"/>
      <c r="I798" s="2499"/>
      <c r="J798" s="2499"/>
      <c r="K798" s="2499"/>
      <c r="L798" s="2499"/>
      <c r="M798" s="2499"/>
      <c r="N798" s="2499"/>
      <c r="O798" s="2499"/>
      <c r="P798" s="2499"/>
      <c r="Q798" s="2499"/>
      <c r="R798" s="2499"/>
      <c r="S798" s="2499"/>
      <c r="T798" s="2499"/>
      <c r="U798" s="2499"/>
      <c r="V798" s="2499"/>
      <c r="W798" s="2499"/>
      <c r="X798" s="2499"/>
      <c r="Y798" s="2499"/>
      <c r="Z798" s="2499"/>
      <c r="AA798" s="2499"/>
      <c r="AB798" s="2499"/>
      <c r="AC798" s="2499"/>
      <c r="AD798" s="2499"/>
      <c r="AE798" s="2499"/>
      <c r="AF798" s="2499"/>
      <c r="AG798" s="2499"/>
      <c r="AH798" s="2499"/>
      <c r="AI798" s="2499"/>
      <c r="AJ798" s="2499"/>
      <c r="AK798" s="2499"/>
      <c r="AL798" s="2499"/>
      <c r="AM798" s="2499"/>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716"/>
      <c r="AQ800" s="716"/>
    </row>
    <row r="801" spans="1:81">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0" t="s">
        <v>2562</v>
      </c>
      <c r="U802" s="2501"/>
      <c r="V802" s="2501"/>
      <c r="W802" s="2501"/>
      <c r="X802" s="2501"/>
      <c r="Y802" s="2502"/>
      <c r="Z802" s="2500" t="s">
        <v>2563</v>
      </c>
      <c r="AA802" s="2501"/>
      <c r="AB802" s="2501"/>
      <c r="AC802" s="2501"/>
      <c r="AD802" s="2501"/>
      <c r="AE802" s="2502"/>
      <c r="AF802" s="2500" t="s">
        <v>2564</v>
      </c>
      <c r="AG802" s="2501"/>
      <c r="AH802" s="2501"/>
      <c r="AI802" s="2501"/>
      <c r="AJ802" s="2501"/>
      <c r="AK802" s="2502"/>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3"/>
      <c r="U803" s="2504"/>
      <c r="V803" s="2504"/>
      <c r="W803" s="2504"/>
      <c r="X803" s="2504"/>
      <c r="Y803" s="2505"/>
      <c r="Z803" s="2503"/>
      <c r="AA803" s="2504"/>
      <c r="AB803" s="2504"/>
      <c r="AC803" s="2504"/>
      <c r="AD803" s="2504"/>
      <c r="AE803" s="2505"/>
      <c r="AF803" s="2503"/>
      <c r="AG803" s="2504"/>
      <c r="AH803" s="2504"/>
      <c r="AI803" s="2504"/>
      <c r="AJ803" s="2504"/>
      <c r="AK803" s="2505"/>
      <c r="AL803" s="718"/>
      <c r="AM803" s="496"/>
      <c r="AO803" s="716"/>
      <c r="AP803" s="716"/>
      <c r="AQ803" s="716"/>
    </row>
    <row r="804" spans="1:81">
      <c r="A804" s="719" t="s">
        <v>53</v>
      </c>
      <c r="B804" s="2480" t="s">
        <v>2123</v>
      </c>
      <c r="C804" s="2480"/>
      <c r="D804" s="2480"/>
      <c r="E804" s="2480"/>
      <c r="F804" s="2480"/>
      <c r="G804" s="2480"/>
      <c r="H804" s="2480"/>
      <c r="I804" s="2480"/>
      <c r="J804" s="2480"/>
      <c r="K804" s="2480"/>
      <c r="L804" s="2480"/>
      <c r="M804" s="2480"/>
      <c r="N804" s="2480"/>
      <c r="O804" s="2480"/>
      <c r="P804" s="2480"/>
      <c r="Q804" s="2480"/>
      <c r="R804" s="2480"/>
      <c r="S804" s="2481"/>
      <c r="T804" s="2482">
        <f>AK62</f>
        <v>0</v>
      </c>
      <c r="U804" s="2483"/>
      <c r="V804" s="2483"/>
      <c r="W804" s="2483"/>
      <c r="X804" s="2483"/>
      <c r="Y804" s="2484"/>
      <c r="Z804" s="2485">
        <v>20</v>
      </c>
      <c r="AA804" s="2483"/>
      <c r="AB804" s="2483"/>
      <c r="AC804" s="2483"/>
      <c r="AD804" s="2483"/>
      <c r="AE804" s="2484"/>
      <c r="AF804" s="2466">
        <f>IF(T804&gt;Z804,Z804,T804)</f>
        <v>0</v>
      </c>
      <c r="AG804" s="2466"/>
      <c r="AH804" s="2466"/>
      <c r="AI804" s="2466"/>
      <c r="AJ804" s="2466"/>
      <c r="AK804" s="2466"/>
      <c r="AL804" s="718"/>
      <c r="AM804" s="496"/>
      <c r="AO804" s="716"/>
      <c r="AP804" s="716"/>
      <c r="AQ804" s="716"/>
    </row>
    <row r="805" spans="1:81">
      <c r="A805" s="719" t="s">
        <v>2417</v>
      </c>
      <c r="B805" s="2480" t="s">
        <v>620</v>
      </c>
      <c r="C805" s="2480"/>
      <c r="D805" s="2480"/>
      <c r="E805" s="2480"/>
      <c r="F805" s="2480"/>
      <c r="G805" s="2480"/>
      <c r="H805" s="2480"/>
      <c r="I805" s="2480"/>
      <c r="J805" s="2480"/>
      <c r="K805" s="2480"/>
      <c r="L805" s="2480"/>
      <c r="M805" s="2480"/>
      <c r="N805" s="2480"/>
      <c r="O805" s="2480"/>
      <c r="P805" s="2480"/>
      <c r="Q805" s="2480"/>
      <c r="R805" s="2480"/>
      <c r="S805" s="2481"/>
      <c r="T805" s="2482">
        <f>AK84</f>
        <v>10</v>
      </c>
      <c r="U805" s="2483"/>
      <c r="V805" s="2483"/>
      <c r="W805" s="2483"/>
      <c r="X805" s="2483"/>
      <c r="Y805" s="2484"/>
      <c r="Z805" s="2485">
        <v>10</v>
      </c>
      <c r="AA805" s="2483"/>
      <c r="AB805" s="2483"/>
      <c r="AC805" s="2483"/>
      <c r="AD805" s="2483"/>
      <c r="AE805" s="2484"/>
      <c r="AF805" s="2466">
        <f>IF(T805&gt;Z805,Z805,T805)</f>
        <v>10</v>
      </c>
      <c r="AG805" s="2466"/>
      <c r="AH805" s="2466"/>
      <c r="AI805" s="2466"/>
      <c r="AJ805" s="2466"/>
      <c r="AK805" s="2466"/>
      <c r="AL805" s="718"/>
      <c r="AM805" s="496"/>
      <c r="AO805" s="716"/>
      <c r="AP805" s="716"/>
      <c r="AQ805" s="716"/>
    </row>
    <row r="806" spans="1:81">
      <c r="A806" s="719" t="s">
        <v>2426</v>
      </c>
      <c r="B806" s="2480" t="s">
        <v>2163</v>
      </c>
      <c r="C806" s="2480"/>
      <c r="D806" s="2480"/>
      <c r="E806" s="2480"/>
      <c r="F806" s="2480"/>
      <c r="G806" s="2480"/>
      <c r="H806" s="2480"/>
      <c r="I806" s="2480"/>
      <c r="J806" s="2480"/>
      <c r="K806" s="2480"/>
      <c r="L806" s="2480"/>
      <c r="M806" s="2480"/>
      <c r="N806" s="2480"/>
      <c r="O806" s="2480"/>
      <c r="P806" s="2480"/>
      <c r="Q806" s="2480"/>
      <c r="R806" s="2480"/>
      <c r="S806" s="2481"/>
      <c r="T806" s="2482">
        <f ca="1">AK109</f>
        <v>20</v>
      </c>
      <c r="U806" s="2483"/>
      <c r="V806" s="2483"/>
      <c r="W806" s="2483"/>
      <c r="X806" s="2483"/>
      <c r="Y806" s="2484"/>
      <c r="Z806" s="2485">
        <v>20</v>
      </c>
      <c r="AA806" s="2483"/>
      <c r="AB806" s="2483"/>
      <c r="AC806" s="2483"/>
      <c r="AD806" s="2483"/>
      <c r="AE806" s="2484"/>
      <c r="AF806" s="2466">
        <f ca="1">IF(T806&gt;Z806,Z806,T806)</f>
        <v>20</v>
      </c>
      <c r="AG806" s="2466"/>
      <c r="AH806" s="2466"/>
      <c r="AI806" s="2466"/>
      <c r="AJ806" s="2466"/>
      <c r="AK806" s="2466"/>
      <c r="AL806" s="718"/>
      <c r="AM806" s="496"/>
      <c r="AO806" s="716"/>
      <c r="AP806" s="716"/>
      <c r="AQ806" s="716"/>
    </row>
    <row r="807" spans="1:81">
      <c r="A807" s="719" t="s">
        <v>2565</v>
      </c>
      <c r="B807" s="2480" t="s">
        <v>2174</v>
      </c>
      <c r="C807" s="2480"/>
      <c r="D807" s="2480"/>
      <c r="E807" s="2480"/>
      <c r="F807" s="2480"/>
      <c r="G807" s="2480"/>
      <c r="H807" s="2480"/>
      <c r="I807" s="2480"/>
      <c r="J807" s="2480"/>
      <c r="K807" s="2480"/>
      <c r="L807" s="2480"/>
      <c r="M807" s="2480"/>
      <c r="N807" s="2480"/>
      <c r="O807" s="2480"/>
      <c r="P807" s="2480"/>
      <c r="Q807" s="2480"/>
      <c r="R807" s="2480"/>
      <c r="S807" s="2481"/>
      <c r="T807" s="2482">
        <f>AK143</f>
        <v>10</v>
      </c>
      <c r="U807" s="2483"/>
      <c r="V807" s="2483"/>
      <c r="W807" s="2483"/>
      <c r="X807" s="2483"/>
      <c r="Y807" s="2484"/>
      <c r="Z807" s="2485">
        <v>10</v>
      </c>
      <c r="AA807" s="2483"/>
      <c r="AB807" s="2483"/>
      <c r="AC807" s="2483"/>
      <c r="AD807" s="2483"/>
      <c r="AE807" s="2484"/>
      <c r="AF807" s="2466">
        <f>IF(T807&gt;Z807,Z807,T807)</f>
        <v>10</v>
      </c>
      <c r="AG807" s="2466"/>
      <c r="AH807" s="2466"/>
      <c r="AI807" s="2466"/>
      <c r="AJ807" s="2466"/>
      <c r="AK807" s="2466"/>
      <c r="AL807" s="718"/>
      <c r="AM807" s="496"/>
      <c r="AO807" s="716"/>
      <c r="AP807" s="716"/>
      <c r="AQ807" s="716"/>
    </row>
    <row r="808" spans="1:81">
      <c r="A808" s="720" t="s">
        <v>2566</v>
      </c>
      <c r="B808" s="2480" t="s">
        <v>2567</v>
      </c>
      <c r="C808" s="2480"/>
      <c r="D808" s="2480"/>
      <c r="E808" s="2480"/>
      <c r="F808" s="2480"/>
      <c r="G808" s="2480"/>
      <c r="H808" s="2480"/>
      <c r="I808" s="2480"/>
      <c r="J808" s="2480"/>
      <c r="K808" s="2480"/>
      <c r="L808" s="2480"/>
      <c r="M808" s="2480"/>
      <c r="N808" s="2480"/>
      <c r="O808" s="2480"/>
      <c r="P808" s="2480"/>
      <c r="Q808" s="2480"/>
      <c r="R808" s="2480"/>
      <c r="S808" s="2481"/>
      <c r="T808" s="2506">
        <f>SUM(T809:Y810)</f>
        <v>10</v>
      </c>
      <c r="U808" s="2506"/>
      <c r="V808" s="2506"/>
      <c r="W808" s="2506"/>
      <c r="X808" s="2506"/>
      <c r="Y808" s="2506"/>
      <c r="Z808" s="2466">
        <v>10</v>
      </c>
      <c r="AA808" s="2466"/>
      <c r="AB808" s="2466"/>
      <c r="AC808" s="2466"/>
      <c r="AD808" s="2466"/>
      <c r="AE808" s="2466"/>
      <c r="AF808" s="2466">
        <f>IF(T808&gt;Z808,Z808,T808)</f>
        <v>10</v>
      </c>
      <c r="AG808" s="2466"/>
      <c r="AH808" s="2466"/>
      <c r="AI808" s="2466"/>
      <c r="AJ808" s="2466"/>
      <c r="AK808" s="2466"/>
      <c r="AL808" s="718"/>
      <c r="AM808" s="496"/>
    </row>
    <row r="809" spans="1:81">
      <c r="A809" s="435"/>
      <c r="B809" s="501"/>
      <c r="C809" s="2507" t="s">
        <v>2568</v>
      </c>
      <c r="D809" s="2507"/>
      <c r="E809" s="2507"/>
      <c r="F809" s="2507"/>
      <c r="G809" s="2507"/>
      <c r="H809" s="2507"/>
      <c r="I809" s="2507"/>
      <c r="J809" s="2507"/>
      <c r="K809" s="2507"/>
      <c r="L809" s="2507"/>
      <c r="M809" s="2507"/>
      <c r="N809" s="2507"/>
      <c r="O809" s="2507"/>
      <c r="P809" s="2507"/>
      <c r="Q809" s="2507"/>
      <c r="R809" s="2507"/>
      <c r="S809" s="2508"/>
      <c r="T809" s="2399">
        <f>AJ166</f>
        <v>7</v>
      </c>
      <c r="U809" s="2399"/>
      <c r="V809" s="2399"/>
      <c r="W809" s="2399"/>
      <c r="X809" s="2399"/>
      <c r="Y809" s="2399"/>
      <c r="Z809" s="2400">
        <v>7</v>
      </c>
      <c r="AA809" s="2400"/>
      <c r="AB809" s="2400"/>
      <c r="AC809" s="2400"/>
      <c r="AD809" s="2400"/>
      <c r="AE809" s="2400"/>
      <c r="AF809" s="2509"/>
      <c r="AG809" s="2509"/>
      <c r="AH809" s="2509"/>
      <c r="AI809" s="2509"/>
      <c r="AJ809" s="2509"/>
      <c r="AK809" s="2509"/>
      <c r="AL809" s="718"/>
      <c r="AM809" s="496"/>
    </row>
    <row r="810" spans="1:81">
      <c r="A810" s="500"/>
      <c r="B810" s="501"/>
      <c r="C810" s="2507" t="s">
        <v>1993</v>
      </c>
      <c r="D810" s="2507"/>
      <c r="E810" s="2507"/>
      <c r="F810" s="2507"/>
      <c r="G810" s="2507"/>
      <c r="H810" s="2507"/>
      <c r="I810" s="2507"/>
      <c r="J810" s="2507"/>
      <c r="K810" s="2507"/>
      <c r="L810" s="2507"/>
      <c r="M810" s="2507"/>
      <c r="N810" s="2507"/>
      <c r="O810" s="2507"/>
      <c r="P810" s="2507"/>
      <c r="Q810" s="2507"/>
      <c r="R810" s="2507"/>
      <c r="S810" s="2508"/>
      <c r="T810" s="2399">
        <f>AJ180</f>
        <v>3</v>
      </c>
      <c r="U810" s="2399"/>
      <c r="V810" s="2399"/>
      <c r="W810" s="2399"/>
      <c r="X810" s="2399"/>
      <c r="Y810" s="2399"/>
      <c r="Z810" s="2400">
        <v>3</v>
      </c>
      <c r="AA810" s="2400"/>
      <c r="AB810" s="2400"/>
      <c r="AC810" s="2400"/>
      <c r="AD810" s="2400"/>
      <c r="AE810" s="2400"/>
      <c r="AF810" s="2509"/>
      <c r="AG810" s="2509"/>
      <c r="AH810" s="2509"/>
      <c r="AI810" s="2509"/>
      <c r="AJ810" s="2509"/>
      <c r="AK810" s="2509"/>
      <c r="AL810" s="718"/>
      <c r="AM810" s="496"/>
      <c r="AO810" s="450"/>
    </row>
    <row r="811" spans="1:81">
      <c r="A811" s="720" t="s">
        <v>2220</v>
      </c>
      <c r="B811" s="2480" t="s">
        <v>2569</v>
      </c>
      <c r="C811" s="2480"/>
      <c r="D811" s="2480"/>
      <c r="E811" s="2480"/>
      <c r="F811" s="2480"/>
      <c r="G811" s="2480"/>
      <c r="H811" s="2480"/>
      <c r="I811" s="2480"/>
      <c r="J811" s="2480"/>
      <c r="K811" s="2480"/>
      <c r="L811" s="2480"/>
      <c r="M811" s="2480"/>
      <c r="N811" s="2480"/>
      <c r="O811" s="2480"/>
      <c r="P811" s="2480"/>
      <c r="Q811" s="2480"/>
      <c r="R811" s="2480"/>
      <c r="S811" s="2481"/>
      <c r="T811" s="2506">
        <f>AK191</f>
        <v>10</v>
      </c>
      <c r="U811" s="2506"/>
      <c r="V811" s="2506"/>
      <c r="W811" s="2506"/>
      <c r="X811" s="2506"/>
      <c r="Y811" s="2506"/>
      <c r="Z811" s="2466">
        <v>10</v>
      </c>
      <c r="AA811" s="2466"/>
      <c r="AB811" s="2466"/>
      <c r="AC811" s="2466"/>
      <c r="AD811" s="2466"/>
      <c r="AE811" s="2466"/>
      <c r="AF811" s="2466">
        <f>IF(T811&gt;Z811,Z811,T811)</f>
        <v>10</v>
      </c>
      <c r="AG811" s="2466"/>
      <c r="AH811" s="2466"/>
      <c r="AI811" s="2466"/>
      <c r="AJ811" s="2466"/>
      <c r="AK811" s="2466"/>
      <c r="AL811" s="718"/>
      <c r="AM811" s="496"/>
    </row>
    <row r="812" spans="1:81">
      <c r="A812" s="719" t="s">
        <v>2230</v>
      </c>
      <c r="B812" s="2480" t="s">
        <v>2231</v>
      </c>
      <c r="C812" s="2480"/>
      <c r="D812" s="2480"/>
      <c r="E812" s="2480"/>
      <c r="F812" s="2480"/>
      <c r="G812" s="2480"/>
      <c r="H812" s="2480"/>
      <c r="I812" s="2480"/>
      <c r="J812" s="2480"/>
      <c r="K812" s="2480"/>
      <c r="L812" s="2480"/>
      <c r="M812" s="2480"/>
      <c r="N812" s="2480"/>
      <c r="O812" s="2480"/>
      <c r="P812" s="2480"/>
      <c r="Q812" s="2480"/>
      <c r="R812" s="2480"/>
      <c r="S812" s="2481"/>
      <c r="T812" s="2506">
        <f>AK273</f>
        <v>8</v>
      </c>
      <c r="U812" s="2506"/>
      <c r="V812" s="2506"/>
      <c r="W812" s="2506"/>
      <c r="X812" s="2506"/>
      <c r="Y812" s="2506"/>
      <c r="Z812" s="2485">
        <v>8</v>
      </c>
      <c r="AA812" s="2483"/>
      <c r="AB812" s="2483"/>
      <c r="AC812" s="2483"/>
      <c r="AD812" s="2483"/>
      <c r="AE812" s="2484"/>
      <c r="AF812" s="2466">
        <f>IF(T812&gt;Z812,Z812,T812)</f>
        <v>8</v>
      </c>
      <c r="AG812" s="2466"/>
      <c r="AH812" s="2466"/>
      <c r="AI812" s="2466"/>
      <c r="AJ812" s="2466"/>
      <c r="AK812" s="2466"/>
      <c r="AL812" s="718"/>
      <c r="AM812" s="496"/>
    </row>
    <row r="813" spans="1:81" s="434" customFormat="1" hidden="1">
      <c r="A813" s="720" t="s">
        <v>1010</v>
      </c>
      <c r="B813" s="2480" t="s">
        <v>2570</v>
      </c>
      <c r="C813" s="2480"/>
      <c r="D813" s="2480"/>
      <c r="E813" s="2480"/>
      <c r="F813" s="2480"/>
      <c r="G813" s="2480"/>
      <c r="H813" s="2480"/>
      <c r="I813" s="2480"/>
      <c r="J813" s="2480"/>
      <c r="K813" s="2480"/>
      <c r="L813" s="2480"/>
      <c r="M813" s="2480"/>
      <c r="N813" s="2480"/>
      <c r="O813" s="2480"/>
      <c r="P813" s="2480"/>
      <c r="Q813" s="2480"/>
      <c r="R813" s="2480"/>
      <c r="S813" s="2481"/>
      <c r="T813" s="2506">
        <f>IF(AK535&gt;5,5,AK535)</f>
        <v>0</v>
      </c>
      <c r="U813" s="2506"/>
      <c r="V813" s="2506"/>
      <c r="W813" s="2506"/>
      <c r="X813" s="2506"/>
      <c r="Y813" s="2506"/>
      <c r="Z813" s="2466">
        <v>5</v>
      </c>
      <c r="AA813" s="2466"/>
      <c r="AB813" s="2466"/>
      <c r="AC813" s="2466"/>
      <c r="AD813" s="2466"/>
      <c r="AE813" s="2466"/>
      <c r="AF813" s="2466">
        <f>IF(T813&gt;Z813,5,T813)</f>
        <v>0</v>
      </c>
      <c r="AG813" s="2466"/>
      <c r="AH813" s="2466"/>
      <c r="AI813" s="2466"/>
      <c r="AJ813" s="2466"/>
      <c r="AK813" s="2466"/>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2285</v>
      </c>
      <c r="B814" s="2480" t="s">
        <v>2571</v>
      </c>
      <c r="C814" s="2480"/>
      <c r="D814" s="2480"/>
      <c r="E814" s="2480"/>
      <c r="F814" s="2480"/>
      <c r="G814" s="2480"/>
      <c r="H814" s="2480"/>
      <c r="I814" s="2480"/>
      <c r="J814" s="2480"/>
      <c r="K814" s="2480"/>
      <c r="L814" s="2480"/>
      <c r="M814" s="2480"/>
      <c r="N814" s="2480"/>
      <c r="O814" s="2480"/>
      <c r="P814" s="2480"/>
      <c r="Q814" s="2480"/>
      <c r="R814" s="2480"/>
      <c r="S814" s="2481"/>
      <c r="T814" s="2506">
        <f>AK285</f>
        <v>10</v>
      </c>
      <c r="U814" s="2506"/>
      <c r="V814" s="2506"/>
      <c r="W814" s="2506"/>
      <c r="X814" s="2506"/>
      <c r="Y814" s="2506"/>
      <c r="Z814" s="2466">
        <v>10</v>
      </c>
      <c r="AA814" s="2466"/>
      <c r="AB814" s="2466"/>
      <c r="AC814" s="2466"/>
      <c r="AD814" s="2466"/>
      <c r="AE814" s="2466"/>
      <c r="AF814" s="2512">
        <f>IF(T814&gt;Z814,Z814,T814)</f>
        <v>10</v>
      </c>
      <c r="AG814" s="2513"/>
      <c r="AH814" s="2513"/>
      <c r="AI814" s="2513"/>
      <c r="AJ814" s="2513"/>
      <c r="AK814" s="251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2289</v>
      </c>
      <c r="B815" s="2480" t="s">
        <v>2572</v>
      </c>
      <c r="C815" s="2480"/>
      <c r="D815" s="2480"/>
      <c r="E815" s="2480"/>
      <c r="F815" s="2480"/>
      <c r="G815" s="2480"/>
      <c r="H815" s="2480"/>
      <c r="I815" s="2480"/>
      <c r="J815" s="2480"/>
      <c r="K815" s="2480"/>
      <c r="L815" s="2480"/>
      <c r="M815" s="2480"/>
      <c r="N815" s="2480"/>
      <c r="O815" s="2480"/>
      <c r="P815" s="2480"/>
      <c r="Q815" s="2480"/>
      <c r="R815" s="2480"/>
      <c r="S815" s="2481"/>
      <c r="T815" s="2506">
        <f>AK338</f>
        <v>10</v>
      </c>
      <c r="U815" s="2506"/>
      <c r="V815" s="2506"/>
      <c r="W815" s="2506"/>
      <c r="X815" s="2506"/>
      <c r="Y815" s="2506"/>
      <c r="Z815" s="2512">
        <v>10</v>
      </c>
      <c r="AA815" s="2513"/>
      <c r="AB815" s="2513"/>
      <c r="AC815" s="2513"/>
      <c r="AD815" s="2513"/>
      <c r="AE815" s="2514"/>
      <c r="AF815" s="2512">
        <f>IF(T815&gt;Z815,Z815,T815)</f>
        <v>10</v>
      </c>
      <c r="AG815" s="2513"/>
      <c r="AH815" s="2513"/>
      <c r="AI815" s="2513"/>
      <c r="AJ815" s="2513"/>
      <c r="AK815" s="251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2573</v>
      </c>
      <c r="D816" s="723"/>
      <c r="E816" s="723"/>
      <c r="F816" s="723"/>
      <c r="G816" s="723"/>
      <c r="H816" s="723"/>
      <c r="I816" s="723"/>
      <c r="J816" s="723"/>
      <c r="K816" s="723"/>
      <c r="L816" s="723"/>
      <c r="M816" s="723"/>
      <c r="N816" s="723"/>
      <c r="O816" s="723"/>
      <c r="P816" s="723"/>
      <c r="Q816" s="723"/>
      <c r="R816" s="721"/>
      <c r="S816" s="724"/>
      <c r="T816" s="2399">
        <f>AK338</f>
        <v>10</v>
      </c>
      <c r="U816" s="2399"/>
      <c r="V816" s="2399"/>
      <c r="W816" s="2399"/>
      <c r="X816" s="2399"/>
      <c r="Y816" s="2399"/>
      <c r="Z816" s="2404">
        <v>20</v>
      </c>
      <c r="AA816" s="2405"/>
      <c r="AB816" s="2405"/>
      <c r="AC816" s="2405"/>
      <c r="AD816" s="2405"/>
      <c r="AE816" s="2406"/>
      <c r="AF816" s="2509"/>
      <c r="AG816" s="2509"/>
      <c r="AH816" s="2509"/>
      <c r="AI816" s="2509"/>
      <c r="AJ816" s="2509"/>
      <c r="AK816" s="2509"/>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2319</v>
      </c>
      <c r="B817" s="2480" t="s">
        <v>2320</v>
      </c>
      <c r="C817" s="2480"/>
      <c r="D817" s="2480"/>
      <c r="E817" s="2480"/>
      <c r="F817" s="2480"/>
      <c r="G817" s="2480"/>
      <c r="H817" s="2480"/>
      <c r="I817" s="2480"/>
      <c r="J817" s="2480"/>
      <c r="K817" s="2480"/>
      <c r="L817" s="2480"/>
      <c r="M817" s="2480"/>
      <c r="N817" s="2480"/>
      <c r="O817" s="2480"/>
      <c r="P817" s="2480"/>
      <c r="Q817" s="2480"/>
      <c r="R817" s="2480"/>
      <c r="S817" s="2481"/>
      <c r="T817" s="2506">
        <f>AK469</f>
        <v>10</v>
      </c>
      <c r="U817" s="2506"/>
      <c r="V817" s="2506"/>
      <c r="W817" s="2506"/>
      <c r="X817" s="2506"/>
      <c r="Y817" s="2506"/>
      <c r="Z817" s="2512">
        <v>10</v>
      </c>
      <c r="AA817" s="2513"/>
      <c r="AB817" s="2513"/>
      <c r="AC817" s="2513"/>
      <c r="AD817" s="2513"/>
      <c r="AE817" s="2514"/>
      <c r="AF817" s="2466">
        <f>IF(T817&gt;Z817,Z817,T817)</f>
        <v>10</v>
      </c>
      <c r="AG817" s="2466"/>
      <c r="AH817" s="2466"/>
      <c r="AI817" s="2466"/>
      <c r="AJ817" s="2466"/>
      <c r="AK817" s="2466"/>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2436</v>
      </c>
      <c r="B818" s="2480" t="s">
        <v>2437</v>
      </c>
      <c r="C818" s="2480"/>
      <c r="D818" s="2480"/>
      <c r="E818" s="2480"/>
      <c r="F818" s="2480"/>
      <c r="G818" s="2480"/>
      <c r="H818" s="2480"/>
      <c r="I818" s="2480"/>
      <c r="J818" s="2480"/>
      <c r="K818" s="2480"/>
      <c r="L818" s="2480"/>
      <c r="M818" s="2480"/>
      <c r="N818" s="2480"/>
      <c r="O818" s="2480"/>
      <c r="P818" s="2480"/>
      <c r="Q818" s="2480"/>
      <c r="R818" s="2480"/>
      <c r="S818" s="2481"/>
      <c r="T818" s="2506">
        <f>AK559</f>
        <v>12</v>
      </c>
      <c r="U818" s="2506"/>
      <c r="V818" s="2506"/>
      <c r="W818" s="2506"/>
      <c r="X818" s="2506"/>
      <c r="Y818" s="2506"/>
      <c r="Z818" s="2512">
        <v>12</v>
      </c>
      <c r="AA818" s="2513"/>
      <c r="AB818" s="2513"/>
      <c r="AC818" s="2513"/>
      <c r="AD818" s="2513"/>
      <c r="AE818" s="2514"/>
      <c r="AF818" s="2466">
        <f>IF(T818&gt;Z818,Z818,T818)</f>
        <v>12</v>
      </c>
      <c r="AG818" s="2466"/>
      <c r="AH818" s="2466"/>
      <c r="AI818" s="2466"/>
      <c r="AJ818" s="2466"/>
      <c r="AK818" s="2466"/>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2574</v>
      </c>
      <c r="B819" s="2480" t="s">
        <v>2575</v>
      </c>
      <c r="C819" s="2480"/>
      <c r="D819" s="2480"/>
      <c r="E819" s="2480"/>
      <c r="F819" s="2480"/>
      <c r="G819" s="2480"/>
      <c r="H819" s="2480"/>
      <c r="I819" s="2480"/>
      <c r="J819" s="2480"/>
      <c r="K819" s="2480"/>
      <c r="L819" s="2480"/>
      <c r="M819" s="2480"/>
      <c r="N819" s="2480"/>
      <c r="O819" s="2480"/>
      <c r="P819" s="2480"/>
      <c r="Q819" s="2480"/>
      <c r="R819" s="2480"/>
      <c r="S819" s="2481"/>
      <c r="T819" s="2506">
        <f>AK794</f>
        <v>10</v>
      </c>
      <c r="U819" s="2506"/>
      <c r="V819" s="2506"/>
      <c r="W819" s="2506"/>
      <c r="X819" s="2506"/>
      <c r="Y819" s="2506"/>
      <c r="Z819" s="2512">
        <v>10</v>
      </c>
      <c r="AA819" s="2513"/>
      <c r="AB819" s="2513"/>
      <c r="AC819" s="2513"/>
      <c r="AD819" s="2513"/>
      <c r="AE819" s="2514"/>
      <c r="AF819" s="2466">
        <f>IF(T819&gt;Z819,Z819,T819)</f>
        <v>10</v>
      </c>
      <c r="AG819" s="2466"/>
      <c r="AH819" s="2466"/>
      <c r="AI819" s="2466"/>
      <c r="AJ819" s="2466"/>
      <c r="AK819" s="2466"/>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0" t="s">
        <v>2576</v>
      </c>
      <c r="B820" s="2480"/>
      <c r="C820" s="2480"/>
      <c r="D820" s="2480"/>
      <c r="E820" s="2480"/>
      <c r="F820" s="2480"/>
      <c r="G820" s="2480"/>
      <c r="H820" s="2480"/>
      <c r="I820" s="2480"/>
      <c r="J820" s="2480"/>
      <c r="K820" s="2480"/>
      <c r="L820" s="2480"/>
      <c r="M820" s="2480"/>
      <c r="N820" s="2480"/>
      <c r="O820" s="2480"/>
      <c r="P820" s="2480"/>
      <c r="Q820" s="2480"/>
      <c r="R820" s="2480"/>
      <c r="S820" s="2481"/>
      <c r="T820" s="2511"/>
      <c r="U820" s="2511"/>
      <c r="V820" s="2511"/>
      <c r="W820" s="2511"/>
      <c r="X820" s="2511"/>
      <c r="Y820" s="2511"/>
      <c r="Z820" s="2400" t="s">
        <v>2577</v>
      </c>
      <c r="AA820" s="2400"/>
      <c r="AB820" s="2400"/>
      <c r="AC820" s="2400"/>
      <c r="AD820" s="2400"/>
      <c r="AE820" s="2400"/>
      <c r="AF820" s="2512">
        <f>IF(T820&gt;0,T820,0)</f>
        <v>0</v>
      </c>
      <c r="AG820" s="2513"/>
      <c r="AH820" s="2513"/>
      <c r="AI820" s="2513"/>
      <c r="AJ820" s="2513"/>
      <c r="AK820" s="251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515" t="s">
        <v>2578</v>
      </c>
      <c r="B821" s="2516"/>
      <c r="C821" s="2516"/>
      <c r="D821" s="2516"/>
      <c r="E821" s="2516"/>
      <c r="F821" s="2516"/>
      <c r="G821" s="2516"/>
      <c r="H821" s="2516"/>
      <c r="I821" s="2516"/>
      <c r="J821" s="2516"/>
      <c r="K821" s="2516"/>
      <c r="L821" s="2516"/>
      <c r="M821" s="2516"/>
      <c r="N821" s="2516"/>
      <c r="O821" s="2516"/>
      <c r="P821" s="2516"/>
      <c r="Q821" s="2516"/>
      <c r="R821" s="2516"/>
      <c r="S821" s="2516"/>
      <c r="T821" s="2516"/>
      <c r="U821" s="2516"/>
      <c r="V821" s="2516"/>
      <c r="W821" s="2516"/>
      <c r="X821" s="2516"/>
      <c r="Y821" s="2516"/>
      <c r="Z821" s="2516"/>
      <c r="AA821" s="2516"/>
      <c r="AB821" s="2516"/>
      <c r="AC821" s="2516"/>
      <c r="AD821" s="2516"/>
      <c r="AE821" s="2517"/>
      <c r="AF821" s="2521">
        <f ca="1">SUM(AF804:AK819)-AF820</f>
        <v>120</v>
      </c>
      <c r="AG821" s="2522"/>
      <c r="AH821" s="2522"/>
      <c r="AI821" s="2522"/>
      <c r="AJ821" s="2522"/>
      <c r="AK821" s="2523"/>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518"/>
      <c r="B822" s="2519"/>
      <c r="C822" s="2519"/>
      <c r="D822" s="2519"/>
      <c r="E822" s="2519"/>
      <c r="F822" s="2519"/>
      <c r="G822" s="2519"/>
      <c r="H822" s="2519"/>
      <c r="I822" s="2519"/>
      <c r="J822" s="2519"/>
      <c r="K822" s="2519"/>
      <c r="L822" s="2519"/>
      <c r="M822" s="2519"/>
      <c r="N822" s="2519"/>
      <c r="O822" s="2519"/>
      <c r="P822" s="2519"/>
      <c r="Q822" s="2519"/>
      <c r="R822" s="2519"/>
      <c r="S822" s="2519"/>
      <c r="T822" s="2519"/>
      <c r="U822" s="2519"/>
      <c r="V822" s="2519"/>
      <c r="W822" s="2519"/>
      <c r="X822" s="2519"/>
      <c r="Y822" s="2519"/>
      <c r="Z822" s="2519"/>
      <c r="AA822" s="2519"/>
      <c r="AB822" s="2519"/>
      <c r="AC822" s="2519"/>
      <c r="AD822" s="2519"/>
      <c r="AE822" s="2520"/>
      <c r="AF822" s="2524"/>
      <c r="AG822" s="2525"/>
      <c r="AH822" s="2525"/>
      <c r="AI822" s="2525"/>
      <c r="AJ822" s="2525"/>
      <c r="AK822" s="2526"/>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Greg Comanor</cp:lastModifiedBy>
  <cp:revision/>
  <dcterms:created xsi:type="dcterms:W3CDTF">2007-12-27T18:26:28Z</dcterms:created>
  <dcterms:modified xsi:type="dcterms:W3CDTF">2025-05-20T00:52:25Z</dcterms:modified>
  <cp:category/>
  <cp:contentStatus/>
</cp:coreProperties>
</file>