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Presidio-new\data\CLIENTS\J\JMP100 Jamison Properties LP\App\638 Berendo\Bond App\Attachments\"/>
    </mc:Choice>
  </mc:AlternateContent>
  <xr:revisionPtr revIDLastSave="0" documentId="13_ncr:1_{12F56D9B-4927-4215-938C-4A5FA3B88271}" xr6:coauthVersionLast="47" xr6:coauthVersionMax="47" xr10:uidLastSave="{00000000-0000-0000-0000-000000000000}"/>
  <bookViews>
    <workbookView xWindow="28680" yWindow="-120" windowWidth="29040" windowHeight="15720" tabRatio="811" firstSheet="6"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Forma'!$A$1:$AH$80</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Forma'!$A$1:$AH$80</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24" i="3" l="1"/>
  <c r="K725" i="3" s="1"/>
  <c r="K726" i="3" s="1"/>
  <c r="K727" i="3" s="1"/>
  <c r="C86" i="4"/>
  <c r="O202" i="23" l="1"/>
  <c r="Z816" i="3"/>
  <c r="G64" i="7"/>
  <c r="I64" i="7" s="1"/>
  <c r="K64" i="7" s="1"/>
  <c r="M64" i="7" s="1"/>
  <c r="O64" i="7" s="1"/>
  <c r="Q64" i="7" s="1"/>
  <c r="S64" i="7" s="1"/>
  <c r="U64" i="7" s="1"/>
  <c r="W64" i="7" s="1"/>
  <c r="Y64" i="7" s="1"/>
  <c r="AA64" i="7" s="1"/>
  <c r="AC64" i="7" s="1"/>
  <c r="AE64" i="7" s="1"/>
  <c r="AG64" i="7" s="1"/>
  <c r="G63" i="7"/>
  <c r="I63" i="7" s="1"/>
  <c r="K63" i="7" s="1"/>
  <c r="M63" i="7" s="1"/>
  <c r="O63" i="7" s="1"/>
  <c r="Q63" i="7" s="1"/>
  <c r="S63" i="7" s="1"/>
  <c r="U63" i="7" s="1"/>
  <c r="W63" i="7" s="1"/>
  <c r="Y63" i="7" s="1"/>
  <c r="AA63" i="7" s="1"/>
  <c r="AC63" i="7" s="1"/>
  <c r="AE63" i="7" s="1"/>
  <c r="AG63" i="7" s="1"/>
  <c r="AD200" i="20"/>
  <c r="AD199" i="20"/>
  <c r="AU190" i="23"/>
  <c r="O105" i="23"/>
  <c r="Z37" i="23"/>
  <c r="R37" i="23"/>
  <c r="AC886" i="3"/>
  <c r="S93" i="4"/>
  <c r="S65" i="4"/>
  <c r="S46" i="4"/>
  <c r="S45" i="4"/>
  <c r="E13" i="4"/>
  <c r="I95" i="4"/>
  <c r="C94" i="4"/>
  <c r="I94" i="4" s="1"/>
  <c r="I93" i="4"/>
  <c r="I92" i="4"/>
  <c r="I91" i="4"/>
  <c r="I90" i="4"/>
  <c r="C89" i="4"/>
  <c r="I89" i="4" s="1"/>
  <c r="C88" i="4"/>
  <c r="I88" i="4" s="1"/>
  <c r="I86" i="4"/>
  <c r="I85" i="4"/>
  <c r="C83" i="4"/>
  <c r="I83" i="4" s="1"/>
  <c r="C80" i="4"/>
  <c r="I80" i="4" s="1"/>
  <c r="I79" i="4"/>
  <c r="E75" i="4"/>
  <c r="C69" i="4"/>
  <c r="I69" i="4" s="1"/>
  <c r="C66" i="4"/>
  <c r="I66" i="4" s="1"/>
  <c r="I65" i="4"/>
  <c r="I61" i="4"/>
  <c r="I57" i="4"/>
  <c r="C56" i="4"/>
  <c r="G56" i="4" s="1"/>
  <c r="I52" i="4"/>
  <c r="G52" i="4" s="1"/>
  <c r="G50" i="4"/>
  <c r="C49" i="4"/>
  <c r="G49" i="4" s="1"/>
  <c r="G46" i="4"/>
  <c r="C45" i="4"/>
  <c r="C43" i="4"/>
  <c r="F43" i="4" s="1"/>
  <c r="F36" i="4"/>
  <c r="F35" i="4"/>
  <c r="F33" i="4"/>
  <c r="F32" i="4"/>
  <c r="F31" i="4"/>
  <c r="C30" i="4"/>
  <c r="C29" i="4"/>
  <c r="E29" i="4" s="1"/>
  <c r="C40" i="4"/>
  <c r="F40" i="4" s="1"/>
  <c r="AA934" i="3"/>
  <c r="AA918" i="3"/>
  <c r="T722" i="3"/>
  <c r="AL37" i="23" l="1"/>
  <c r="AP37" i="23" s="1"/>
  <c r="AF1027" i="3"/>
  <c r="F29" i="4"/>
  <c r="AO627" i="3"/>
  <c r="AM556" i="3"/>
  <c r="AA919" i="3" s="1"/>
  <c r="W555" i="3"/>
  <c r="W556" i="3" s="1"/>
  <c r="W474" i="3"/>
  <c r="I421" i="3"/>
  <c r="BE103" i="3" l="1"/>
  <c r="AC216" i="23"/>
  <c r="Y216" i="23"/>
  <c r="U216" i="23"/>
  <c r="BQ102" i="23"/>
  <c r="BQ101" i="23"/>
  <c r="F115" i="23" s="1"/>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6" i="21" l="1"/>
  <c r="R49" i="21" a="1"/>
  <c r="R49" i="21" s="1"/>
  <c r="T51" i="21"/>
  <c r="O51" i="21"/>
  <c r="S49" i="21"/>
  <c r="P49" i="21" a="1"/>
  <c r="P49" i="21" s="1"/>
  <c r="O49" i="21"/>
  <c r="O50" i="21"/>
  <c r="S48" i="21"/>
  <c r="U49" i="21"/>
  <c r="S47" i="21"/>
  <c r="R47" i="21" a="1"/>
  <c r="R47" i="21" s="1"/>
  <c r="P52" i="21" a="1"/>
  <c r="P52" i="21" s="1"/>
  <c r="U45" i="21"/>
  <c r="U47" i="21"/>
  <c r="T45" i="21"/>
  <c r="T47" i="21"/>
  <c r="S45" i="21"/>
  <c r="R53" i="21" a="1"/>
  <c r="R53" i="21" s="1"/>
  <c r="S50" i="21"/>
  <c r="U50" i="21"/>
  <c r="P50" i="21" a="1"/>
  <c r="P50" i="21" s="1"/>
  <c r="U51" i="21"/>
  <c r="U48" i="21"/>
  <c r="R51" i="21" a="1"/>
  <c r="R51" i="21" s="1"/>
  <c r="R48" i="21" a="1"/>
  <c r="R48" i="21" s="1"/>
  <c r="U46" i="21"/>
  <c r="U53" i="21"/>
  <c r="P51" i="21" a="1"/>
  <c r="P51" i="21" s="1"/>
  <c r="P48" i="21" a="1"/>
  <c r="P48" i="21" s="1"/>
  <c r="T46" i="21"/>
  <c r="S52" i="21"/>
  <c r="T53" i="21"/>
  <c r="T48"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75" i="23"/>
  <c r="B64" i="23"/>
  <c r="B63" i="23"/>
  <c r="B62" i="23"/>
  <c r="B61" i="23"/>
  <c r="B60" i="23"/>
  <c r="Z57" i="23"/>
  <c r="R57" i="23"/>
  <c r="AS47" i="23"/>
  <c r="AS46" i="23"/>
  <c r="AS45" i="23"/>
  <c r="AS44" i="23"/>
  <c r="AS43" i="23"/>
  <c r="AS42" i="23"/>
  <c r="AS41" i="23"/>
  <c r="AS40" i="23"/>
  <c r="AS39" i="23"/>
  <c r="AS37" i="23"/>
  <c r="BA1041" i="3"/>
  <c r="BA1040" i="3"/>
  <c r="BA1046" i="3" s="1"/>
  <c r="CG718" i="3"/>
  <c r="CI718" i="3" s="1"/>
  <c r="BA1038" i="3"/>
  <c r="AZ1048" i="3"/>
  <c r="AZ1047" i="3"/>
  <c r="AZ1045" i="3"/>
  <c r="AZ1049" i="3" s="1"/>
  <c r="BA1052" i="3"/>
  <c r="BE7" i="3" l="1"/>
  <c r="J28" i="23"/>
  <c r="J23" i="23"/>
  <c r="AH38" i="23" s="1"/>
  <c r="AN29" i="23"/>
  <c r="J20" i="23"/>
  <c r="AB29" i="23"/>
  <c r="J21" i="23"/>
  <c r="Z38" i="23" s="1"/>
  <c r="AH29" i="23"/>
  <c r="J22" i="23"/>
  <c r="AD38" i="23" s="1"/>
  <c r="J19" i="23"/>
  <c r="R38" i="23" s="1"/>
  <c r="P29" i="23"/>
  <c r="V29" i="23"/>
  <c r="J24" i="23"/>
  <c r="AL38" i="23" s="1"/>
  <c r="R93" i="23"/>
  <c r="R80" i="23"/>
  <c r="AZ1052" i="3"/>
  <c r="AD36" i="23" l="1"/>
  <c r="AS36" i="23" s="1"/>
  <c r="AS38" i="23"/>
  <c r="BE8" i="3"/>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71" i="7"/>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89" i="13"/>
  <c r="E87" i="13"/>
  <c r="E84" i="13"/>
  <c r="E79" i="13"/>
  <c r="E65" i="13"/>
  <c r="E53" i="13"/>
  <c r="E51" i="13"/>
  <c r="E49" i="13"/>
  <c r="E48" i="13"/>
  <c r="E47" i="13"/>
  <c r="E46" i="13"/>
  <c r="E45" i="13"/>
  <c r="E41" i="13"/>
  <c r="E37" i="13"/>
  <c r="E34"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R93" i="4"/>
  <c r="R92" i="4"/>
  <c r="R90" i="4"/>
  <c r="S90" i="4" s="1"/>
  <c r="E90" i="13" s="1"/>
  <c r="R89" i="4"/>
  <c r="R88" i="4"/>
  <c r="R87" i="4"/>
  <c r="R86" i="4"/>
  <c r="S86" i="4" s="1"/>
  <c r="E86" i="13" s="1"/>
  <c r="R85" i="4"/>
  <c r="S85" i="4" s="1"/>
  <c r="E85" i="13" s="1"/>
  <c r="R83" i="4"/>
  <c r="R76" i="4"/>
  <c r="R75" i="4"/>
  <c r="R72" i="4"/>
  <c r="R73" i="4"/>
  <c r="R74" i="4"/>
  <c r="R69" i="4"/>
  <c r="S69" i="4" s="1"/>
  <c r="E69" i="13" s="1"/>
  <c r="R65" i="4"/>
  <c r="R61" i="4"/>
  <c r="R60" i="4"/>
  <c r="R59" i="4"/>
  <c r="R58" i="4"/>
  <c r="R57" i="4"/>
  <c r="R56" i="4"/>
  <c r="R53" i="4"/>
  <c r="R52" i="4"/>
  <c r="S52" i="4" s="1"/>
  <c r="E52" i="13" s="1"/>
  <c r="R51" i="4"/>
  <c r="R50" i="4"/>
  <c r="S50" i="4" s="1"/>
  <c r="R49" i="4"/>
  <c r="R48" i="4"/>
  <c r="R47" i="4"/>
  <c r="R46" i="4"/>
  <c r="R43" i="4"/>
  <c r="S43" i="4" s="1"/>
  <c r="E43" i="13" s="1"/>
  <c r="R41" i="4"/>
  <c r="R40" i="4"/>
  <c r="S40" i="4" s="1"/>
  <c r="S42" i="4" s="1"/>
  <c r="E42" i="13" s="1"/>
  <c r="R37" i="4"/>
  <c r="R35" i="4"/>
  <c r="S35" i="4" s="1"/>
  <c r="E35" i="13" s="1"/>
  <c r="R34" i="4"/>
  <c r="R33" i="4"/>
  <c r="S33" i="4" s="1"/>
  <c r="E33" i="13" s="1"/>
  <c r="R32" i="4"/>
  <c r="S32" i="4" s="1"/>
  <c r="E32" i="13" s="1"/>
  <c r="R31" i="4"/>
  <c r="S31" i="4" s="1"/>
  <c r="E31" i="13" s="1"/>
  <c r="R29" i="4"/>
  <c r="R27" i="4"/>
  <c r="R25" i="4"/>
  <c r="R23" i="4"/>
  <c r="R22" i="4"/>
  <c r="R21" i="4"/>
  <c r="R20" i="4"/>
  <c r="R19"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42"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H99" i="4" s="1"/>
  <c r="E99" i="4" s="1"/>
  <c r="AU191" i="23" s="1"/>
  <c r="AU192" i="23"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E40" i="13"/>
  <c r="S54" i="4"/>
  <c r="E54" i="13" s="1"/>
  <c r="S96" i="4"/>
  <c r="E96" i="13" s="1"/>
  <c r="E104" i="4"/>
  <c r="S70" i="4"/>
  <c r="E70" i="13" s="1"/>
  <c r="S81" i="4"/>
  <c r="E81" i="13" s="1"/>
  <c r="D94" i="11"/>
  <c r="E94" i="13"/>
  <c r="H104" i="4"/>
  <c r="E50" i="13"/>
  <c r="E30" i="4"/>
  <c r="R99" i="4"/>
  <c r="S99" i="4" s="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H105" i="4" l="1"/>
  <c r="F30" i="4"/>
  <c r="F38" i="4" s="1"/>
  <c r="F45" i="4" s="1"/>
  <c r="E38" i="4"/>
  <c r="E99" i="13"/>
  <c r="S104" i="4"/>
  <c r="AJ621" i="20"/>
  <c r="AK794" i="20" s="1"/>
  <c r="T819" i="20" s="1"/>
  <c r="AF819" i="20" s="1"/>
  <c r="BE82" i="3" s="1"/>
  <c r="G94" i="21"/>
  <c r="B12" i="13"/>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30" i="4" l="1"/>
  <c r="S30" i="4"/>
  <c r="R38" i="4"/>
  <c r="E104" i="13"/>
  <c r="BA1058" i="3"/>
  <c r="G45" i="4"/>
  <c r="G54" i="4" s="1"/>
  <c r="G63" i="4" s="1"/>
  <c r="G97" i="4" s="1"/>
  <c r="G105" i="4" s="1"/>
  <c r="F54" i="4"/>
  <c r="O23" i="21"/>
  <c r="O24" i="21"/>
  <c r="P24" i="21" s="1" a="1"/>
  <c r="P24" i="21" s="1"/>
  <c r="S24" i="21" s="1"/>
  <c r="O20" i="21"/>
  <c r="P20" i="21" s="1" a="1"/>
  <c r="P20" i="21" s="1"/>
  <c r="S20" i="21" s="1"/>
  <c r="O22" i="21"/>
  <c r="P22" i="21" s="1" a="1"/>
  <c r="P22" i="21" s="1"/>
  <c r="S22" i="21" s="1"/>
  <c r="O28" i="21"/>
  <c r="P28" i="21" s="1" a="1"/>
  <c r="P28" i="21" s="1"/>
  <c r="S28" i="21" s="1"/>
  <c r="O25" i="21"/>
  <c r="P25" i="21" s="1" a="1"/>
  <c r="P25" i="21" s="1"/>
  <c r="S25" i="21" s="1"/>
  <c r="O21" i="21"/>
  <c r="P21" i="21" s="1" a="1"/>
  <c r="P21" i="21" s="1"/>
  <c r="S21" i="21" s="1"/>
  <c r="O26" i="21"/>
  <c r="P26" i="21" s="1" a="1"/>
  <c r="P26" i="21" s="1"/>
  <c r="S26" i="21" s="1"/>
  <c r="O29" i="21"/>
  <c r="P29" i="21" s="1" a="1"/>
  <c r="P29" i="21" s="1"/>
  <c r="S29" i="21" s="1"/>
  <c r="D64" i="11"/>
  <c r="B105" i="4"/>
  <c r="BE101" i="3"/>
  <c r="AK84" i="20"/>
  <c r="AK191" i="20" s="1"/>
  <c r="T811" i="20" s="1"/>
  <c r="AF811" i="20" s="1"/>
  <c r="BE76" i="3" s="1"/>
  <c r="D13" i="11"/>
  <c r="B97" i="13"/>
  <c r="B97" i="4"/>
  <c r="B105" i="13"/>
  <c r="AG269" i="20"/>
  <c r="O58" i="7"/>
  <c r="Q53" i="7"/>
  <c r="T105" i="4"/>
  <c r="H97" i="13"/>
  <c r="P31" i="21" a="1"/>
  <c r="P31" i="21" s="1"/>
  <c r="S31" i="21" s="1"/>
  <c r="P30" i="21" a="1"/>
  <c r="P30" i="21" s="1"/>
  <c r="S30" i="21" s="1"/>
  <c r="P27" i="21" a="1"/>
  <c r="P27" i="21" s="1"/>
  <c r="S27" i="21" s="1"/>
  <c r="P23" i="21" a="1"/>
  <c r="P23" i="21" s="1"/>
  <c r="S23"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45" i="4" l="1"/>
  <c r="R54" i="4" s="1"/>
  <c r="AB47" i="15"/>
  <c r="AO630" i="3"/>
  <c r="T805" i="20"/>
  <c r="AF805" i="20" s="1"/>
  <c r="BE72" i="3" s="1"/>
  <c r="E30" i="13"/>
  <c r="S38" i="4"/>
  <c r="AB266" i="20"/>
  <c r="AG268" i="20" s="1"/>
  <c r="AG270" i="20" s="1"/>
  <c r="AK273" i="20" s="1"/>
  <c r="T812" i="20" s="1"/>
  <c r="AF812" i="20" s="1"/>
  <c r="BE77" i="3" s="1"/>
  <c r="AC454" i="3"/>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O639" i="3" l="1"/>
  <c r="I108" i="4"/>
  <c r="AJ1029" i="3"/>
  <c r="AJ1007" i="3"/>
  <c r="AJ1036" i="3"/>
  <c r="I15" i="21" s="1"/>
  <c r="E38" i="13"/>
  <c r="S63"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O641" i="3" l="1"/>
  <c r="AB48" i="15"/>
  <c r="AB49" i="15" s="1"/>
  <c r="AB54" i="15" s="1"/>
  <c r="AB55" i="15" s="1"/>
  <c r="E63" i="13"/>
  <c r="S97" i="4"/>
  <c r="U58" i="7"/>
  <c r="W53" i="7"/>
  <c r="AJ1053" i="3"/>
  <c r="AP552" i="20"/>
  <c r="AP554" i="20" s="1"/>
  <c r="K5" i="7"/>
  <c r="E47" i="7"/>
  <c r="E60" i="7"/>
  <c r="O201" i="23" s="1"/>
  <c r="O203" i="23" s="1"/>
  <c r="O4" i="7"/>
  <c r="M5" i="7"/>
  <c r="I45" i="7"/>
  <c r="I49" i="7"/>
  <c r="M6" i="7"/>
  <c r="K7" i="7"/>
  <c r="G60" i="7"/>
  <c r="G47" i="7"/>
  <c r="G48" i="7"/>
  <c r="Q22" i="7"/>
  <c r="Q35" i="7" s="1"/>
  <c r="S15" i="7"/>
  <c r="G79" i="21"/>
  <c r="G31" i="21"/>
  <c r="G33" i="21" s="1"/>
  <c r="E9" i="21" s="1"/>
  <c r="G88" i="21"/>
  <c r="G90" i="21" s="1"/>
  <c r="E16" i="21" s="1"/>
  <c r="G111" i="21"/>
  <c r="G96" i="21"/>
  <c r="Q9" i="7"/>
  <c r="S8" i="7"/>
  <c r="S105" i="4" l="1"/>
  <c r="E97" i="13"/>
  <c r="AZ1046" i="3"/>
  <c r="E62" i="7"/>
  <c r="G62" i="7"/>
  <c r="G80" i="21"/>
  <c r="E15" i="21" s="1"/>
  <c r="W58" i="7"/>
  <c r="Y53" i="7"/>
  <c r="T24" i="15"/>
  <c r="AP557" i="20"/>
  <c r="AP556" i="20" s="1"/>
  <c r="AP559" i="20" s="1"/>
  <c r="AF552" i="20" s="1"/>
  <c r="K11" i="7"/>
  <c r="K37" i="7" s="1"/>
  <c r="K45" i="7" s="1"/>
  <c r="E69" i="7"/>
  <c r="O5" i="7"/>
  <c r="Q4" i="7"/>
  <c r="M7" i="7"/>
  <c r="M11" i="7" s="1"/>
  <c r="M37" i="7" s="1"/>
  <c r="O6" i="7"/>
  <c r="G69" i="7"/>
  <c r="I48" i="7"/>
  <c r="I60" i="7"/>
  <c r="I47" i="7"/>
  <c r="G101" i="21"/>
  <c r="G113" i="21"/>
  <c r="G97" i="21"/>
  <c r="S22" i="7"/>
  <c r="S35" i="7" s="1"/>
  <c r="U15" i="7"/>
  <c r="U8" i="7"/>
  <c r="S9" i="7"/>
  <c r="BA1056" i="3" l="1"/>
  <c r="AZ1051" i="3"/>
  <c r="BA1055" i="3" s="1"/>
  <c r="BA1059" i="3" s="1"/>
  <c r="S107" i="4"/>
  <c r="E105" i="13"/>
  <c r="I62" i="7"/>
  <c r="AA53" i="7"/>
  <c r="Y58" i="7"/>
  <c r="G115" i="21"/>
  <c r="E17" i="21" s="1"/>
  <c r="E14" i="21" s="1"/>
  <c r="E18" i="21" s="1"/>
  <c r="K49" i="7"/>
  <c r="E73" i="7"/>
  <c r="E75" i="7" s="1"/>
  <c r="S4" i="7"/>
  <c r="Q5" i="7"/>
  <c r="G73" i="7"/>
  <c r="G75" i="7" s="1"/>
  <c r="O7" i="7"/>
  <c r="O11" i="7" s="1"/>
  <c r="O37" i="7" s="1"/>
  <c r="Q6" i="7"/>
  <c r="M45" i="7"/>
  <c r="M49" i="7"/>
  <c r="I69" i="7"/>
  <c r="K47" i="7"/>
  <c r="K60" i="7"/>
  <c r="K48" i="7"/>
  <c r="U22" i="7"/>
  <c r="U35" i="7" s="1"/>
  <c r="W15" i="7"/>
  <c r="U9" i="7"/>
  <c r="W8" i="7"/>
  <c r="AE699" i="3" l="1"/>
  <c r="AA1056" i="3"/>
  <c r="AA1057" i="3" s="1"/>
  <c r="G1058" i="3" s="1"/>
  <c r="AC456" i="3"/>
  <c r="E107" i="13"/>
  <c r="AF551" i="20"/>
  <c r="AF553" i="20" s="1"/>
  <c r="AK559" i="20" s="1"/>
  <c r="T818" i="20" s="1"/>
  <c r="AF818" i="20" s="1"/>
  <c r="BE81" i="3" s="1"/>
  <c r="K62" i="7"/>
  <c r="AC53" i="7"/>
  <c r="AA58" i="7"/>
  <c r="U4" i="7"/>
  <c r="S5" i="7"/>
  <c r="M48" i="7"/>
  <c r="M47" i="7"/>
  <c r="M60" i="7"/>
  <c r="O45" i="7"/>
  <c r="O49" i="7"/>
  <c r="K69" i="7"/>
  <c r="Q7" i="7"/>
  <c r="Q11" i="7" s="1"/>
  <c r="Q37" i="7" s="1"/>
  <c r="S6" i="7"/>
  <c r="I73" i="7"/>
  <c r="I75" i="7" s="1"/>
  <c r="W22" i="7"/>
  <c r="W35" i="7" s="1"/>
  <c r="Y15" i="7"/>
  <c r="W9" i="7"/>
  <c r="Y8" i="7"/>
  <c r="T11" i="15" l="1"/>
  <c r="T23" i="15" s="1"/>
  <c r="Y11" i="15"/>
  <c r="Y23" i="15" s="1"/>
  <c r="Y26" i="15" s="1"/>
  <c r="Y28" i="15" s="1"/>
  <c r="Y64" i="15" s="1"/>
  <c r="Y68" i="15" s="1"/>
  <c r="Y69" i="15" s="1"/>
  <c r="M62" i="7"/>
  <c r="AE53" i="7"/>
  <c r="AC58" i="7"/>
  <c r="U5" i="7"/>
  <c r="W4" i="7"/>
  <c r="Q49" i="7"/>
  <c r="Q45" i="7"/>
  <c r="M69" i="7"/>
  <c r="O47" i="7"/>
  <c r="O48" i="7"/>
  <c r="O60" i="7"/>
  <c r="K73" i="7"/>
  <c r="K75" i="7" s="1"/>
  <c r="S7" i="7"/>
  <c r="S11" i="7" s="1"/>
  <c r="S37" i="7" s="1"/>
  <c r="U6" i="7"/>
  <c r="Y22" i="7"/>
  <c r="Y35" i="7" s="1"/>
  <c r="AA15" i="7"/>
  <c r="Y9" i="7"/>
  <c r="AA8" i="7"/>
  <c r="T26" i="15" l="1"/>
  <c r="T28" i="15" s="1"/>
  <c r="T29" i="15" s="1"/>
  <c r="AD38" i="15"/>
  <c r="AD40" i="15" s="1"/>
  <c r="O62" i="7"/>
  <c r="AG53" i="7"/>
  <c r="AG58" i="7" s="1"/>
  <c r="AE58" i="7"/>
  <c r="M73" i="7"/>
  <c r="M75" i="7" s="1"/>
  <c r="W5" i="7"/>
  <c r="Y4" i="7"/>
  <c r="U7" i="7"/>
  <c r="U11" i="7" s="1"/>
  <c r="U37" i="7" s="1"/>
  <c r="W6" i="7"/>
  <c r="O69" i="7"/>
  <c r="Q60" i="7"/>
  <c r="Q48" i="7"/>
  <c r="Q47" i="7"/>
  <c r="S49" i="7"/>
  <c r="S45" i="7"/>
  <c r="AC15" i="7"/>
  <c r="AA22" i="7"/>
  <c r="AA35" i="7" s="1"/>
  <c r="AC8" i="7"/>
  <c r="AA9" i="7"/>
  <c r="Y38" i="15" l="1"/>
  <c r="Y40" i="15" s="1"/>
  <c r="Y41" i="15" s="1"/>
  <c r="AB56" i="15" s="1"/>
  <c r="Q62" i="7"/>
  <c r="AA4" i="7"/>
  <c r="Y5" i="7"/>
  <c r="Y6" i="7"/>
  <c r="W7" i="7"/>
  <c r="W11" i="7" s="1"/>
  <c r="W37" i="7" s="1"/>
  <c r="U45" i="7"/>
  <c r="U49" i="7"/>
  <c r="Q69" i="7"/>
  <c r="S48" i="7"/>
  <c r="S47" i="7"/>
  <c r="S60" i="7"/>
  <c r="O73" i="7"/>
  <c r="O75" i="7" s="1"/>
  <c r="AE15" i="7"/>
  <c r="AC22" i="7"/>
  <c r="AC35" i="7" s="1"/>
  <c r="AC9" i="7"/>
  <c r="AE8" i="7"/>
  <c r="M26" i="3" l="1"/>
  <c r="AB57" i="15"/>
  <c r="AB59" i="15" s="1"/>
  <c r="AB77" i="15" s="1"/>
  <c r="AB78" i="15" s="1"/>
  <c r="AB79" i="15" s="1"/>
  <c r="AB81" i="15" s="1"/>
  <c r="J82" i="15" s="1"/>
  <c r="S62" i="7"/>
  <c r="AA5" i="7"/>
  <c r="AC4" i="7"/>
  <c r="S69" i="7"/>
  <c r="U48" i="7"/>
  <c r="U60" i="7"/>
  <c r="U47" i="7"/>
  <c r="Q73" i="7"/>
  <c r="Q75" i="7" s="1"/>
  <c r="W49" i="7"/>
  <c r="W45" i="7"/>
  <c r="Y7" i="7"/>
  <c r="Y11" i="7" s="1"/>
  <c r="Y37" i="7" s="1"/>
  <c r="AA6" i="7"/>
  <c r="AE22" i="7"/>
  <c r="AE35" i="7" s="1"/>
  <c r="AG15" i="7"/>
  <c r="AG22" i="7" s="1"/>
  <c r="AG35" i="7" s="1"/>
  <c r="AE9" i="7"/>
  <c r="AG8" i="7"/>
  <c r="AG9" i="7" s="1"/>
  <c r="I10" i="21" l="1"/>
  <c r="I11" i="21" s="1"/>
  <c r="I18" i="21" s="1"/>
  <c r="H4" i="21" s="1"/>
  <c r="M27" i="3"/>
  <c r="BE20" i="3" s="1"/>
  <c r="BE19" i="3"/>
  <c r="P204" i="3"/>
  <c r="U62" i="7"/>
  <c r="P205" i="3"/>
  <c r="S73" i="7"/>
  <c r="S75" i="7" s="1"/>
  <c r="AC5" i="7"/>
  <c r="AE4" i="7"/>
  <c r="AC6" i="7"/>
  <c r="AA7" i="7"/>
  <c r="AA11" i="7" s="1"/>
  <c r="AA37" i="7" s="1"/>
  <c r="U69" i="7"/>
  <c r="Y49" i="7"/>
  <c r="Y45" i="7"/>
  <c r="W60" i="7"/>
  <c r="W47" i="7"/>
  <c r="W48" i="7"/>
  <c r="W62" i="7" l="1"/>
  <c r="AE5" i="7"/>
  <c r="AG4" i="7"/>
  <c r="AA45" i="7"/>
  <c r="AA49" i="7"/>
  <c r="U73" i="7"/>
  <c r="U75" i="7" s="1"/>
  <c r="W69" i="7"/>
  <c r="Y47" i="7"/>
  <c r="Y48" i="7"/>
  <c r="Y60" i="7"/>
  <c r="AE6" i="7"/>
  <c r="AC7" i="7"/>
  <c r="AC11" i="7" s="1"/>
  <c r="AC37" i="7" s="1"/>
  <c r="Y62" i="7" l="1"/>
  <c r="AG5" i="7"/>
  <c r="W73" i="7"/>
  <c r="W75" i="7" s="1"/>
  <c r="AA60" i="7"/>
  <c r="AA47" i="7"/>
  <c r="AA48" i="7"/>
  <c r="AC45" i="7"/>
  <c r="AC49" i="7"/>
  <c r="AE7" i="7"/>
  <c r="AE11" i="7" s="1"/>
  <c r="AE37" i="7" s="1"/>
  <c r="AG6" i="7"/>
  <c r="Y69" i="7"/>
  <c r="AA62" i="7" l="1"/>
  <c r="Y73" i="7"/>
  <c r="Y75" i="7" s="1"/>
  <c r="AG7" i="7"/>
  <c r="AG11" i="7" s="1"/>
  <c r="AG37" i="7" s="1"/>
  <c r="AE49" i="7"/>
  <c r="AE45" i="7"/>
  <c r="AC60" i="7"/>
  <c r="AC48" i="7"/>
  <c r="AC47" i="7"/>
  <c r="AA69" i="7"/>
  <c r="AC62" i="7" l="1"/>
  <c r="AA73" i="7"/>
  <c r="AA75" i="7" s="1"/>
  <c r="AC69" i="7"/>
  <c r="AE47" i="7"/>
  <c r="AE60" i="7"/>
  <c r="AE48" i="7"/>
  <c r="AG49" i="7"/>
  <c r="AG45" i="7"/>
  <c r="AE62" i="7" l="1"/>
  <c r="AG48" i="7"/>
  <c r="AG60" i="7"/>
  <c r="AG47" i="7"/>
  <c r="AE69" i="7"/>
  <c r="AC73" i="7"/>
  <c r="AC75" i="7" s="1"/>
  <c r="AG62" i="7" l="1"/>
  <c r="AE73" i="7"/>
  <c r="AE75" i="7" s="1"/>
  <c r="AG69" i="7"/>
  <c r="AG73" i="7" l="1"/>
  <c r="AG75" i="7" s="1"/>
  <c r="BH753" i="3"/>
  <c r="AC753" i="3" s="1"/>
  <c r="BE42" i="3" s="1"/>
  <c r="E93" i="20" l="1"/>
  <c r="E94" i="20" s="1"/>
  <c r="E95" i="20" s="1"/>
  <c r="E103" i="20"/>
  <c r="E106" i="20" s="1"/>
  <c r="AP106" i="20" s="1"/>
  <c r="AK109" i="20" s="1"/>
  <c r="T806" i="20" s="1"/>
  <c r="AF806" i="20" s="1"/>
  <c r="BE73" i="3" l="1"/>
  <c r="AF821" i="20"/>
  <c r="BE70" i="3" s="1"/>
  <c r="H3" i="21"/>
  <c r="H5" i="21" l="1"/>
  <c r="BE83" i="3" s="1"/>
  <c r="R18" i="4"/>
  <c r="R26" i="4" s="1"/>
  <c r="R63" i="4" s="1"/>
  <c r="R97" i="4" s="1"/>
  <c r="R105" i="4" s="1"/>
  <c r="E26" i="4"/>
  <c r="E63" i="4" s="1"/>
  <c r="E97" i="4" s="1"/>
  <c r="E105" i="4" s="1"/>
  <c r="F26"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3D72F421-C82B-4203-B7E3-B93EEE10631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966346F-6673-4C2A-8E07-906375B55418}">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<sst xmlns="http://schemas.openxmlformats.org/spreadsheetml/2006/main" count="5019" uniqueCount="2743">
  <si>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</si>
  <si>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</si>
  <si>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</si>
  <si>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</si>
  <si>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</si>
  <si>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</si>
  <si>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</si>
  <si>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</si>
  <si>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</si>
  <si>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</si>
  <si>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</si>
  <si>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</si>
  <si>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</si>
  <si>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</si>
  <si>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</si>
  <si>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</si>
  <si>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</si>
  <si>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</si>
  <si>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</si>
  <si>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</si>
  <si>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</si>
  <si>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</si>
  <si>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</si>
  <si>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</si>
  <si>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</si>
  <si>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</si>
  <si>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</si>
  <si>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</si>
  <si>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</si>
  <si>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</si>
  <si>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</si>
  <si>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</si>
  <si>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</si>
  <si>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</si>
  <si>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</si>
  <si>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</si>
  <si>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</si>
  <si>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</si>
  <si>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</si>
  <si>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</si>
  <si>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</si>
  <si>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</si>
  <si>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</si>
  <si>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</si>
  <si>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</si>
  <si>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</si>
  <si>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</si>
  <si>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</si>
  <si>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</si>
  <si>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</si>
  <si>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</si>
  <si>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</si>
  <si>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</si>
  <si>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</si>
  <si>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</si>
  <si>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</si>
  <si>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</si>
  <si>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</si>
  <si>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</si>
  <si>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</si>
  <si>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</si>
  <si>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</si>
  <si>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</si>
  <si>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</si>
  <si>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</si>
  <si>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</si>
  <si>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</si>
  <si>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</si>
  <si>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</si>
  <si>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</si>
  <si>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</si>
  <si>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</si>
  <si>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</si>
  <si>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</si>
  <si>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</si>
  <si>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</si>
  <si>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</si>
  <si>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</si>
  <si>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</si>
  <si>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</si>
  <si>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</si>
  <si>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</si>
  <si>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</si>
  <si>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</si>
  <si>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</si>
  <si>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</si>
  <si>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</si>
  <si>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</si>
  <si>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</si>
  <si>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</si>
  <si>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</si>
  <si>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</si>
  <si>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</si>
  <si>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</si>
  <si>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</si>
  <si>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</si>
  <si>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</si>
  <si>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</si>
  <si>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</si>
  <si>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</si>
  <si>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</si>
  <si>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</si>
  <si>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</si>
  <si>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</si>
  <si>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</si>
  <si>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</si>
  <si>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</si>
  <si>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</si>
  <si>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</si>
  <si>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</si>
  <si>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</si>
  <si>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</si>
  <si>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</si>
  <si>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</si>
  <si>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</si>
  <si>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</si>
  <si>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</si>
  <si>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</si>
  <si>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</si>
  <si>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</si>
  <si>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</si>
  <si>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</si>
  <si>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</si>
  <si>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</si>
  <si>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</si>
  <si>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</si>
  <si>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</si>
  <si>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</si>
  <si>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</si>
  <si>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</si>
  <si>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</si>
  <si>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</si>
  <si>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</si>
  <si>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</si>
  <si>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</si>
  <si>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</si>
  <si>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</si>
  <si>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</si>
  <si>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</si>
  <si>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</si>
  <si>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</si>
  <si>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</si>
  <si>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</si>
  <si>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</si>
  <si>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</si>
  <si>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</si>
  <si>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</si>
  <si>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</si>
  <si>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</si>
  <si>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</si>
  <si>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</si>
  <si>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</si>
  <si>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</si>
  <si>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</si>
  <si>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</si>
  <si>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</si>
  <si>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</si>
  <si>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</si>
  <si>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</si>
  <si>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</si>
  <si>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</si>
  <si>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</si>
  <si>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</si>
  <si>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</si>
  <si>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</si>
  <si>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</si>
  <si>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</si>
  <si>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</si>
  <si>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</si>
  <si>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</si>
  <si>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</si>
  <si>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</si>
  <si>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</si>
  <si>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</si>
  <si>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</si>
  <si>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</si>
  <si>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</si>
  <si>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</si>
  <si>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</si>
  <si>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</si>
  <si>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</si>
  <si>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</si>
  <si>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</si>
  <si>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</si>
  <si>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</si>
  <si>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</si>
  <si>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</si>
  <si>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</si>
  <si>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</si>
  <si>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</si>
  <si>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</si>
  <si>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</si>
  <si>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</si>
  <si>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</si>
  <si>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</si>
  <si>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</si>
  <si>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</si>
  <si>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</si>
  <si>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</si>
  <si>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</si>
  <si>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</si>
  <si>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</si>
  <si>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</si>
  <si>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</si>
  <si>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</si>
  <si>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</si>
  <si>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</si>
  <si>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</si>
  <si>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</si>
  <si>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</si>
  <si>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</si>
  <si>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</si>
  <si>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</si>
  <si>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</si>
  <si>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</si>
  <si>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</si>
  <si>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</si>
  <si>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</si>
  <si>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</si>
  <si>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</si>
  <si>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</si>
  <si>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</si>
  <si>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</si>
  <si>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</si>
  <si>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</si>
  <si>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</si>
  <si>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</si>
  <si>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</si>
  <si>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</si>
  <si>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</si>
  <si>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</si>
  <si>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</si>
  <si>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</si>
  <si>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</si>
  <si>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</si>
  <si>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</si>
  <si>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</si>
  <si>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</si>
  <si>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</si>
  <si>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</si>
  <si>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</si>
  <si>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</si>
  <si>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</si>
  <si>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</si>
  <si>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</si>
  <si>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</si>
  <si>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</si>
  <si>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</si>
  <si>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</si>
  <si>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</si>
  <si>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</si>
  <si>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</si>
  <si>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</si>
  <si>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</si>
  <si>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</si>
  <si>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</si>
  <si>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</si>
  <si>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</si>
  <si>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</si>
  <si>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</si>
  <si>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</si>
  <si>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</si>
  <si>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</si>
  <si>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</si>
  <si>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</si>
  <si>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</si>
  <si>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</si>
  <si>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</si>
  <si>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</si>
  <si>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</si>
  <si>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</si>
  <si>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</si>
  <si>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</si>
  <si>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</si>
  <si>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</si>
  <si>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</si>
  <si>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</si>
  <si>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</si>
  <si>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</si>
  <si>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</si>
  <si>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</si>
  <si>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</si>
  <si>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</si>
  <si>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</si>
  <si>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</si>
  <si>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</si>
  <si>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</si>
  <si>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</si>
  <si>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</si>
  <si>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</si>
  <si>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</si>
  <si>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</si>
  <si>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</si>
  <si>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</si>
  <si>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</si>
  <si>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</si>
  <si>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</si>
  <si>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</si>
  <si>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</si>
  <si>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</si>
  <si>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</si>
  <si>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</si>
  <si>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</si>
  <si>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</si>
  <si>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</si>
  <si>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</si>
  <si>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</si>
  <si>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</si>
  <si>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</si>
  <si>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</si>
  <si>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</si>
  <si>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</si>
  <si>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</si>
  <si>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</si>
  <si>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</si>
  <si>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</si>
  <si>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</si>
  <si>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</si>
  <si>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</si>
  <si>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</si>
  <si>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</si>
  <si>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</si>
  <si>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</si>
  <si>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</si>
  <si>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</si>
  <si>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</si>
  <si>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</si>
  <si>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</si>
  <si>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</si>
  <si>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</si>
  <si>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</si>
  <si>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</si>
  <si>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</si>
  <si>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</si>
  <si>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</si>
  <si>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</si>
  <si>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</si>
  <si>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</si>
  <si>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</si>
  <si>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</si>
  <si>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</si>
  <si>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</si>
  <si>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</si>
  <si>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</si>
  <si>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</si>
  <si>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</si>
  <si>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</si>
  <si>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</si>
  <si>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</si>
  <si>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</si>
  <si>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</si>
  <si>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</si>
  <si>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</si>
  <si>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</si>
  <si>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</si>
  <si>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</si>
  <si>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</si>
  <si>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</si>
  <si>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</si>
  <si>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</si>
  <si>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</si>
  <si>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</si>
  <si>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</si>
  <si>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</si>
  <si>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</si>
  <si>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</si>
  <si>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</si>
  <si>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</si>
  <si>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</si>
  <si>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</si>
  <si>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</si>
  <si>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</si>
  <si>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</si>
  <si>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</si>
  <si>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</si>
  <si>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</si>
  <si>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</si>
  <si>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</si>
  <si>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</si>
  <si>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</si>
  <si>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</si>
  <si>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</si>
  <si>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</si>
  <si>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</si>
  <si>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</si>
  <si>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</si>
  <si>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</si>
  <si>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</si>
  <si>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</si>
  <si>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</si>
  <si>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</si>
  <si>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</si>
  <si>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</si>
  <si>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</si>
  <si>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</si>
  <si>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</si>
  <si>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</si>
  <si>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</si>
  <si>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</si>
  <si>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</si>
  <si>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</si>
  <si>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</si>
  <si>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</si>
  <si>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</si>
  <si>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</si>
  <si>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</si>
  <si>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</si>
  <si>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</si>
  <si>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</si>
  <si>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</si>
  <si>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</si>
  <si>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</si>
  <si>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</si>
  <si>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</si>
  <si>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</si>
  <si>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</si>
  <si>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</si>
  <si>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</si>
  <si>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</si>
  <si>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</si>
  <si>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</si>
  <si>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</si>
  <si>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</si>
  <si>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</si>
  <si>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</si>
  <si>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</si>
  <si>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</si>
  <si>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</si>
  <si>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</si>
  <si>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</si>
  <si>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</si>
  <si>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</si>
  <si>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</si>
  <si>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</si>
  <si>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</si>
  <si>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</si>
  <si>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</si>
  <si>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</si>
  <si>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</si>
  <si>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</si>
  <si>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</si>
  <si>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</si>
  <si>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</si>
  <si>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</si>
  <si>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</si>
  <si>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</si>
  <si>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</si>
  <si>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</si>
  <si>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</si>
  <si>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</si>
  <si>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</si>
  <si>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</si>
  <si>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</si>
  <si>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</si>
  <si>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</si>
  <si>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</si>
  <si>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</si>
  <si>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</si>
  <si>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</si>
  <si>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</si>
  <si>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</si>
  <si>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</si>
  <si>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</si>
  <si>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</si>
  <si>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</si>
  <si>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</si>
  <si>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</si>
  <si>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</si>
  <si>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</si>
  <si>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</si>
  <si>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</si>
  <si>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</si>
  <si>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</si>
  <si>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</si>
  <si>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</si>
  <si>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</si>
  <si>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</si>
  <si>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</si>
  <si>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</si>
  <si>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</si>
  <si>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</si>
  <si>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</si>
  <si>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</si>
  <si>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</si>
  <si>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</si>
  <si>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</si>
  <si>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</si>
  <si>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</si>
  <si>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</si>
  <si>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</si>
  <si>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</si>
  <si>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</si>
  <si>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</si>
  <si>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</si>
  <si>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</si>
  <si>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</si>
  <si>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</si>
  <si>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</si>
  <si>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</si>
  <si>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</si>
  <si>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</si>
  <si>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</si>
  <si>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</si>
  <si>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</si>
  <si>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</si>
  <si>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</si>
  <si>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</si>
  <si>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</si>
  <si>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</si>
  <si>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</si>
  <si>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</si>
  <si>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</si>
  <si>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</si>
  <si>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</si>
  <si>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</si>
  <si>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</si>
  <si>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</si>
  <si>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</si>
  <si>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</si>
  <si>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</si>
  <si>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</si>
  <si>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</si>
  <si>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</si>
  <si>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</si>
  <si>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</si>
  <si>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</si>
  <si>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</si>
  <si>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</si>
  <si>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</si>
  <si>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</si>
  <si>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</si>
  <si>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</si>
  <si>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</si>
  <si>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</si>
  <si>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</si>
  <si>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</si>
  <si>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</si>
  <si>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</si>
  <si>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</si>
  <si>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</si>
  <si>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</si>
  <si>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</si>
  <si>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</si>
  <si>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</si>
  <si>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</si>
  <si>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</si>
  <si>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</si>
  <si>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</si>
  <si>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</si>
  <si>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</si>
  <si>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</si>
  <si>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</si>
  <si>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</si>
  <si>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</si>
  <si>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</si>
  <si>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</si>
  <si>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</si>
  <si>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</si>
  <si>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</si>
  <si>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</si>
  <si>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</si>
  <si>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</si>
  <si>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</si>
  <si>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</si>
  <si>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</si>
  <si>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</si>
  <si>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</si>
  <si>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</si>
  <si>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</si>
  <si>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</si>
  <si>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</si>
  <si>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</si>
  <si>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</si>
  <si>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</si>
  <si>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</si>
  <si>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</si>
  <si>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</si>
  <si>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</si>
  <si>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</si>
  <si>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</si>
  <si>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</si>
  <si>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</si>
  <si>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</si>
  <si>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</si>
  <si>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</si>
  <si>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</si>
  <si>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</si>
  <si>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</si>
  <si>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</si>
  <si>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</si>
  <si>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</si>
  <si>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</si>
  <si>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</si>
  <si>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</si>
  <si>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</si>
  <si>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</si>
  <si>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</si>
  <si>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</si>
  <si>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</si>
  <si>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</si>
  <si>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</si>
  <si>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</si>
  <si>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</si>
  <si>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</si>
  <si>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</si>
  <si>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</si>
  <si>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</si>
  <si>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</si>
  <si>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</si>
  <si>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</si>
  <si>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</si>
  <si>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</si>
  <si>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</si>
  <si>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</si>
  <si>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</si>
  <si>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</si>
  <si>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</si>
  <si>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</si>
  <si>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</si>
  <si>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</si>
  <si>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</si>
  <si>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</si>
  <si>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</si>
  <si>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</si>
  <si>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</si>
  <si>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</si>
  <si>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</si>
  <si>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</si>
  <si>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</si>
  <si>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</si>
  <si>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</si>
  <si>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</si>
  <si>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</si>
  <si>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</si>
  <si>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</si>
  <si>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</si>
  <si>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</si>
  <si>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</si>
  <si>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</si>
  <si>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</si>
  <si>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</si>
  <si>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</si>
  <si>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</si>
  <si>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</si>
  <si>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</si>
  <si>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</si>
  <si>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</si>
  <si>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</si>
  <si>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</si>
  <si>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</si>
  <si>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</si>
  <si>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</si>
  <si>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</si>
  <si>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</si>
  <si>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</si>
  <si>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</si>
  <si>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</si>
  <si>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</si>
  <si>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</si>
  <si>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</si>
  <si>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</si>
  <si>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</si>
  <si>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</si>
  <si>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</si>
  <si>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</si>
  <si>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</si>
  <si>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</si>
  <si>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</si>
  <si>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</si>
  <si>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</si>
  <si>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</si>
  <si>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</si>
  <si>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</si>
  <si>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</si>
  <si>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</si>
  <si>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</si>
  <si>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</si>
  <si>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</si>
  <si>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</si>
  <si>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</si>
  <si>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</si>
  <si>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</si>
  <si>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</si>
  <si>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</si>
  <si>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</si>
  <si>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</si>
  <si>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</si>
  <si>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</si>
  <si>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</si>
  <si>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</si>
  <si>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</si>
  <si>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</si>
  <si>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</si>
  <si>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</si>
  <si>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</si>
  <si>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</si>
  <si>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</si>
  <si>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</si>
  <si>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</si>
  <si>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</si>
  <si>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</si>
  <si>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</si>
  <si>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</si>
  <si>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</si>
  <si>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</si>
  <si>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</si>
  <si>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</si>
  <si>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</si>
  <si>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</si>
  <si>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</si>
  <si>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</si>
  <si>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</si>
  <si>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</si>
  <si>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</si>
  <si>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</si>
  <si>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</si>
  <si>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</si>
  <si>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</si>
  <si>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</si>
  <si>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</si>
  <si>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</si>
  <si>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</si>
  <si>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</si>
  <si>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</si>
  <si>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</si>
  <si>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</si>
  <si>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</si>
  <si>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</si>
  <si>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</si>
  <si>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</si>
  <si>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</si>
  <si>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</si>
  <si>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</si>
  <si>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</si>
  <si>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</si>
  <si>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</si>
  <si>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</si>
  <si>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</si>
  <si>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</si>
  <si>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</si>
  <si>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</si>
  <si>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</si>
  <si>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</si>
  <si>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</si>
  <si>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</si>
  <si>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</si>
  <si>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</si>
  <si>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</si>
  <si>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</si>
  <si>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</si>
  <si>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</si>
  <si>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</si>
  <si>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</si>
  <si>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</si>
  <si>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</si>
  <si>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</si>
  <si>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</si>
  <si>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</si>
  <si>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</si>
  <si>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</si>
  <si>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</si>
  <si>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</si>
  <si>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</si>
  <si>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</si>
  <si>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</si>
  <si>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</si>
  <si>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</si>
  <si>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</si>
  <si>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</si>
  <si>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</si>
  <si>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</si>
  <si>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</si>
  <si>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</si>
  <si>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</si>
  <si>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</si>
  <si>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</si>
  <si>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</si>
  <si>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</si>
  <si>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</si>
  <si>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</si>
  <si>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</si>
  <si>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</si>
  <si>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</si>
  <si>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</si>
  <si>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</si>
  <si>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</si>
  <si>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</si>
  <si>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</si>
  <si>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</si>
  <si>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</si>
  <si>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</si>
  <si>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</si>
  <si>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</si>
  <si>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</si>
  <si>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</si>
  <si>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</si>
  <si>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</si>
  <si>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</si>
  <si>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</si>
  <si>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</si>
  <si>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</si>
  <si>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</si>
  <si>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</si>
  <si>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</si>
  <si>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</si>
  <si>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</si>
  <si>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</si>
  <si>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</si>
  <si>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</si>
  <si>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</si>
  <si>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</si>
  <si>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</si>
  <si>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</si>
  <si>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</si>
  <si>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</si>
  <si>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</si>
  <si>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</si>
  <si>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</si>
  <si>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</si>
  <si>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</si>
  <si>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</si>
  <si>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</si>
  <si>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</si>
  <si>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</si>
  <si>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</si>
  <si>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</si>
  <si>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</si>
  <si>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</si>
  <si>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</si>
  <si>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</si>
  <si>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</si>
  <si>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</si>
  <si>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</si>
  <si>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</si>
  <si>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</si>
  <si>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</si>
  <si>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</si>
  <si>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</si>
  <si>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</si>
  <si>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</si>
  <si>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</si>
  <si>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</si>
  <si>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</si>
  <si>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</si>
  <si>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</si>
  <si>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</si>
  <si>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</si>
  <si>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</si>
  <si>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</si>
  <si>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</si>
  <si>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</si>
  <si>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</si>
  <si>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</si>
  <si>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</si>
  <si>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</si>
  <si>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</si>
  <si>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</si>
  <si>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</si>
  <si>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</si>
  <si>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</si>
  <si>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</si>
  <si>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</si>
  <si>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</si>
  <si>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</si>
  <si>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</si>
  <si>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</si>
  <si>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</si>
  <si>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</si>
  <si>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</si>
  <si>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</si>
  <si>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</si>
  <si>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</si>
  <si>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</si>
  <si>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</si>
  <si>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</si>
  <si>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</si>
  <si>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</si>
  <si>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</si>
  <si>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</si>
  <si>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</si>
  <si>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</si>
  <si>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</si>
  <si>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</si>
  <si>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</si>
  <si>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</si>
  <si>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</si>
  <si>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</si>
  <si>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</si>
  <si>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</si>
  <si>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</si>
  <si>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</si>
  <si>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</si>
  <si>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</si>
  <si>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</si>
  <si>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</si>
  <si>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</si>
  <si>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</si>
  <si>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</si>
  <si>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</si>
  <si>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</si>
  <si>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</si>
  <si>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</si>
  <si>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</si>
  <si>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</si>
  <si>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</si>
  <si>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</si>
  <si>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</si>
  <si>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</si>
  <si>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</si>
  <si>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</si>
  <si>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</si>
  <si>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</si>
  <si>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</si>
  <si>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</si>
  <si>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</si>
  <si>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</si>
  <si>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</si>
  <si>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</si>
  <si>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</si>
  <si>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</si>
  <si>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</si>
  <si>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</si>
  <si>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</si>
  <si>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</si>
  <si>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</si>
  <si>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</si>
  <si>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</si>
  <si>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</si>
  <si>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</si>
  <si>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</si>
  <si>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</si>
  <si>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</si>
  <si>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</si>
  <si>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</si>
  <si>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</si>
  <si>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</si>
  <si>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</si>
  <si>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</si>
  <si>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</si>
  <si>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</si>
  <si>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</si>
  <si>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</si>
  <si>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</si>
  <si>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</si>
  <si>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</si>
  <si>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</si>
  <si>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</si>
  <si>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</si>
  <si>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</si>
  <si>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</si>
  <si>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</si>
  <si>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</si>
  <si>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</si>
  <si>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</si>
  <si>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</si>
  <si>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</si>
  <si>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</si>
  <si>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</si>
  <si>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</si>
  <si>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</si>
  <si>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</si>
  <si>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</si>
  <si>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</si>
  <si>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</si>
  <si>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</si>
  <si>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</si>
  <si>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</si>
  <si>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</si>
  <si>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</si>
  <si>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</si>
  <si>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</si>
  <si>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</si>
  <si>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</si>
  <si>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</si>
  <si>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</si>
  <si>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</si>
  <si>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</si>
  <si>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</si>
  <si>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</si>
  <si>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</si>
  <si>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</si>
  <si>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</si>
  <si>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</si>
  <si>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</si>
  <si>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</si>
  <si>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</si>
  <si>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</si>
  <si>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</si>
  <si>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</si>
  <si>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</si>
  <si>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</si>
  <si>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</si>
  <si>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</si>
  <si>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</si>
  <si>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</si>
  <si>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</si>
  <si>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</si>
  <si>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</si>
  <si>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</si>
  <si>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</si>
  <si>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</si>
  <si>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</si>
  <si>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</si>
  <si>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</si>
  <si>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</si>
  <si>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</si>
  <si>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</si>
  <si>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</si>
  <si>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</si>
  <si>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</si>
  <si>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</si>
  <si>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</si>
  <si>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</si>
  <si>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</si>
  <si>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</si>
  <si>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</si>
  <si>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</si>
  <si>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</si>
  <si>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</si>
  <si>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</si>
  <si>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</si>
  <si>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</si>
  <si>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</si>
  <si>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</si>
  <si>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</si>
  <si>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</si>
  <si>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</si>
  <si>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</si>
  <si>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</si>
  <si>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</si>
  <si>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</si>
  <si>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</si>
  <si>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</si>
  <si>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</si>
  <si>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</si>
  <si>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</si>
  <si>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</si>
  <si>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</si>
  <si>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</si>
  <si>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</si>
  <si>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</si>
  <si>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</si>
  <si>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</si>
  <si>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</si>
  <si>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</si>
  <si>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</si>
  <si>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</si>
  <si>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</si>
  <si>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</si>
  <si>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</si>
  <si>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</si>
  <si>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</si>
  <si>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</si>
  <si>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</si>
  <si>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</si>
  <si>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</si>
  <si>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</si>
  <si>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</si>
  <si>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</si>
  <si>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</si>
  <si>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</si>
  <si>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</si>
  <si>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</si>
  <si>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</si>
  <si>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</si>
  <si>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</si>
  <si>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</si>
  <si>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</si>
  <si>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</si>
  <si>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</si>
  <si>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</si>
  <si>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</si>
  <si>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</si>
  <si>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</si>
  <si>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</si>
  <si>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</si>
  <si>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</si>
  <si>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</si>
  <si>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</si>
  <si>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</si>
  <si>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</si>
  <si>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</si>
  <si>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</si>
  <si>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</si>
  <si>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</si>
  <si>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</si>
  <si>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</si>
  <si>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</si>
  <si>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</si>
  <si>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</si>
  <si>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</si>
  <si>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</si>
  <si>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</si>
  <si>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</si>
  <si>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</si>
  <si>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</si>
  <si>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</si>
  <si>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</si>
  <si>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</si>
  <si>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</si>
  <si>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</si>
  <si>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</si>
  <si>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</si>
  <si>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</si>
  <si>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</si>
  <si>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</si>
  <si>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</si>
  <si>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</si>
  <si>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</si>
  <si>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</si>
  <si>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</si>
  <si>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</si>
  <si>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</si>
  <si>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</si>
  <si>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</si>
  <si>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</si>
  <si>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</si>
  <si>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</si>
  <si>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</si>
  <si>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</si>
  <si>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</si>
  <si>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</si>
  <si>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</si>
  <si>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</si>
  <si>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</si>
  <si>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</si>
  <si>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</si>
  <si>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</si>
  <si>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</si>
  <si>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</si>
  <si>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</si>
  <si>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</si>
  <si>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</si>
  <si>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</si>
  <si>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</si>
  <si>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</si>
  <si>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</si>
  <si>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</si>
  <si>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</si>
  <si>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</si>
  <si>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</si>
  <si>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</si>
  <si>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</si>
  <si>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</si>
  <si>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</si>
  <si>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</si>
  <si>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</si>
  <si>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</si>
  <si>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</si>
  <si>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</si>
  <si>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</si>
  <si>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</si>
  <si>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</si>
  <si>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</si>
  <si>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</si>
  <si>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</si>
  <si>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</si>
  <si>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</si>
  <si>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</si>
  <si>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</si>
  <si>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</si>
  <si>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</si>
  <si>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</si>
  <si>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</si>
  <si>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</si>
  <si>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</si>
  <si>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</si>
  <si>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</si>
  <si>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</si>
  <si>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</si>
  <si>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</si>
  <si>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</si>
  <si>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</si>
  <si>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</si>
  <si>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</si>
  <si>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</si>
  <si>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</si>
  <si>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</si>
  <si>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</si>
  <si>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</si>
  <si>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</si>
  <si>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</si>
  <si>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</si>
  <si>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</si>
  <si>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</si>
  <si>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</si>
  <si>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</si>
  <si>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</si>
  <si>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</si>
  <si>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</si>
  <si>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</si>
  <si>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</si>
  <si>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</si>
  <si>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</si>
  <si>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</si>
  <si>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</si>
  <si>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</si>
  <si>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</si>
  <si>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</si>
  <si>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</si>
  <si>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</si>
  <si>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</si>
  <si>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</si>
  <si>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</si>
  <si>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</si>
  <si>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</si>
  <si>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</si>
  <si>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</si>
  <si>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</si>
  <si>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</si>
  <si>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</si>
  <si>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</si>
  <si>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</si>
  <si>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</si>
  <si>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</si>
  <si>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</si>
  <si>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</si>
  <si>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</si>
  <si>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</si>
  <si>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</si>
  <si>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</si>
  <si>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</si>
  <si>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</si>
  <si>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</si>
  <si>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</si>
  <si>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</si>
  <si>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</si>
  <si>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</si>
  <si>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</si>
  <si>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</si>
  <si>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</si>
  <si>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</si>
  <si>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</si>
  <si>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</si>
  <si>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</si>
  <si>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</si>
  <si>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</si>
  <si>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</si>
  <si>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</si>
  <si>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</si>
  <si>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</si>
  <si>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</si>
  <si>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</si>
  <si>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</si>
  <si>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</si>
  <si>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</si>
  <si>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</si>
  <si>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</si>
  <si>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</si>
  <si>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</si>
  <si>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</si>
  <si>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</si>
  <si>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</si>
  <si>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</si>
  <si>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</si>
  <si>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</si>
  <si>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</si>
  <si>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</si>
  <si>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</si>
  <si>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</si>
  <si>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</si>
  <si>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</si>
  <si>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</si>
  <si>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</si>
  <si>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</si>
  <si>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</si>
  <si>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</si>
  <si>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</si>
  <si>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</si>
  <si>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</si>
  <si>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</si>
  <si>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</si>
  <si>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</si>
  <si>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</si>
  <si>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</si>
  <si>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</si>
  <si>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</si>
  <si>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</si>
  <si>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</si>
  <si>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</si>
  <si>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</si>
  <si>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</si>
  <si>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</si>
  <si>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</si>
  <si>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</si>
  <si>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</si>
  <si>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</si>
  <si>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</si>
  <si>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</si>
  <si>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</si>
  <si>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</si>
  <si>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</si>
  <si>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</si>
  <si>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</si>
  <si>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</si>
  <si>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</si>
  <si>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</si>
  <si>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</si>
  <si>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</si>
  <si>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</si>
  <si>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</si>
  <si>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</si>
  <si>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</si>
  <si>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</si>
  <si>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</si>
  <si>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</si>
  <si>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</si>
  <si>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</si>
  <si>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</si>
  <si>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</si>
  <si>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</si>
  <si>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</si>
  <si>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</si>
  <si>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</si>
  <si>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</si>
  <si>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</si>
  <si>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</si>
  <si>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</si>
  <si>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</si>
  <si>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</si>
  <si>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</si>
  <si>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</si>
  <si>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</si>
  <si>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</si>
  <si>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</si>
  <si>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</si>
  <si>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</si>
  <si>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</si>
  <si>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</si>
  <si>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</si>
  <si>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</si>
  <si>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</si>
  <si>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</si>
  <si>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</si>
  <si>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</si>
  <si>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</si>
  <si>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</si>
  <si>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</si>
  <si>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</si>
  <si>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</si>
  <si>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</si>
  <si>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</si>
  <si>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</si>
  <si>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</si>
  <si>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</si>
  <si>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</si>
  <si>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</si>
  <si>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</si>
  <si>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</si>
  <si>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</si>
  <si>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</si>
  <si>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</si>
  <si>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</si>
  <si>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</si>
  <si>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</si>
  <si>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</si>
  <si>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</si>
  <si>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</si>
  <si>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</si>
  <si>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</si>
  <si>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</si>
  <si>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</si>
  <si>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</si>
  <si>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</si>
  <si>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</si>
  <si>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</si>
  <si>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</si>
  <si>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</si>
  <si>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</si>
  <si>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</si>
  <si>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</si>
  <si>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</si>
  <si>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</si>
  <si>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</si>
  <si>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</si>
  <si>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</si>
  <si>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</si>
  <si>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</si>
  <si>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</si>
  <si>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</si>
  <si>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</si>
  <si>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</si>
  <si>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</si>
  <si>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</si>
  <si>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</si>
  <si>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</si>
  <si>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</si>
  <si>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</si>
  <si>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</si>
  <si>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</si>
  <si>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</si>
  <si>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</si>
  <si>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</si>
  <si>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</si>
  <si>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</si>
  <si>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</si>
  <si>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</si>
  <si>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</si>
  <si>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</si>
  <si>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</si>
  <si>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</si>
  <si>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</si>
  <si>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</si>
  <si>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</si>
  <si>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</si>
  <si>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</si>
  <si>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</si>
  <si>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</si>
  <si>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</si>
  <si>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</si>
  <si>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</si>
  <si>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</si>
  <si>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</si>
  <si>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</si>
  <si>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</si>
  <si>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</si>
  <si>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</si>
  <si>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</si>
  <si>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</si>
  <si>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</si>
  <si>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</si>
  <si>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</si>
  <si>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</si>
  <si>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</si>
  <si>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</si>
  <si>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</si>
  <si>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</si>
  <si>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</si>
  <si>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</si>
  <si>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</si>
  <si>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</si>
  <si>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</si>
  <si>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</si>
  <si>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</si>
  <si>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</si>
  <si>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</si>
  <si>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</si>
  <si>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</si>
  <si>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</si>
  <si>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</si>
  <si>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</si>
  <si>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</si>
  <si>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</si>
  <si>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</si>
  <si>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</si>
  <si>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</si>
  <si>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</si>
  <si>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</si>
  <si>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</si>
  <si>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</si>
  <si>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</si>
  <si>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</si>
  <si>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</si>
  <si>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</si>
  <si>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</si>
  <si>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</si>
  <si>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</si>
  <si>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</si>
  <si>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</si>
  <si>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</si>
  <si>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</si>
  <si>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</si>
  <si>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</si>
  <si>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</si>
  <si>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</si>
  <si>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</si>
  <si>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</si>
  <si>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</si>
  <si>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</si>
  <si>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</si>
  <si>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</si>
  <si>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</si>
  <si>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</si>
  <si>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</si>
  <si>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</si>
  <si>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</si>
  <si>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</si>
  <si>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</si>
  <si>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</si>
  <si>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</si>
  <si>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</si>
  <si>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</si>
  <si>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</si>
  <si>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</si>
  <si>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</si>
  <si>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</si>
  <si>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</si>
  <si>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</si>
  <si>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</si>
  <si>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</si>
  <si>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</si>
  <si>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</si>
  <si>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</si>
  <si>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</si>
  <si>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</si>
  <si>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</si>
  <si>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</si>
  <si>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</si>
  <si>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</si>
  <si>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</si>
  <si>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</si>
  <si>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</si>
  <si>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</si>
  <si>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</si>
  <si>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</si>
  <si>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</si>
  <si>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</si>
  <si>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</si>
  <si>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</si>
  <si>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</si>
  <si>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</si>
  <si>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</si>
  <si>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</si>
  <si>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</si>
  <si>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</si>
  <si>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</si>
  <si>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</si>
  <si>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</si>
  <si>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</si>
  <si>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</si>
  <si>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</si>
  <si>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</si>
  <si>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</si>
  <si>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</si>
  <si>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</si>
  <si>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</si>
  <si>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</si>
  <si>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</si>
  <si>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</si>
  <si>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</si>
  <si>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</si>
  <si>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</si>
  <si>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</si>
  <si>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</si>
  <si>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</si>
  <si>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</si>
  <si>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</si>
  <si>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</si>
  <si>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</si>
  <si>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</si>
  <si>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</si>
  <si>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</si>
  <si>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</si>
  <si>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</si>
  <si>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</si>
  <si>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</si>
  <si>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</si>
  <si>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</si>
  <si>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</si>
  <si>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</si>
  <si>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</si>
  <si>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</si>
  <si>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</si>
  <si>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</si>
  <si>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</si>
  <si>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</si>
  <si>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</si>
  <si>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</si>
  <si>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</si>
  <si>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</si>
  <si>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</si>
  <si>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</si>
  <si>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</si>
  <si>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</si>
  <si>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</si>
  <si>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</si>
  <si>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</si>
  <si>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</si>
  <si>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</si>
  <si>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</si>
  <si>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</si>
  <si>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</si>
  <si>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</si>
  <si>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</si>
  <si>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</si>
  <si>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</si>
  <si>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</si>
  <si>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</si>
  <si>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</si>
  <si>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</si>
  <si>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</si>
  <si>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</si>
  <si>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</si>
  <si>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</si>
  <si>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</si>
  <si>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</si>
  <si>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</si>
  <si>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</si>
  <si>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</si>
  <si>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</si>
  <si>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</si>
  <si>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</si>
  <si>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</si>
  <si>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</si>
  <si>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</si>
  <si>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</si>
  <si>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</si>
  <si>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</si>
  <si>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</si>
  <si>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</si>
  <si>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</si>
  <si>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</si>
  <si>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</si>
  <si>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</si>
  <si>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</si>
  <si>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</si>
  <si>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</si>
  <si>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</si>
  <si>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</si>
  <si>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</si>
  <si>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</si>
  <si>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</si>
  <si>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</si>
  <si>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</si>
  <si>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</si>
  <si>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</si>
  <si>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</si>
  <si>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</si>
  <si>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</si>
  <si>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</si>
  <si>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</si>
  <si>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</si>
  <si>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</si>
  <si>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</si>
  <si>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</si>
  <si>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</si>
  <si>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</si>
  <si>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</si>
  <si>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</si>
  <si>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</si>
  <si>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</si>
  <si>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</si>
  <si>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</si>
  <si>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</si>
  <si>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</si>
  <si>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</si>
  <si>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</si>
  <si>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</si>
  <si>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</si>
  <si>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</si>
  <si>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</si>
  <si>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</si>
  <si>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</si>
  <si>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</si>
  <si>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</si>
  <si>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</si>
  <si>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</si>
  <si>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</si>
  <si>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</si>
  <si>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</si>
  <si>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</si>
  <si>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</si>
  <si>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</si>
  <si>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</si>
  <si>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</si>
  <si>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</si>
  <si>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</si>
  <si>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</si>
  <si>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</si>
  <si>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</si>
  <si>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</si>
  <si>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</si>
  <si>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</si>
  <si>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</si>
  <si>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</si>
  <si>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</si>
  <si>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</si>
  <si>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</si>
  <si>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</si>
  <si>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</si>
  <si>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</si>
  <si>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</si>
  <si>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</si>
  <si>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</si>
  <si>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</si>
  <si>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</si>
  <si>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</si>
  <si>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</si>
  <si>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</si>
  <si>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</si>
  <si>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</si>
  <si>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</si>
  <si>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</si>
  <si>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</si>
  <si>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</si>
  <si>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</si>
  <si>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</si>
  <si>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</si>
  <si>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</si>
  <si>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</si>
  <si>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</si>
  <si>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</si>
  <si>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</si>
  <si>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</si>
  <si>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</si>
  <si>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</si>
  <si>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</si>
  <si>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</si>
  <si>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</si>
  <si>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</si>
  <si>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</si>
  <si>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</si>
  <si>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</si>
  <si>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</si>
  <si>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</si>
  <si>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</si>
  <si>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</si>
  <si>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</si>
  <si>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</si>
  <si>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</si>
  <si>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</si>
  <si>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</si>
  <si>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</si>
  <si>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</si>
  <si>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</si>
  <si>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</si>
  <si>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</si>
  <si>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</si>
  <si>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</si>
  <si>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</si>
  <si>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</si>
  <si>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</si>
  <si>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</si>
  <si>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</si>
  <si>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</si>
  <si>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</si>
  <si>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</si>
  <si>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</si>
  <si>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</si>
  <si>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</si>
  <si>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</si>
  <si>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</si>
  <si>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</si>
  <si>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</si>
  <si>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</si>
  <si>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</si>
  <si>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</si>
  <si>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</si>
  <si>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</si>
  <si>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</si>
  <si>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</si>
  <si>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</si>
  <si>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</si>
  <si>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</si>
  <si>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</si>
  <si>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</si>
  <si>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</si>
  <si>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</si>
  <si>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</si>
  <si>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</si>
  <si>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</si>
  <si>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</si>
  <si>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</si>
  <si>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</si>
  <si>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</si>
  <si>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</si>
  <si>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</si>
  <si>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</si>
  <si>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</si>
  <si>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</si>
  <si>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</si>
  <si>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</si>
  <si>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</si>
  <si>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</si>
  <si>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</si>
  <si>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</si>
  <si>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</si>
  <si>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</si>
  <si>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</si>
  <si>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</si>
  <si>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</si>
  <si>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</si>
  <si>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</si>
  <si>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</si>
  <si>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</si>
  <si>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</si>
  <si>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</si>
  <si>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</si>
  <si>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</si>
  <si>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</si>
  <si>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</si>
  <si>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</si>
  <si>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</si>
  <si>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</si>
  <si>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</si>
  <si>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</si>
  <si>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</si>
  <si>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</si>
  <si>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</si>
  <si>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</si>
  <si>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</si>
  <si>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</si>
  <si>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</si>
  <si>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</si>
  <si>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</si>
  <si>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</si>
  <si>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</si>
  <si>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</si>
  <si>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</si>
  <si>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</si>
  <si>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</si>
  <si>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</si>
  <si>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</si>
  <si>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</si>
  <si>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</si>
  <si>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</si>
  <si>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</si>
  <si>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</si>
  <si>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</si>
  <si>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</si>
  <si>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</si>
  <si>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</si>
  <si>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</si>
  <si>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</si>
  <si>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</si>
  <si>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</si>
  <si>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</si>
  <si>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</si>
  <si>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</si>
  <si>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</si>
  <si>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</si>
  <si>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</si>
  <si>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</si>
  <si>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</si>
  <si>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</si>
  <si>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</si>
  <si>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</si>
  <si>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</si>
  <si>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</si>
  <si>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</si>
  <si>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</si>
  <si>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</si>
  <si>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</si>
  <si>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</si>
  <si>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</si>
  <si>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</si>
  <si>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</si>
  <si>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</si>
  <si>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</si>
  <si>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</si>
  <si>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</si>
  <si>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</si>
  <si>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</si>
  <si>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</si>
  <si>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</si>
  <si>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</si>
  <si>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</si>
  <si>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</si>
  <si>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</si>
  <si>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</si>
  <si>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</si>
  <si>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</si>
  <si>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</si>
  <si>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</si>
  <si>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</si>
  <si>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</si>
  <si>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</si>
  <si>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</si>
  <si>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</si>
  <si>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</si>
  <si>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</si>
  <si>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</si>
  <si>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</si>
  <si>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</si>
  <si>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</si>
  <si>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</si>
  <si>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</si>
  <si>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</si>
  <si>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</si>
  <si>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</si>
  <si>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</si>
  <si>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</si>
  <si>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</si>
  <si>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</si>
  <si>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</si>
  <si>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</si>
  <si>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</si>
  <si>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</si>
  <si>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</si>
  <si>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</si>
  <si>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</si>
  <si>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</si>
  <si>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</si>
  <si>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</si>
  <si>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</si>
  <si>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</si>
  <si>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</si>
  <si>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</si>
  <si>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</si>
  <si>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</si>
  <si>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</si>
  <si>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</si>
  <si>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</si>
  <si>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</si>
  <si>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</si>
  <si>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</si>
  <si>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</si>
  <si>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</si>
  <si>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</si>
  <si>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</si>
  <si>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</si>
  <si>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</si>
  <si>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</si>
  <si>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</si>
  <si>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</si>
  <si>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</si>
  <si>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</si>
  <si>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</si>
  <si>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</si>
  <si>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</si>
  <si>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</si>
  <si>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</si>
  <si>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</si>
  <si>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</si>
  <si>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</si>
  <si>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</si>
  <si>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</si>
  <si>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</si>
  <si>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</si>
  <si>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</si>
  <si>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</si>
  <si>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</si>
  <si>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</si>
  <si>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</si>
  <si>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</si>
  <si>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</si>
  <si>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</si>
  <si>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</si>
  <si>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</si>
  <si>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</si>
  <si>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</si>
  <si>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</si>
  <si>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</si>
  <si>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</si>
  <si>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</si>
  <si>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</si>
  <si>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</si>
  <si>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</si>
  <si>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</si>
  <si>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</si>
  <si>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</si>
  <si>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</si>
  <si>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</si>
  <si>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</si>
  <si>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</si>
  <si>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</si>
  <si>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</si>
  <si>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</si>
  <si>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</si>
  <si>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</si>
  <si>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</si>
  <si>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</si>
  <si>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</si>
  <si>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</si>
  <si>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</si>
  <si>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</si>
  <si>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</si>
  <si>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</si>
  <si>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</si>
  <si>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</si>
  <si>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</si>
  <si>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</si>
  <si>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</si>
  <si>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</si>
  <si>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</si>
  <si>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</si>
  <si>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</si>
  <si>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</si>
  <si>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</si>
  <si>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</si>
  <si>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</si>
  <si>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</si>
  <si>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</si>
  <si>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</si>
  <si>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</si>
  <si>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</si>
  <si>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</si>
  <si>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</si>
  <si>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</si>
  <si>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</si>
  <si>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</si>
  <si>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</si>
  <si>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</si>
  <si>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</si>
  <si>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</si>
  <si>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</si>
  <si>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</si>
  <si>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</si>
  <si>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</si>
  <si>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</si>
  <si>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</si>
  <si>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</si>
  <si>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</si>
  <si>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</si>
  <si>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</si>
  <si>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</si>
  <si>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</si>
  <si>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</si>
  <si>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</si>
  <si>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</si>
  <si>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</si>
  <si>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</si>
  <si>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</si>
  <si>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</si>
  <si>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</si>
  <si>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</si>
  <si>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</si>
  <si>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</si>
  <si>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</si>
  <si>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</si>
  <si>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</si>
  <si>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</si>
  <si>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</si>
  <si>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</si>
  <si>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</si>
  <si>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</si>
  <si>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</si>
  <si>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</si>
  <si>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</si>
  <si>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</si>
  <si>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</si>
  <si>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</si>
  <si>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</si>
  <si>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</si>
  <si>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</si>
  <si>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</si>
  <si>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</si>
  <si>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</si>
  <si>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</si>
  <si>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</si>
  <si>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</si>
  <si>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</si>
  <si>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</si>
  <si>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</si>
  <si>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</si>
  <si>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</si>
  <si>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</si>
  <si>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</si>
  <si>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</si>
  <si>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</si>
  <si>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</si>
  <si>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</si>
  <si>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</si>
  <si>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</si>
  <si>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</si>
  <si>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</si>
  <si>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</si>
  <si>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</si>
  <si>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</si>
  <si>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</si>
  <si>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</si>
  <si>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</si>
  <si>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</si>
  <si>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</si>
  <si>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</si>
  <si>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</si>
  <si>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</si>
  <si>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</si>
  <si>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</si>
  <si>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</si>
  <si>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</si>
  <si>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</si>
  <si>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</si>
  <si>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</si>
  <si>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</si>
  <si>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</si>
  <si>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</si>
  <si>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</si>
  <si>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</si>
  <si>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</si>
  <si>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</si>
  <si>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</si>
  <si>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</si>
  <si>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</si>
  <si>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</si>
  <si>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</si>
  <si>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</si>
  <si>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</si>
  <si>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</si>
  <si>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</si>
  <si>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</si>
  <si>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</si>
  <si>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</si>
  <si>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</si>
  <si>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</si>
  <si>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</si>
  <si>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</si>
  <si>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</si>
  <si>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</si>
  <si>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</si>
  <si>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</si>
  <si>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</si>
  <si>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</si>
  <si>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</si>
  <si>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</si>
  <si>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</si>
  <si>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</si>
  <si>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</si>
  <si>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</si>
  <si>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</si>
  <si>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</si>
  <si>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</si>
  <si>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</si>
  <si>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</si>
  <si>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</si>
  <si>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</si>
  <si>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</si>
  <si>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</si>
  <si>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</si>
  <si>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</si>
  <si>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</si>
  <si>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</si>
  <si>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</si>
  <si>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</si>
  <si>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</si>
  <si>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</si>
  <si>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</si>
  <si>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</si>
  <si>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</si>
  <si>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</si>
  <si>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</si>
  <si>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</si>
  <si>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</si>
  <si>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</si>
  <si>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</si>
  <si>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</si>
  <si>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</si>
  <si>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</si>
  <si>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</si>
  <si>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</si>
  <si>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</si>
  <si>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</si>
  <si>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</si>
  <si>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</si>
  <si>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</si>
  <si>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</si>
  <si>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</si>
  <si>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</si>
  <si>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</si>
  <si>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</si>
  <si>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</si>
  <si>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</si>
  <si>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</si>
  <si>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</si>
  <si>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</si>
  <si>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</si>
  <si>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</si>
  <si>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</si>
  <si>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</si>
  <si>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</si>
  <si>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</si>
  <si>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</si>
  <si>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</si>
  <si>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</si>
  <si>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</si>
  <si>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</si>
  <si>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</si>
  <si>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</si>
  <si>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</si>
  <si>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</si>
  <si>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</si>
  <si>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</si>
  <si>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</si>
  <si>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</si>
  <si>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</si>
  <si>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</si>
  <si>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</si>
  <si>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</si>
  <si>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</si>
  <si>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</si>
  <si>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</si>
  <si>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</si>
  <si>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</si>
  <si>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</si>
  <si>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</si>
  <si>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</si>
  <si>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</si>
  <si>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</si>
  <si>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</si>
  <si>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</si>
  <si>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</si>
  <si>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</si>
  <si>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</si>
  <si>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</si>
  <si>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</si>
  <si>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</si>
  <si>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</si>
  <si>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</si>
  <si>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</si>
  <si>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</si>
  <si>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</si>
  <si>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</si>
  <si>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</si>
  <si>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</si>
  <si>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</si>
  <si>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</si>
  <si>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</si>
  <si>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</si>
  <si>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</si>
  <si>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</si>
  <si>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</si>
  <si>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</si>
  <si>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</si>
  <si>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</si>
  <si>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</si>
  <si>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</si>
  <si>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</si>
  <si>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</si>
  <si>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</si>
  <si>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</si>
  <si>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</si>
  <si>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</si>
  <si>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</si>
  <si>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</si>
  <si>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</si>
  <si>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</si>
  <si>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</si>
  <si>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</si>
  <si>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</si>
  <si>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</si>
  <si>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</si>
  <si>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</si>
  <si>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</si>
  <si>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</si>
  <si>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</si>
  <si>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</si>
  <si>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</si>
  <si>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</si>
  <si>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</si>
  <si>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</si>
  <si>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</si>
  <si>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</si>
  <si>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</si>
  <si>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</si>
  <si>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</si>
  <si>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</si>
  <si>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</si>
  <si>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</si>
  <si>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</si>
  <si>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</si>
  <si>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</si>
  <si>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</si>
  <si>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</si>
  <si>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</si>
  <si>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</si>
  <si>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</si>
  <si>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</si>
  <si>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</si>
  <si>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</si>
  <si>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</si>
  <si>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</si>
  <si>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</si>
  <si>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</si>
  <si>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</si>
  <si>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</si>
  <si>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</si>
  <si>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</si>
  <si>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</si>
  <si>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</si>
  <si>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</si>
  <si>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</si>
  <si>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</si>
  <si>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</si>
  <si>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</si>
  <si>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</si>
  <si>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</si>
  <si>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</si>
  <si>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</si>
  <si>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</si>
  <si>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</si>
  <si>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</si>
  <si>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</si>
  <si>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</si>
  <si>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</si>
  <si>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</si>
  <si>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</si>
  <si>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</si>
  <si>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</si>
  <si>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</si>
  <si>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</si>
  <si>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</si>
  <si>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</si>
  <si>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</si>
  <si>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</si>
  <si>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</si>
  <si>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</si>
  <si>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</si>
  <si>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</si>
  <si>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</si>
  <si>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</si>
  <si>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</si>
  <si>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</si>
  <si>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</si>
  <si>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</si>
  <si>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</si>
  <si>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</si>
  <si>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</si>
  <si>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</si>
  <si>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</si>
  <si>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</si>
  <si>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</si>
  <si>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</si>
  <si>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</si>
  <si>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</si>
  <si>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</si>
  <si>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</si>
  <si>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</si>
  <si>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</si>
  <si>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</si>
  <si>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</si>
  <si>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</si>
  <si>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</si>
  <si>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</si>
  <si>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</si>
  <si>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</si>
  <si>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</si>
  <si>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</si>
  <si>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</si>
  <si>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</si>
  <si>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</si>
  <si>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</si>
  <si>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</si>
  <si>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</si>
  <si>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</si>
  <si>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</si>
  <si>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</si>
  <si>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</si>
  <si>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</si>
  <si>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</si>
  <si>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</si>
  <si>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</si>
  <si>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</si>
  <si>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</si>
  <si>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</si>
  <si>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</si>
  <si>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</si>
  <si>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</si>
  <si>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</si>
  <si>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</si>
  <si>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</si>
  <si>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</si>
  <si>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</si>
  <si>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</si>
  <si>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</si>
  <si>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</si>
  <si>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</si>
  <si>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</si>
  <si>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</si>
  <si>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</si>
  <si>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</si>
  <si>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</si>
  <si>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</si>
  <si>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</si>
  <si>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</si>
  <si>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</si>
  <si>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</si>
  <si>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</si>
  <si>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</si>
  <si>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</si>
  <si>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</si>
  <si>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</si>
  <si>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</si>
  <si>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</si>
  <si>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</si>
  <si>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</si>
  <si>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</si>
  <si>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</si>
  <si>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</si>
  <si>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</si>
  <si>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</si>
  <si>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</si>
  <si>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</si>
  <si>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</si>
  <si>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</si>
  <si>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</si>
  <si>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</si>
  <si>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</si>
  <si>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</si>
  <si>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</si>
  <si>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</si>
  <si>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</si>
  <si>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</si>
  <si>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</si>
  <si>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</si>
  <si>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</si>
  <si>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</si>
  <si>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</si>
  <si>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</si>
  <si>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</si>
  <si>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</si>
  <si>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</si>
  <si>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</si>
  <si>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</si>
  <si>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</si>
  <si>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</si>
  <si>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</si>
  <si>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</si>
  <si>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</si>
  <si>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</si>
  <si>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</si>
  <si>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</si>
  <si>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</si>
  <si>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</si>
  <si>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</si>
  <si>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</si>
  <si>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</si>
  <si>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</si>
  <si>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</si>
  <si>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</si>
  <si>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</si>
  <si>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</si>
  <si>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</si>
  <si>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</si>
  <si>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</si>
  <si>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</si>
  <si>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</si>
  <si>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</si>
  <si>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</si>
  <si>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</si>
  <si>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</si>
  <si>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</si>
  <si>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</si>
  <si>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</si>
  <si>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</si>
  <si>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</si>
  <si>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</si>
  <si>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</si>
  <si>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</si>
  <si>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</si>
  <si>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</si>
  <si>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</si>
  <si>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</si>
  <si>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</si>
  <si>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</si>
  <si>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</si>
  <si>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</si>
  <si>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</si>
  <si>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</si>
  <si>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</si>
  <si>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</si>
  <si>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</si>
  <si>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</si>
  <si>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</si>
  <si>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</si>
  <si>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</si>
  <si>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</si>
  <si>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</si>
  <si>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</si>
  <si>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</si>
  <si>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</si>
  <si>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</si>
  <si>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</si>
  <si>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</si>
  <si>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</si>
  <si>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</si>
  <si>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</si>
  <si>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</si>
  <si>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</si>
  <si>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</si>
  <si>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</si>
  <si>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</si>
  <si>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</si>
  <si>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</si>
  <si>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</si>
  <si>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</si>
  <si>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</si>
  <si>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</si>
  <si>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</si>
  <si>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</si>
  <si>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</si>
  <si>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</si>
  <si>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</si>
  <si>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</si>
  <si>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</si>
  <si>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</si>
  <si>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</si>
  <si>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</si>
  <si>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</si>
  <si>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</si>
  <si>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</si>
  <si>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</si>
  <si>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</si>
  <si>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</si>
  <si>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</si>
  <si>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</si>
  <si>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</si>
  <si>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</si>
  <si>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</si>
  <si>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</si>
  <si>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</si>
  <si>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</si>
  <si>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</si>
  <si>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</si>
  <si>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</si>
  <si>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</si>
  <si>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</si>
  <si>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</si>
  <si>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</si>
  <si>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</si>
  <si>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</si>
  <si>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</si>
  <si>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</si>
  <si>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</si>
  <si>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</si>
  <si>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</si>
  <si>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</si>
  <si>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</si>
  <si>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</si>
  <si>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</si>
  <si>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</si>
  <si>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</si>
  <si>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</si>
  <si>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</si>
  <si>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</si>
  <si>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</si>
  <si>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</si>
  <si>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</si>
  <si>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</si>
  <si>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</si>
  <si>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</si>
  <si>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</si>
  <si>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</si>
  <si>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</si>
  <si>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</si>
  <si>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</si>
  <si>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</si>
  <si>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</si>
  <si>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</si>
  <si>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</si>
  <si>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</si>
  <si>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</si>
  <si>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</si>
  <si>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</si>
  <si>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</si>
  <si>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</si>
  <si>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</si>
  <si>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</si>
  <si>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</si>
  <si>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</si>
  <si>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</si>
  <si>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</si>
  <si>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</si>
  <si>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</si>
  <si>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</si>
  <si>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</si>
  <si>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</si>
  <si>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</si>
  <si>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</si>
  <si>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</si>
  <si>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</si>
  <si>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</si>
  <si>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</si>
  <si>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</si>
  <si>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</si>
  <si>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</si>
  <si>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</si>
  <si>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</si>
  <si>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</si>
  <si>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</si>
  <si>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</si>
  <si>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</si>
  <si>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</si>
  <si>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</si>
  <si>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</si>
  <si>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</si>
  <si>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</si>
  <si>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</si>
  <si>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</si>
  <si>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</si>
  <si>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</si>
  <si>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</si>
  <si>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</si>
  <si>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</si>
  <si>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</si>
  <si>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</si>
  <si>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</si>
  <si>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</si>
  <si>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</si>
  <si>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</si>
  <si>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</si>
  <si>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</si>
  <si>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</si>
  <si>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</si>
  <si>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</si>
  <si>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</si>
  <si>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</si>
  <si>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</si>
  <si>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</si>
  <si>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</si>
  <si>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</si>
  <si>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</si>
  <si>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</si>
  <si>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</si>
  <si>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</si>
  <si>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</si>
  <si>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</si>
  <si>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</si>
  <si>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</si>
  <si>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</si>
  <si>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</si>
  <si>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</si>
  <si>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</si>
  <si>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</si>
  <si>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</si>
  <si>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</si>
  <si>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</si>
  <si>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</si>
  <si>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</si>
  <si>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638 Berendo Partners, LLC</t>
  </si>
  <si>
    <t>638 S Berendo</t>
  </si>
  <si>
    <t>Timothy Elliott</t>
  </si>
  <si>
    <t>1200 W 7th Street, 8th Floor</t>
  </si>
  <si>
    <t>213-808-8596</t>
  </si>
  <si>
    <t>213-808-8910</t>
  </si>
  <si>
    <t>timothy.elliott@lacity.org</t>
  </si>
  <si>
    <t>638 S. Berendo Street</t>
  </si>
  <si>
    <t>5502-026-022</t>
  </si>
  <si>
    <t>40%/60% Average Income</t>
  </si>
  <si>
    <t>4751 Wilshire Blvd #110</t>
  </si>
  <si>
    <t>CA</t>
  </si>
  <si>
    <t>Scott Dobbins</t>
  </si>
  <si>
    <t>213-365-5000</t>
  </si>
  <si>
    <t>dobbins@hiclp.com</t>
  </si>
  <si>
    <t>Hankey Investment Company</t>
  </si>
  <si>
    <t>Administrative GP</t>
  </si>
  <si>
    <t>Kingdom Development, Inc.</t>
  </si>
  <si>
    <t>Managing GP</t>
  </si>
  <si>
    <t>Kingdom BE LLC</t>
  </si>
  <si>
    <t>6451 Box Springs Road</t>
  </si>
  <si>
    <t>Rusty Leach</t>
  </si>
  <si>
    <t>714-357-1637</t>
  </si>
  <si>
    <t>rusty@kingdomdevelopment.net</t>
  </si>
  <si>
    <t>Developer</t>
  </si>
  <si>
    <t>Los Angeles, CA 90010</t>
  </si>
  <si>
    <t>DFH Architects</t>
  </si>
  <si>
    <t>1544 20th St</t>
  </si>
  <si>
    <t>Santa Monica CA 90404</t>
  </si>
  <si>
    <t>James Fischer</t>
  </si>
  <si>
    <t>310.394.4045</t>
  </si>
  <si>
    <t>fischer@dfhaia.com</t>
  </si>
  <si>
    <t>Bocarsly Emden Cowan Esmail &amp; Arndt LLP</t>
  </si>
  <si>
    <t>633 W 5th Street, Suite 5880</t>
  </si>
  <si>
    <t>Los Angeles, CA 90071</t>
  </si>
  <si>
    <t>Kyle Arndt</t>
  </si>
  <si>
    <t>213-239-8048</t>
  </si>
  <si>
    <t>213-559-0747</t>
  </si>
  <si>
    <t>karndt@bocarsly.com</t>
  </si>
  <si>
    <t>Wilshire Construction</t>
  </si>
  <si>
    <t>3470 Wilshire Blvd. #500</t>
  </si>
  <si>
    <t>Matt Cheesebro</t>
  </si>
  <si>
    <t>mcheesebro@wilshireconstructionlp.com</t>
  </si>
  <si>
    <t>Novogradac &amp; Company LLP</t>
  </si>
  <si>
    <t>PO Box 7833</t>
  </si>
  <si>
    <t>San Francisco, CA 94120-7833</t>
  </si>
  <si>
    <t>Melissa Chung</t>
  </si>
  <si>
    <t>415-356-8000</t>
  </si>
  <si>
    <t>415-356-8001</t>
  </si>
  <si>
    <t>melissa.chung@novoco.com</t>
  </si>
  <si>
    <t>RBC Capital Markets</t>
  </si>
  <si>
    <t>2061 Ashridge Way</t>
  </si>
  <si>
    <t>Granite Bay, CA 95746</t>
  </si>
  <si>
    <t>Stacie Altmann</t>
  </si>
  <si>
    <t>916-790-0246</t>
  </si>
  <si>
    <t>stacie.altmann@rbccm.com</t>
  </si>
  <si>
    <t>6700 Antioch Rd., Suite 450</t>
  </si>
  <si>
    <t>Merriam, KS 66204</t>
  </si>
  <si>
    <t>Rebecca Arthur</t>
  </si>
  <si>
    <t>913-312-4615</t>
  </si>
  <si>
    <t>rebecca.arthur@novoco.com</t>
  </si>
  <si>
    <t>Kidder Matthews</t>
  </si>
  <si>
    <t>601 S. Figueroa St. Suite 2700</t>
  </si>
  <si>
    <t>Los Angeles, CA 90017</t>
  </si>
  <si>
    <t>Bill Drewes</t>
  </si>
  <si>
    <t>213-225-7245</t>
  </si>
  <si>
    <t>bill.drewes@kidder.com</t>
  </si>
  <si>
    <t>CalHFA</t>
  </si>
  <si>
    <t>500 Capitol Mall, Suite 1400</t>
  </si>
  <si>
    <t>Sacramento, CA 95814</t>
  </si>
  <si>
    <t>Kevin Brown</t>
  </si>
  <si>
    <t>917-326-8808</t>
  </si>
  <si>
    <t>kbrown@calhfa.ca.gov</t>
  </si>
  <si>
    <t>3275 Wilshire, LP</t>
  </si>
  <si>
    <t>Secured by Leasehold Interest</t>
  </si>
  <si>
    <t>8 story low rise type 3 construction over type 1</t>
  </si>
  <si>
    <t>Other (Specify below)</t>
  </si>
  <si>
    <t>non-targeted</t>
  </si>
  <si>
    <t>Parking and Residential</t>
  </si>
  <si>
    <t>RFP-2 75 Units</t>
  </si>
  <si>
    <t>RFP-2 163</t>
  </si>
  <si>
    <t>Unstricted</t>
  </si>
  <si>
    <t>0 Using AB2097</t>
  </si>
  <si>
    <t>Citibank - TEB</t>
  </si>
  <si>
    <t>Variable</t>
  </si>
  <si>
    <t>Citibank - Recycled Bonds</t>
  </si>
  <si>
    <t>Citibank - Taxable Tail</t>
  </si>
  <si>
    <t>RBC - Tax Credit Equity</t>
  </si>
  <si>
    <t>Deferred Costs</t>
  </si>
  <si>
    <t>CalHFA Perm Loan</t>
  </si>
  <si>
    <t>300 S Grand Avenue, Suite 3110</t>
  </si>
  <si>
    <t>Hao Li</t>
  </si>
  <si>
    <t>213-239-1914</t>
  </si>
  <si>
    <t>Tax-Exempt Bonds</t>
  </si>
  <si>
    <t>Recycled Bonds</t>
  </si>
  <si>
    <t>SOFR</t>
  </si>
  <si>
    <t>Taxable Tail Bonds</t>
  </si>
  <si>
    <t>LIHTC Equity</t>
  </si>
  <si>
    <t>916-326-8808</t>
  </si>
  <si>
    <t>4751 Wilshire Blvd, Suite 110</t>
  </si>
  <si>
    <t>Residual Receipts Loan</t>
  </si>
  <si>
    <t>Wifi income</t>
  </si>
  <si>
    <t>AC</t>
  </si>
  <si>
    <t>HACLA</t>
  </si>
  <si>
    <t>Other: Perm Loan Legal</t>
  </si>
  <si>
    <t>Other: (Developer Legal)</t>
  </si>
  <si>
    <t>Other: Ground Lease</t>
  </si>
  <si>
    <t>Other: Inspections</t>
  </si>
  <si>
    <t>Other: Utility</t>
  </si>
  <si>
    <t>LifeSTEPs</t>
  </si>
  <si>
    <t>84 hours of instructor led adult educational health and wellness or skill building classes.</t>
  </si>
  <si>
    <t xml:space="preserve">180 hours of health and wellness service and programs. </t>
  </si>
  <si>
    <t>638 Berendo, LP</t>
  </si>
  <si>
    <t xml:space="preserve">A ground lease agreement will be entered into for a 55 year term at $300,000 per year. 
The rent amount is based on approximately 7% of the current fair market value of the 
land of $4,200,000. </t>
  </si>
  <si>
    <t>638 Berendo Partners, LLC (Hankey Investment Company)</t>
  </si>
  <si>
    <t>Using Kingdom Development Inc's experience. See below.</t>
  </si>
  <si>
    <t>638 Berendo is designed to meet the minimum construction standards pursuant to Section §10325()(7) of the CTCAC
regulations and commits to maintaining the applicable Building Energy Efficiency Standards (Energy Code,
California Code of Regulations, Title 24) adopted by the California Energy Commission (CEC) as well as maintaining
the installed energy efficiency and sustainability features’ quality when replacing each of the applicable listed
systems or materials.</t>
  </si>
  <si>
    <t>GMP</t>
  </si>
  <si>
    <t>Wilshire Construction LP date signed 2/25/2025 - General Contractor and Engagment Certification</t>
  </si>
  <si>
    <t>As part of the agreement Wilshire Construction will be provining vlaue engineering, budget preperation, project mangment and consurctabilty review of plans.</t>
  </si>
  <si>
    <t>Phase 1</t>
  </si>
  <si>
    <t>Cash</t>
  </si>
  <si>
    <t xml:space="preserve">Closing								</t>
  </si>
  <si>
    <t xml:space="preserve">CofO								</t>
  </si>
  <si>
    <t xml:space="preserve">Perm Conversion								</t>
  </si>
  <si>
    <t xml:space="preserve">Receipt of 8609's								</t>
  </si>
  <si>
    <t>Aperto Property Management, Inc.</t>
  </si>
  <si>
    <t>23461 South Pointe Dr., Suite 180</t>
  </si>
  <si>
    <t>Laguna Hills, CA 92653</t>
  </si>
  <si>
    <t>Ed Quigley</t>
  </si>
  <si>
    <t>949-873-0160</t>
  </si>
  <si>
    <t>equigley@apertopm.com</t>
  </si>
  <si>
    <t>Provided</t>
  </si>
  <si>
    <t>Not Applicable</t>
  </si>
  <si>
    <t>Kingdom BE,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</si>
</sst>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71" fillId="48" borderId="72" xfId="8733" applyFont="1" applyFill="1" applyBorder="1" applyAlignment="1" applyProtection="1">
      <alignment horizontal="left" vertical="top" wrapText="1"/>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3" workbookViewId="0">
      <selection activeCell="I124" sqref="I12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3" t="s">
        <v>1586</v>
      </c>
      <c r="B1" s="2653"/>
      <c r="C1" s="2653"/>
      <c r="D1" s="2653"/>
      <c r="E1" s="2653"/>
      <c r="F1" s="2653"/>
      <c r="G1" s="2653"/>
      <c r="H1" s="2653"/>
      <c r="I1" s="2653"/>
      <c r="J1" s="2653"/>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32951240.000000004</v>
      </c>
      <c r="I3" s="1105"/>
    </row>
    <row r="4" spans="1:13" s="1051" customFormat="1" ht="20.100000000000001" customHeight="1">
      <c r="B4" s="1094"/>
      <c r="D4" s="1108"/>
      <c r="F4" s="1092" t="s">
        <v>1993</v>
      </c>
      <c r="G4" s="1091" t="s">
        <v>1992</v>
      </c>
      <c r="H4" s="1093">
        <f>I18</f>
        <v>22139436.274509802</v>
      </c>
      <c r="I4" s="1095"/>
      <c r="K4" s="1055"/>
    </row>
    <row r="5" spans="1:13" s="1051" customFormat="1" ht="20.100000000000001" customHeight="1" thickBot="1">
      <c r="B5" s="1096"/>
      <c r="C5" s="1097"/>
      <c r="D5" s="1109"/>
      <c r="E5" s="1098"/>
      <c r="F5" s="1109" t="s">
        <v>1943</v>
      </c>
      <c r="G5" s="1110"/>
      <c r="H5" s="1106">
        <f>IFERROR(H3/H4,0)</f>
        <v>1.4883504526236899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1941</v>
      </c>
      <c r="C8" s="2657"/>
      <c r="D8" s="2657"/>
      <c r="E8" s="2658"/>
      <c r="G8" s="2659" t="s">
        <v>1942</v>
      </c>
      <c r="H8" s="2660"/>
      <c r="I8" s="2661"/>
      <c r="K8" s="1057"/>
    </row>
    <row r="9" spans="1:13" ht="15" customHeight="1">
      <c r="A9" s="1046"/>
      <c r="B9" s="2654" t="s">
        <v>1975</v>
      </c>
      <c r="C9" s="2654"/>
      <c r="D9" s="2654"/>
      <c r="E9" s="1059">
        <f>G33</f>
        <v>7665000.0000000009</v>
      </c>
      <c r="G9" s="2662" t="s">
        <v>1973</v>
      </c>
      <c r="H9" s="2662"/>
      <c r="I9" s="1060">
        <f>SUMIF(Application!M554:M565,"Loan, Tax-Exempt",Application!AM554:AM565)</f>
        <v>24900000</v>
      </c>
      <c r="K9" s="1061"/>
      <c r="M9" s="1062"/>
    </row>
    <row r="10" spans="1:13" ht="15" customHeight="1" thickBot="1">
      <c r="A10" s="1046"/>
      <c r="B10" s="2654" t="s">
        <v>1976</v>
      </c>
      <c r="C10" s="2654"/>
      <c r="D10" s="2654"/>
      <c r="E10" s="1060">
        <f>G47</f>
        <v>10042740.000000004</v>
      </c>
      <c r="G10" s="2666" t="s">
        <v>1944</v>
      </c>
      <c r="H10" s="2666"/>
      <c r="I10" s="1140">
        <f>'Basis &amp; Credits'!AB78</f>
        <v>0</v>
      </c>
      <c r="M10" s="1062"/>
    </row>
    <row r="11" spans="1:13" ht="15" customHeight="1">
      <c r="A11" s="1046"/>
      <c r="B11" s="2670" t="s">
        <v>2265</v>
      </c>
      <c r="C11" s="2671"/>
      <c r="D11" s="2672"/>
      <c r="E11" s="1060">
        <f>SUM(E12,E13)</f>
        <v>680000</v>
      </c>
      <c r="G11" s="2669" t="s">
        <v>1984</v>
      </c>
      <c r="H11" s="2669"/>
      <c r="I11" s="1139">
        <f>I9+I10</f>
        <v>24900000</v>
      </c>
      <c r="M11" s="1062"/>
    </row>
    <row r="12" spans="1:13" ht="15" customHeight="1">
      <c r="A12" s="1063"/>
      <c r="B12" s="2655" t="s">
        <v>2267</v>
      </c>
      <c r="C12" s="2655"/>
      <c r="D12" s="2655"/>
      <c r="E12" s="1165">
        <f>G56</f>
        <v>0</v>
      </c>
      <c r="M12" s="1062"/>
    </row>
    <row r="13" spans="1:13" ht="15" customHeight="1">
      <c r="A13" s="1049"/>
      <c r="B13" s="2655" t="s">
        <v>2268</v>
      </c>
      <c r="C13" s="2655"/>
      <c r="D13" s="2655"/>
      <c r="E13" s="1165">
        <f>G65</f>
        <v>680000</v>
      </c>
      <c r="G13" s="2659" t="s">
        <v>2007</v>
      </c>
      <c r="H13" s="2660"/>
      <c r="I13" s="2661"/>
      <c r="M13" s="1062"/>
    </row>
    <row r="14" spans="1:13" ht="15" customHeight="1">
      <c r="A14" s="1049"/>
      <c r="B14" s="2670" t="s">
        <v>2266</v>
      </c>
      <c r="C14" s="2671"/>
      <c r="D14" s="2672"/>
      <c r="E14" s="1167">
        <f>MAX(E15,E16)+E17</f>
        <v>14563500</v>
      </c>
      <c r="G14" s="2662" t="s">
        <v>139</v>
      </c>
      <c r="H14" s="2662"/>
      <c r="I14" s="1064">
        <f>15%*(AND(G120="Yes",G122&lt;&gt;""))</f>
        <v>0</v>
      </c>
      <c r="M14" s="1062"/>
    </row>
    <row r="15" spans="1:13" ht="15" customHeight="1">
      <c r="A15" s="1049"/>
      <c r="B15" s="2673" t="s">
        <v>2272</v>
      </c>
      <c r="C15" s="2674"/>
      <c r="D15" s="2675"/>
      <c r="E15" s="1165">
        <f>G80</f>
        <v>4599000</v>
      </c>
      <c r="G15" s="1137" t="s">
        <v>1985</v>
      </c>
      <c r="H15" s="1137"/>
      <c r="I15" s="1064">
        <f>IF(Application!AJ1032&gt;0,10%,IF(Application!AJ1036&gt;0,5%,0))</f>
        <v>0.05</v>
      </c>
      <c r="M15" s="1062"/>
    </row>
    <row r="16" spans="1:13" ht="15" customHeight="1">
      <c r="A16" s="1049"/>
      <c r="B16" s="2673" t="s">
        <v>2271</v>
      </c>
      <c r="C16" s="2674"/>
      <c r="D16" s="2675"/>
      <c r="E16" s="1165">
        <f>G90</f>
        <v>0</v>
      </c>
      <c r="G16" s="2662" t="s">
        <v>1986</v>
      </c>
      <c r="H16" s="2662"/>
      <c r="I16" s="1064">
        <f>G132</f>
        <v>6.0866013071895424E-2</v>
      </c>
    </row>
    <row r="17" spans="1:21" ht="15" customHeight="1" thickBot="1">
      <c r="A17" s="1049"/>
      <c r="B17" s="2673" t="s">
        <v>2270</v>
      </c>
      <c r="C17" s="2674"/>
      <c r="D17" s="2675"/>
      <c r="E17" s="1165">
        <f>G115</f>
        <v>9964500</v>
      </c>
      <c r="G17" s="2662" t="s">
        <v>2280</v>
      </c>
      <c r="H17" s="2662"/>
      <c r="I17" s="1064">
        <f>IF(AND(G139="Yes",OR(G136,G137)),IF(G143&gt;15%,15%,G143),0)</f>
        <v>0</v>
      </c>
    </row>
    <row r="18" spans="1:21" ht="15" customHeight="1">
      <c r="A18" s="1046"/>
      <c r="B18" s="2665" t="s">
        <v>1940</v>
      </c>
      <c r="C18" s="2665"/>
      <c r="D18" s="2665"/>
      <c r="E18" s="1111">
        <f>SUM(E9:E11,E14)</f>
        <v>32951240.000000004</v>
      </c>
      <c r="G18" s="1138" t="s">
        <v>1974</v>
      </c>
      <c r="H18" s="1138"/>
      <c r="I18" s="1112">
        <f>I11-((I11*I14)+(I11*I15)+(I11*I16)+(I11*I17))</f>
        <v>22139436.274509802</v>
      </c>
      <c r="M18" s="1065">
        <f>SUM(Cdlac[Quantity])</f>
        <v>161</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30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10</v>
      </c>
      <c r="N21" s="1071">
        <f>Application!AC719</f>
        <v>0.5</v>
      </c>
      <c r="O21" s="1071">
        <f>IF(Cdlac[[#This Row],[Quantity]]&gt;0,IF(Cdlac[[#This Row],[Federal]],30%,IF(AND(OR(NOT($G$38),$G$38=""),$G$43),40%,Cdlac[[#This Row],[iAMI]])),"")</f>
        <v>0.5</v>
      </c>
      <c r="P21" s="1065" cm="1">
        <f t="array" ref="P21">IF(Cdlac[[#This Row],[Quantity]]&gt;0,INDEX(TcacRents,$P$18,Cdlac[[#This Row],[Bedrooms]]+1)*Cdlac[[#This Row],[AMI]],"")</f>
        <v>1325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531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1988</v>
      </c>
      <c r="D22" s="2663" t="s">
        <v>1989</v>
      </c>
      <c r="E22" s="2663" t="s">
        <v>1990</v>
      </c>
      <c r="F22" s="2663" t="s">
        <v>2606</v>
      </c>
      <c r="G22" s="2663" t="s">
        <v>1987</v>
      </c>
      <c r="H22" s="1070"/>
      <c r="I22" s="1069"/>
      <c r="L22" s="1044">
        <f>IFERROR(MIN(4,MATCH(Application!B720,UnitSizes,0)-1),"")</f>
        <v>0</v>
      </c>
      <c r="M22" s="1065">
        <f>Application!G720</f>
        <v>10</v>
      </c>
      <c r="N22" s="1071">
        <f>Application!AC720</f>
        <v>0.6</v>
      </c>
      <c r="O22" s="1071">
        <f>IF(Cdlac[[#This Row],[Quantity]]&gt;0,IF(Cdlac[[#This Row],[Federal]],30%,IF(AND(OR(NOT($G$38),$G$38=""),$G$43),40%,Cdlac[[#This Row],[iAMI]])),"")</f>
        <v>0.6</v>
      </c>
      <c r="P22" s="1065" cm="1">
        <f t="array" ref="P22">IF(Cdlac[[#This Row],[Quantity]]&gt;0,INDEX(TcacRents,$P$18,Cdlac[[#This Row],[Bedrooms]]+1)*Cdlac[[#This Row],[AMI]],"")</f>
        <v>1590</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266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0</v>
      </c>
      <c r="M23" s="1065">
        <f>Application!G721</f>
        <v>18</v>
      </c>
      <c r="N23" s="1071">
        <f>Application!AC721</f>
        <v>0.7</v>
      </c>
      <c r="O23" s="1071">
        <f>IF(Cdlac[[#This Row],[Quantity]]&gt;0,IF(Cdlac[[#This Row],[Federal]],30%,IF(AND(OR(NOT($G$38),$G$38=""),$G$43),40%,Cdlac[[#This Row],[iAMI]])),"")</f>
        <v>0.7</v>
      </c>
      <c r="P23" s="1065" cm="1">
        <f t="array" ref="P23">IF(Cdlac[[#This Row],[Quantity]]&gt;0,INDEX(TcacRents,$P$18,Cdlac[[#This Row],[Bedrooms]]+1)*Cdlac[[#This Row],[AMI]],"")</f>
        <v>1854.9999999999998</v>
      </c>
      <c r="Q23" s="1164"/>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1.0000000000002274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77</v>
      </c>
      <c r="F24" s="1072">
        <f>E24</f>
        <v>77</v>
      </c>
      <c r="G24" s="1072">
        <f>D24*F24</f>
        <v>69.3</v>
      </c>
      <c r="L24" s="1044">
        <f>IFERROR(MIN(4,MATCH(Application!B722,UnitSizes,0)-1),"")</f>
        <v>0</v>
      </c>
      <c r="M24" s="1065">
        <f>Application!G722</f>
        <v>9</v>
      </c>
      <c r="N24" s="1071">
        <f>Application!AC722</f>
        <v>0.8</v>
      </c>
      <c r="O24" s="1071">
        <f>IF(Cdlac[[#This Row],[Quantity]]&gt;0,IF(Cdlac[[#This Row],[Federal]],30%,IF(AND(OR(NOT($G$38),$G$38=""),$G$43),40%,Cdlac[[#This Row],[iAMI]])),"")</f>
        <v>0.8</v>
      </c>
      <c r="P24" s="1065" cm="1">
        <f t="array" ref="P24">IF(Cdlac[[#This Row],[Quantity]]&gt;0,INDEX(TcacRents,$P$18,Cdlac[[#This Row],[Bedrooms]]+1)*Cdlac[[#This Row],[AMI]],"")</f>
        <v>2120</v>
      </c>
      <c r="Q24" s="1164"/>
      <c r="R24" s="1065" cm="1">
        <f t="array" ref="R24">IF(Cdlac[[#This Row],[Quantity]]&gt;0,INDEX(HudFmrs,$P$18,Cdlac[[#This Row],[Bedrooms]]+1),"")</f>
        <v>1856</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84</v>
      </c>
      <c r="F25" s="1072">
        <f>E25</f>
        <v>84</v>
      </c>
      <c r="G25" s="1072">
        <f>D25*F25</f>
        <v>84</v>
      </c>
      <c r="L25" s="1044">
        <f>IFERROR(MIN(4,MATCH(Application!B723,UnitSizes,0)-1),"")</f>
        <v>1</v>
      </c>
      <c r="M25" s="1065">
        <f>Application!G723</f>
        <v>4</v>
      </c>
      <c r="N25" s="1071">
        <f>Application!AC723</f>
        <v>0.3</v>
      </c>
      <c r="O25" s="1071">
        <f>IF(Cdlac[[#This Row],[Quantity]]&gt;0,IF(Cdlac[[#This Row],[Federal]],30%,IF(AND(OR(NOT($G$38),$G$38=""),$G$43),40%,Cdlac[[#This Row],[iAMI]])),"")</f>
        <v>0.3</v>
      </c>
      <c r="P25" s="1065" cm="1">
        <f t="array" ref="P25">IF(Cdlac[[#This Row],[Quantity]]&gt;0,INDEX(TcacRents,$P$18,Cdlac[[#This Row],[Bedrooms]]+1)*Cdlac[[#This Row],[AMI]],"")</f>
        <v>852</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1229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5</v>
      </c>
      <c r="N26" s="1071">
        <f>Application!AC724</f>
        <v>0.5</v>
      </c>
      <c r="O26" s="1071">
        <f>IF(Cdlac[[#This Row],[Quantity]]&gt;0,IF(Cdlac[[#This Row],[Federal]],30%,IF(AND(OR(NOT($G$38),$G$38=""),$G$43),40%,Cdlac[[#This Row],[iAMI]])),"")</f>
        <v>0.5</v>
      </c>
      <c r="P26" s="1065" cm="1">
        <f t="array" ref="P26">IF(Cdlac[[#This Row],[Quantity]]&gt;0,INDEX(TcacRents,$P$18,Cdlac[[#This Row],[Bedrooms]]+1)*Cdlac[[#This Row],[AMI]],"")</f>
        <v>1420</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661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7</v>
      </c>
      <c r="N27" s="1071">
        <f>Application!AC725</f>
        <v>0.6</v>
      </c>
      <c r="O27" s="1071">
        <f>IF(Cdlac[[#This Row],[Quantity]]&gt;0,IF(Cdlac[[#This Row],[Federal]],30%,IF(AND(OR(NOT($G$38),$G$38=""),$G$43),40%,Cdlac[[#This Row],[iAMI]])),"")</f>
        <v>0.6</v>
      </c>
      <c r="P27" s="1065" cm="1">
        <f t="array" ref="P27">IF(Cdlac[[#This Row],[Quantity]]&gt;0,INDEX(TcacRents,$P$18,Cdlac[[#This Row],[Bedrooms]]+1)*Cdlac[[#This Row],[AMI]],"")</f>
        <v>1704</v>
      </c>
      <c r="Q27" s="1164"/>
      <c r="R27" s="1065" cm="1">
        <f t="array" ref="R27">IF(Cdlac[[#This Row],[Quantity]]&gt;0,INDEX(HudFmrs,$P$18,Cdlac[[#This Row],[Bedrooms]]+1),"")</f>
        <v>2081</v>
      </c>
      <c r="S27" s="1065">
        <f>IF(Cdlac[[#This Row],[Quantity]]&gt;0,MAX(0,Cdlac[[#This Row],[Fair Market Rent]]-IF(AND($G$37,$G$38,$G$38&lt;&gt;"",NOT(Cdlac[[#This Row],[Federal]]),Cdlac[[#This Row],[Preservation Rent]]&lt;&gt;""),Cdlac[[#This Row],[Preservation Rent]],Cdlac[[#This Row],[Restricted Rent]])),"")</f>
        <v>377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55</v>
      </c>
      <c r="N28" s="1071">
        <f>Application!AC726</f>
        <v>0.7</v>
      </c>
      <c r="O28" s="1071">
        <f>IF(Cdlac[[#This Row],[Quantity]]&gt;0,IF(Cdlac[[#This Row],[Federal]],30%,IF(AND(OR(NOT($G$38),$G$38=""),$G$43),40%,Cdlac[[#This Row],[iAMI]])),"")</f>
        <v>0.7</v>
      </c>
      <c r="P28" s="1065" cm="1">
        <f t="array" ref="P28">IF(Cdlac[[#This Row],[Quantity]]&gt;0,INDEX(TcacRents,$P$18,Cdlac[[#This Row],[Bedrooms]]+1)*Cdlac[[#This Row],[AMI]],"")</f>
        <v>1987.9999999999998</v>
      </c>
      <c r="Q28" s="1164"/>
      <c r="R28" s="1065" cm="1">
        <f t="array" ref="R28">IF(Cdlac[[#This Row],[Quantity]]&gt;0,INDEX(HudFmrs,$P$18,Cdlac[[#This Row],[Bedrooms]]+1),"")</f>
        <v>2081</v>
      </c>
      <c r="S28" s="1065">
        <f>IF(Cdlac[[#This Row],[Quantity]]&gt;0,MAX(0,Cdlac[[#This Row],[Fair Market Rent]]-IF(AND($G$37,$G$38,$G$38&lt;&gt;"",NOT(Cdlac[[#This Row],[Federal]]),Cdlac[[#This Row],[Preservation Rent]]&lt;&gt;""),Cdlac[[#This Row],[Preservation Rent]],Cdlac[[#This Row],[Restricted Rent]])),"")</f>
        <v>93.000000000000227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7" t="s">
        <v>1587</v>
      </c>
      <c r="D29" s="2678"/>
      <c r="E29" s="1089">
        <f>SUM(E24:E28)</f>
        <v>161</v>
      </c>
      <c r="F29" s="1089">
        <f>SUM(F24:F28)</f>
        <v>161</v>
      </c>
      <c r="G29" s="1090">
        <f>SUMPRODUCT(D24:D28,F24:F28)</f>
        <v>153.30000000000001</v>
      </c>
      <c r="H29" s="1074"/>
      <c r="I29" s="1074"/>
      <c r="L29" s="1044">
        <f>IFERROR(MIN(4,MATCH(Application!B727,UnitSizes,0)-1),"")</f>
        <v>1</v>
      </c>
      <c r="M29" s="1065">
        <f>Application!G727</f>
        <v>13</v>
      </c>
      <c r="N29" s="1071">
        <f>Application!AC727</f>
        <v>0.8</v>
      </c>
      <c r="O29" s="1071">
        <f>IF(Cdlac[[#This Row],[Quantity]]&gt;0,IF(Cdlac[[#This Row],[Federal]],30%,IF(AND(OR(NOT($G$38),$G$38=""),$G$43),40%,Cdlac[[#This Row],[iAMI]])),"")</f>
        <v>0.8</v>
      </c>
      <c r="P29" s="1065" cm="1">
        <f t="array" ref="P29">IF(Cdlac[[#This Row],[Quantity]]&gt;0,INDEX(TcacRents,$P$18,Cdlac[[#This Row],[Bedrooms]]+1)*Cdlac[[#This Row],[AMI]],"")</f>
        <v>2272</v>
      </c>
      <c r="Q29" s="1164"/>
      <c r="R29" s="1065" cm="1">
        <f t="array" ref="R29">IF(Cdlac[[#This Row],[Quantity]]&gt;0,INDEX(HudFmrs,$P$18,Cdlac[[#This Row],[Bedrooms]]+1),"")</f>
        <v>2081</v>
      </c>
      <c r="S29" s="1065">
        <f>IF(Cdlac[[#This Row],[Quantity]]&gt;0,MAX(0,Cdlac[[#This Row],[Fair Market Rent]]-IF(AND($G$37,$G$38,$G$38&lt;&gt;"",NOT(Cdlac[[#This Row],[Federal]]),Cdlac[[#This Row],[Preservation Rent]]&lt;&gt;""),Cdlac[[#This Row],[Preservation Rent]],Cdlac[[#This Row],[Restricted Rent]])),"")</f>
        <v>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153.30000000000001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7665000.0000000009</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0.60000000000000009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55793.000000000022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10042740.000000004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80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34</v>
      </c>
    </row>
    <row r="61" spans="2:21" ht="15" customHeight="1">
      <c r="E61" s="1117" t="s">
        <v>1996</v>
      </c>
      <c r="G61" s="1079">
        <f>ROUNDDOWN(E29*50%,0)</f>
        <v>80</v>
      </c>
    </row>
    <row r="62" spans="2:21" ht="15" customHeight="1">
      <c r="E62" s="1117"/>
      <c r="G62" s="1079"/>
    </row>
    <row r="63" spans="2:21" ht="15" customHeight="1">
      <c r="E63" s="1117" t="s">
        <v>1956</v>
      </c>
      <c r="G63" s="1114">
        <f>MIN(G60:G61)</f>
        <v>34</v>
      </c>
    </row>
    <row r="64" spans="2:21" ht="15" customHeight="1">
      <c r="E64" s="1117" t="s">
        <v>1946</v>
      </c>
      <c r="F64" s="1113" t="s">
        <v>1994</v>
      </c>
      <c r="G64" s="1124">
        <v>20000</v>
      </c>
    </row>
    <row r="65" spans="2:14" ht="15" customHeight="1">
      <c r="E65" s="1118" t="s">
        <v>1978</v>
      </c>
      <c r="F65" s="1046"/>
      <c r="G65" s="1123">
        <f>G63*G64</f>
        <v>680000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Low Resource</v>
      </c>
      <c r="L72" s="2650" t="s">
        <v>1971</v>
      </c>
      <c r="M72" s="2651"/>
      <c r="N72" s="1131">
        <v>30000</v>
      </c>
    </row>
    <row r="73" spans="2:14" ht="15" customHeight="1">
      <c r="C73" s="2652" t="s">
        <v>2264</v>
      </c>
      <c r="D73" s="2652"/>
      <c r="E73" s="2652"/>
      <c r="F73" s="2652"/>
      <c r="G73" s="1043" t="s">
        <v>546</v>
      </c>
      <c r="L73" s="2667" t="s">
        <v>1939</v>
      </c>
      <c r="M73" s="2668"/>
      <c r="N73" s="1132">
        <v>20000</v>
      </c>
    </row>
    <row r="74" spans="2:14" ht="15" customHeight="1" thickBot="1">
      <c r="C74" s="2652"/>
      <c r="D74" s="2652"/>
      <c r="E74" s="2652"/>
      <c r="F74" s="2652"/>
      <c r="L74" s="2642" t="s">
        <v>1972</v>
      </c>
      <c r="M74" s="2643"/>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153.30000000000001</v>
      </c>
    </row>
    <row r="80" spans="2:14" ht="15" customHeight="1">
      <c r="D80" s="1046"/>
      <c r="E80" s="1118" t="s">
        <v>2269</v>
      </c>
      <c r="F80" s="1046"/>
      <c r="G80" s="1123">
        <f>G79*G78*G76</f>
        <v>4599000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153.30000000000001</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153.30000000000001</v>
      </c>
    </row>
    <row r="97" spans="2:14" ht="15" customHeight="1">
      <c r="E97" s="1118" t="s">
        <v>1963</v>
      </c>
      <c r="F97" s="1046"/>
      <c r="G97" s="1123">
        <f>G94*G95*G96</f>
        <v>4292400</v>
      </c>
      <c r="L97" s="1127" t="str">
        <f>'Points System'!H638</f>
        <v>(i)</v>
      </c>
      <c r="M97" s="2648" t="s">
        <v>1406</v>
      </c>
      <c r="N97" s="2649"/>
    </row>
    <row r="98" spans="2:14" ht="15" customHeight="1">
      <c r="C98" s="1077"/>
      <c r="G98" s="1114"/>
      <c r="L98" s="1128" t="str">
        <f>'Points System'!H650</f>
        <v>(ii)</v>
      </c>
      <c r="M98" s="2644" t="s">
        <v>1958</v>
      </c>
      <c r="N98" s="2645"/>
    </row>
    <row r="99" spans="2:14" ht="15" customHeight="1">
      <c r="E99" s="1084" t="s">
        <v>1999</v>
      </c>
      <c r="G99" s="1126">
        <f>COUNTIFS(L97:L104,"(i)")</f>
        <v>3</v>
      </c>
      <c r="L99" s="1128" t="str">
        <f>'Points System'!H685</f>
        <v>(i)</v>
      </c>
      <c r="M99" s="2644" t="s">
        <v>1959</v>
      </c>
      <c r="N99" s="2645"/>
    </row>
    <row r="100" spans="2:14" ht="15" customHeight="1">
      <c r="E100" s="1084" t="s">
        <v>1946</v>
      </c>
      <c r="F100" s="1113" t="s">
        <v>1994</v>
      </c>
      <c r="G100" s="1124">
        <v>4000</v>
      </c>
      <c r="L100" s="1128" t="str">
        <f>IF(OR('Points System'!H709="(ii)",'Points System'!H709="(i)"),"(i)","N/A")</f>
        <v>N/A</v>
      </c>
      <c r="M100" s="2644" t="s">
        <v>1960</v>
      </c>
      <c r="N100" s="2645"/>
    </row>
    <row r="101" spans="2:14" ht="15" customHeight="1">
      <c r="E101" s="1118" t="s">
        <v>1964</v>
      </c>
      <c r="F101" s="1046"/>
      <c r="G101" s="1123">
        <f>G96*G99*G100</f>
        <v>1839600.0000000002</v>
      </c>
      <c r="L101" s="1129" t="str">
        <f>'Points System'!H723</f>
        <v>N/A</v>
      </c>
      <c r="M101" s="2644" t="s">
        <v>1432</v>
      </c>
      <c r="N101" s="2645"/>
    </row>
    <row r="102" spans="2:14" ht="15" customHeight="1">
      <c r="L102" s="1128" t="str">
        <f>'Points System'!H735</f>
        <v>N/A</v>
      </c>
      <c r="M102" s="2644" t="s">
        <v>1961</v>
      </c>
      <c r="N102" s="2645"/>
    </row>
    <row r="103" spans="2:14" ht="15" customHeight="1">
      <c r="C103" s="1080" t="s">
        <v>1966</v>
      </c>
      <c r="L103" s="1128" t="str">
        <f>'Points System'!H751</f>
        <v>N/A</v>
      </c>
      <c r="M103" s="2644" t="s">
        <v>1962</v>
      </c>
      <c r="N103" s="2645"/>
    </row>
    <row r="104" spans="2:14" ht="15" customHeight="1" thickBot="1">
      <c r="C104" s="1077" t="s">
        <v>1967</v>
      </c>
      <c r="G104" s="1043"/>
      <c r="L104" s="1130" t="str">
        <f>'Points System'!H763</f>
        <v>(i)</v>
      </c>
      <c r="M104" s="2646" t="s">
        <v>1435</v>
      </c>
      <c r="N104" s="2647"/>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153.30000000000001</v>
      </c>
    </row>
    <row r="112" spans="2:14" ht="15" customHeight="1">
      <c r="E112" s="1084" t="s">
        <v>1946</v>
      </c>
      <c r="F112" s="1113" t="s">
        <v>1994</v>
      </c>
      <c r="G112" s="1124">
        <v>25000</v>
      </c>
    </row>
    <row r="113" spans="2:9" ht="15" customHeight="1">
      <c r="E113" s="1118" t="s">
        <v>1965</v>
      </c>
      <c r="F113" s="1046"/>
      <c r="G113" s="1123">
        <f>G109*G112*G96</f>
        <v>3832500.0000000005</v>
      </c>
    </row>
    <row r="114" spans="2:9" ht="15" customHeight="1">
      <c r="C114" s="1077"/>
      <c r="E114" s="1077"/>
    </row>
    <row r="115" spans="2:9" ht="15" customHeight="1">
      <c r="E115" s="1118" t="s">
        <v>2274</v>
      </c>
      <c r="G115" s="1123">
        <f>G113+G101+G97</f>
        <v>9964500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2229</v>
      </c>
      <c r="D119" s="2679"/>
      <c r="E119" s="2679"/>
      <c r="F119" s="2679"/>
    </row>
    <row r="120" spans="2:9" ht="15" customHeight="1">
      <c r="C120" s="2679"/>
      <c r="D120" s="2679"/>
      <c r="E120" s="2679"/>
      <c r="F120" s="2679"/>
      <c r="G120" s="1043"/>
    </row>
    <row r="121" spans="2:9" ht="15" customHeight="1"/>
    <row r="122" spans="2:9" ht="15" customHeight="1">
      <c r="C122" s="1044" t="s">
        <v>2231</v>
      </c>
      <c r="G122" s="2681"/>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6" t="s">
        <v>2277</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3735000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30</v>
      </c>
      <c r="C4" s="1162"/>
      <c r="D4" s="428">
        <f>Application!O718</f>
        <v>697</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10</v>
      </c>
      <c r="C5" s="1162"/>
      <c r="D5" s="428">
        <f>Application!O719</f>
        <v>1182</v>
      </c>
      <c r="E5" s="429"/>
      <c r="F5" s="1083"/>
      <c r="G5" s="428">
        <f t="shared" ref="G5:G38" si="2">F5*B5</f>
        <v>0</v>
      </c>
      <c r="H5" s="429"/>
      <c r="I5" s="428" t="str">
        <f t="shared" si="0"/>
        <v/>
      </c>
      <c r="J5" s="428" t="str">
        <f t="shared" si="1"/>
        <v/>
      </c>
      <c r="K5" s="204"/>
      <c r="L5" s="305"/>
    </row>
    <row r="6" spans="1:12">
      <c r="A6" s="428" t="str">
        <f>Application!B720</f>
        <v>SRO/Studio</v>
      </c>
      <c r="B6" s="1082">
        <f>Application!G720</f>
        <v>10</v>
      </c>
      <c r="C6" s="1162"/>
      <c r="D6" s="428">
        <f>Application!O720</f>
        <v>1425</v>
      </c>
      <c r="E6" s="429"/>
      <c r="F6" s="1083"/>
      <c r="G6" s="428">
        <f t="shared" si="2"/>
        <v>0</v>
      </c>
      <c r="H6" s="429"/>
      <c r="I6" s="428" t="str">
        <f t="shared" si="0"/>
        <v/>
      </c>
      <c r="J6" s="428" t="str">
        <f t="shared" si="1"/>
        <v/>
      </c>
      <c r="K6" s="204"/>
      <c r="L6" s="305"/>
    </row>
    <row r="7" spans="1:12">
      <c r="A7" s="428" t="str">
        <f>Application!B721</f>
        <v>SRO/Studio</v>
      </c>
      <c r="B7" s="1082">
        <f>Application!G721</f>
        <v>18</v>
      </c>
      <c r="C7" s="1162"/>
      <c r="D7" s="428">
        <f>Application!O721</f>
        <v>1668</v>
      </c>
      <c r="E7" s="429"/>
      <c r="F7" s="1083"/>
      <c r="G7" s="428">
        <f t="shared" si="2"/>
        <v>0</v>
      </c>
      <c r="H7" s="429"/>
      <c r="I7" s="428" t="str">
        <f t="shared" si="0"/>
        <v/>
      </c>
      <c r="J7" s="428" t="str">
        <f t="shared" si="1"/>
        <v/>
      </c>
      <c r="K7" s="204"/>
      <c r="L7" s="305"/>
    </row>
    <row r="8" spans="1:12">
      <c r="A8" s="428" t="str">
        <f>Application!B722</f>
        <v>SRO/Studio</v>
      </c>
      <c r="B8" s="1082">
        <f>Application!G722</f>
        <v>9</v>
      </c>
      <c r="C8" s="1162"/>
      <c r="D8" s="428">
        <f>Application!O722</f>
        <v>1911</v>
      </c>
      <c r="E8" s="429"/>
      <c r="F8" s="1083"/>
      <c r="G8" s="428">
        <f t="shared" si="2"/>
        <v>0</v>
      </c>
      <c r="H8" s="429"/>
      <c r="I8" s="428" t="str">
        <f t="shared" si="0"/>
        <v/>
      </c>
      <c r="J8" s="428" t="str">
        <f t="shared" si="1"/>
        <v/>
      </c>
      <c r="K8" s="204"/>
      <c r="L8" s="305"/>
    </row>
    <row r="9" spans="1:12">
      <c r="A9" s="428" t="str">
        <f>Application!B723</f>
        <v>1 Bedroom</v>
      </c>
      <c r="B9" s="1082">
        <f>Application!G723</f>
        <v>4</v>
      </c>
      <c r="C9" s="1162"/>
      <c r="D9" s="428">
        <f>Application!O723</f>
        <v>737</v>
      </c>
      <c r="E9" s="429"/>
      <c r="F9" s="1083"/>
      <c r="G9" s="428">
        <f t="shared" si="2"/>
        <v>0</v>
      </c>
      <c r="H9" s="429"/>
      <c r="I9" s="428" t="str">
        <f t="shared" si="0"/>
        <v/>
      </c>
      <c r="J9" s="428" t="str">
        <f t="shared" si="1"/>
        <v/>
      </c>
      <c r="K9" s="204"/>
      <c r="L9" s="305"/>
    </row>
    <row r="10" spans="1:12">
      <c r="A10" s="428" t="str">
        <f>Application!B724</f>
        <v>1 Bedroom</v>
      </c>
      <c r="B10" s="1082">
        <f>Application!G724</f>
        <v>5</v>
      </c>
      <c r="C10" s="1162"/>
      <c r="D10" s="428">
        <f>Application!O724</f>
        <v>1257</v>
      </c>
      <c r="E10" s="429"/>
      <c r="F10" s="1083"/>
      <c r="G10" s="428">
        <f t="shared" si="2"/>
        <v>0</v>
      </c>
      <c r="H10" s="429"/>
      <c r="I10" s="428" t="str">
        <f t="shared" si="0"/>
        <v/>
      </c>
      <c r="J10" s="428" t="str">
        <f t="shared" si="1"/>
        <v/>
      </c>
      <c r="K10" s="204"/>
      <c r="L10" s="305"/>
    </row>
    <row r="11" spans="1:12">
      <c r="A11" s="428" t="str">
        <f>Application!B725</f>
        <v>1 Bedroom</v>
      </c>
      <c r="B11" s="1082">
        <f>Application!G725</f>
        <v>7</v>
      </c>
      <c r="C11" s="1162"/>
      <c r="D11" s="428">
        <f>Application!O725</f>
        <v>1517</v>
      </c>
      <c r="E11" s="429"/>
      <c r="F11" s="1083"/>
      <c r="G11" s="428">
        <f t="shared" si="2"/>
        <v>0</v>
      </c>
      <c r="H11" s="429"/>
      <c r="I11" s="428" t="str">
        <f t="shared" si="0"/>
        <v/>
      </c>
      <c r="J11" s="428" t="str">
        <f t="shared" si="1"/>
        <v/>
      </c>
      <c r="K11" s="204"/>
      <c r="L11" s="305"/>
    </row>
    <row r="12" spans="1:12">
      <c r="A12" s="428" t="str">
        <f>Application!B726</f>
        <v>1 Bedroom</v>
      </c>
      <c r="B12" s="1082">
        <f>Application!G726</f>
        <v>55</v>
      </c>
      <c r="C12" s="1162"/>
      <c r="D12" s="428">
        <f>Application!O726</f>
        <v>1777</v>
      </c>
      <c r="E12" s="429"/>
      <c r="F12" s="1083"/>
      <c r="G12" s="428">
        <f t="shared" si="2"/>
        <v>0</v>
      </c>
      <c r="H12" s="429"/>
      <c r="I12" s="428" t="str">
        <f t="shared" si="0"/>
        <v/>
      </c>
      <c r="J12" s="428" t="str">
        <f t="shared" si="1"/>
        <v/>
      </c>
      <c r="K12" s="204"/>
      <c r="L12" s="305"/>
    </row>
    <row r="13" spans="1:12">
      <c r="A13" s="428" t="str">
        <f>Application!B727</f>
        <v>1 Bedroom</v>
      </c>
      <c r="B13" s="1082">
        <f>Application!G727</f>
        <v>13</v>
      </c>
      <c r="C13" s="1162"/>
      <c r="D13" s="428">
        <f>Application!O727</f>
        <v>2037</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238271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4" t="s">
        <v>2493</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2260</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0"/>
  <sheetViews>
    <sheetView topLeftCell="A46" workbookViewId="0">
      <selection activeCell="I44" sqref="I4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2908140</v>
      </c>
      <c r="G4" s="219">
        <f>E4*$C$4</f>
        <v>2980843.4999999995</v>
      </c>
      <c r="I4" s="219">
        <f>G4*$C$4</f>
        <v>3055364.5874999994</v>
      </c>
      <c r="K4" s="219">
        <f>I4*$C$4</f>
        <v>3131748.702187499</v>
      </c>
      <c r="M4" s="219">
        <f>K4*$C$4</f>
        <v>3210042.4197421861</v>
      </c>
      <c r="O4" s="219">
        <f>M4*$C$4</f>
        <v>3290293.4802357405</v>
      </c>
      <c r="Q4" s="219">
        <f>O4*$C$4</f>
        <v>3372550.8172416338</v>
      </c>
      <c r="S4" s="219">
        <f>Q4*$C$4</f>
        <v>3456864.5876726741</v>
      </c>
      <c r="U4" s="219">
        <f>S4*$C$4</f>
        <v>3543286.2023644908</v>
      </c>
      <c r="W4" s="219">
        <f>U4*$C$4</f>
        <v>3631868.3574236026</v>
      </c>
      <c r="Y4" s="219">
        <f>W4*$C$4</f>
        <v>3722665.0663591921</v>
      </c>
      <c r="AA4" s="219">
        <f>Y4*$C$4</f>
        <v>3815731.6930181715</v>
      </c>
      <c r="AC4" s="219">
        <f>AA4*$C$4</f>
        <v>3911124.9853436253</v>
      </c>
      <c r="AE4" s="219">
        <f>AC4*$C$4</f>
        <v>4008903.1099772155</v>
      </c>
      <c r="AG4" s="219">
        <f>AE4*$C$4</f>
        <v>4109125.6877266457</v>
      </c>
    </row>
    <row r="5" spans="1:34" s="210" customFormat="1" ht="14.25">
      <c r="B5" s="210" t="s">
        <v>839</v>
      </c>
      <c r="C5" s="238">
        <f>IF(Application!$D$211="Special Needs",(((0.1*Application!$T$212)+(0.05*(1-Application!$T$212)))),0.05)</f>
        <v>0.05</v>
      </c>
      <c r="E5" s="221">
        <f>-E4*$C$5</f>
        <v>-145407</v>
      </c>
      <c r="F5" s="221"/>
      <c r="G5" s="221">
        <f>-G4*$C$5</f>
        <v>-149042.17499999999</v>
      </c>
      <c r="H5" s="221"/>
      <c r="I5" s="221">
        <f>-I4*$C$5</f>
        <v>-152768.22937499997</v>
      </c>
      <c r="J5" s="221"/>
      <c r="K5" s="221">
        <f>-K4*$C$5</f>
        <v>-156587.43510937496</v>
      </c>
      <c r="L5" s="221"/>
      <c r="M5" s="221">
        <f>-M4*$C$5</f>
        <v>-160502.12098710932</v>
      </c>
      <c r="N5" s="221"/>
      <c r="O5" s="221">
        <f>-O4*$C$5</f>
        <v>-164514.67401178705</v>
      </c>
      <c r="P5" s="221"/>
      <c r="Q5" s="221">
        <f>-Q4*$C$5</f>
        <v>-168627.54086208169</v>
      </c>
      <c r="R5" s="221"/>
      <c r="S5" s="221">
        <f>-S4*$C$5</f>
        <v>-172843.2293836337</v>
      </c>
      <c r="T5" s="221"/>
      <c r="U5" s="221">
        <f>-U4*$C$5</f>
        <v>-177164.31011822456</v>
      </c>
      <c r="V5" s="221"/>
      <c r="W5" s="221">
        <f>-W4*$C$5</f>
        <v>-181593.41787118014</v>
      </c>
      <c r="X5" s="221"/>
      <c r="Y5" s="221">
        <f>-Y4*$C$5</f>
        <v>-186133.25331795961</v>
      </c>
      <c r="Z5" s="221"/>
      <c r="AA5" s="221">
        <f>-AA4*$C$5</f>
        <v>-190786.5846509086</v>
      </c>
      <c r="AB5" s="221"/>
      <c r="AC5" s="221">
        <f>-AC4*$C$5</f>
        <v>-195556.24926718127</v>
      </c>
      <c r="AD5" s="221"/>
      <c r="AE5" s="221">
        <f>-AE4*$C$5</f>
        <v>-200445.15549886078</v>
      </c>
      <c r="AF5" s="221"/>
      <c r="AG5" s="221">
        <f>-AG4*$C$5</f>
        <v>-205456.28438633229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231963</v>
      </c>
      <c r="F8" s="222"/>
      <c r="G8" s="222">
        <f>E8*$C$8</f>
        <v>237762.07499999998</v>
      </c>
      <c r="H8" s="222"/>
      <c r="I8" s="222">
        <f>G8*$C$8</f>
        <v>243706.12687499996</v>
      </c>
      <c r="J8" s="222"/>
      <c r="K8" s="222">
        <f>I8*$C$8</f>
        <v>249798.78004687495</v>
      </c>
      <c r="L8" s="222"/>
      <c r="M8" s="222">
        <f>K8*$C$8</f>
        <v>256043.74954804679</v>
      </c>
      <c r="N8" s="222"/>
      <c r="O8" s="222">
        <f>M8*$C$8</f>
        <v>262444.84328674793</v>
      </c>
      <c r="P8" s="222"/>
      <c r="Q8" s="222">
        <f>O8*$C$8</f>
        <v>269005.96436891658</v>
      </c>
      <c r="R8" s="222"/>
      <c r="S8" s="222">
        <f>Q8*$C$8</f>
        <v>275731.11347813945</v>
      </c>
      <c r="T8" s="222"/>
      <c r="U8" s="222">
        <f>S8*$C$8</f>
        <v>282624.39131509291</v>
      </c>
      <c r="V8" s="222"/>
      <c r="W8" s="222">
        <f>U8*$C$8</f>
        <v>289690.00109797023</v>
      </c>
      <c r="X8" s="222"/>
      <c r="Y8" s="222">
        <f>W8*$C$8</f>
        <v>296932.25112541945</v>
      </c>
      <c r="Z8" s="222"/>
      <c r="AA8" s="222">
        <f>Y8*$C$8</f>
        <v>304355.55740355491</v>
      </c>
      <c r="AB8" s="222"/>
      <c r="AC8" s="222">
        <f>AA8*$C$8</f>
        <v>311964.44633864373</v>
      </c>
      <c r="AD8" s="222"/>
      <c r="AE8" s="222">
        <f>AC8*$C$8</f>
        <v>319763.55749710981</v>
      </c>
      <c r="AF8" s="222"/>
      <c r="AG8" s="222">
        <f>AE8*$C$8</f>
        <v>327757.64643453754</v>
      </c>
    </row>
    <row r="9" spans="1:34" s="210" customFormat="1" ht="14.25">
      <c r="B9" s="210" t="s">
        <v>839</v>
      </c>
      <c r="C9" s="238">
        <f>IF(Application!$D$211="Special Needs",(((0.1*Application!$T$212)+(0.05*(1-Application!$T$212)))),0.05)</f>
        <v>0.05</v>
      </c>
      <c r="E9" s="221">
        <f>-E8*$C$9</f>
        <v>-11598.150000000001</v>
      </c>
      <c r="F9" s="221"/>
      <c r="G9" s="221">
        <f>-G8*$C$9</f>
        <v>-11888.10375</v>
      </c>
      <c r="H9" s="221"/>
      <c r="I9" s="221">
        <f>-I8*$C$9</f>
        <v>-12185.306343749999</v>
      </c>
      <c r="J9" s="221"/>
      <c r="K9" s="221">
        <f>-K8*$C$9</f>
        <v>-12489.939002343748</v>
      </c>
      <c r="L9" s="221"/>
      <c r="M9" s="221">
        <f>-M8*$C$9</f>
        <v>-12802.18747740234</v>
      </c>
      <c r="N9" s="221"/>
      <c r="O9" s="221">
        <f>-O8*$C$9</f>
        <v>-13122.242164337396</v>
      </c>
      <c r="P9" s="221"/>
      <c r="Q9" s="221">
        <f>-Q8*$C$9</f>
        <v>-13450.298218445831</v>
      </c>
      <c r="R9" s="221"/>
      <c r="S9" s="221">
        <f>-S8*$C$9</f>
        <v>-13786.555673906973</v>
      </c>
      <c r="T9" s="221"/>
      <c r="U9" s="221">
        <f>-U8*$C$9</f>
        <v>-14131.219565754647</v>
      </c>
      <c r="V9" s="221"/>
      <c r="W9" s="221">
        <f>-W8*$C$9</f>
        <v>-14484.500054898512</v>
      </c>
      <c r="X9" s="221"/>
      <c r="Y9" s="221">
        <f>-Y8*$C$9</f>
        <v>-14846.612556270973</v>
      </c>
      <c r="Z9" s="221"/>
      <c r="AA9" s="221">
        <f>-AA8*$C$9</f>
        <v>-15217.777870177746</v>
      </c>
      <c r="AB9" s="221"/>
      <c r="AC9" s="221">
        <f>-AC8*$C$9</f>
        <v>-15598.222316932188</v>
      </c>
      <c r="AD9" s="221"/>
      <c r="AE9" s="221">
        <f>-AE8*$C$9</f>
        <v>-15988.177874855492</v>
      </c>
      <c r="AF9" s="221"/>
      <c r="AG9" s="221">
        <f>-AG8*$C$9</f>
        <v>-16387.882321726876</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2983097.85</v>
      </c>
      <c r="G11" s="223">
        <f>SUM(G4:G10)</f>
        <v>3057675.2962500001</v>
      </c>
      <c r="I11" s="223">
        <f>SUM(I4:I10)</f>
        <v>3134117.1786562493</v>
      </c>
      <c r="K11" s="223">
        <f>SUM(K4:K10)</f>
        <v>3212470.1081226552</v>
      </c>
      <c r="M11" s="223">
        <f>SUM(M4:M10)</f>
        <v>3292781.8608257212</v>
      </c>
      <c r="O11" s="223">
        <f>SUM(O4:O10)</f>
        <v>3375101.4073463641</v>
      </c>
      <c r="Q11" s="223">
        <f>SUM(Q4:Q10)</f>
        <v>3459478.9425300229</v>
      </c>
      <c r="S11" s="223">
        <f>SUM(S4:S10)</f>
        <v>3545965.9160932731</v>
      </c>
      <c r="U11" s="223">
        <f>SUM(U4:U10)</f>
        <v>3634615.0639956044</v>
      </c>
      <c r="W11" s="223">
        <f>SUM(W4:W10)</f>
        <v>3725480.4405954941</v>
      </c>
      <c r="Y11" s="223">
        <f>SUM(Y4:Y10)</f>
        <v>3818617.4516103812</v>
      </c>
      <c r="AA11" s="223">
        <f>SUM(AA4:AA10)</f>
        <v>3914082.8879006398</v>
      </c>
      <c r="AC11" s="223">
        <f>SUM(AC4:AC10)</f>
        <v>4011934.9600981553</v>
      </c>
      <c r="AE11" s="223">
        <f>SUM(AE4:AE10)</f>
        <v>4112233.3341006087</v>
      </c>
      <c r="AG11" s="223">
        <f>SUM(AG4:AG10)</f>
        <v>4215039.1674531242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231000</v>
      </c>
      <c r="G15" s="219">
        <f>E15*$C$14</f>
        <v>239084.99999999997</v>
      </c>
      <c r="I15" s="219">
        <f>G15*$C$14</f>
        <v>247452.97499999995</v>
      </c>
      <c r="K15" s="219">
        <f>I15*$C$14</f>
        <v>256113.82912499993</v>
      </c>
      <c r="M15" s="219">
        <f>K15*$C$14</f>
        <v>265077.81314437493</v>
      </c>
      <c r="O15" s="219">
        <f>M15*$C$14</f>
        <v>274355.53660442802</v>
      </c>
      <c r="Q15" s="219">
        <f>O15*$C$14</f>
        <v>283957.98038558301</v>
      </c>
      <c r="S15" s="219">
        <f>Q15*$C$14</f>
        <v>293896.50969907839</v>
      </c>
      <c r="U15" s="219">
        <f>S15*$C$14</f>
        <v>304182.88753854611</v>
      </c>
      <c r="W15" s="219">
        <f>U15*$C$14</f>
        <v>314829.28860239522</v>
      </c>
      <c r="Y15" s="219">
        <f>W15*$C$14</f>
        <v>325848.31370347901</v>
      </c>
      <c r="AA15" s="219">
        <f>Y15*$C$14</f>
        <v>337253.00468310073</v>
      </c>
      <c r="AC15" s="219">
        <f>AA15*$C$14</f>
        <v>349056.85984700924</v>
      </c>
      <c r="AE15" s="219">
        <f>AC15*$C$14</f>
        <v>361273.84994165454</v>
      </c>
      <c r="AG15" s="219">
        <f>AE15*$C$14</f>
        <v>373918.43468961242</v>
      </c>
    </row>
    <row r="16" spans="1:34" s="210" customFormat="1" ht="14.25">
      <c r="A16" s="210" t="s">
        <v>344</v>
      </c>
      <c r="C16" s="233"/>
      <c r="E16" s="222">
        <f>Application!W849</f>
        <v>120000</v>
      </c>
      <c r="F16" s="222"/>
      <c r="G16" s="222">
        <f t="shared" ref="G16:AG21" si="0">E16*$C$14</f>
        <v>124199.99999999999</v>
      </c>
      <c r="H16" s="222"/>
      <c r="I16" s="222">
        <f t="shared" si="0"/>
        <v>128546.99999999997</v>
      </c>
      <c r="J16" s="222"/>
      <c r="K16" s="222">
        <f t="shared" si="0"/>
        <v>133046.14499999996</v>
      </c>
      <c r="L16" s="222"/>
      <c r="M16" s="222">
        <f t="shared" si="0"/>
        <v>137702.76007499994</v>
      </c>
      <c r="N16" s="222"/>
      <c r="O16" s="222">
        <f t="shared" si="0"/>
        <v>142522.35667762492</v>
      </c>
      <c r="P16" s="222"/>
      <c r="Q16" s="222">
        <f t="shared" si="0"/>
        <v>147510.63916134179</v>
      </c>
      <c r="R16" s="222"/>
      <c r="S16" s="222">
        <f t="shared" si="0"/>
        <v>152673.51153198874</v>
      </c>
      <c r="T16" s="222"/>
      <c r="U16" s="222">
        <f t="shared" si="0"/>
        <v>158017.08443560833</v>
      </c>
      <c r="V16" s="222"/>
      <c r="W16" s="222">
        <f t="shared" si="0"/>
        <v>163547.68239085461</v>
      </c>
      <c r="X16" s="222"/>
      <c r="Y16" s="222">
        <f t="shared" si="0"/>
        <v>169271.85127453451</v>
      </c>
      <c r="Z16" s="222"/>
      <c r="AA16" s="222">
        <f t="shared" si="0"/>
        <v>175196.3660691432</v>
      </c>
      <c r="AB16" s="222"/>
      <c r="AC16" s="222">
        <f t="shared" si="0"/>
        <v>181328.23888156319</v>
      </c>
      <c r="AD16" s="222"/>
      <c r="AE16" s="222">
        <f t="shared" si="0"/>
        <v>187674.7272424179</v>
      </c>
      <c r="AF16" s="222"/>
      <c r="AG16" s="222">
        <f t="shared" si="0"/>
        <v>194243.34269590251</v>
      </c>
    </row>
    <row r="17" spans="1:33" s="210" customFormat="1" ht="14.25">
      <c r="A17" s="210" t="s">
        <v>562</v>
      </c>
      <c r="C17" s="233"/>
      <c r="E17" s="222">
        <f>Application!W855</f>
        <v>160524</v>
      </c>
      <c r="F17" s="222"/>
      <c r="G17" s="222">
        <f t="shared" si="0"/>
        <v>166142.34</v>
      </c>
      <c r="H17" s="222"/>
      <c r="I17" s="222">
        <f t="shared" si="0"/>
        <v>171957.32189999998</v>
      </c>
      <c r="J17" s="222"/>
      <c r="K17" s="222">
        <f t="shared" si="0"/>
        <v>177975.82816649997</v>
      </c>
      <c r="L17" s="222"/>
      <c r="M17" s="222">
        <f t="shared" si="0"/>
        <v>184204.98215232746</v>
      </c>
      <c r="N17" s="222"/>
      <c r="O17" s="222">
        <f t="shared" si="0"/>
        <v>190652.1565276589</v>
      </c>
      <c r="P17" s="222"/>
      <c r="Q17" s="222">
        <f t="shared" si="0"/>
        <v>197324.98200612693</v>
      </c>
      <c r="R17" s="222"/>
      <c r="S17" s="222">
        <f t="shared" si="0"/>
        <v>204231.35637634134</v>
      </c>
      <c r="T17" s="222"/>
      <c r="U17" s="222">
        <f t="shared" si="0"/>
        <v>211379.45384951326</v>
      </c>
      <c r="V17" s="222"/>
      <c r="W17" s="222">
        <f t="shared" si="0"/>
        <v>218777.73473424622</v>
      </c>
      <c r="X17" s="222"/>
      <c r="Y17" s="222">
        <f t="shared" si="0"/>
        <v>226434.95544994483</v>
      </c>
      <c r="Z17" s="222"/>
      <c r="AA17" s="222">
        <f t="shared" si="0"/>
        <v>234360.17889069289</v>
      </c>
      <c r="AB17" s="222"/>
      <c r="AC17" s="222">
        <f t="shared" si="0"/>
        <v>242562.78515186711</v>
      </c>
      <c r="AD17" s="222"/>
      <c r="AE17" s="222">
        <f t="shared" si="0"/>
        <v>251052.48263218245</v>
      </c>
      <c r="AF17" s="222"/>
      <c r="AG17" s="222">
        <f t="shared" si="0"/>
        <v>259839.31952430881</v>
      </c>
    </row>
    <row r="18" spans="1:33" s="210" customFormat="1" ht="14.25">
      <c r="A18" s="210" t="s">
        <v>843</v>
      </c>
      <c r="C18" s="233"/>
      <c r="E18" s="222">
        <f>Application!W862</f>
        <v>164853</v>
      </c>
      <c r="F18" s="222"/>
      <c r="G18" s="222">
        <f t="shared" si="0"/>
        <v>170622.85499999998</v>
      </c>
      <c r="H18" s="222"/>
      <c r="I18" s="222">
        <f t="shared" si="0"/>
        <v>176594.65492499998</v>
      </c>
      <c r="J18" s="222"/>
      <c r="K18" s="222">
        <f t="shared" si="0"/>
        <v>182775.46784737497</v>
      </c>
      <c r="L18" s="222"/>
      <c r="M18" s="222">
        <f t="shared" si="0"/>
        <v>189172.60922203306</v>
      </c>
      <c r="N18" s="222"/>
      <c r="O18" s="222">
        <f t="shared" si="0"/>
        <v>195793.6505448042</v>
      </c>
      <c r="P18" s="222"/>
      <c r="Q18" s="222">
        <f t="shared" si="0"/>
        <v>202646.42831387234</v>
      </c>
      <c r="R18" s="222"/>
      <c r="S18" s="222">
        <f t="shared" si="0"/>
        <v>209739.05330485787</v>
      </c>
      <c r="T18" s="222"/>
      <c r="U18" s="222">
        <f t="shared" si="0"/>
        <v>217079.92017052788</v>
      </c>
      <c r="V18" s="222"/>
      <c r="W18" s="222">
        <f t="shared" si="0"/>
        <v>224677.71737649635</v>
      </c>
      <c r="X18" s="222"/>
      <c r="Y18" s="222">
        <f t="shared" si="0"/>
        <v>232541.43748467372</v>
      </c>
      <c r="Z18" s="222"/>
      <c r="AA18" s="222">
        <f t="shared" si="0"/>
        <v>240680.38779663728</v>
      </c>
      <c r="AB18" s="222"/>
      <c r="AC18" s="222">
        <f t="shared" si="0"/>
        <v>249104.20136951958</v>
      </c>
      <c r="AD18" s="222"/>
      <c r="AE18" s="222">
        <f t="shared" si="0"/>
        <v>257822.84841745274</v>
      </c>
      <c r="AF18" s="222"/>
      <c r="AG18" s="222">
        <f t="shared" si="0"/>
        <v>266846.64811206359</v>
      </c>
    </row>
    <row r="19" spans="1:33" s="210" customFormat="1" ht="14.25">
      <c r="A19" s="210" t="s">
        <v>155</v>
      </c>
      <c r="C19" s="233"/>
      <c r="E19" s="222">
        <f>Application!W863</f>
        <v>195523</v>
      </c>
      <c r="F19" s="222"/>
      <c r="G19" s="222">
        <f t="shared" si="0"/>
        <v>202366.30499999999</v>
      </c>
      <c r="H19" s="222"/>
      <c r="I19" s="222">
        <f t="shared" si="0"/>
        <v>209449.12567499999</v>
      </c>
      <c r="J19" s="222"/>
      <c r="K19" s="222">
        <f t="shared" si="0"/>
        <v>216779.84507362498</v>
      </c>
      <c r="L19" s="222"/>
      <c r="M19" s="222">
        <f t="shared" si="0"/>
        <v>224367.13965120184</v>
      </c>
      <c r="N19" s="222"/>
      <c r="O19" s="222">
        <f t="shared" si="0"/>
        <v>232219.98953899389</v>
      </c>
      <c r="P19" s="222"/>
      <c r="Q19" s="222">
        <f t="shared" si="0"/>
        <v>240347.68917285866</v>
      </c>
      <c r="R19" s="222"/>
      <c r="S19" s="222">
        <f t="shared" si="0"/>
        <v>248759.85829390871</v>
      </c>
      <c r="T19" s="222"/>
      <c r="U19" s="222">
        <f t="shared" si="0"/>
        <v>257466.45333419548</v>
      </c>
      <c r="V19" s="222"/>
      <c r="W19" s="222">
        <f t="shared" si="0"/>
        <v>266477.77920089231</v>
      </c>
      <c r="X19" s="222"/>
      <c r="Y19" s="222">
        <f t="shared" si="0"/>
        <v>275804.5014729235</v>
      </c>
      <c r="Z19" s="222"/>
      <c r="AA19" s="222">
        <f t="shared" si="0"/>
        <v>285457.65902447578</v>
      </c>
      <c r="AB19" s="222"/>
      <c r="AC19" s="222">
        <f t="shared" si="0"/>
        <v>295448.67709033244</v>
      </c>
      <c r="AD19" s="222"/>
      <c r="AE19" s="222">
        <f t="shared" si="0"/>
        <v>305789.38078849408</v>
      </c>
      <c r="AF19" s="222"/>
      <c r="AG19" s="222">
        <f t="shared" si="0"/>
        <v>316492.00911609136</v>
      </c>
    </row>
    <row r="20" spans="1:33" s="210" customFormat="1" ht="14.25">
      <c r="A20" s="210" t="s">
        <v>390</v>
      </c>
      <c r="C20" s="233"/>
      <c r="E20" s="222">
        <f>Application!W872</f>
        <v>155000</v>
      </c>
      <c r="F20" s="222"/>
      <c r="G20" s="222">
        <f t="shared" si="0"/>
        <v>160425</v>
      </c>
      <c r="H20" s="222"/>
      <c r="I20" s="222">
        <f t="shared" si="0"/>
        <v>166039.875</v>
      </c>
      <c r="J20" s="222"/>
      <c r="K20" s="222">
        <f t="shared" si="0"/>
        <v>171851.27062499998</v>
      </c>
      <c r="L20" s="222"/>
      <c r="M20" s="222">
        <f t="shared" si="0"/>
        <v>177866.06509687495</v>
      </c>
      <c r="N20" s="222"/>
      <c r="O20" s="222">
        <f t="shared" si="0"/>
        <v>184091.37737526555</v>
      </c>
      <c r="P20" s="222"/>
      <c r="Q20" s="222">
        <f t="shared" si="0"/>
        <v>190534.57558339983</v>
      </c>
      <c r="R20" s="222"/>
      <c r="S20" s="222">
        <f t="shared" si="0"/>
        <v>197203.2857288188</v>
      </c>
      <c r="T20" s="222"/>
      <c r="U20" s="222">
        <f t="shared" si="0"/>
        <v>204105.40072932743</v>
      </c>
      <c r="V20" s="222"/>
      <c r="W20" s="222">
        <f t="shared" si="0"/>
        <v>211249.08975485386</v>
      </c>
      <c r="X20" s="222"/>
      <c r="Y20" s="222">
        <f t="shared" si="0"/>
        <v>218642.80789627373</v>
      </c>
      <c r="Z20" s="222"/>
      <c r="AA20" s="222">
        <f t="shared" si="0"/>
        <v>226295.30617264329</v>
      </c>
      <c r="AB20" s="222"/>
      <c r="AC20" s="222">
        <f t="shared" si="0"/>
        <v>234215.64188868579</v>
      </c>
      <c r="AD20" s="222"/>
      <c r="AE20" s="222">
        <f t="shared" si="0"/>
        <v>242413.18935478976</v>
      </c>
      <c r="AF20" s="222"/>
      <c r="AG20" s="222">
        <f t="shared" si="0"/>
        <v>250897.65098220739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1026900</v>
      </c>
      <c r="G22" s="223">
        <f>SUM(G15:G21)</f>
        <v>1062841.5</v>
      </c>
      <c r="I22" s="223">
        <f>SUM(I15:I21)</f>
        <v>1100040.9524999999</v>
      </c>
      <c r="K22" s="223">
        <f>SUM(K15:K21)</f>
        <v>1138542.3858374998</v>
      </c>
      <c r="M22" s="223">
        <f>SUM(M15:M21)</f>
        <v>1178391.3693418121</v>
      </c>
      <c r="O22" s="223">
        <f>SUM(O15:O21)</f>
        <v>1219635.0672687755</v>
      </c>
      <c r="Q22" s="223">
        <f>SUM(Q15:Q21)</f>
        <v>1262322.2946231824</v>
      </c>
      <c r="S22" s="223">
        <f>SUM(S15:S21)</f>
        <v>1306503.5749349936</v>
      </c>
      <c r="U22" s="223">
        <f>SUM(U15:U21)</f>
        <v>1352231.2000577187</v>
      </c>
      <c r="W22" s="223">
        <f>SUM(W15:W21)</f>
        <v>1399559.2920597387</v>
      </c>
      <c r="Y22" s="223">
        <f>SUM(Y15:Y21)</f>
        <v>1448543.8672818292</v>
      </c>
      <c r="AA22" s="223">
        <f>SUM(AA15:AA21)</f>
        <v>1499242.9026366931</v>
      </c>
      <c r="AC22" s="223">
        <f>SUM(AC15:AC21)</f>
        <v>1551716.4042289774</v>
      </c>
      <c r="AE22" s="223">
        <f>SUM(AE15:AE21)</f>
        <v>1606026.4783769913</v>
      </c>
      <c r="AG22" s="223">
        <f>SUM(AG15:AG21)</f>
        <v>1662237.405120186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1.03</v>
      </c>
      <c r="E24" s="910">
        <v>300000</v>
      </c>
      <c r="F24" s="222"/>
      <c r="G24" s="222">
        <f>E24*$C$24</f>
        <v>309000</v>
      </c>
      <c r="H24" s="222"/>
      <c r="I24" s="222">
        <f>G24*$C$24</f>
        <v>318270</v>
      </c>
      <c r="J24" s="222"/>
      <c r="K24" s="222">
        <f>I24*$C$24</f>
        <v>327818.10000000003</v>
      </c>
      <c r="L24" s="222"/>
      <c r="M24" s="222">
        <f>K24*$C$24</f>
        <v>337652.64300000004</v>
      </c>
      <c r="N24" s="222"/>
      <c r="O24" s="222">
        <f>M24*$C$24</f>
        <v>347782.22229000006</v>
      </c>
      <c r="P24" s="222"/>
      <c r="Q24" s="222">
        <f>O24*$C$24</f>
        <v>358215.68895870005</v>
      </c>
      <c r="R24" s="222"/>
      <c r="S24" s="222">
        <f>Q24*$C$24</f>
        <v>368962.15962746105</v>
      </c>
      <c r="T24" s="222"/>
      <c r="U24" s="222">
        <f>S24*$C$24</f>
        <v>380031.02441628487</v>
      </c>
      <c r="V24" s="222"/>
      <c r="W24" s="222">
        <f>U24*$C$24</f>
        <v>391431.95514877344</v>
      </c>
      <c r="X24" s="222"/>
      <c r="Y24" s="222">
        <f>W24*$C$24</f>
        <v>403174.91380323668</v>
      </c>
      <c r="Z24" s="222"/>
      <c r="AA24" s="222">
        <f>Y24*$C$24</f>
        <v>415270.16121733381</v>
      </c>
      <c r="AB24" s="222"/>
      <c r="AC24" s="222">
        <f>AA24*$C$24</f>
        <v>427728.26605385385</v>
      </c>
      <c r="AD24" s="222"/>
      <c r="AE24" s="222">
        <f>AC24*$C$24</f>
        <v>440560.11403546948</v>
      </c>
      <c r="AF24" s="222"/>
      <c r="AG24" s="222">
        <f>AE24*$C$24</f>
        <v>453776.91745653359</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48900</v>
      </c>
      <c r="F28" s="222"/>
      <c r="G28" s="222">
        <f>$E$28</f>
        <v>48900</v>
      </c>
      <c r="H28" s="222"/>
      <c r="I28" s="222">
        <f>$E$28</f>
        <v>48900</v>
      </c>
      <c r="J28" s="222"/>
      <c r="K28" s="222">
        <f>$E$28</f>
        <v>48900</v>
      </c>
      <c r="L28" s="222"/>
      <c r="M28" s="222">
        <f>$E$28</f>
        <v>48900</v>
      </c>
      <c r="N28" s="222"/>
      <c r="O28" s="222">
        <f>$E$28</f>
        <v>48900</v>
      </c>
      <c r="P28" s="222"/>
      <c r="Q28" s="222">
        <f>$E$28</f>
        <v>48900</v>
      </c>
      <c r="R28" s="222"/>
      <c r="S28" s="222">
        <f>$E$28</f>
        <v>48900</v>
      </c>
      <c r="T28" s="222"/>
      <c r="U28" s="222">
        <f>$E$28</f>
        <v>48900</v>
      </c>
      <c r="V28" s="222"/>
      <c r="W28" s="222">
        <f>$E$28</f>
        <v>48900</v>
      </c>
      <c r="X28" s="222"/>
      <c r="Y28" s="222">
        <f>$E$28</f>
        <v>48900</v>
      </c>
      <c r="Z28" s="222"/>
      <c r="AA28" s="222">
        <f>$E$28</f>
        <v>48900</v>
      </c>
      <c r="AB28" s="222"/>
      <c r="AC28" s="222">
        <f>$E$28</f>
        <v>48900</v>
      </c>
      <c r="AD28" s="222"/>
      <c r="AE28" s="222">
        <f>$E$28</f>
        <v>48900</v>
      </c>
      <c r="AF28" s="222"/>
      <c r="AG28" s="222">
        <f>$E$28</f>
        <v>48900</v>
      </c>
    </row>
    <row r="29" spans="1:33" s="210" customFormat="1" ht="14.25">
      <c r="A29" s="210" t="s">
        <v>1681</v>
      </c>
      <c r="C29" s="237"/>
      <c r="E29" s="222">
        <f>Application!AC890</f>
        <v>12225</v>
      </c>
      <c r="F29" s="222"/>
      <c r="G29" s="222">
        <f>$E$29</f>
        <v>12225</v>
      </c>
      <c r="H29" s="222"/>
      <c r="I29" s="222">
        <f>$E$29</f>
        <v>12225</v>
      </c>
      <c r="J29" s="222"/>
      <c r="K29" s="222">
        <f>$E$29</f>
        <v>12225</v>
      </c>
      <c r="L29" s="222"/>
      <c r="M29" s="222">
        <f>$E$29</f>
        <v>12225</v>
      </c>
      <c r="N29" s="222"/>
      <c r="O29" s="222">
        <f>$E$29</f>
        <v>12225</v>
      </c>
      <c r="P29" s="222"/>
      <c r="Q29" s="222">
        <f>$E$29</f>
        <v>12225</v>
      </c>
      <c r="R29" s="222"/>
      <c r="S29" s="222">
        <f>$E$29</f>
        <v>12225</v>
      </c>
      <c r="T29" s="222"/>
      <c r="U29" s="222">
        <f>$E$29</f>
        <v>12225</v>
      </c>
      <c r="V29" s="222"/>
      <c r="W29" s="222">
        <f>$E$29</f>
        <v>12225</v>
      </c>
      <c r="X29" s="222"/>
      <c r="Y29" s="222">
        <f>$E$29</f>
        <v>12225</v>
      </c>
      <c r="Z29" s="222"/>
      <c r="AA29" s="222">
        <f>$E$29</f>
        <v>12225</v>
      </c>
      <c r="AB29" s="222"/>
      <c r="AC29" s="222">
        <f>$E$29</f>
        <v>12225</v>
      </c>
      <c r="AD29" s="222"/>
      <c r="AE29" s="222">
        <f>$E$29</f>
        <v>12225</v>
      </c>
      <c r="AF29" s="222"/>
      <c r="AG29" s="222">
        <f>$E$29</f>
        <v>12225</v>
      </c>
    </row>
    <row r="30" spans="1:33" s="210" customFormat="1" ht="14.25">
      <c r="A30" s="210" t="s">
        <v>845</v>
      </c>
      <c r="C30" s="237">
        <v>1.02</v>
      </c>
      <c r="E30" s="222">
        <f>Application!AC891</f>
        <v>24450</v>
      </c>
      <c r="F30" s="222"/>
      <c r="G30" s="222">
        <f>E30*$C$30</f>
        <v>24939</v>
      </c>
      <c r="H30" s="222"/>
      <c r="I30" s="222">
        <f>G30*$C$30</f>
        <v>25437.78</v>
      </c>
      <c r="J30" s="222"/>
      <c r="K30" s="222">
        <f>I30*$C$30</f>
        <v>25946.535599999999</v>
      </c>
      <c r="L30" s="222"/>
      <c r="M30" s="222">
        <f>K30*$C$30</f>
        <v>26465.466312</v>
      </c>
      <c r="N30" s="222"/>
      <c r="O30" s="222">
        <f>M30*$C$30</f>
        <v>26994.77563824</v>
      </c>
      <c r="P30" s="222"/>
      <c r="Q30" s="222">
        <f>O30*$C$30</f>
        <v>27534.671151004801</v>
      </c>
      <c r="R30" s="222"/>
      <c r="S30" s="222">
        <f>Q30*$C$30</f>
        <v>28085.364574024898</v>
      </c>
      <c r="T30" s="222"/>
      <c r="U30" s="222">
        <f>S30*$C$30</f>
        <v>28647.071865505397</v>
      </c>
      <c r="V30" s="222"/>
      <c r="W30" s="222">
        <f>U30*$C$30</f>
        <v>29220.013302815507</v>
      </c>
      <c r="X30" s="222"/>
      <c r="Y30" s="222">
        <f>W30*$C$30</f>
        <v>29804.413568871816</v>
      </c>
      <c r="Z30" s="222"/>
      <c r="AA30" s="222">
        <f>Y30*$C$30</f>
        <v>30400.501840249253</v>
      </c>
      <c r="AB30" s="222"/>
      <c r="AC30" s="222">
        <f>AA30*$C$30</f>
        <v>31008.511877054239</v>
      </c>
      <c r="AD30" s="222"/>
      <c r="AE30" s="222">
        <f>AC30*$C$30</f>
        <v>31628.682114595325</v>
      </c>
      <c r="AF30" s="222"/>
      <c r="AG30" s="222">
        <f>AE30*$C$30</f>
        <v>32261.255756887233</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1435275</v>
      </c>
      <c r="G35" s="223">
        <f>SUM(G22:G33)</f>
        <v>1481503.5</v>
      </c>
      <c r="I35" s="223">
        <f>SUM(I22:I33)</f>
        <v>1529297.6624999999</v>
      </c>
      <c r="K35" s="223">
        <f>SUM(K22:K33)</f>
        <v>1578710.7889874999</v>
      </c>
      <c r="M35" s="223">
        <f>SUM(M22:M33)</f>
        <v>1629798.0030680622</v>
      </c>
      <c r="O35" s="223">
        <f>SUM(O22:O33)</f>
        <v>1682616.3129657644</v>
      </c>
      <c r="Q35" s="223">
        <f>SUM(Q22:Q33)</f>
        <v>1737224.6761735422</v>
      </c>
      <c r="S35" s="223">
        <f>SUM(S22:S33)</f>
        <v>1793684.0663275574</v>
      </c>
      <c r="U35" s="223">
        <f>SUM(U22:U33)</f>
        <v>1852057.5423822745</v>
      </c>
      <c r="W35" s="223">
        <f>SUM(W22:W33)</f>
        <v>1912410.3201655902</v>
      </c>
      <c r="Y35" s="223">
        <f>SUM(Y22:Y33)</f>
        <v>1974809.8463960993</v>
      </c>
      <c r="AA35" s="223">
        <f>SUM(AA22:AA33)</f>
        <v>2039325.8752474133</v>
      </c>
      <c r="AC35" s="223">
        <f>SUM(AC22:AC33)</f>
        <v>2106030.5475473823</v>
      </c>
      <c r="AE35" s="223">
        <f>SUM(AE22:AE33)</f>
        <v>2174998.472703116</v>
      </c>
      <c r="AG35" s="223">
        <f>SUM(AG22:AG33)</f>
        <v>2246306.8134458284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1547822.85</v>
      </c>
      <c r="G37" s="223">
        <f>G11-G35</f>
        <v>1576171.7962500001</v>
      </c>
      <c r="I37" s="223">
        <f>I11-I35</f>
        <v>1604819.5161562494</v>
      </c>
      <c r="K37" s="223">
        <f>K11-K35</f>
        <v>1633759.3191351553</v>
      </c>
      <c r="M37" s="223">
        <f>M11-M35</f>
        <v>1662983.8577576589</v>
      </c>
      <c r="O37" s="223">
        <f>O11-O35</f>
        <v>1692485.0943805997</v>
      </c>
      <c r="Q37" s="223">
        <f>Q11-Q35</f>
        <v>1722254.2663564808</v>
      </c>
      <c r="S37" s="223">
        <f>S11-S35</f>
        <v>1752281.8497657157</v>
      </c>
      <c r="U37" s="223">
        <f>U11-U35</f>
        <v>1782557.5216133299</v>
      </c>
      <c r="W37" s="223">
        <f>W11-W35</f>
        <v>1813070.120429904</v>
      </c>
      <c r="Y37" s="223">
        <f>Y11-Y35</f>
        <v>1843807.6052142819</v>
      </c>
      <c r="AA37" s="223">
        <f>AA11-AA35</f>
        <v>1874757.0126532265</v>
      </c>
      <c r="AC37" s="223">
        <f>AC11-AC35</f>
        <v>1905904.412550773</v>
      </c>
      <c r="AE37" s="223">
        <f>AE11-AE35</f>
        <v>1937234.8613974927</v>
      </c>
      <c r="AG37" s="223">
        <f>AG11-AG35</f>
        <v>1968732.3540072958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Perm Loan</v>
      </c>
      <c r="B40" s="226"/>
      <c r="C40" s="220"/>
      <c r="E40" s="222">
        <f>Application!AF627</f>
        <v>1299541</v>
      </c>
      <c r="F40" s="222"/>
      <c r="G40" s="222">
        <f>$E$40</f>
        <v>1299541</v>
      </c>
      <c r="H40" s="222"/>
      <c r="I40" s="222">
        <f>$E$40</f>
        <v>1299541</v>
      </c>
      <c r="J40" s="222"/>
      <c r="K40" s="222">
        <f>$E$40</f>
        <v>1299541</v>
      </c>
      <c r="L40" s="222"/>
      <c r="M40" s="222">
        <f>$E$40</f>
        <v>1299541</v>
      </c>
      <c r="N40" s="222"/>
      <c r="O40" s="222">
        <f>$E$40</f>
        <v>1299541</v>
      </c>
      <c r="P40" s="222"/>
      <c r="Q40" s="222">
        <f>$E$40</f>
        <v>1299541</v>
      </c>
      <c r="R40" s="222"/>
      <c r="S40" s="222">
        <f>$E$40</f>
        <v>1299541</v>
      </c>
      <c r="T40" s="222"/>
      <c r="U40" s="222">
        <f>$E$40</f>
        <v>1299541</v>
      </c>
      <c r="V40" s="222"/>
      <c r="W40" s="222">
        <f>$E$40</f>
        <v>1299541</v>
      </c>
      <c r="X40" s="222"/>
      <c r="Y40" s="222">
        <f>$E$40</f>
        <v>1299541</v>
      </c>
      <c r="Z40" s="222"/>
      <c r="AA40" s="222">
        <f>$E$40</f>
        <v>1299541</v>
      </c>
      <c r="AB40" s="222"/>
      <c r="AC40" s="222">
        <f>$E$40</f>
        <v>1299541</v>
      </c>
      <c r="AD40" s="222"/>
      <c r="AE40" s="222">
        <f>$E$40</f>
        <v>1299541</v>
      </c>
      <c r="AF40" s="222"/>
      <c r="AG40" s="222">
        <f>$E$40</f>
        <v>1299541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1299541</v>
      </c>
      <c r="G43" s="223">
        <f>SUM(G40:G42)</f>
        <v>1299541</v>
      </c>
      <c r="I43" s="223">
        <f>SUM(I40:I42)</f>
        <v>1299541</v>
      </c>
      <c r="K43" s="223">
        <f>SUM(K40:K42)</f>
        <v>1299541</v>
      </c>
      <c r="M43" s="223">
        <f>SUM(M40:M42)</f>
        <v>1299541</v>
      </c>
      <c r="O43" s="223">
        <f>SUM(O40:O42)</f>
        <v>1299541</v>
      </c>
      <c r="Q43" s="223">
        <f>SUM(Q40:Q42)</f>
        <v>1299541</v>
      </c>
      <c r="S43" s="223">
        <f>SUM(S40:S42)</f>
        <v>1299541</v>
      </c>
      <c r="U43" s="223">
        <f>SUM(U40:U42)</f>
        <v>1299541</v>
      </c>
      <c r="W43" s="223">
        <f>SUM(W40:W42)</f>
        <v>1299541</v>
      </c>
      <c r="Y43" s="223">
        <f>SUM(Y40:Y42)</f>
        <v>1299541</v>
      </c>
      <c r="AA43" s="223">
        <f>SUM(AA40:AA42)</f>
        <v>1299541</v>
      </c>
      <c r="AC43" s="223">
        <f>SUM(AC40:AC42)</f>
        <v>1299541</v>
      </c>
      <c r="AE43" s="223">
        <f>SUM(AE40:AE42)</f>
        <v>1299541</v>
      </c>
      <c r="AG43" s="223">
        <f>SUM(AG40:AG42)</f>
        <v>1299541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248281.85000000009</v>
      </c>
      <c r="G45" s="223">
        <f>G37-G43</f>
        <v>276630.79625000013</v>
      </c>
      <c r="I45" s="223">
        <f>I37-I43</f>
        <v>305278.51615624945</v>
      </c>
      <c r="K45" s="223">
        <f>K37-K43</f>
        <v>334218.3191351553</v>
      </c>
      <c r="M45" s="223">
        <f>M37-M43</f>
        <v>363442.85775765893</v>
      </c>
      <c r="O45" s="223">
        <f>O37-O43</f>
        <v>392944.09438059968</v>
      </c>
      <c r="Q45" s="223">
        <f>Q37-Q43</f>
        <v>422713.26635648077</v>
      </c>
      <c r="S45" s="223">
        <f>S37-S43</f>
        <v>452740.84976571565</v>
      </c>
      <c r="U45" s="223">
        <f>U37-U43</f>
        <v>483016.52161332988</v>
      </c>
      <c r="W45" s="223">
        <f>W37-W43</f>
        <v>513529.12042990397</v>
      </c>
      <c r="Y45" s="223">
        <f>Y37-Y43</f>
        <v>544266.60521428194</v>
      </c>
      <c r="AA45" s="223">
        <f>AA37-AA43</f>
        <v>575216.0126532265</v>
      </c>
      <c r="AC45" s="223">
        <f>AC37-AC43</f>
        <v>606363.41255077301</v>
      </c>
      <c r="AE45" s="223">
        <f>AE37-AE43</f>
        <v>637693.8613974927</v>
      </c>
      <c r="AG45" s="223">
        <f>AG37-AG43</f>
        <v>669191.3540072958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7.9068059232451957E-2</v>
      </c>
      <c r="G47" s="227">
        <f>G45/(G4+G6+G8)</f>
        <v>8.5947404801223634E-2</v>
      </c>
      <c r="I47" s="227">
        <f>I45/(I4+I6+I8)</f>
        <v>9.2534699188490624E-2</v>
      </c>
      <c r="K47" s="227">
        <f>K45/(K4+K6+K8)</f>
        <v>9.8835908970977659E-2</v>
      </c>
      <c r="M47" s="227">
        <f>M45/(M4+M6+M8)</f>
        <v>0.1048568442925015</v>
      </c>
      <c r="O47" s="227">
        <f>O45/(O4+O6+O8)</f>
        <v>0.11060316257432698</v>
      </c>
      <c r="Q47" s="227">
        <f>Q45/(Q4+Q6+Q8)</f>
        <v>0.11608037213401008</v>
      </c>
      <c r="S47" s="227">
        <f>S45/(S4+S6+S8)</f>
        <v>0.12129383571495007</v>
      </c>
      <c r="U47" s="227">
        <f>U45/(U4+U6+U8)</f>
        <v>0.12624877392881964</v>
      </c>
      <c r="W47" s="227">
        <f>W45/(W4+W6+W8)</f>
        <v>0.13095026861298692</v>
      </c>
      <c r="Y47" s="227">
        <f>Y45/(Y4+Y6+Y8)</f>
        <v>0.13540326610499226</v>
      </c>
      <c r="AA47" s="227">
        <f>AA45/(AA4+AA6+AA8)</f>
        <v>0.13961258043609348</v>
      </c>
      <c r="AC47" s="227">
        <f>AC45/(AC4+AC6+AC8)</f>
        <v>0.1435828964458439</v>
      </c>
      <c r="AE47" s="227">
        <f>AE45/(AE4+AE6+AE8)</f>
        <v>0.14731877281961558</v>
      </c>
      <c r="AG47" s="227">
        <f>AG45/(AG4+AG6+AG8)</f>
        <v>0.15082464505094095</v>
      </c>
    </row>
    <row r="48" spans="1:33" s="227" customFormat="1" ht="14.25">
      <c r="A48" s="227" t="s">
        <v>853</v>
      </c>
      <c r="C48" s="220"/>
      <c r="E48" s="227">
        <f>E45/E43</f>
        <v>0.19105349504171096</v>
      </c>
      <c r="G48" s="227">
        <f>G45/G43</f>
        <v>0.21286807899866195</v>
      </c>
      <c r="I48" s="227">
        <f>I45/I43</f>
        <v>0.23491257001991431</v>
      </c>
      <c r="K48" s="227">
        <f>K45/K43</f>
        <v>0.25718181968491588</v>
      </c>
      <c r="M48" s="227">
        <f>M45/M43</f>
        <v>0.27967017412891082</v>
      </c>
      <c r="O48" s="227">
        <f>O45/O43</f>
        <v>0.30237144836569196</v>
      </c>
      <c r="Q48" s="227">
        <f>Q45/Q43</f>
        <v>0.32527889951642985</v>
      </c>
      <c r="S48" s="227">
        <f>S45/S43</f>
        <v>0.34838519890154729</v>
      </c>
      <c r="U48" s="227">
        <f>U45/U43</f>
        <v>0.37168240295098798</v>
      </c>
      <c r="W48" s="227">
        <f>W45/W43</f>
        <v>0.39516192288654528</v>
      </c>
      <c r="Y48" s="227">
        <f>Y45/Y43</f>
        <v>0.4188144931281752</v>
      </c>
      <c r="AA48" s="227">
        <f>AA45/AA43</f>
        <v>0.44263013837441567</v>
      </c>
      <c r="AC48" s="227">
        <f>AC45/AC43</f>
        <v>0.46659813930516469</v>
      </c>
      <c r="AE48" s="227">
        <f>AE45/AE43</f>
        <v>0.49070699685311409</v>
      </c>
      <c r="AG48" s="227">
        <f>AG45/AG43</f>
        <v>0.51494439498815026</v>
      </c>
    </row>
    <row r="49" spans="1:34" s="228" customFormat="1" ht="14.25">
      <c r="A49" s="228" t="s">
        <v>851</v>
      </c>
      <c r="C49" s="229"/>
      <c r="E49" s="228">
        <f>E37/E43</f>
        <v>1.1910534950417109</v>
      </c>
      <c r="G49" s="228">
        <f>G37/G43</f>
        <v>1.2128680789986619</v>
      </c>
      <c r="I49" s="228">
        <f>I37/I43</f>
        <v>1.2349125700199144</v>
      </c>
      <c r="K49" s="228">
        <f>K37/K43</f>
        <v>1.2571818196849158</v>
      </c>
      <c r="M49" s="228">
        <f>M37/M43</f>
        <v>1.2796701741289109</v>
      </c>
      <c r="O49" s="228">
        <f>O37/O43</f>
        <v>1.3023714483656919</v>
      </c>
      <c r="Q49" s="228">
        <f>Q37/Q43</f>
        <v>1.32527889951643</v>
      </c>
      <c r="S49" s="228">
        <f>S37/S43</f>
        <v>1.3483851989015472</v>
      </c>
      <c r="U49" s="228">
        <f>U37/U43</f>
        <v>1.371682402950988</v>
      </c>
      <c r="W49" s="228">
        <f>W37/W43</f>
        <v>1.3951619228865453</v>
      </c>
      <c r="Y49" s="228">
        <f>Y37/Y43</f>
        <v>1.4188144931281752</v>
      </c>
      <c r="AA49" s="228">
        <f>AA37/AA43</f>
        <v>1.4426301383744156</v>
      </c>
      <c r="AC49" s="228">
        <f>AC37/AC43</f>
        <v>1.4665981393051646</v>
      </c>
      <c r="AE49" s="228">
        <f>AE37/AE43</f>
        <v>1.4907069968531141</v>
      </c>
      <c r="AG49" s="228">
        <f>AG37/AG43</f>
        <v>1.5149443949881503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248281.85000000009</v>
      </c>
      <c r="G60" s="962">
        <f>G45-G58</f>
        <v>276630.79625000013</v>
      </c>
      <c r="I60" s="962">
        <f>I45-I58</f>
        <v>305278.51615624945</v>
      </c>
      <c r="K60" s="962">
        <f>K45-K58</f>
        <v>334218.3191351553</v>
      </c>
      <c r="M60" s="962">
        <f>M45-M58</f>
        <v>363442.85775765893</v>
      </c>
      <c r="O60" s="962">
        <f>O45-O58</f>
        <v>392944.09438059968</v>
      </c>
      <c r="Q60" s="962">
        <f>Q45-Q58</f>
        <v>422713.26635648077</v>
      </c>
      <c r="S60" s="962">
        <f>S45-S58</f>
        <v>452740.84976571565</v>
      </c>
      <c r="U60" s="962">
        <f>U45-U58</f>
        <v>483016.52161332988</v>
      </c>
      <c r="W60" s="962">
        <f>W45-W58</f>
        <v>513529.12042990397</v>
      </c>
      <c r="Y60" s="962">
        <f>Y45-Y58</f>
        <v>544266.60521428194</v>
      </c>
      <c r="AA60" s="962">
        <f>AA45-AA58</f>
        <v>575216.0126532265</v>
      </c>
      <c r="AC60" s="962">
        <f>AC45-AC58</f>
        <v>606363.41255077301</v>
      </c>
      <c r="AE60" s="962">
        <f>AE45-AE58</f>
        <v>637693.8613974927</v>
      </c>
      <c r="AG60" s="962">
        <f>AG45-AG58</f>
        <v>669191.3540072958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E60*$C$62-E63-E64</f>
        <v>91640.925000000047</v>
      </c>
      <c r="G62" s="962">
        <f>G60*$C$62-G63-G64</f>
        <v>104840.39812500007</v>
      </c>
      <c r="I62" s="962">
        <f t="shared" ref="I62" si="2">I60*$C$62-I63-I64</f>
        <v>118160.00807812472</v>
      </c>
      <c r="K62" s="962">
        <f t="shared" ref="K62" si="3">K60*$C$62-K63-K64</f>
        <v>131595.53206757765</v>
      </c>
      <c r="M62" s="962">
        <f t="shared" ref="M62" si="4">M60*$C$62-M63-M64</f>
        <v>145142.39255382944</v>
      </c>
      <c r="O62" s="962">
        <f t="shared" ref="O62" si="5">O60*$C$62-O63-O64</f>
        <v>158795.63977554985</v>
      </c>
      <c r="Q62" s="962">
        <f t="shared" ref="Q62" si="6">Q60*$C$62-Q63-Q64</f>
        <v>172549.93354104788</v>
      </c>
      <c r="S62" s="962">
        <f t="shared" ref="S62" si="7">S60*$C$62-S63-S64</f>
        <v>186399.52425654957</v>
      </c>
      <c r="U62" s="962">
        <f t="shared" ref="U62" si="8">U60*$C$62-U63-U64</f>
        <v>200338.23316156742</v>
      </c>
      <c r="W62" s="962">
        <f t="shared" ref="W62" si="9">W60*$C$62-W63-W64</f>
        <v>214359.43174050155</v>
      </c>
      <c r="Y62" s="962">
        <f t="shared" ref="Y62" si="10">Y60*$C$62-Y63-Y64</f>
        <v>228456.020278457</v>
      </c>
      <c r="AA62" s="962">
        <f t="shared" ref="AA62" si="11">AA60*$C$62-AA63-AA64</f>
        <v>242620.40552806878</v>
      </c>
      <c r="AC62" s="962">
        <f t="shared" ref="AC62" si="12">AC60*$C$62-AC63-AC64</f>
        <v>256844.47745288565</v>
      </c>
      <c r="AE62" s="962">
        <f t="shared" ref="AE62" si="13">AE60*$C$62-AE63-AE64</f>
        <v>271119.58501157054</v>
      </c>
      <c r="AG62" s="962">
        <f t="shared" ref="AG62" si="14">AG60*$C$62-AG63-AG64</f>
        <v>285436.5109458568</v>
      </c>
    </row>
    <row r="63" spans="1:34" s="962" customFormat="1">
      <c r="A63" s="962" t="s">
        <v>855</v>
      </c>
      <c r="C63" s="963">
        <v>1.03</v>
      </c>
      <c r="E63" s="964">
        <v>25000</v>
      </c>
      <c r="G63" s="960">
        <f>E63*$C$63</f>
        <v>25750</v>
      </c>
      <c r="I63" s="960">
        <f t="shared" ref="I63:I64" si="15">G63*$C$63</f>
        <v>26522.5</v>
      </c>
      <c r="K63" s="960">
        <f t="shared" ref="K63:K64" si="16">I63*$C$63</f>
        <v>27318.174999999999</v>
      </c>
      <c r="M63" s="960">
        <f t="shared" ref="M63:M64" si="17">K63*$C$63</f>
        <v>28137.720249999998</v>
      </c>
      <c r="O63" s="960">
        <f t="shared" ref="O63:O64" si="18">M63*$C$63</f>
        <v>28981.851857499998</v>
      </c>
      <c r="Q63" s="960">
        <f t="shared" ref="Q63:Q64" si="19">O63*$C$63</f>
        <v>29851.307413225</v>
      </c>
      <c r="S63" s="960">
        <f t="shared" ref="S63:S64" si="20">Q63*$C$63</f>
        <v>30746.84663562175</v>
      </c>
      <c r="U63" s="960">
        <f t="shared" ref="U63:U64" si="21">S63*$C$63</f>
        <v>31669.252034690402</v>
      </c>
      <c r="W63" s="960">
        <f t="shared" ref="W63:W64" si="22">U63*$C$63</f>
        <v>32619.329595731117</v>
      </c>
      <c r="Y63" s="960">
        <f t="shared" ref="Y63:Y64" si="23">W63*$C$63</f>
        <v>33597.909483603049</v>
      </c>
      <c r="AA63" s="960">
        <f t="shared" ref="AA63:AA64" si="24">Y63*$C$63</f>
        <v>34605.846768111143</v>
      </c>
      <c r="AC63" s="960">
        <f t="shared" ref="AC63:AC64" si="25">AA63*$C$63</f>
        <v>35644.02217115448</v>
      </c>
      <c r="AE63" s="960">
        <f t="shared" ref="AE63:AE64" si="26">AC63*$C$63</f>
        <v>36713.342836289114</v>
      </c>
      <c r="AG63" s="960">
        <f t="shared" ref="AG63:AG64" si="27">AE63*$C$63</f>
        <v>37814.743121377789</v>
      </c>
    </row>
    <row r="64" spans="1:34" s="962" customFormat="1">
      <c r="A64" s="3" t="s">
        <v>856</v>
      </c>
      <c r="B64" s="3"/>
      <c r="C64" s="958"/>
      <c r="D64" s="3"/>
      <c r="E64" s="965">
        <v>7500</v>
      </c>
      <c r="F64" s="960"/>
      <c r="G64" s="960">
        <f>E64*$C$63</f>
        <v>7725</v>
      </c>
      <c r="H64" s="960"/>
      <c r="I64" s="960">
        <f t="shared" si="15"/>
        <v>7956.75</v>
      </c>
      <c r="J64" s="960"/>
      <c r="K64" s="960">
        <f t="shared" si="16"/>
        <v>8195.4524999999994</v>
      </c>
      <c r="L64" s="960"/>
      <c r="M64" s="960">
        <f t="shared" si="17"/>
        <v>8441.3160749999988</v>
      </c>
      <c r="N64" s="960"/>
      <c r="O64" s="960">
        <f t="shared" si="18"/>
        <v>8694.5555572499998</v>
      </c>
      <c r="P64" s="960"/>
      <c r="Q64" s="960">
        <f t="shared" si="19"/>
        <v>8955.3922239674994</v>
      </c>
      <c r="R64" s="960"/>
      <c r="S64" s="960">
        <f t="shared" si="20"/>
        <v>9224.0539906865251</v>
      </c>
      <c r="T64" s="960"/>
      <c r="U64" s="960">
        <f t="shared" si="21"/>
        <v>9500.7756104071213</v>
      </c>
      <c r="V64" s="960"/>
      <c r="W64" s="960">
        <f t="shared" si="22"/>
        <v>9785.7988787193353</v>
      </c>
      <c r="X64" s="960"/>
      <c r="Y64" s="960">
        <f t="shared" si="23"/>
        <v>10079.372845080916</v>
      </c>
      <c r="Z64" s="960"/>
      <c r="AA64" s="960">
        <f t="shared" si="24"/>
        <v>10381.754030433343</v>
      </c>
      <c r="AB64" s="960"/>
      <c r="AC64" s="960">
        <f t="shared" si="25"/>
        <v>10693.206651346343</v>
      </c>
      <c r="AD64" s="960"/>
      <c r="AE64" s="960">
        <f t="shared" si="26"/>
        <v>11014.002850886734</v>
      </c>
      <c r="AF64" s="960"/>
      <c r="AG64" s="960">
        <f t="shared" si="27"/>
        <v>11344.422936413337</v>
      </c>
      <c r="AH64" s="960"/>
    </row>
    <row r="65" spans="1:34" s="962" customFormat="1">
      <c r="A65" s="3" t="s">
        <v>857</v>
      </c>
      <c r="C65" s="959"/>
      <c r="E65" s="964"/>
    </row>
    <row r="66" spans="1:34" s="962" customFormat="1">
      <c r="A66" s="2687" t="s">
        <v>1185</v>
      </c>
      <c r="B66" s="2687"/>
      <c r="C66" s="2687"/>
    </row>
    <row r="67" spans="1:34" s="3" customFormat="1" ht="8.25" customHeight="1">
      <c r="C67" s="961"/>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row>
    <row r="68" spans="1:34" s="3" customFormat="1">
      <c r="A68" s="3" t="s">
        <v>862</v>
      </c>
      <c r="C68" s="959">
        <v>0.5</v>
      </c>
      <c r="E68" s="960"/>
      <c r="F68" s="960"/>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row>
    <row r="69" spans="1:34" s="962" customFormat="1">
      <c r="A69" s="964" t="s">
        <v>2417</v>
      </c>
      <c r="B69" s="964"/>
      <c r="C69" s="963"/>
      <c r="E69" s="964">
        <f>$E60*$C$68</f>
        <v>124140.92500000005</v>
      </c>
      <c r="G69" s="960">
        <f>G60*$C$68</f>
        <v>138315.39812500007</v>
      </c>
      <c r="I69" s="960">
        <f>I60*$C$68</f>
        <v>152639.25807812472</v>
      </c>
      <c r="K69" s="960">
        <f>K60*$C$68</f>
        <v>167109.15956757765</v>
      </c>
      <c r="M69" s="960">
        <f>M60*$C$68</f>
        <v>181721.42887882947</v>
      </c>
      <c r="O69" s="960">
        <f>O60*$C$68</f>
        <v>196472.04719029984</v>
      </c>
      <c r="Q69" s="960">
        <f>Q60*$C$68</f>
        <v>211356.63317824039</v>
      </c>
      <c r="S69" s="960">
        <f>S60*$C$68</f>
        <v>226370.42488285783</v>
      </c>
      <c r="U69" s="960">
        <f>U60*$C$68</f>
        <v>241508.26080666494</v>
      </c>
      <c r="W69" s="960">
        <f>W60*$C$68</f>
        <v>256764.56021495198</v>
      </c>
      <c r="Y69" s="960">
        <f>Y60*$C$68</f>
        <v>272133.30260714097</v>
      </c>
      <c r="AA69" s="960">
        <f>AA60*$C$68</f>
        <v>287608.00632661325</v>
      </c>
      <c r="AC69" s="960">
        <f>AC60*$C$68</f>
        <v>303181.7062753865</v>
      </c>
      <c r="AE69" s="960">
        <f>AE60*$C$68</f>
        <v>318846.93069874635</v>
      </c>
      <c r="AG69" s="960">
        <f>AG60*$C$68</f>
        <v>334595.6770036479</v>
      </c>
    </row>
    <row r="70" spans="1:34" s="960" customFormat="1">
      <c r="A70" s="965"/>
      <c r="B70" s="965"/>
      <c r="C70" s="970"/>
      <c r="E70" s="964"/>
    </row>
    <row r="71" spans="1:34" s="960" customFormat="1">
      <c r="A71" s="965"/>
      <c r="B71" s="965"/>
      <c r="C71" s="970"/>
      <c r="E71" s="965"/>
      <c r="G71" s="960">
        <f t="shared" ref="G71:AG72" si="28">E71*$C$69</f>
        <v>0</v>
      </c>
      <c r="I71" s="960">
        <f t="shared" si="28"/>
        <v>0</v>
      </c>
      <c r="K71" s="960">
        <f t="shared" si="28"/>
        <v>0</v>
      </c>
      <c r="M71" s="960">
        <f t="shared" si="28"/>
        <v>0</v>
      </c>
      <c r="O71" s="960">
        <f t="shared" si="28"/>
        <v>0</v>
      </c>
      <c r="Q71" s="960">
        <f t="shared" si="28"/>
        <v>0</v>
      </c>
      <c r="S71" s="960">
        <f t="shared" si="28"/>
        <v>0</v>
      </c>
      <c r="U71" s="960">
        <f t="shared" si="28"/>
        <v>0</v>
      </c>
      <c r="W71" s="960">
        <f t="shared" si="28"/>
        <v>0</v>
      </c>
      <c r="Y71" s="960">
        <f t="shared" si="28"/>
        <v>0</v>
      </c>
      <c r="AA71" s="960">
        <f t="shared" si="28"/>
        <v>0</v>
      </c>
      <c r="AC71" s="960">
        <f t="shared" si="28"/>
        <v>0</v>
      </c>
      <c r="AE71" s="960">
        <f t="shared" si="28"/>
        <v>0</v>
      </c>
      <c r="AG71" s="960">
        <f t="shared" si="28"/>
        <v>0</v>
      </c>
    </row>
    <row r="72" spans="1:34" s="960" customFormat="1">
      <c r="A72" s="965"/>
      <c r="B72" s="965"/>
      <c r="C72" s="970"/>
      <c r="E72" s="967"/>
      <c r="G72" s="968">
        <f t="shared" si="28"/>
        <v>0</v>
      </c>
      <c r="I72" s="968">
        <f t="shared" si="28"/>
        <v>0</v>
      </c>
      <c r="K72" s="968">
        <f t="shared" si="28"/>
        <v>0</v>
      </c>
      <c r="M72" s="968">
        <f t="shared" si="28"/>
        <v>0</v>
      </c>
      <c r="O72" s="968">
        <f t="shared" si="28"/>
        <v>0</v>
      </c>
      <c r="Q72" s="968">
        <f t="shared" si="28"/>
        <v>0</v>
      </c>
      <c r="S72" s="968">
        <f t="shared" si="28"/>
        <v>0</v>
      </c>
      <c r="U72" s="968">
        <f t="shared" si="28"/>
        <v>0</v>
      </c>
      <c r="W72" s="968">
        <f t="shared" si="28"/>
        <v>0</v>
      </c>
      <c r="Y72" s="968">
        <f t="shared" si="28"/>
        <v>0</v>
      </c>
      <c r="AA72" s="968">
        <f t="shared" si="28"/>
        <v>0</v>
      </c>
      <c r="AC72" s="968">
        <f t="shared" si="28"/>
        <v>0</v>
      </c>
      <c r="AE72" s="968">
        <f t="shared" si="28"/>
        <v>0</v>
      </c>
      <c r="AG72" s="968">
        <f t="shared" si="28"/>
        <v>0</v>
      </c>
    </row>
    <row r="73" spans="1:34" s="960" customFormat="1">
      <c r="A73" s="962" t="s">
        <v>854</v>
      </c>
      <c r="C73" s="970"/>
      <c r="E73" s="960">
        <f>SUM(E69:E72)</f>
        <v>124140.92500000005</v>
      </c>
      <c r="G73" s="960">
        <f>SUM(G69:G72)</f>
        <v>138315.39812500007</v>
      </c>
      <c r="I73" s="960">
        <f>SUM(I69:I72)</f>
        <v>152639.25807812472</v>
      </c>
      <c r="K73" s="960">
        <f>SUM(K69:K72)</f>
        <v>167109.15956757765</v>
      </c>
      <c r="M73" s="960">
        <f>SUM(M69:M72)</f>
        <v>181721.42887882947</v>
      </c>
      <c r="O73" s="960">
        <f>SUM(O69:O72)</f>
        <v>196472.04719029984</v>
      </c>
      <c r="Q73" s="960">
        <f>SUM(Q69:Q72)</f>
        <v>211356.63317824039</v>
      </c>
      <c r="S73" s="960">
        <f>SUM(S69:S72)</f>
        <v>226370.42488285783</v>
      </c>
      <c r="U73" s="960">
        <f>SUM(U69:U72)</f>
        <v>241508.26080666494</v>
      </c>
      <c r="W73" s="960">
        <f>SUM(W69:W72)</f>
        <v>256764.56021495198</v>
      </c>
      <c r="Y73" s="960">
        <f>SUM(Y69:Y72)</f>
        <v>272133.30260714097</v>
      </c>
      <c r="AA73" s="960">
        <f>SUM(AA69:AA72)</f>
        <v>287608.00632661325</v>
      </c>
      <c r="AC73" s="960">
        <f>SUM(AC69:AC72)</f>
        <v>303181.7062753865</v>
      </c>
      <c r="AE73" s="960">
        <f>SUM(AE69:AE72)</f>
        <v>318846.93069874635</v>
      </c>
      <c r="AG73" s="960">
        <f>SUM(AG69:AG72)</f>
        <v>334595.6770036479</v>
      </c>
    </row>
    <row r="74" spans="1:34" s="960" customFormat="1">
      <c r="A74" s="962"/>
      <c r="C74" s="970"/>
    </row>
    <row r="75" spans="1:34" s="960" customFormat="1">
      <c r="A75" s="962" t="s">
        <v>1724</v>
      </c>
      <c r="C75" s="970"/>
      <c r="E75" s="962">
        <f>E60-E62-E73-E63-E64</f>
        <v>0</v>
      </c>
      <c r="G75" s="962">
        <f t="shared" ref="G75" si="29">G60-G62-G73-G63-G64</f>
        <v>0</v>
      </c>
      <c r="I75" s="962">
        <f t="shared" ref="I75" si="30">I60-I62-I73-I63-I64</f>
        <v>0</v>
      </c>
      <c r="K75" s="962">
        <f t="shared" ref="K75" si="31">K60-K62-K73-K63-K64</f>
        <v>0</v>
      </c>
      <c r="M75" s="962">
        <f t="shared" ref="M75" si="32">M60-M62-M73-M63-M64</f>
        <v>2.5465851649641991E-11</v>
      </c>
      <c r="O75" s="962">
        <f t="shared" ref="O75" si="33">O60-O62-O73-O63-O64</f>
        <v>0</v>
      </c>
      <c r="Q75" s="962">
        <f t="shared" ref="Q75" si="34">Q60-Q62-Q73-Q63-Q64</f>
        <v>0</v>
      </c>
      <c r="S75" s="962">
        <f t="shared" ref="S75" si="35">S60-S62-S73-S63-S64</f>
        <v>0</v>
      </c>
      <c r="U75" s="962">
        <f t="shared" ref="U75" si="36">U60-U62-U73-U63-U64</f>
        <v>0</v>
      </c>
      <c r="W75" s="962">
        <f t="shared" ref="W75" si="37">W60-W62-W73-W63-W64</f>
        <v>-1.4551915228366852E-11</v>
      </c>
      <c r="Y75" s="962">
        <f t="shared" ref="Y75" si="38">Y60-Y62-Y73-Y63-Y64</f>
        <v>3.4560798667371273E-11</v>
      </c>
      <c r="AA75" s="962">
        <f t="shared" ref="AA75" si="39">AA60-AA62-AA73-AA63-AA64</f>
        <v>0</v>
      </c>
      <c r="AC75" s="962">
        <f t="shared" ref="AC75" si="40">AC60-AC62-AC73-AC63-AC64</f>
        <v>2.9103830456733704E-11</v>
      </c>
      <c r="AE75" s="962">
        <f t="shared" ref="AE75" si="41">AE60-AE62-AE73-AE63-AE64</f>
        <v>-3.8198777474462986E-11</v>
      </c>
      <c r="AG75" s="962">
        <f t="shared" ref="AG75" si="42">AG60-AG62-AG73-AG63-AG64</f>
        <v>-3.092281986027956E-11</v>
      </c>
    </row>
    <row r="76" spans="1:34" s="960" customFormat="1">
      <c r="A76" s="529"/>
      <c r="C76" s="970"/>
    </row>
    <row r="77" spans="1:34" s="217" customFormat="1">
      <c r="A77" s="529"/>
      <c r="C77" s="183"/>
    </row>
    <row r="78" spans="1:34" s="217" customFormat="1">
      <c r="A78" s="960" t="s">
        <v>1723</v>
      </c>
      <c r="C78" s="183"/>
    </row>
    <row r="79" spans="1:34" s="217" customFormat="1">
      <c r="C79" s="183"/>
    </row>
    <row r="80" spans="1:34" s="234" customFormat="1" ht="30" customHeight="1">
      <c r="A80" s="2685" t="s">
        <v>1722</v>
      </c>
      <c r="B80" s="2686"/>
      <c r="C80" s="2686"/>
      <c r="D80" s="2686"/>
      <c r="E80" s="2686"/>
      <c r="F80" s="2686"/>
      <c r="G80" s="2686"/>
      <c r="H80" s="2686"/>
      <c r="I80" s="2686"/>
      <c r="J80" s="2686"/>
      <c r="K80" s="2686"/>
      <c r="L80" s="2686"/>
      <c r="M80" s="2686"/>
      <c r="N80" s="2686"/>
      <c r="O80" s="2686"/>
      <c r="P80" s="2686"/>
      <c r="Q80" s="2686"/>
      <c r="R80" s="2686"/>
      <c r="S80" s="2686"/>
      <c r="T80" s="2686"/>
      <c r="U80" s="2686"/>
      <c r="V80" s="2686"/>
      <c r="W80" s="2686"/>
      <c r="X80" s="2686"/>
      <c r="Y80" s="2686"/>
      <c r="Z80" s="2686"/>
      <c r="AA80" s="2686"/>
      <c r="AB80" s="2686"/>
      <c r="AC80" s="2686"/>
      <c r="AD80" s="2686"/>
      <c r="AE80" s="2686"/>
      <c r="AF80" s="2686"/>
      <c r="AG80"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2:C52"/>
    <mergeCell ref="A66:C66"/>
  </mergeCells>
  <dataValidations count="1">
    <dataValidation type="list" allowBlank="1" showInputMessage="1" showErrorMessage="1" sqref="A52:C52 A66:C6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workbookViewId="0">
      <selection activeCell="O6" sqref="O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20000</v>
      </c>
      <c r="C14" s="266">
        <f>'Sources and Uses Budget'!$C13</f>
        <v>20000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1084700</v>
      </c>
      <c r="C30" s="266">
        <f>'Sources and Uses Budget'!$C29</f>
        <v>1084700</v>
      </c>
      <c r="D30" s="270">
        <f t="shared" si="0"/>
        <v>0</v>
      </c>
      <c r="E30" s="268"/>
      <c r="F30" s="267"/>
    </row>
    <row r="31" spans="1:6" s="352" customFormat="1">
      <c r="A31" s="145" t="s">
        <v>600</v>
      </c>
      <c r="B31" s="266">
        <f>'Sources and Uses Budget'!$C30</f>
        <v>29029000</v>
      </c>
      <c r="C31" s="266">
        <f>'Sources and Uses Budget'!$C30</f>
        <v>29029000</v>
      </c>
      <c r="D31" s="270">
        <f t="shared" si="0"/>
        <v>0</v>
      </c>
      <c r="E31" s="268"/>
      <c r="F31" s="267"/>
    </row>
    <row r="32" spans="1:6" s="352" customFormat="1">
      <c r="A32" s="145" t="s">
        <v>601</v>
      </c>
      <c r="B32" s="266">
        <f>'Sources and Uses Budget'!$C31</f>
        <v>1373024</v>
      </c>
      <c r="C32" s="266">
        <f>'Sources and Uses Budget'!$C31</f>
        <v>1373024</v>
      </c>
      <c r="D32" s="270">
        <f t="shared" si="0"/>
        <v>0</v>
      </c>
      <c r="E32" s="268"/>
      <c r="F32" s="267"/>
    </row>
    <row r="33" spans="1:6" s="352" customFormat="1">
      <c r="A33" s="145" t="s">
        <v>137</v>
      </c>
      <c r="B33" s="266">
        <f>'Sources and Uses Budget'!$C32</f>
        <v>1373024</v>
      </c>
      <c r="C33" s="266">
        <f>'Sources and Uses Budget'!$C32</f>
        <v>1373024</v>
      </c>
      <c r="D33" s="270">
        <f t="shared" si="0"/>
        <v>0</v>
      </c>
      <c r="E33" s="268"/>
      <c r="F33" s="267"/>
    </row>
    <row r="34" spans="1:6" s="352" customFormat="1">
      <c r="A34" s="145" t="s">
        <v>138</v>
      </c>
      <c r="B34" s="266">
        <f>'Sources and Uses Budget'!$C33</f>
        <v>1220466</v>
      </c>
      <c r="C34" s="266">
        <f>'Sources and Uses Budget'!$C33</f>
        <v>1220466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305117</v>
      </c>
      <c r="C36" s="266">
        <f>'Sources and Uses Budget'!$C35</f>
        <v>305117</v>
      </c>
      <c r="D36" s="270">
        <f t="shared" si="0"/>
        <v>0</v>
      </c>
      <c r="E36" s="268"/>
      <c r="F36" s="267"/>
    </row>
    <row r="37" spans="1:6" s="352" customFormat="1">
      <c r="A37" s="283" t="s">
        <v>1641</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34535331</v>
      </c>
      <c r="C39" s="270">
        <f>SUM(C30:C38)</f>
        <v>34535331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225000</v>
      </c>
      <c r="C41" s="266">
        <f>'Sources and Uses Budget'!$C40</f>
        <v>225000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225000</v>
      </c>
      <c r="C43" s="270">
        <f>SUM(C41:C42)</f>
        <v>225000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4133672</v>
      </c>
      <c r="C46" s="266">
        <f>'Sources and Uses Budget'!$C45</f>
        <v>4133672</v>
      </c>
      <c r="D46" s="270">
        <f t="shared" si="0"/>
        <v>0</v>
      </c>
      <c r="E46" s="268"/>
      <c r="F46" s="267"/>
    </row>
    <row r="47" spans="1:6" s="352" customFormat="1">
      <c r="A47" s="145" t="s">
        <v>151</v>
      </c>
      <c r="B47" s="266">
        <f>'Sources and Uses Budget'!$C46</f>
        <v>451363</v>
      </c>
      <c r="C47" s="266">
        <f>'Sources and Uses Budget'!$C46</f>
        <v>451363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313754</v>
      </c>
      <c r="C50" s="266">
        <f>'Sources and Uses Budget'!$C49</f>
        <v>313754</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500000</v>
      </c>
      <c r="C53" s="266">
        <f>'Sources and Uses Budget'!$C52</f>
        <v>500000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5428789</v>
      </c>
      <c r="C55" s="273">
        <f>SUM(C46:C54)</f>
        <v>5428789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326374</v>
      </c>
      <c r="C57" s="266">
        <f>'Sources and Uses Budget'!$C56</f>
        <v>326374</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Loan Legal</v>
      </c>
      <c r="B62" s="266">
        <f>'Sources and Uses Budget'!$C61</f>
        <v>3000</v>
      </c>
      <c r="C62" s="266">
        <f>'Sources and Uses Budget'!$C61</f>
        <v>3000</v>
      </c>
      <c r="D62" s="270">
        <f t="shared" si="0"/>
        <v>0</v>
      </c>
      <c r="E62" s="268"/>
      <c r="F62" s="267"/>
    </row>
    <row r="63" spans="1:6" s="352" customFormat="1" ht="13.7" customHeight="1">
      <c r="A63" s="271" t="s">
        <v>301</v>
      </c>
      <c r="B63" s="270">
        <f>SUM(B57:B62)</f>
        <v>339374</v>
      </c>
      <c r="C63" s="270">
        <f>SUM(C57:C62)</f>
        <v>339374</v>
      </c>
      <c r="D63" s="270">
        <f t="shared" si="0"/>
        <v>0</v>
      </c>
      <c r="E63" s="268"/>
      <c r="F63" s="267"/>
    </row>
    <row r="64" spans="1:6" s="352" customFormat="1">
      <c r="A64" s="274" t="s">
        <v>302</v>
      </c>
      <c r="B64" s="270">
        <f>SUM(B9+B12+B14+B15+B17+B26+B28+B39+B43+B44+B55+B63)</f>
        <v>40838494</v>
      </c>
      <c r="C64" s="270">
        <f>SUM(C9+C12+C14+C15+C17+C26+C28+C39+C43+C44+C55+C63)</f>
        <v>40838494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4">
      <c r="A67" s="283" t="s">
        <v>1642</v>
      </c>
      <c r="B67" s="266">
        <f>'Sources and Uses Budget'!$C66</f>
        <v>230000</v>
      </c>
      <c r="C67" s="266">
        <f>'Sources and Uses Budget'!$C66</f>
        <v>230000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(Developer Legal)</v>
      </c>
      <c r="B70" s="266">
        <f>'Sources and Uses Budget'!$C69</f>
        <v>75000</v>
      </c>
      <c r="C70" s="266">
        <f>'Sources and Uses Budget'!$C69</f>
        <v>75000</v>
      </c>
      <c r="D70" s="270">
        <f t="shared" si="0"/>
        <v>0</v>
      </c>
      <c r="E70" s="268"/>
      <c r="F70" s="267"/>
    </row>
    <row r="71" spans="1:6" s="352" customFormat="1">
      <c r="A71" s="149" t="s">
        <v>1646</v>
      </c>
      <c r="B71" s="270">
        <f>SUM(B66:B70)</f>
        <v>355000</v>
      </c>
      <c r="C71" s="270">
        <f>SUM(C66:C70)</f>
        <v>355000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1216852</v>
      </c>
      <c r="C76" s="266">
        <f>'Sources and Uses Budget'!$C75</f>
        <v>1216852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1216852</v>
      </c>
      <c r="C78" s="270">
        <f>SUM(C73:C77)</f>
        <v>1216852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2175000</v>
      </c>
      <c r="C80" s="266">
        <f>'Sources and Uses Budget'!$C79</f>
        <v>2175000</v>
      </c>
      <c r="D80" s="270">
        <f t="shared" si="1"/>
        <v>0</v>
      </c>
      <c r="E80" s="268"/>
      <c r="F80" s="267"/>
    </row>
    <row r="81" spans="1:6" s="352" customFormat="1">
      <c r="A81" s="510" t="s">
        <v>58</v>
      </c>
      <c r="B81" s="266">
        <f>'Sources and Uses Budget'!$C80</f>
        <v>317455</v>
      </c>
      <c r="C81" s="266">
        <f>'Sources and Uses Budget'!$C80</f>
        <v>317455</v>
      </c>
      <c r="D81" s="270">
        <f>C81-B81</f>
        <v>0</v>
      </c>
      <c r="E81" s="268"/>
      <c r="F81" s="267"/>
    </row>
    <row r="82" spans="1:6" s="352" customFormat="1">
      <c r="A82" s="271" t="s">
        <v>1210</v>
      </c>
      <c r="B82" s="270">
        <f>SUM(B80:B81)</f>
        <v>2492455</v>
      </c>
      <c r="C82" s="270">
        <f>SUM(C80:C81)</f>
        <v>2492455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332545</v>
      </c>
      <c r="C84" s="266">
        <f>'Sources and Uses Budget'!$C83</f>
        <v>332545</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401280</v>
      </c>
      <c r="C86" s="266">
        <f>'Sources and Uses Budget'!$C85</f>
        <v>401280</v>
      </c>
      <c r="D86" s="270">
        <f t="shared" si="1"/>
        <v>0</v>
      </c>
      <c r="E86" s="268"/>
      <c r="F86" s="267"/>
    </row>
    <row r="87" spans="1:6" s="352" customFormat="1">
      <c r="A87" s="269" t="s">
        <v>770</v>
      </c>
      <c r="B87" s="266">
        <f>'Sources and Uses Budget'!$C86</f>
        <v>1144460</v>
      </c>
      <c r="C87" s="266">
        <f>'Sources and Uses Budget'!$C86</f>
        <v>1144460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30000</v>
      </c>
      <c r="C89" s="266">
        <f>'Sources and Uses Budget'!$C88</f>
        <v>30000</v>
      </c>
      <c r="D89" s="270">
        <f t="shared" si="1"/>
        <v>0</v>
      </c>
      <c r="E89" s="268"/>
      <c r="F89" s="267"/>
    </row>
    <row r="90" spans="1:6" s="352" customFormat="1">
      <c r="A90" s="269" t="s">
        <v>773</v>
      </c>
      <c r="B90" s="266">
        <f>'Sources and Uses Budget'!$C89</f>
        <v>107950</v>
      </c>
      <c r="C90" s="266">
        <f>'Sources and Uses Budget'!$C89</f>
        <v>107950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600000</v>
      </c>
      <c r="C94" s="266">
        <f>'Sources and Uses Budget'!$C93</f>
        <v>600000</v>
      </c>
      <c r="D94" s="270">
        <f t="shared" si="1"/>
        <v>0</v>
      </c>
      <c r="E94" s="268"/>
      <c r="F94" s="267"/>
    </row>
    <row r="95" spans="1:6" s="352" customFormat="1">
      <c r="A95" s="272" t="s">
        <v>34</v>
      </c>
      <c r="B95" s="266">
        <f>'Sources and Uses Budget'!$C94</f>
        <v>80000</v>
      </c>
      <c r="C95" s="266">
        <f>'Sources and Uses Budget'!$C94</f>
        <v>80000</v>
      </c>
      <c r="D95" s="270">
        <f t="shared" si="1"/>
        <v>0</v>
      </c>
      <c r="E95" s="268"/>
      <c r="F95" s="267"/>
    </row>
    <row r="96" spans="1:6" s="352" customFormat="1">
      <c r="A96" s="272" t="s">
        <v>34</v>
      </c>
      <c r="B96" s="266">
        <f>'Sources and Uses Budget'!$C95</f>
        <v>290000</v>
      </c>
      <c r="C96" s="266">
        <f>'Sources and Uses Budget'!$C95</f>
        <v>290000</v>
      </c>
      <c r="D96" s="270">
        <f t="shared" si="1"/>
        <v>0</v>
      </c>
      <c r="E96" s="268"/>
      <c r="F96" s="267"/>
    </row>
    <row r="97" spans="1:6" s="352" customFormat="1">
      <c r="A97" s="271" t="s">
        <v>775</v>
      </c>
      <c r="B97" s="270">
        <f>SUM(B84:B96)</f>
        <v>3056235</v>
      </c>
      <c r="C97" s="270">
        <f>SUM(C84:C96)</f>
        <v>3056235</v>
      </c>
      <c r="D97" s="270">
        <f t="shared" si="1"/>
        <v>0</v>
      </c>
      <c r="E97" s="268"/>
      <c r="F97" s="267"/>
    </row>
    <row r="98" spans="1:6" s="352" customFormat="1">
      <c r="A98" s="271" t="s">
        <v>776</v>
      </c>
      <c r="B98" s="270">
        <f>SUM(B64+B71+B78+B82+B97)</f>
        <v>47959036</v>
      </c>
      <c r="C98" s="270">
        <f>SUM(C64+C71+C78+C82+C97)</f>
        <v>47959036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4872026</v>
      </c>
      <c r="C100" s="266">
        <f>'Sources and Uses Budget'!$C99</f>
        <v>4872026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4872026</v>
      </c>
      <c r="C105" s="270">
        <f>SUM(C100:C104)</f>
        <v>4872026</v>
      </c>
      <c r="D105" s="270">
        <f t="shared" si="1"/>
        <v>0</v>
      </c>
      <c r="E105" s="268"/>
      <c r="F105" s="267"/>
    </row>
    <row r="106" spans="1:6" s="352" customFormat="1">
      <c r="A106" s="271" t="s">
        <v>781</v>
      </c>
      <c r="B106" s="273">
        <f>SUM(B98+B105)</f>
        <v>52831062</v>
      </c>
      <c r="C106" s="273">
        <f>SUM(C98+C105)</f>
        <v>52831062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49" sqref="F114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2455</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2740</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2740</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2741</v>
      </c>
      <c r="D24" s="1301" t="s">
        <v>1092</v>
      </c>
      <c r="E24" s="1301"/>
      <c r="F24" s="1301"/>
      <c r="I24" s="490"/>
    </row>
    <row r="25" spans="1:9" ht="14.25">
      <c r="A25" s="484"/>
      <c r="B25" s="484"/>
      <c r="D25" s="1301"/>
      <c r="E25" s="1301"/>
      <c r="F25" s="1301"/>
      <c r="I25" s="490"/>
    </row>
    <row r="26" spans="1:9">
      <c r="I26" s="490"/>
    </row>
    <row r="27" spans="1:9" ht="14.25">
      <c r="A27" s="484"/>
      <c r="B27" s="485" t="s">
        <v>2741</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2741</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2741</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2741</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2741</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2741</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2740</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2740</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2741</v>
      </c>
      <c r="D65" s="1301" t="s">
        <v>1098</v>
      </c>
      <c r="E65" s="1301"/>
      <c r="F65" s="1301"/>
      <c r="I65" s="490"/>
    </row>
    <row r="66" spans="1:9">
      <c r="D66" s="1301"/>
      <c r="E66" s="1301"/>
      <c r="F66" s="1301"/>
      <c r="I66" s="490"/>
    </row>
    <row r="67" spans="1:9">
      <c r="I67" s="490"/>
    </row>
    <row r="68" spans="1:9" ht="14.25">
      <c r="A68" s="484"/>
      <c r="B68" s="485" t="s">
        <v>2741</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2741</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2740</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2740</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2740</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2740</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2741</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2741</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2741</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2740</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2741</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2740</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2741</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2741</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2741</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2741</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2741</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2741</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2741</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2741</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2741</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2741</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2740</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2740</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2741</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2741</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2740</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2740</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2741</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2741</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2741</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2741</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2741</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2741</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2741</v>
      </c>
      <c r="D305" s="1299" t="s">
        <v>1130</v>
      </c>
      <c r="E305" s="1299"/>
      <c r="F305" s="1299"/>
      <c r="I305" s="490"/>
    </row>
    <row r="306" spans="1:9" ht="14.25">
      <c r="A306" s="484"/>
      <c r="B306" s="484"/>
      <c r="D306" s="494"/>
      <c r="E306" s="495"/>
      <c r="F306" s="495"/>
      <c r="I306" s="490"/>
    </row>
    <row r="307" spans="1:9" ht="13.7" customHeight="1">
      <c r="B307" s="485" t="s">
        <v>2741</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2741</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2741</v>
      </c>
      <c r="D316" s="1299" t="s">
        <v>1132</v>
      </c>
      <c r="E316" s="1299"/>
      <c r="F316" s="1299"/>
      <c r="I316" s="490"/>
    </row>
    <row r="317" spans="1:9">
      <c r="E317" s="446"/>
      <c r="F317" s="446"/>
      <c r="I317" s="490"/>
    </row>
    <row r="318" spans="1:9" ht="14.25">
      <c r="A318" s="484"/>
      <c r="B318" s="485" t="s">
        <v>2741</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2741</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2741</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2741</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2741</v>
      </c>
      <c r="C360" s="476"/>
      <c r="D360" s="1318" t="s">
        <v>2058</v>
      </c>
      <c r="E360" s="1318"/>
      <c r="F360" s="1318"/>
      <c r="I360" s="480"/>
    </row>
    <row r="361" spans="1:9">
      <c r="A361" s="476"/>
      <c r="B361" s="476"/>
      <c r="C361" s="476"/>
      <c r="D361" s="447"/>
      <c r="E361" s="447"/>
      <c r="F361" s="446"/>
      <c r="I361" s="490"/>
    </row>
    <row r="362" spans="1:9">
      <c r="A362" s="476"/>
      <c r="B362" s="485" t="s">
        <v>2741</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2741</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2741</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2741</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2741</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2741</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2741</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2741</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2741</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2741</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2741</v>
      </c>
      <c r="C486" s="402"/>
      <c r="D486" s="1301"/>
      <c r="E486" s="1301"/>
      <c r="F486" s="1301"/>
      <c r="I486" s="490"/>
    </row>
    <row r="487" spans="1:9">
      <c r="A487" s="402"/>
      <c r="C487" s="402"/>
      <c r="D487" s="1301"/>
      <c r="E487" s="1301"/>
      <c r="F487" s="1301"/>
      <c r="I487" s="490"/>
    </row>
    <row r="488" spans="1:9">
      <c r="A488" s="402"/>
      <c r="B488" s="485" t="s">
        <v>2741</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2741</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2741</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2741</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2741</v>
      </c>
      <c r="D509" s="1299" t="s">
        <v>1144</v>
      </c>
      <c r="E509" s="1299"/>
      <c r="F509" s="1299"/>
      <c r="I509" s="490"/>
    </row>
    <row r="510" spans="1:9" ht="14.25">
      <c r="A510" s="484"/>
      <c r="B510" s="484"/>
      <c r="D510" s="446"/>
      <c r="I510" s="490"/>
    </row>
    <row r="511" spans="1:9" ht="14.25">
      <c r="A511" s="484"/>
      <c r="B511" s="485" t="s">
        <v>2741</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2741</v>
      </c>
      <c r="D514" s="1299" t="s">
        <v>1146</v>
      </c>
      <c r="E514" s="1299"/>
      <c r="F514" s="1299"/>
      <c r="I514" s="490"/>
    </row>
    <row r="515" spans="1:9">
      <c r="D515" s="446"/>
      <c r="E515" s="446"/>
      <c r="F515" s="446"/>
      <c r="I515" s="490"/>
    </row>
    <row r="516" spans="1:9">
      <c r="B516" s="485" t="s">
        <v>2741</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2740</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2740</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2741</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2740</v>
      </c>
      <c r="C548" s="487"/>
      <c r="D548" s="1299" t="s">
        <v>885</v>
      </c>
      <c r="E548" s="1299"/>
      <c r="F548" s="1299"/>
      <c r="I548" s="490"/>
    </row>
    <row r="549" spans="1:9" ht="13.7" customHeight="1">
      <c r="A549" s="487"/>
      <c r="B549" s="487"/>
      <c r="C549" s="487"/>
      <c r="D549" s="446"/>
      <c r="I549" s="490"/>
    </row>
    <row r="550" spans="1:9" ht="14.25">
      <c r="A550" s="484"/>
      <c r="B550" s="485" t="s">
        <v>2740</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2740</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2740</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2740</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2741</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2741</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2740</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2740</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2740</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2740</v>
      </c>
      <c r="D588" s="1313" t="s">
        <v>889</v>
      </c>
      <c r="E588" s="1313"/>
      <c r="F588" s="1313"/>
      <c r="I588" s="490"/>
    </row>
    <row r="589" spans="1:9">
      <c r="A589" s="490"/>
      <c r="B589" s="490"/>
      <c r="D589" s="476"/>
      <c r="I589" s="490"/>
    </row>
    <row r="590" spans="1:9">
      <c r="A590" s="490"/>
      <c r="B590" s="485" t="s">
        <v>2740</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2741</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2740</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2741</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2740</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2740</v>
      </c>
      <c r="D620" s="1307" t="s">
        <v>1112</v>
      </c>
      <c r="E620" s="1307"/>
      <c r="F620" s="1307"/>
      <c r="I620" s="490"/>
    </row>
    <row r="621" spans="1:9">
      <c r="D621" s="1307"/>
      <c r="E621" s="1307"/>
      <c r="F621" s="1307"/>
      <c r="I621" s="490"/>
    </row>
    <row r="622" spans="1:9">
      <c r="I622" s="490"/>
    </row>
    <row r="623" spans="1:9">
      <c r="B623" s="485" t="s">
        <v>2740</v>
      </c>
      <c r="D623" s="1307" t="s">
        <v>1113</v>
      </c>
      <c r="E623" s="1307"/>
      <c r="F623" s="1307"/>
      <c r="I623" s="490"/>
    </row>
    <row r="624" spans="1:9">
      <c r="C624" s="500"/>
      <c r="D624" s="1307"/>
      <c r="E624" s="1307"/>
      <c r="F624" s="1307"/>
      <c r="I624" s="490"/>
    </row>
    <row r="625" spans="1:9">
      <c r="C625" s="500"/>
      <c r="I625" s="490"/>
    </row>
    <row r="626" spans="1:9">
      <c r="B626" s="485" t="s">
        <v>2741</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2740</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2741</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2741</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2741</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2741</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2741</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2741</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2741</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2741</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2740</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2740</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2741</v>
      </c>
      <c r="C698" s="483"/>
      <c r="D698" s="1299" t="s">
        <v>2466</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2741</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2741</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2741</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2741</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2741</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2741</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2741</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2740</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2740</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2740</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2741</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2741</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2740</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2741</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2741</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2741</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2741</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2741</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2741</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2740</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2740</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2741</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2741</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2741</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2740</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2740</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2741</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2741</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2741</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2740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2740</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2740</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2741</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2741</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2741</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2741</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2741</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2740</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2741</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2741</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2741</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2741</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2741</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2740</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2741</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2741</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2740</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2741</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2740</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2741</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2741</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2741</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2741</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2741</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2740</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2741</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2741</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2741</v>
      </c>
      <c r="C1062" s="402"/>
      <c r="D1062" s="402" t="s">
        <v>1813</v>
      </c>
      <c r="I1062" s="490"/>
    </row>
    <row r="1063" spans="1:9">
      <c r="A1063" s="402"/>
      <c r="B1063" s="402"/>
      <c r="C1063" s="402"/>
      <c r="I1063" s="490"/>
    </row>
    <row r="1064" spans="1:9">
      <c r="A1064" s="402"/>
      <c r="B1064" s="485" t="s">
        <v>2741</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2740</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2741</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2741</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2741</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2741</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2741</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2741</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2741</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2740</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2741</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29" workbookViewId="0">
      <selection activeCell="AO624" sqref="AO624:AS62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City of Los Angeles</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34</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2507</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2499</v>
      </c>
      <c r="BE9" s="1249">
        <f>SUMIF($AC$718:$AC$752,"&lt;=40%",$G$718:G$752)-SUM($BE$5:BE8)</f>
        <v>0</v>
      </c>
    </row>
    <row r="10" spans="1:58" ht="12.95" customHeight="1">
      <c r="A10" s="1372" t="s">
        <v>2456</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2508</v>
      </c>
      <c r="BE10" s="1249">
        <f>SUMIF($AC$718:$AC$752,"&lt;=45%",$G$718:G$752)-SUM($BE$5:BE9)</f>
        <v>0</v>
      </c>
    </row>
    <row r="11" spans="1:58" ht="12.95" customHeight="1">
      <c r="A11" s="1372" t="s">
        <v>2602</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2500</v>
      </c>
      <c r="BE11" s="1249">
        <f>SUMIF($AC$718:$AC$752,"&lt;=50%",$G$718:G$752)-SUM($BE$5:BE10)</f>
        <v>15</v>
      </c>
    </row>
    <row r="12" spans="1:58" ht="12.95" customHeight="1">
      <c r="A12" s="1411" t="s">
        <v>2607</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2509</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17</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73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22</v>
      </c>
    </row>
    <row r="16" spans="1:58" ht="12.95" customHeight="1">
      <c r="A16" s="57" t="s">
        <v>2080</v>
      </c>
      <c r="C16" s="4"/>
      <c r="D16" s="4"/>
      <c r="E16" s="4"/>
      <c r="F16" s="4"/>
      <c r="G16" s="4"/>
      <c r="H16" s="1419" t="s">
        <v>2608</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638 S Berendo</v>
      </c>
    </row>
    <row r="17" spans="1:58" ht="12.95" customHeight="1">
      <c r="BD17" s="1247" t="s">
        <v>2516</v>
      </c>
      <c r="BE17" s="1249">
        <f>Application!AA934</f>
        <v>4000000</v>
      </c>
    </row>
    <row r="18" spans="1:58" ht="12.95" customHeight="1">
      <c r="A18" s="57" t="s">
        <v>101</v>
      </c>
      <c r="C18" s="4"/>
      <c r="D18" s="4"/>
      <c r="E18" s="4"/>
      <c r="F18" s="4"/>
      <c r="G18" s="4"/>
      <c r="H18" s="1416" t="s">
        <v>2609</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2517</v>
      </c>
      <c r="BE18" s="1249">
        <f>'CalHFA Addendum'!N11</f>
        <v>4000000</v>
      </c>
    </row>
    <row r="19" spans="1:58" ht="12.95" customHeight="1">
      <c r="BD19" s="1247" t="s">
        <v>2518</v>
      </c>
      <c r="BE19" s="1249">
        <f>Application!M26</f>
        <v>2427051</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2519</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2520</v>
      </c>
      <c r="BE21" s="1249">
        <f>Application!AM554</f>
        <v>24900000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52831062</v>
      </c>
      <c r="BF22" s="3" t="s">
        <v>2593</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91295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5" customHeight="1">
      <c r="A26" s="4"/>
      <c r="C26" s="4"/>
      <c r="D26" s="4"/>
      <c r="E26" s="4"/>
      <c r="F26" s="4"/>
      <c r="G26" s="4"/>
      <c r="H26" s="4"/>
      <c r="I26" s="4"/>
      <c r="J26" s="4"/>
      <c r="K26" s="4"/>
      <c r="L26" s="4"/>
      <c r="M26" s="1418">
        <f>'Basis &amp; Credits'!AB56</f>
        <v>2427051</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2525</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2526</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2594</v>
      </c>
      <c r="BE33" s="1249" t="str">
        <f>Application!D220</f>
        <v>City of Los Angeles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2528</v>
      </c>
      <c r="BE34" s="1249" t="str">
        <f>Application!I185</f>
        <v>638 S. Berendo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2529</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2530</v>
      </c>
      <c r="BE36" s="1249"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2531</v>
      </c>
      <c r="BE37" s="1249" t="str">
        <f>Application!T189</f>
        <v>Los Angeles</v>
      </c>
    </row>
    <row r="38" spans="1:57" ht="12.95" customHeight="1">
      <c r="A38" s="3"/>
      <c r="AZ38" s="20"/>
      <c r="BD38" s="1248" t="s">
        <v>2532</v>
      </c>
      <c r="BE38" s="1249">
        <f>Application!I190</f>
        <v>90005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163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161</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0.59999999999999987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0.5493730223836869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324116.94478527608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638 Berendo Partners,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Scott Dobbins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Hankey Investment Company</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Kingdom BE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Rusty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Kingdom Development, Inc.</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638 Berendo Partners,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4751 Wilshire Blvd #110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Los Angeles, CA 90010</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Scott Dobbins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dobbins@hiclp.com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0.87</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2591</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2556</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2559</v>
      </c>
      <c r="BE69" s="1249" t="str">
        <f>Application!W700</f>
        <v>CalHFA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2560</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2562</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785" t="s">
        <v>2161</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2565</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2566</v>
      </c>
      <c r="BE76" s="1249">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2569</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2570</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1.4883504526236899</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Timothy Elliott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Los Angeles</v>
      </c>
    </row>
    <row r="89" spans="1:57" ht="12.95" customHeight="1">
      <c r="A89" s="1784" t="s">
        <v>2165</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2579</v>
      </c>
      <c r="BE89" s="1249">
        <f>Application!O158</f>
        <v>90017</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2580</v>
      </c>
      <c r="BE90" s="1249" t="str">
        <f>Application!H16</f>
        <v>638 Berendo Partners,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4751 Wilshire Blvd #110</v>
      </c>
    </row>
    <row r="92" spans="1:57" ht="12.95" customHeight="1">
      <c r="A92" s="1785" t="s">
        <v>2166</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2582</v>
      </c>
      <c r="BE92" s="1249" t="str">
        <f>Application!M234</f>
        <v>Los Angeles</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2583</v>
      </c>
      <c r="BE93" s="1249"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2584</v>
      </c>
      <c r="BE94" s="1249">
        <f>Application!AC234</f>
        <v>90010</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2585</v>
      </c>
      <c r="BE95" s="1249" t="str">
        <f>Application!M235</f>
        <v>Scott Dobbins</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2586</v>
      </c>
      <c r="BE96" s="1249" t="str">
        <f>Application!M237</f>
        <v>dobbins@hiclp.com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2587</v>
      </c>
      <c r="BE97" s="1249" t="str">
        <f>Application!M248</f>
        <v>dobbins@hiclp.com</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2588</v>
      </c>
      <c r="BE98" s="1249" t="str">
        <f>Application!M256</f>
        <v>rusty@kingdomdevelopment.net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5" customHeight="1">
      <c r="A100" s="1786" t="s">
        <v>2167</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2590</v>
      </c>
      <c r="BE100" s="1249" t="str">
        <f>Application!L279</f>
        <v>dobbins@hiclp.com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2595</v>
      </c>
      <c r="BE101">
        <f>'Sources and Uses Budget'!C105</f>
        <v>52831062</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2596</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2168</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c r="H113" s="1787"/>
      <c r="I113" s="3" t="s">
        <v>182</v>
      </c>
      <c r="L113" s="1787"/>
      <c r="M113" s="1787"/>
      <c r="N113" s="1787"/>
      <c r="O113" s="1787"/>
      <c r="P113" s="1793" t="s">
        <v>2242</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Los Angeles</v>
      </c>
      <c r="DH122" s="1654"/>
      <c r="DI122" s="1654"/>
      <c r="DJ122" s="1654"/>
      <c r="DK122" s="1654"/>
      <c r="DL122" s="1654"/>
      <c r="DM122" s="1655"/>
    </row>
    <row r="123" spans="1:117" ht="12.95"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646</v>
      </c>
      <c r="O153" s="1417" t="s">
        <v>876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440</v>
      </c>
      <c r="O154" s="1436" t="s">
        <v>2610</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2465</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2611</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495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0">
        <v>90017</v>
      </c>
      <c r="P158" s="1790"/>
      <c r="Q158" s="1790"/>
      <c r="R158" s="179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t="s">
        <v>2612</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t="s">
        <v>2613</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3" t="s">
        <v>2614</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9" t="s">
        <v>2218</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c r="V176" s="1425"/>
      <c r="W176" s="1" t="s">
        <v>306</v>
      </c>
      <c r="X176" s="1782"/>
      <c r="Y176" s="1782"/>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1"/>
      <c r="AG178" s="1781"/>
      <c r="AH178" s="1" t="s">
        <v>306</v>
      </c>
      <c r="AI178" s="1802"/>
      <c r="AJ178" s="1802"/>
      <c r="AK178" s="1802"/>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638 S Berendo</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2615</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90005</v>
      </c>
      <c r="J190" s="1348"/>
      <c r="K190" s="1348"/>
      <c r="L190" s="1348"/>
      <c r="M190" s="1348"/>
      <c r="N190" s="1348"/>
      <c r="O190" t="s">
        <v>586</v>
      </c>
      <c r="T190" s="1788">
        <v>2121.0100000000002</v>
      </c>
      <c r="U190" s="1788"/>
      <c r="V190" s="1788"/>
      <c r="W190" s="1788"/>
      <c r="X190" s="1788"/>
      <c r="Y190" s="1788"/>
      <c r="Z190" s="1788"/>
      <c r="AA190" s="1788"/>
      <c r="AB190" s="1788"/>
      <c r="AC190" s="1788"/>
      <c r="AD190" s="1788"/>
      <c r="AE190" s="178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1" t="s">
        <v>2616</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2" t="s">
        <v>2215</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34</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546</v>
      </c>
      <c r="U196" s="1402"/>
      <c r="W196" t="s">
        <v>686</v>
      </c>
      <c r="AH196" s="1332">
        <v>54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2511</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2512</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0">
        <f>M26</f>
        <v>2427051</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9" t="s">
        <v>1248</v>
      </c>
      <c r="E205" s="1358"/>
      <c r="F205" s="1358"/>
      <c r="G205" s="1358"/>
      <c r="H205" s="1358"/>
      <c r="I205" s="1358"/>
      <c r="J205" s="1358"/>
      <c r="K205" s="1358"/>
      <c r="L205" s="1358"/>
      <c r="M205" s="1358"/>
      <c r="P205" s="1780">
        <f>M27</f>
        <v>0</v>
      </c>
      <c r="Q205" s="1780"/>
      <c r="R205" s="1780"/>
      <c r="S205" s="1780"/>
      <c r="T205" s="1780"/>
      <c r="U205" s="1780"/>
      <c r="V205" s="28"/>
      <c r="W205" s="3" t="s">
        <v>1721</v>
      </c>
      <c r="Z205" s="1807" t="s">
        <v>2221</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2617</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1858</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c r="R212" s="1332"/>
      <c r="T212" s="1794">
        <f>IFERROR(Q212/AG440,0)</f>
        <v>0</v>
      </c>
      <c r="U212" s="179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2460</v>
      </c>
      <c r="BC218" t="s">
        <v>530</v>
      </c>
    </row>
    <row r="219" spans="1:108" ht="12.95" customHeight="1">
      <c r="A219" s="2"/>
      <c r="C219" s="2"/>
      <c r="D219" s="3" t="s">
        <v>2461</v>
      </c>
      <c r="AZ219" s="3"/>
      <c r="BA219" s="3"/>
      <c r="BC219" t="s">
        <v>377</v>
      </c>
    </row>
    <row r="220" spans="1:108" ht="12.95" customHeight="1">
      <c r="A220" s="2"/>
      <c r="C220" s="2"/>
      <c r="D220" s="1417" t="s">
        <v>876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876</v>
      </c>
      <c r="AD220" s="1808"/>
      <c r="AE220" s="1808"/>
      <c r="AF220" s="1808"/>
      <c r="AG220" s="1808"/>
      <c r="AH220" s="1808"/>
      <c r="AI220" s="1808"/>
      <c r="AJ220" s="1808"/>
      <c r="AK220" s="1808"/>
      <c r="AL220" s="1808"/>
      <c r="AM220" s="1808"/>
      <c r="AN220" s="1808"/>
      <c r="AO220" s="1808"/>
      <c r="AP220" s="1808"/>
      <c r="AQ220" s="1808"/>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9" t="str">
        <f>H16</f>
        <v>638 Berendo Partners, LLC</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2618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t="s">
        <v>495</v>
      </c>
      <c r="N234" s="1417"/>
      <c r="O234" s="1417"/>
      <c r="P234" s="1417"/>
      <c r="Q234" s="1417"/>
      <c r="R234" s="1417"/>
      <c r="S234" s="1417"/>
      <c r="T234" s="1417"/>
      <c r="V234" s="33" t="s">
        <v>86</v>
      </c>
      <c r="W234" s="1545" t="s">
        <v>2619</v>
      </c>
      <c r="X234" s="1436"/>
      <c r="Y234" s="4" t="s">
        <v>584</v>
      </c>
      <c r="AC234" s="1417">
        <v>90010</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2620</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2621</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3" t="s">
        <v>2622</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5" t="s">
        <v>2623</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2608</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2624</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2618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495</v>
      </c>
      <c r="N245" s="1417"/>
      <c r="O245" s="1417"/>
      <c r="P245" s="1417"/>
      <c r="Q245" s="1417"/>
      <c r="R245" s="1417"/>
      <c r="S245" s="1417"/>
      <c r="T245" s="1417"/>
      <c r="V245" s="33" t="s">
        <v>86</v>
      </c>
      <c r="W245" s="1436" t="s">
        <v>2619</v>
      </c>
      <c r="X245" s="1436"/>
      <c r="Y245" s="4" t="s">
        <v>584</v>
      </c>
      <c r="AC245" s="1417">
        <v>90010</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2620</v>
      </c>
      <c r="N246" s="1417"/>
      <c r="O246" s="1417"/>
      <c r="P246" s="1417"/>
      <c r="Q246" s="1417"/>
      <c r="R246" s="1417"/>
      <c r="S246" s="1417"/>
      <c r="T246" s="1417"/>
      <c r="U246" s="1417"/>
      <c r="V246" s="1417"/>
      <c r="W246" s="1417"/>
      <c r="X246" s="1417"/>
      <c r="Y246" s="1417"/>
      <c r="Z246" s="1417"/>
      <c r="AA246" s="1417"/>
      <c r="AB246" s="1417"/>
      <c r="AC246" s="1417"/>
      <c r="AD246" s="1417"/>
      <c r="AE246" s="1417"/>
      <c r="AH246" s="1777">
        <v>5.1000000000000004E-3</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2621</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2622</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75" t="s">
        <v>2623</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2627</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2626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2628</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t="s">
        <v>67</v>
      </c>
      <c r="N253" s="1417"/>
      <c r="O253" s="1417"/>
      <c r="P253" s="1417"/>
      <c r="Q253" s="1417"/>
      <c r="R253" s="1417"/>
      <c r="S253" s="1417"/>
      <c r="T253" s="1417"/>
      <c r="V253" s="33" t="s">
        <v>86</v>
      </c>
      <c r="W253" s="1545" t="s">
        <v>2619</v>
      </c>
      <c r="X253" s="1436"/>
      <c r="Y253" s="4" t="s">
        <v>584</v>
      </c>
      <c r="AC253" s="1417">
        <v>92507</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2629</v>
      </c>
      <c r="N254" s="1417"/>
      <c r="O254" s="1417"/>
      <c r="P254" s="1417"/>
      <c r="Q254" s="1417"/>
      <c r="R254" s="1417"/>
      <c r="S254" s="1417"/>
      <c r="T254" s="1417"/>
      <c r="U254" s="1417"/>
      <c r="V254" s="1417"/>
      <c r="W254" s="1417"/>
      <c r="X254" s="1417"/>
      <c r="Y254" s="1417"/>
      <c r="Z254" s="1417"/>
      <c r="AA254" s="1417"/>
      <c r="AB254" s="1417"/>
      <c r="AC254" s="1417"/>
      <c r="AD254" s="1417"/>
      <c r="AE254" s="1417"/>
      <c r="AH254" s="1777">
        <v>4.8999999999999998E-3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t="s">
        <v>2630</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2631</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4" t="s">
        <v>2625</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90">
        <v>45809</v>
      </c>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2623</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2618</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
        <v>495</v>
      </c>
      <c r="M276" s="1417"/>
      <c r="N276" s="1417"/>
      <c r="O276" s="1417"/>
      <c r="P276" s="1417"/>
      <c r="Q276" s="1417"/>
      <c r="R276" s="1417"/>
      <c r="S276" s="1417"/>
      <c r="U276" s="33" t="s">
        <v>86</v>
      </c>
      <c r="V276" s="1545" t="s">
        <v>2619</v>
      </c>
      <c r="W276" s="1436"/>
      <c r="X276" s="4" t="s">
        <v>584</v>
      </c>
      <c r="AB276" s="1417">
        <v>90010</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2620</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2621</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3" t="s">
        <v>2622</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5" t="s">
        <v>2632</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2608</v>
      </c>
      <c r="I287" s="1371"/>
      <c r="J287" s="1371"/>
      <c r="K287" s="1371"/>
      <c r="L287" s="1371"/>
      <c r="M287" s="1371"/>
      <c r="N287" s="1371"/>
      <c r="O287" s="1371"/>
      <c r="P287" s="1371"/>
      <c r="Q287" s="1371"/>
      <c r="R287" s="1371"/>
      <c r="T287" s="3" t="s">
        <v>568</v>
      </c>
      <c r="V287" s="3"/>
      <c r="W287" s="3"/>
      <c r="X287" s="3"/>
      <c r="Y287" s="3"/>
      <c r="AA287" s="1371" t="s">
        <v>2634</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2618</v>
      </c>
      <c r="I288" s="1348"/>
      <c r="J288" s="1348"/>
      <c r="K288" s="1348"/>
      <c r="L288" s="1348"/>
      <c r="M288" s="1348"/>
      <c r="N288" s="1348"/>
      <c r="O288" s="1348"/>
      <c r="P288" s="1348"/>
      <c r="Q288" s="1348"/>
      <c r="R288" s="1348"/>
      <c r="T288" s="3" t="s">
        <v>472</v>
      </c>
      <c r="V288" s="3"/>
      <c r="W288" s="3"/>
      <c r="X288" s="3"/>
      <c r="Y288" s="3"/>
      <c r="AA288" s="1348" t="s">
        <v>2635</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2633</v>
      </c>
      <c r="I289" s="1348"/>
      <c r="J289" s="1348"/>
      <c r="K289" s="1348"/>
      <c r="L289" s="1348"/>
      <c r="M289" s="1348"/>
      <c r="N289" s="1348"/>
      <c r="O289" s="1348"/>
      <c r="P289" s="1348"/>
      <c r="Q289" s="1348"/>
      <c r="R289" s="1348"/>
      <c r="T289" s="3" t="s">
        <v>75</v>
      </c>
      <c r="V289" s="3"/>
      <c r="W289" s="3"/>
      <c r="X289" s="3"/>
      <c r="Y289" s="3"/>
      <c r="AA289" s="1348" t="s">
        <v>2636</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2620</v>
      </c>
      <c r="I290" s="1348"/>
      <c r="J290" s="1348"/>
      <c r="K290" s="1348"/>
      <c r="L290" s="1348"/>
      <c r="M290" s="1348"/>
      <c r="N290" s="1348"/>
      <c r="O290" s="1348"/>
      <c r="P290" s="1348"/>
      <c r="Q290" s="1348"/>
      <c r="R290" s="1348"/>
      <c r="T290" s="3" t="s">
        <v>87</v>
      </c>
      <c r="V290" s="3"/>
      <c r="W290" s="3"/>
      <c r="X290" s="3"/>
      <c r="Y290" s="3"/>
      <c r="AA290" s="1348" t="s">
        <v>2637</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2621</v>
      </c>
      <c r="I291" s="1423"/>
      <c r="J291" s="1423"/>
      <c r="K291" s="1423"/>
      <c r="L291" s="1423"/>
      <c r="M291" s="1423"/>
      <c r="N291" s="4" t="s">
        <v>206</v>
      </c>
      <c r="O291" s="4"/>
      <c r="P291" s="1417"/>
      <c r="Q291" s="1417"/>
      <c r="R291" s="1417"/>
      <c r="S291" s="3"/>
      <c r="T291" s="3" t="s">
        <v>88</v>
      </c>
      <c r="V291" s="3"/>
      <c r="W291" s="3"/>
      <c r="X291" s="3"/>
      <c r="Y291" s="3"/>
      <c r="AA291" s="1423" t="s">
        <v>2638</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2622</v>
      </c>
      <c r="I293" s="1348"/>
      <c r="J293" s="1348"/>
      <c r="K293" s="1348"/>
      <c r="L293" s="1348"/>
      <c r="M293" s="1348"/>
      <c r="N293" s="1371"/>
      <c r="O293" s="1371"/>
      <c r="P293" s="1371"/>
      <c r="Q293" s="1371"/>
      <c r="R293" s="1371"/>
      <c r="S293" s="3"/>
      <c r="T293" s="3" t="s">
        <v>76</v>
      </c>
      <c r="V293" s="3"/>
      <c r="W293" s="3"/>
      <c r="X293" s="3"/>
      <c r="Y293" s="3"/>
      <c r="AA293" s="1348" t="s">
        <v>2639</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2640</v>
      </c>
      <c r="I295" s="1371"/>
      <c r="J295" s="1371"/>
      <c r="K295" s="1371"/>
      <c r="L295" s="1371"/>
      <c r="M295" s="1371"/>
      <c r="N295" s="1371"/>
      <c r="O295" s="1371"/>
      <c r="P295" s="1371"/>
      <c r="Q295" s="1371"/>
      <c r="R295" s="1371"/>
      <c r="T295" s="3" t="s">
        <v>364</v>
      </c>
      <c r="V295" s="3"/>
      <c r="W295" s="3"/>
      <c r="X295" s="3"/>
      <c r="Y295" s="3"/>
      <c r="AA295" s="1371" t="s">
        <v>2647</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2641</v>
      </c>
      <c r="I296" s="1348"/>
      <c r="J296" s="1348"/>
      <c r="K296" s="1348"/>
      <c r="L296" s="1348"/>
      <c r="M296" s="1348"/>
      <c r="N296" s="1348"/>
      <c r="O296" s="1348"/>
      <c r="P296" s="1348"/>
      <c r="Q296" s="1348"/>
      <c r="R296" s="1348"/>
      <c r="T296" s="3" t="s">
        <v>472</v>
      </c>
      <c r="V296" s="3"/>
      <c r="W296" s="3"/>
      <c r="X296" s="3"/>
      <c r="Y296" s="3"/>
      <c r="AA296" s="1348" t="s">
        <v>2648</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2642</v>
      </c>
      <c r="I297" s="1348"/>
      <c r="J297" s="1348"/>
      <c r="K297" s="1348"/>
      <c r="L297" s="1348"/>
      <c r="M297" s="1348"/>
      <c r="N297" s="1348"/>
      <c r="O297" s="1348"/>
      <c r="P297" s="1348"/>
      <c r="Q297" s="1348"/>
      <c r="R297" s="1348"/>
      <c r="T297" s="3" t="s">
        <v>75</v>
      </c>
      <c r="V297" s="3"/>
      <c r="W297" s="3"/>
      <c r="X297" s="3"/>
      <c r="Y297" s="3"/>
      <c r="AA297" s="1348" t="s">
        <v>2633</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2643</v>
      </c>
      <c r="I298" s="1348"/>
      <c r="J298" s="1348"/>
      <c r="K298" s="1348"/>
      <c r="L298" s="1348"/>
      <c r="M298" s="1348"/>
      <c r="N298" s="1348"/>
      <c r="O298" s="1348"/>
      <c r="P298" s="1348"/>
      <c r="Q298" s="1348"/>
      <c r="R298" s="1348"/>
      <c r="T298" s="3" t="s">
        <v>87</v>
      </c>
      <c r="V298" s="3"/>
      <c r="W298" s="3"/>
      <c r="X298" s="3"/>
      <c r="Y298" s="3"/>
      <c r="AA298" s="1348" t="s">
        <v>2649</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2644</v>
      </c>
      <c r="I299" s="1423"/>
      <c r="J299" s="1423"/>
      <c r="K299" s="1423"/>
      <c r="L299" s="1423"/>
      <c r="M299" s="1423"/>
      <c r="N299" s="4" t="s">
        <v>206</v>
      </c>
      <c r="O299" s="4"/>
      <c r="P299" s="1417"/>
      <c r="Q299" s="1417"/>
      <c r="R299" s="1417"/>
      <c r="S299" s="3"/>
      <c r="T299" s="3" t="s">
        <v>88</v>
      </c>
      <c r="V299" s="3"/>
      <c r="W299" s="3"/>
      <c r="X299" s="3"/>
      <c r="Y299" s="3"/>
      <c r="AA299" s="1423" t="s">
        <v>2621</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t="s">
        <v>2645</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2646</v>
      </c>
      <c r="I301" s="1348"/>
      <c r="J301" s="1348"/>
      <c r="K301" s="1348"/>
      <c r="L301" s="1348"/>
      <c r="M301" s="1348"/>
      <c r="N301" s="1371"/>
      <c r="O301" s="1371"/>
      <c r="P301" s="1371"/>
      <c r="Q301" s="1371"/>
      <c r="R301" s="1371"/>
      <c r="S301" s="3"/>
      <c r="T301" s="3" t="s">
        <v>76</v>
      </c>
      <c r="V301" s="3"/>
      <c r="W301" s="3"/>
      <c r="X301" s="3"/>
      <c r="Y301" s="3"/>
      <c r="AA301" s="1348" t="s">
        <v>2650</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2651</v>
      </c>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2652</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2653</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2654</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2655</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t="s">
        <v>2656</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2657</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2651</v>
      </c>
      <c r="I311" s="1371"/>
      <c r="J311" s="1371"/>
      <c r="K311" s="1371"/>
      <c r="L311" s="1371"/>
      <c r="M311" s="1371"/>
      <c r="N311" s="1371"/>
      <c r="O311" s="1371"/>
      <c r="P311" s="1371"/>
      <c r="Q311" s="1371"/>
      <c r="R311" s="1371"/>
      <c r="S311" s="3"/>
      <c r="T311" s="3" t="s">
        <v>365</v>
      </c>
      <c r="V311" s="3"/>
      <c r="W311" s="3"/>
      <c r="X311" s="3"/>
      <c r="Y311" s="3"/>
      <c r="AA311" s="1371" t="s">
        <v>2658</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2652</v>
      </c>
      <c r="I312" s="1348"/>
      <c r="J312" s="1348"/>
      <c r="K312" s="1348"/>
      <c r="L312" s="1348"/>
      <c r="M312" s="1348"/>
      <c r="N312" s="1348"/>
      <c r="O312" s="1348"/>
      <c r="P312" s="1348"/>
      <c r="Q312" s="1348"/>
      <c r="R312" s="1348"/>
      <c r="S312" s="3"/>
      <c r="T312" s="3" t="s">
        <v>472</v>
      </c>
      <c r="V312" s="3"/>
      <c r="W312" s="3"/>
      <c r="X312" s="3"/>
      <c r="Y312" s="3"/>
      <c r="AA312" s="1348" t="s">
        <v>2659</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2653</v>
      </c>
      <c r="I313" s="1348"/>
      <c r="J313" s="1348"/>
      <c r="K313" s="1348"/>
      <c r="L313" s="1348"/>
      <c r="M313" s="1348"/>
      <c r="N313" s="1348"/>
      <c r="O313" s="1348"/>
      <c r="P313" s="1348"/>
      <c r="Q313" s="1348"/>
      <c r="R313" s="1348"/>
      <c r="S313" s="3"/>
      <c r="T313" s="3" t="s">
        <v>75</v>
      </c>
      <c r="V313" s="3"/>
      <c r="W313" s="3"/>
      <c r="X313" s="3"/>
      <c r="Y313" s="3"/>
      <c r="AA313" s="1348" t="s">
        <v>2660</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2654</v>
      </c>
      <c r="I314" s="1348"/>
      <c r="J314" s="1348"/>
      <c r="K314" s="1348"/>
      <c r="L314" s="1348"/>
      <c r="M314" s="1348"/>
      <c r="N314" s="1348"/>
      <c r="O314" s="1348"/>
      <c r="P314" s="1348"/>
      <c r="Q314" s="1348"/>
      <c r="R314" s="1348"/>
      <c r="S314" s="3"/>
      <c r="T314" s="3" t="s">
        <v>87</v>
      </c>
      <c r="V314" s="3"/>
      <c r="W314" s="3"/>
      <c r="X314" s="3"/>
      <c r="Y314" s="3"/>
      <c r="AA314" s="1348" t="s">
        <v>2661</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2655</v>
      </c>
      <c r="I315" s="1423"/>
      <c r="J315" s="1423"/>
      <c r="K315" s="1423"/>
      <c r="L315" s="1423"/>
      <c r="M315" s="1423"/>
      <c r="N315" s="4" t="s">
        <v>206</v>
      </c>
      <c r="O315" s="4"/>
      <c r="P315" s="1417"/>
      <c r="Q315" s="1417"/>
      <c r="R315" s="1417"/>
      <c r="S315" s="3"/>
      <c r="T315" s="3" t="s">
        <v>88</v>
      </c>
      <c r="V315" s="3"/>
      <c r="W315" s="3"/>
      <c r="X315" s="3"/>
      <c r="Y315" s="3"/>
      <c r="AA315" s="1423" t="s">
        <v>2662</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t="s">
        <v>2656</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2657</v>
      </c>
      <c r="I317" s="1348"/>
      <c r="J317" s="1348"/>
      <c r="K317" s="1348"/>
      <c r="L317" s="1348"/>
      <c r="M317" s="1348"/>
      <c r="N317" s="1371"/>
      <c r="O317" s="1371"/>
      <c r="P317" s="1371"/>
      <c r="Q317" s="1371"/>
      <c r="R317" s="1371"/>
      <c r="S317" s="3"/>
      <c r="T317" s="3" t="s">
        <v>76</v>
      </c>
      <c r="V317" s="3"/>
      <c r="W317" s="3"/>
      <c r="X317" s="3"/>
      <c r="Y317" s="3"/>
      <c r="AA317" s="1348" t="s">
        <v>2663</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2651</v>
      </c>
      <c r="I319" s="1371"/>
      <c r="J319" s="1371"/>
      <c r="K319" s="1371"/>
      <c r="L319" s="1371"/>
      <c r="M319" s="1371"/>
      <c r="N319" s="1371"/>
      <c r="O319" s="1371"/>
      <c r="P319" s="1371"/>
      <c r="Q319" s="1371"/>
      <c r="R319" s="1371"/>
      <c r="T319" s="3" t="s">
        <v>366</v>
      </c>
      <c r="V319" s="3"/>
      <c r="W319" s="3"/>
      <c r="X319" s="3"/>
      <c r="Y319" s="3"/>
      <c r="AA319" s="1371" t="s">
        <v>2651</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2652</v>
      </c>
      <c r="I320" s="1348"/>
      <c r="J320" s="1348"/>
      <c r="K320" s="1348"/>
      <c r="L320" s="1348"/>
      <c r="M320" s="1348"/>
      <c r="N320" s="1348"/>
      <c r="O320" s="1348"/>
      <c r="P320" s="1348"/>
      <c r="Q320" s="1348"/>
      <c r="R320" s="1348"/>
      <c r="T320" s="3" t="s">
        <v>472</v>
      </c>
      <c r="V320" s="3"/>
      <c r="W320" s="3"/>
      <c r="X320" s="3"/>
      <c r="Y320" s="3"/>
      <c r="AA320" s="1348" t="s">
        <v>2664</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2653</v>
      </c>
      <c r="I321" s="1348"/>
      <c r="J321" s="1348"/>
      <c r="K321" s="1348"/>
      <c r="L321" s="1348"/>
      <c r="M321" s="1348"/>
      <c r="N321" s="1348"/>
      <c r="O321" s="1348"/>
      <c r="P321" s="1348"/>
      <c r="Q321" s="1348"/>
      <c r="R321" s="1348"/>
      <c r="T321" s="3" t="s">
        <v>75</v>
      </c>
      <c r="V321" s="3"/>
      <c r="W321" s="3"/>
      <c r="X321" s="3"/>
      <c r="Y321" s="3"/>
      <c r="AA321" s="1348" t="s">
        <v>2665</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2654</v>
      </c>
      <c r="I322" s="1348"/>
      <c r="J322" s="1348"/>
      <c r="K322" s="1348"/>
      <c r="L322" s="1348"/>
      <c r="M322" s="1348"/>
      <c r="N322" s="1348"/>
      <c r="O322" s="1348"/>
      <c r="P322" s="1348"/>
      <c r="Q322" s="1348"/>
      <c r="R322" s="1348"/>
      <c r="T322" s="3" t="s">
        <v>87</v>
      </c>
      <c r="V322" s="3"/>
      <c r="W322" s="3"/>
      <c r="X322" s="3"/>
      <c r="Y322" s="3"/>
      <c r="AA322" s="1348" t="s">
        <v>2666</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2655</v>
      </c>
      <c r="I323" s="1423"/>
      <c r="J323" s="1423"/>
      <c r="K323" s="1423"/>
      <c r="L323" s="1423"/>
      <c r="M323" s="1423"/>
      <c r="N323" s="4" t="s">
        <v>206</v>
      </c>
      <c r="O323" s="4"/>
      <c r="P323" s="1417"/>
      <c r="Q323" s="1417"/>
      <c r="R323" s="1417"/>
      <c r="S323" s="3"/>
      <c r="T323" s="3" t="s">
        <v>88</v>
      </c>
      <c r="V323" s="3"/>
      <c r="W323" s="3"/>
      <c r="X323" s="3"/>
      <c r="Y323" s="3"/>
      <c r="AA323" s="1423" t="s">
        <v>2667</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t="s">
        <v>2656</v>
      </c>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2657</v>
      </c>
      <c r="I325" s="1348"/>
      <c r="J325" s="1348"/>
      <c r="K325" s="1348"/>
      <c r="L325" s="1348"/>
      <c r="M325" s="1348"/>
      <c r="N325" s="1371"/>
      <c r="O325" s="1371"/>
      <c r="P325" s="1371"/>
      <c r="Q325" s="1371"/>
      <c r="R325" s="1371"/>
      <c r="S325" s="3"/>
      <c r="T325" s="3" t="s">
        <v>76</v>
      </c>
      <c r="V325" s="3"/>
      <c r="W325" s="3"/>
      <c r="X325" s="3"/>
      <c r="Y325" s="3"/>
      <c r="AA325" s="1348" t="s">
        <v>2668</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2669</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2670</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2671</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2672</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t="s">
        <v>2673</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2674</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2675</v>
      </c>
      <c r="I335" s="1371"/>
      <c r="J335" s="1371"/>
      <c r="K335" s="1371"/>
      <c r="L335" s="1371"/>
      <c r="M335" s="1371"/>
      <c r="N335" s="1371"/>
      <c r="O335" s="1371"/>
      <c r="P335" s="1371"/>
      <c r="Q335" s="1371"/>
      <c r="R335" s="1371"/>
      <c r="T335" s="204" t="s">
        <v>887</v>
      </c>
      <c r="V335" s="3"/>
      <c r="W335" s="3"/>
      <c r="X335" s="3"/>
      <c r="Y335" s="3"/>
      <c r="AA335" s="1371" t="s">
        <v>2734</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2676</v>
      </c>
      <c r="I336" s="1348"/>
      <c r="J336" s="1348"/>
      <c r="K336" s="1348"/>
      <c r="L336" s="1348"/>
      <c r="M336" s="1348"/>
      <c r="N336" s="1348"/>
      <c r="O336" s="1348"/>
      <c r="P336" s="1348"/>
      <c r="Q336" s="1348"/>
      <c r="R336" s="1348"/>
      <c r="T336" s="3" t="s">
        <v>472</v>
      </c>
      <c r="V336" s="3"/>
      <c r="W336" s="3"/>
      <c r="X336" s="3"/>
      <c r="Y336" s="3"/>
      <c r="AA336" s="1348" t="s">
        <v>2735</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2677</v>
      </c>
      <c r="I337" s="1348"/>
      <c r="J337" s="1348"/>
      <c r="K337" s="1348"/>
      <c r="L337" s="1348"/>
      <c r="M337" s="1348"/>
      <c r="N337" s="1348"/>
      <c r="O337" s="1348"/>
      <c r="P337" s="1348"/>
      <c r="Q337" s="1348"/>
      <c r="R337" s="1348"/>
      <c r="T337" s="3" t="s">
        <v>75</v>
      </c>
      <c r="V337" s="3"/>
      <c r="W337" s="3"/>
      <c r="X337" s="3"/>
      <c r="Y337" s="3"/>
      <c r="AA337" s="1348" t="s">
        <v>2736</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2678</v>
      </c>
      <c r="I338" s="1348"/>
      <c r="J338" s="1348"/>
      <c r="K338" s="1348"/>
      <c r="L338" s="1348"/>
      <c r="M338" s="1348"/>
      <c r="N338" s="1348"/>
      <c r="O338" s="1348"/>
      <c r="P338" s="1348"/>
      <c r="Q338" s="1348"/>
      <c r="R338" s="1348"/>
      <c r="T338" s="3" t="s">
        <v>87</v>
      </c>
      <c r="V338" s="3"/>
      <c r="W338" s="3"/>
      <c r="X338" s="3"/>
      <c r="Y338" s="3"/>
      <c r="AA338" s="1348" t="s">
        <v>2737</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2679</v>
      </c>
      <c r="I339" s="1423"/>
      <c r="J339" s="1423"/>
      <c r="K339" s="1423"/>
      <c r="L339" s="1423"/>
      <c r="M339" s="1423"/>
      <c r="N339" s="4" t="s">
        <v>206</v>
      </c>
      <c r="O339" s="4"/>
      <c r="P339" s="1417"/>
      <c r="Q339" s="1417"/>
      <c r="R339" s="1417"/>
      <c r="S339" s="3"/>
      <c r="T339" s="3" t="s">
        <v>88</v>
      </c>
      <c r="V339" s="3"/>
      <c r="W339" s="3"/>
      <c r="X339" s="3"/>
      <c r="Y339" s="3"/>
      <c r="AA339" s="1423" t="s">
        <v>2738</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2680</v>
      </c>
      <c r="I341" s="1348"/>
      <c r="J341" s="1348"/>
      <c r="K341" s="1348"/>
      <c r="L341" s="1348"/>
      <c r="M341" s="1348"/>
      <c r="N341" s="1371"/>
      <c r="O341" s="1371"/>
      <c r="P341" s="1371"/>
      <c r="Q341" s="1371"/>
      <c r="R341" s="1371"/>
      <c r="S341" s="3"/>
      <c r="T341" s="3" t="s">
        <v>76</v>
      </c>
      <c r="V341" s="3"/>
      <c r="W341" s="3"/>
      <c r="X341" s="3"/>
      <c r="Y341" s="3"/>
      <c r="AA341" s="1348" t="s">
        <v>2739</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6"/>
      <c r="AK356" s="1446"/>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3"/>
      <c r="T377" s="1813"/>
      <c r="U377" s="1" t="s">
        <v>306</v>
      </c>
      <c r="V377" s="1813"/>
      <c r="W377" s="1813"/>
      <c r="Y377" t="s">
        <v>2081</v>
      </c>
      <c r="AC377" s="27" t="s">
        <v>305</v>
      </c>
      <c r="AD377" s="1813"/>
      <c r="AE377" s="1813"/>
      <c r="AF377" s="1" t="s">
        <v>306</v>
      </c>
      <c r="AG377" s="1813"/>
      <c r="AH377" s="1813"/>
    </row>
    <row r="378" spans="1:34" ht="12.95" customHeight="1">
      <c r="E378" s="4" t="s">
        <v>988</v>
      </c>
      <c r="F378" s="4"/>
      <c r="G378" s="4"/>
      <c r="H378" s="4"/>
      <c r="I378" s="4"/>
      <c r="J378" s="4"/>
      <c r="K378" s="4"/>
      <c r="L378" s="4"/>
      <c r="N378" s="1813"/>
      <c r="O378" s="1813"/>
      <c r="P378" s="1813"/>
    </row>
    <row r="379" spans="1:34" ht="12.95" customHeight="1">
      <c r="E379" s="204" t="s">
        <v>2087</v>
      </c>
      <c r="F379" s="4"/>
      <c r="G379" s="4"/>
      <c r="H379" s="4"/>
      <c r="I379" s="4"/>
      <c r="J379" s="4"/>
      <c r="K379" s="4"/>
      <c r="L379" s="4"/>
      <c r="AG379" s="1802" t="s">
        <v>592</v>
      </c>
      <c r="AH379" s="1802"/>
    </row>
    <row r="380" spans="1:34" ht="12.95" customHeight="1">
      <c r="E380" s="4"/>
      <c r="F380" s="4"/>
      <c r="G380" s="4" t="s">
        <v>2088</v>
      </c>
      <c r="H380" s="4"/>
      <c r="I380" s="4"/>
      <c r="J380" s="4"/>
      <c r="K380" s="4"/>
      <c r="L380" s="4"/>
      <c r="AG380" s="1802" t="s">
        <v>592</v>
      </c>
      <c r="AH380" s="1802"/>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0"/>
      <c r="R389" s="1750"/>
      <c r="S389" s="1750"/>
      <c r="T389" s="1750"/>
      <c r="U389" s="1750"/>
      <c r="V389" t="s">
        <v>309</v>
      </c>
      <c r="AI389" s="1332" t="s">
        <v>670</v>
      </c>
      <c r="AJ389" s="1332"/>
    </row>
    <row r="390" spans="4:36" ht="12.95" customHeight="1">
      <c r="D390" t="s">
        <v>5</v>
      </c>
      <c r="Q390" s="1533"/>
      <c r="R390" s="1817"/>
      <c r="S390" s="1817"/>
      <c r="T390" s="1817"/>
      <c r="U390" s="1817"/>
      <c r="W390" s="21" t="s">
        <v>74</v>
      </c>
      <c r="AG390" s="1815"/>
      <c r="AH390" s="1815"/>
      <c r="AI390" s="1815"/>
      <c r="AJ390" s="1815"/>
    </row>
    <row r="391" spans="4:36" ht="12.95" customHeight="1">
      <c r="D391" t="s">
        <v>427</v>
      </c>
      <c r="Q391" s="1826"/>
      <c r="R391" s="1826"/>
      <c r="S391" s="1826"/>
      <c r="T391" s="1826"/>
      <c r="U391" s="1826"/>
      <c r="V391" s="3" t="s">
        <v>1182</v>
      </c>
      <c r="AG391" s="1816"/>
      <c r="AH391" s="1816"/>
      <c r="AI391" s="1816"/>
      <c r="AJ391" s="1816"/>
    </row>
    <row r="392" spans="4:36" ht="12.95" customHeight="1">
      <c r="D392" t="s">
        <v>88</v>
      </c>
      <c r="I392" s="1423"/>
      <c r="J392" s="1423"/>
      <c r="K392" s="1423"/>
      <c r="L392" s="1423"/>
      <c r="M392" s="1423"/>
      <c r="N392" s="1423"/>
      <c r="Q392" s="4" t="s">
        <v>206</v>
      </c>
      <c r="S392" s="1825"/>
      <c r="T392" s="1825"/>
      <c r="U392" s="1825"/>
      <c r="V392" t="s">
        <v>73</v>
      </c>
      <c r="AI392" s="1332" t="s">
        <v>670</v>
      </c>
      <c r="AJ392" s="1332"/>
    </row>
    <row r="393" spans="4:36" ht="12.95" customHeight="1">
      <c r="D393" t="s">
        <v>310</v>
      </c>
      <c r="Q393" s="1408"/>
      <c r="R393" s="1408"/>
      <c r="S393" s="1408"/>
      <c r="T393" s="1408"/>
      <c r="U393" s="1408"/>
      <c r="V393" t="s">
        <v>311</v>
      </c>
      <c r="AG393" s="1815"/>
      <c r="AH393" s="1815"/>
      <c r="AI393" s="1815"/>
      <c r="AJ393" s="1815"/>
    </row>
    <row r="394" spans="4:36" ht="12.95" customHeight="1">
      <c r="D394" t="s">
        <v>312</v>
      </c>
      <c r="Q394" s="1754"/>
      <c r="R394" s="1754"/>
      <c r="S394" s="1754"/>
      <c r="T394" s="1754"/>
      <c r="U394" s="1754"/>
      <c r="V394" t="s">
        <v>1164</v>
      </c>
      <c r="AG394" s="1815"/>
      <c r="AH394" s="1815"/>
      <c r="AI394" s="1815"/>
      <c r="AJ394" s="1815"/>
    </row>
    <row r="395" spans="4:36" ht="12.95" customHeight="1">
      <c r="D395" t="s">
        <v>1163</v>
      </c>
      <c r="AG395" s="1815"/>
      <c r="AH395" s="1815"/>
      <c r="AI395" s="1815"/>
      <c r="AJ395" s="1815"/>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1661</v>
      </c>
      <c r="S401" s="1749" t="s">
        <v>546</v>
      </c>
      <c r="T401" s="1749"/>
      <c r="U401" s="1749"/>
      <c r="V401" t="s">
        <v>1662</v>
      </c>
      <c r="AG401" s="1819">
        <v>55</v>
      </c>
      <c r="AH401" s="1819"/>
      <c r="AI401" s="1819"/>
      <c r="AJ401" s="1819"/>
    </row>
    <row r="402" spans="1:36" ht="12.95" customHeight="1">
      <c r="D402" s="3" t="s">
        <v>1659</v>
      </c>
      <c r="S402" s="1749" t="s">
        <v>546</v>
      </c>
      <c r="T402" s="1749"/>
      <c r="U402" s="1749"/>
      <c r="V402" t="s">
        <v>1664</v>
      </c>
      <c r="AE402" s="1814">
        <v>300000</v>
      </c>
      <c r="AF402" s="1814"/>
      <c r="AG402" s="1814"/>
      <c r="AH402" s="1814"/>
      <c r="AI402" s="1814"/>
      <c r="AJ402" s="1814"/>
    </row>
    <row r="403" spans="1:36" ht="12.95"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1663</v>
      </c>
      <c r="K404" s="1796" t="s">
        <v>2681</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1666</v>
      </c>
      <c r="E405" s="477"/>
      <c r="F405" s="477"/>
      <c r="G405" s="477"/>
      <c r="H405" s="477"/>
      <c r="I405" s="477"/>
      <c r="J405" s="477"/>
      <c r="K405" s="477"/>
      <c r="L405" s="477"/>
      <c r="M405" s="477"/>
      <c r="N405" s="477"/>
      <c r="O405" s="477"/>
      <c r="P405" s="477"/>
      <c r="Q405" s="477"/>
      <c r="R405" s="477"/>
      <c r="S405" s="1824" t="s">
        <v>2682</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2">
        <v>8</v>
      </c>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55" t="s">
        <v>2683</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591</v>
      </c>
      <c r="B417" s="2"/>
      <c r="C417" s="2"/>
      <c r="D417" s="2" t="s">
        <v>114</v>
      </c>
      <c r="AF417" s="2" t="s">
        <v>958</v>
      </c>
    </row>
    <row r="418" spans="1:39" ht="12.95" customHeight="1">
      <c r="E418" s="1813"/>
      <c r="F418" s="1813"/>
      <c r="G418" s="1813"/>
      <c r="H418" s="13" t="s">
        <v>115</v>
      </c>
      <c r="I418" s="1813"/>
      <c r="J418" s="1813"/>
      <c r="K418" s="1813"/>
      <c r="L418" t="s">
        <v>116</v>
      </c>
      <c r="N418" s="27" t="s">
        <v>576</v>
      </c>
      <c r="P418" s="1758">
        <v>0.34899999999999998</v>
      </c>
      <c r="Q418" s="1758"/>
      <c r="R418" s="1758"/>
      <c r="S418" t="s">
        <v>117</v>
      </c>
      <c r="W418" s="1823">
        <f>IF(E418&gt;0,(E418*I418),(P418*43560))</f>
        <v>15202.439999999999</v>
      </c>
      <c r="X418" s="1823"/>
      <c r="Y418" s="1823"/>
      <c r="Z418" t="s">
        <v>118</v>
      </c>
      <c r="AF418" s="1759">
        <f>IFERROR(IF(P418&gt;0,(AG437/P418),(AG437/(W418/43560))),0)</f>
        <v>467.04871060171922</v>
      </c>
      <c r="AG418" s="1759"/>
      <c r="AH418" s="1759"/>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1737</v>
      </c>
      <c r="F421" s="1013"/>
      <c r="G421" s="1013"/>
      <c r="H421" s="1013"/>
      <c r="I421" s="1757">
        <f>P418</f>
        <v>0.34899999999999998</v>
      </c>
      <c r="J421" s="1757"/>
      <c r="K421" s="1757"/>
      <c r="L421" s="1013"/>
      <c r="M421" s="118"/>
      <c r="N421" s="1013"/>
      <c r="O421" s="1013"/>
      <c r="P421" s="1440">
        <f>(DU755+DU778+DU800)/I421</f>
        <v>467.04871060171922</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609</v>
      </c>
      <c r="P429" s="1"/>
      <c r="Q429" s="1332" t="s">
        <v>670</v>
      </c>
      <c r="R429" s="1332"/>
    </row>
    <row r="430" spans="1:39" ht="12.95" customHeight="1">
      <c r="F430" t="s">
        <v>610</v>
      </c>
      <c r="P430" s="1"/>
      <c r="Q430" s="1"/>
      <c r="AF430" s="1332" t="s">
        <v>592</v>
      </c>
      <c r="AG430" s="1821"/>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8">
        <v>163</v>
      </c>
      <c r="AH437" s="1818"/>
      <c r="AI437" s="1818"/>
      <c r="AJ437" s="1818"/>
    </row>
    <row r="438" spans="1:55" ht="12.95"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2">
        <v>0</v>
      </c>
      <c r="AH438" s="1612"/>
      <c r="AI438" s="1612"/>
      <c r="AJ438" s="1612"/>
    </row>
    <row r="439" spans="1:55" ht="12.95"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8">
        <v>161</v>
      </c>
      <c r="AH439" s="1818"/>
      <c r="AI439" s="1818"/>
      <c r="AJ439" s="1818"/>
    </row>
    <row r="440" spans="1:55" ht="12.95"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8">
        <v>161</v>
      </c>
      <c r="AH440" s="1818"/>
      <c r="AI440" s="1818"/>
      <c r="AJ440" s="1818"/>
    </row>
    <row r="441" spans="1:55" ht="12.95"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2.95"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75111</v>
      </c>
      <c r="AH442" s="1694"/>
      <c r="AI442" s="1694"/>
      <c r="AJ442" s="1694"/>
    </row>
    <row r="443" spans="1:55" ht="12.95"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75111</v>
      </c>
      <c r="AH443" s="1694"/>
      <c r="AI443" s="1694"/>
      <c r="AJ443" s="1694"/>
    </row>
    <row r="444" spans="1:55" ht="12.95"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2.95"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2.95" customHeight="1">
      <c r="D446" s="1741"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4970</v>
      </c>
      <c r="AH446" s="1694"/>
      <c r="AI446" s="1694"/>
      <c r="AJ446" s="1694"/>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2.95"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11214</v>
      </c>
      <c r="AH448" s="1694"/>
      <c r="AI448" s="1694"/>
      <c r="AJ448" s="1694"/>
      <c r="AZ448" s="3"/>
      <c r="BA448" s="3"/>
      <c r="BB448" s="3"/>
      <c r="BC448" s="3"/>
    </row>
    <row r="449" spans="1:55" ht="12.95"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0</v>
      </c>
      <c r="AH449" s="1694"/>
      <c r="AI449" s="1694"/>
      <c r="AJ449" s="1694"/>
      <c r="BB449" s="3"/>
      <c r="BC449" s="3"/>
    </row>
    <row r="450" spans="1:55" ht="12.95"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2">
        <f>AG442+AG446+AG448+AG449</f>
        <v>91295</v>
      </c>
      <c r="AH450" s="1842"/>
      <c r="AI450" s="1842"/>
      <c r="AJ450" s="1842"/>
      <c r="AZ450" s="3"/>
      <c r="BA450" s="3"/>
      <c r="BB450" s="3"/>
      <c r="BC450" s="3"/>
    </row>
    <row r="451" spans="1:55" ht="12.95"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324116.94478527608</v>
      </c>
      <c r="AD454" s="1810"/>
      <c r="AE454" s="1810"/>
      <c r="AF454" s="1810"/>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324116.94478527608</v>
      </c>
      <c r="AD455" s="1810"/>
      <c r="AE455" s="1810"/>
      <c r="AF455" s="1810"/>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286343.87116564414</v>
      </c>
      <c r="AD456" s="1810"/>
      <c r="AE456" s="1810"/>
      <c r="AF456" s="1810"/>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2101</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2192</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41</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6" t="s">
        <v>2685</v>
      </c>
      <c r="H474" s="1697"/>
      <c r="I474" s="1697"/>
      <c r="J474" s="1697"/>
      <c r="K474" s="1697"/>
      <c r="L474" s="1697"/>
      <c r="M474" s="1697"/>
      <c r="N474" s="1697"/>
      <c r="O474" s="1697"/>
      <c r="P474" s="1697"/>
      <c r="Q474" s="1697"/>
      <c r="R474" s="1697"/>
      <c r="S474" s="1697"/>
      <c r="T474" s="1697"/>
      <c r="U474" s="1697"/>
      <c r="V474" s="1698"/>
      <c r="W474" s="1664">
        <f>161-W473</f>
        <v>120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394</v>
      </c>
      <c r="C486" s="5"/>
      <c r="D486" s="5"/>
      <c r="E486" s="5"/>
      <c r="F486" s="5"/>
      <c r="G486" s="5"/>
      <c r="H486" s="5"/>
      <c r="I486" s="5"/>
      <c r="J486" s="5"/>
      <c r="K486" s="5"/>
      <c r="L486" s="5"/>
      <c r="M486" s="5"/>
      <c r="N486" s="5"/>
      <c r="O486" s="5"/>
      <c r="P486" s="5"/>
      <c r="Q486" s="1576" t="s">
        <v>2686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2687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2688</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397</v>
      </c>
      <c r="C489" s="1831"/>
      <c r="D489" s="1831"/>
      <c r="E489" s="1831"/>
      <c r="F489" s="1831"/>
      <c r="G489" s="1831"/>
      <c r="H489" s="1831"/>
      <c r="I489" s="1831"/>
      <c r="J489" s="1831"/>
      <c r="K489" s="1831"/>
      <c r="L489" s="1831"/>
      <c r="M489" s="1831"/>
      <c r="N489" s="1831"/>
      <c r="O489" s="1831"/>
      <c r="P489" s="1832"/>
      <c r="Q489" s="1836" t="s">
        <v>670</v>
      </c>
      <c r="R489" s="1837"/>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3" t="s">
        <v>670</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2689</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t="s">
        <v>2690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15</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15</v>
      </c>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3</v>
      </c>
      <c r="AD501" s="1662"/>
      <c r="AE501" s="1662"/>
      <c r="AF501" s="1662"/>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v>
      </c>
      <c r="AD502" s="1662"/>
      <c r="AE502" s="1662"/>
      <c r="AF502" s="1662"/>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v>11</v>
      </c>
      <c r="AD506" s="1662"/>
      <c r="AE506" s="1662"/>
      <c r="AF506" s="1662"/>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v>11</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1"/>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8" t="s">
        <v>546</v>
      </c>
      <c r="AD509" s="1818"/>
      <c r="AE509" s="1818"/>
      <c r="AF509" s="1818"/>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2</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7">
        <v>1</v>
      </c>
      <c r="AD512" s="1828"/>
      <c r="AE512" s="1828"/>
      <c r="AF512" s="1829"/>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0"/>
      <c r="AZ513" s="3"/>
      <c r="BA513" s="3"/>
      <c r="BB513" s="3"/>
      <c r="BC513" s="3"/>
      <c r="BD513" s="3"/>
      <c r="BE513" s="3"/>
      <c r="BF513" s="3"/>
      <c r="BG513" s="3"/>
      <c r="BH513" s="3"/>
      <c r="BI513" s="3"/>
      <c r="BJ513" s="3"/>
      <c r="BK513" s="3"/>
      <c r="BL513" s="3"/>
      <c r="BM513" s="3"/>
      <c r="BN513" s="3" t="s">
        <v>2106</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3</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2"/>
      <c r="C515" s="1432"/>
      <c r="D515" s="1432"/>
      <c r="E515" s="1432"/>
      <c r="F515" s="1432"/>
      <c r="G515" s="1432"/>
      <c r="H515" s="1433"/>
      <c r="I515" t="s">
        <v>416</v>
      </c>
      <c r="AC515" s="1661">
        <v>3</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3</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2"/>
      <c r="C518" s="1432"/>
      <c r="D518" s="1432"/>
      <c r="E518" s="1432"/>
      <c r="F518" s="1432"/>
      <c r="G518" s="1432"/>
      <c r="H518" s="1433"/>
      <c r="I518" t="s">
        <v>416</v>
      </c>
      <c r="AC518" s="1661">
        <v>3</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8</v>
      </c>
      <c r="AD519" s="1662"/>
      <c r="AE519" s="1662"/>
      <c r="AF519" s="1662"/>
      <c r="AG519" s="38" t="s">
        <v>403</v>
      </c>
      <c r="AH519" s="1402">
        <v>2026</v>
      </c>
      <c r="AI519" s="1402"/>
      <c r="AJ519" s="1402"/>
      <c r="AK519" s="1403"/>
      <c r="BB519" s="3"/>
      <c r="BC519" s="3"/>
      <c r="BD519" s="3"/>
      <c r="BE519" s="3"/>
      <c r="BF519" s="3"/>
      <c r="BG519" s="3"/>
      <c r="BH519" s="3"/>
      <c r="BI519" s="3"/>
      <c r="BJ519" s="3"/>
      <c r="BK519" s="3"/>
      <c r="BL519" s="3"/>
      <c r="BM519" s="3"/>
      <c r="BN519" s="3" t="s">
        <v>2112</v>
      </c>
    </row>
    <row r="520" spans="2:66" ht="12.95" customHeight="1">
      <c r="B520" s="1671" t="s">
        <v>419</v>
      </c>
      <c r="C520" s="1430"/>
      <c r="D520" s="1430"/>
      <c r="E520" s="1430"/>
      <c r="F520" s="1430"/>
      <c r="G520" s="1430"/>
      <c r="H520" s="1431"/>
      <c r="I520" s="41" t="s">
        <v>420</v>
      </c>
      <c r="J520" s="42"/>
      <c r="K520" s="42"/>
      <c r="L520" s="42"/>
      <c r="M520" s="42"/>
      <c r="N520" s="42"/>
      <c r="O520" s="1748" t="s">
        <v>2417</v>
      </c>
      <c r="P520" s="1749"/>
      <c r="Q520" s="1749"/>
      <c r="R520" s="1749"/>
      <c r="S520" s="1749"/>
      <c r="T520" s="1749"/>
      <c r="U520" s="1749"/>
      <c r="V520" s="1749"/>
      <c r="W520" s="1749"/>
      <c r="X520" s="1749"/>
      <c r="Y520" s="1749"/>
      <c r="Z520" s="1749"/>
      <c r="AA520" s="1749"/>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2"/>
      <c r="C521" s="1432"/>
      <c r="D521" s="1432"/>
      <c r="E521" s="1432"/>
      <c r="F521" s="1432"/>
      <c r="G521" s="1432"/>
      <c r="H521" s="1433"/>
      <c r="I521" s="114" t="s">
        <v>421</v>
      </c>
      <c r="AB521" s="65"/>
      <c r="AC521" s="1661">
        <v>3</v>
      </c>
      <c r="AD521" s="1662"/>
      <c r="AE521" s="1662"/>
      <c r="AF521" s="1662"/>
      <c r="AG521" s="13" t="s">
        <v>403</v>
      </c>
      <c r="AH521" s="1402">
        <v>2025</v>
      </c>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8</v>
      </c>
      <c r="AD522" s="1662"/>
      <c r="AE522" s="1662"/>
      <c r="AF522" s="1662"/>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4</v>
      </c>
      <c r="AD538" s="1662"/>
      <c r="AE538" s="1662"/>
      <c r="AF538" s="1662"/>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1</v>
      </c>
      <c r="AD539" s="1662"/>
      <c r="AE539" s="1662"/>
      <c r="AF539" s="1662"/>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1</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1</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6</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2104</v>
      </c>
      <c r="C551" s="1430"/>
      <c r="D551" s="1430"/>
      <c r="E551" s="1430"/>
      <c r="F551" s="1430"/>
      <c r="G551" s="1430"/>
      <c r="H551" s="1430"/>
      <c r="I551" s="1430"/>
      <c r="J551" s="1430"/>
      <c r="K551" s="1430"/>
      <c r="L551" s="1431"/>
      <c r="M551" s="1671" t="s">
        <v>2105</v>
      </c>
      <c r="N551" s="1430"/>
      <c r="O551" s="1430"/>
      <c r="P551" s="1431"/>
      <c r="Q551" s="1671" t="s">
        <v>2131</v>
      </c>
      <c r="R551" s="1430"/>
      <c r="S551" s="1431"/>
      <c r="T551" s="1671" t="s">
        <v>2132</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2691</v>
      </c>
      <c r="D554" s="1692"/>
      <c r="E554" s="1692"/>
      <c r="F554" s="1692"/>
      <c r="G554" s="1692"/>
      <c r="H554" s="1692"/>
      <c r="I554" s="1692"/>
      <c r="J554" s="1692"/>
      <c r="K554" s="1692"/>
      <c r="L554" s="1692"/>
      <c r="M554" s="1692" t="s">
        <v>2121</v>
      </c>
      <c r="N554" s="1692"/>
      <c r="O554" s="1692"/>
      <c r="P554" s="1692"/>
      <c r="Q554" s="1452">
        <v>36</v>
      </c>
      <c r="R554" s="1452"/>
      <c r="S554" s="1453"/>
      <c r="T554" s="1451"/>
      <c r="U554" s="1452"/>
      <c r="V554" s="1453"/>
      <c r="W554" s="1454">
        <v>6.6900000000000001E-2</v>
      </c>
      <c r="X554" s="1455"/>
      <c r="Y554" s="1456"/>
      <c r="Z554" s="1693" t="s">
        <v>2692</v>
      </c>
      <c r="AA554" s="1693"/>
      <c r="AB554" s="1693"/>
      <c r="AC554" s="1693"/>
      <c r="AD554" s="1693"/>
      <c r="AE554" s="1674">
        <v>1</v>
      </c>
      <c r="AF554" s="1675"/>
      <c r="AG554" s="1675"/>
      <c r="AH554" s="1676"/>
      <c r="AI554" s="1677"/>
      <c r="AJ554" s="1678"/>
      <c r="AK554" s="1678"/>
      <c r="AL554" s="1679"/>
      <c r="AM554" s="1667">
        <v>24900000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2693</v>
      </c>
      <c r="D555" s="1680"/>
      <c r="E555" s="1680"/>
      <c r="F555" s="1680"/>
      <c r="G555" s="1680"/>
      <c r="H555" s="1680"/>
      <c r="I555" s="1680"/>
      <c r="J555" s="1680"/>
      <c r="K555" s="1680"/>
      <c r="L555" s="1680"/>
      <c r="M555" s="1692" t="s">
        <v>2122</v>
      </c>
      <c r="N555" s="1692"/>
      <c r="O555" s="1692"/>
      <c r="P555" s="1692"/>
      <c r="Q555" s="1451">
        <v>36</v>
      </c>
      <c r="R555" s="1452"/>
      <c r="S555" s="1453"/>
      <c r="T555" s="1451"/>
      <c r="U555" s="1452"/>
      <c r="V555" s="1453"/>
      <c r="W555" s="1454">
        <f>W554</f>
        <v>6.6900000000000001E-2</v>
      </c>
      <c r="X555" s="1455"/>
      <c r="Y555" s="1456"/>
      <c r="Z555" s="1693" t="s">
        <v>2692</v>
      </c>
      <c r="AA555" s="1693"/>
      <c r="AB555" s="1693"/>
      <c r="AC555" s="1693"/>
      <c r="AD555" s="1693"/>
      <c r="AE555" s="1674">
        <v>2</v>
      </c>
      <c r="AF555" s="1675"/>
      <c r="AG555" s="1675"/>
      <c r="AH555" s="1676"/>
      <c r="AI555" s="1677"/>
      <c r="AJ555" s="1678"/>
      <c r="AK555" s="1678"/>
      <c r="AL555" s="1679"/>
      <c r="AM555" s="1667">
        <v>4279316</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2694</v>
      </c>
      <c r="D556" s="1680"/>
      <c r="E556" s="1680"/>
      <c r="F556" s="1680"/>
      <c r="G556" s="1680"/>
      <c r="H556" s="1680"/>
      <c r="I556" s="1680"/>
      <c r="J556" s="1680"/>
      <c r="K556" s="1680"/>
      <c r="L556" s="1680"/>
      <c r="M556" s="1692" t="s">
        <v>2120</v>
      </c>
      <c r="N556" s="1692"/>
      <c r="O556" s="1692"/>
      <c r="P556" s="1692"/>
      <c r="Q556" s="1451">
        <v>36</v>
      </c>
      <c r="R556" s="1452"/>
      <c r="S556" s="1453"/>
      <c r="T556" s="1451"/>
      <c r="U556" s="1452"/>
      <c r="V556" s="1453"/>
      <c r="W556" s="1454">
        <f>W555</f>
        <v>6.6900000000000001E-2</v>
      </c>
      <c r="X556" s="1455"/>
      <c r="Y556" s="1456"/>
      <c r="Z556" s="1693" t="s">
        <v>2692</v>
      </c>
      <c r="AA556" s="1693"/>
      <c r="AB556" s="1693"/>
      <c r="AC556" s="1693"/>
      <c r="AD556" s="1693"/>
      <c r="AE556" s="1674">
        <v>3</v>
      </c>
      <c r="AF556" s="1675"/>
      <c r="AG556" s="1675"/>
      <c r="AH556" s="1676"/>
      <c r="AI556" s="1677"/>
      <c r="AJ556" s="1678"/>
      <c r="AK556" s="1678"/>
      <c r="AL556" s="1679"/>
      <c r="AM556" s="1667">
        <f>16353138-396124</f>
        <v>15957014</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80" t="s">
        <v>2695</v>
      </c>
      <c r="D557" s="1680"/>
      <c r="E557" s="1680"/>
      <c r="F557" s="1680"/>
      <c r="G557" s="1680"/>
      <c r="H557" s="1680"/>
      <c r="I557" s="1680"/>
      <c r="J557" s="1680"/>
      <c r="K557" s="1680"/>
      <c r="L557" s="1680"/>
      <c r="M557" s="1692" t="s">
        <v>2112</v>
      </c>
      <c r="N557" s="1692"/>
      <c r="O557" s="1692"/>
      <c r="P557" s="1692"/>
      <c r="Q557" s="1451"/>
      <c r="R557" s="1452"/>
      <c r="S557" s="1453"/>
      <c r="T557" s="1451"/>
      <c r="U557" s="1452"/>
      <c r="V557" s="1453"/>
      <c r="W557" s="1454"/>
      <c r="X557" s="1455"/>
      <c r="Y557" s="1456"/>
      <c r="Z557" s="1693" t="s">
        <v>1185</v>
      </c>
      <c r="AA557" s="1693"/>
      <c r="AB557" s="1693"/>
      <c r="AC557" s="1693"/>
      <c r="AD557" s="1693"/>
      <c r="AE557" s="1674"/>
      <c r="AF557" s="1675"/>
      <c r="AG557" s="1675"/>
      <c r="AH557" s="1676"/>
      <c r="AI557" s="1677"/>
      <c r="AJ557" s="1678"/>
      <c r="AK557" s="1678"/>
      <c r="AL557" s="1679"/>
      <c r="AM557" s="1667">
        <v>3167302</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80" t="s">
        <v>2696</v>
      </c>
      <c r="D558" s="1680"/>
      <c r="E558" s="1680"/>
      <c r="F558" s="1680"/>
      <c r="G558" s="1680"/>
      <c r="H558" s="1680"/>
      <c r="I558" s="1680"/>
      <c r="J558" s="1680"/>
      <c r="K558" s="1680"/>
      <c r="L558" s="1680"/>
      <c r="M558" s="1692" t="s">
        <v>2107</v>
      </c>
      <c r="N558" s="1692"/>
      <c r="O558" s="1692"/>
      <c r="P558" s="1692"/>
      <c r="Q558" s="1451"/>
      <c r="R558" s="1452"/>
      <c r="S558" s="1453"/>
      <c r="T558" s="1451"/>
      <c r="U558" s="1452"/>
      <c r="V558" s="1453"/>
      <c r="W558" s="1454"/>
      <c r="X558" s="1455"/>
      <c r="Y558" s="1456"/>
      <c r="Z558" s="1693" t="s">
        <v>1185</v>
      </c>
      <c r="AA558" s="1693"/>
      <c r="AB558" s="1693"/>
      <c r="AC558" s="1693"/>
      <c r="AD558" s="1693"/>
      <c r="AE558" s="1674"/>
      <c r="AF558" s="1675"/>
      <c r="AG558" s="1675"/>
      <c r="AH558" s="1676"/>
      <c r="AI558" s="1677"/>
      <c r="AJ558" s="1678"/>
      <c r="AK558" s="1678"/>
      <c r="AL558" s="1679"/>
      <c r="AM558" s="1667">
        <v>4527430</v>
      </c>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0"/>
      <c r="D559" s="1680"/>
      <c r="E559" s="1680"/>
      <c r="F559" s="1680"/>
      <c r="G559" s="1680"/>
      <c r="H559" s="1680"/>
      <c r="I559" s="1680"/>
      <c r="J559" s="1680"/>
      <c r="K559" s="1680"/>
      <c r="L559" s="1680"/>
      <c r="M559" s="1692" t="s">
        <v>1185</v>
      </c>
      <c r="N559" s="1692"/>
      <c r="O559" s="1692"/>
      <c r="P559" s="1692"/>
      <c r="Q559" s="1451"/>
      <c r="R559" s="1452"/>
      <c r="S559" s="1453"/>
      <c r="T559" s="1451"/>
      <c r="U559" s="1452"/>
      <c r="V559" s="1453"/>
      <c r="W559" s="1454"/>
      <c r="X559" s="1455"/>
      <c r="Y559" s="1456"/>
      <c r="Z559" s="1693" t="s">
        <v>1185</v>
      </c>
      <c r="AA559" s="1693"/>
      <c r="AB559" s="1693"/>
      <c r="AC559" s="1693"/>
      <c r="AD559" s="1693"/>
      <c r="AE559" s="1674"/>
      <c r="AF559" s="1675"/>
      <c r="AG559" s="1675"/>
      <c r="AH559" s="1676"/>
      <c r="AI559" s="1677"/>
      <c r="AJ559" s="1678"/>
      <c r="AK559" s="1678"/>
      <c r="AL559" s="1679"/>
      <c r="AM559" s="1667"/>
      <c r="AN559" s="1668"/>
      <c r="AO559" s="1668"/>
      <c r="AP559" s="1668"/>
      <c r="AQ559" s="1668"/>
      <c r="AR559" s="1668"/>
      <c r="AS559" s="1669"/>
      <c r="AT559" s="1148" t="str">
        <f t="shared" si="0"/>
        <v/>
      </c>
      <c r="AU559" s="1147"/>
      <c r="BB559" s="3"/>
      <c r="BC559" s="3"/>
      <c r="BD559" s="3"/>
      <c r="BE559" s="3"/>
      <c r="BF559" s="3"/>
      <c r="BG559" s="3"/>
      <c r="BH559" s="3" t="s">
        <v>585</v>
      </c>
      <c r="BI559" s="3" t="str">
        <f>AG665</f>
        <v>No</v>
      </c>
    </row>
    <row r="560" spans="1:61" ht="12.95" customHeight="1">
      <c r="B560" s="52" t="s">
        <v>456</v>
      </c>
      <c r="C560" s="1680"/>
      <c r="D560" s="1680"/>
      <c r="E560" s="1680"/>
      <c r="F560" s="1680"/>
      <c r="G560" s="1680"/>
      <c r="H560" s="1680"/>
      <c r="I560" s="1680"/>
      <c r="J560" s="1680"/>
      <c r="K560" s="1680"/>
      <c r="L560" s="1680"/>
      <c r="M560" s="1692" t="s">
        <v>1185</v>
      </c>
      <c r="N560" s="1692"/>
      <c r="O560" s="1692"/>
      <c r="P560" s="1692"/>
      <c r="Q560" s="1451"/>
      <c r="R560" s="1452"/>
      <c r="S560" s="1453"/>
      <c r="T560" s="1451"/>
      <c r="U560" s="1452"/>
      <c r="V560" s="1453"/>
      <c r="W560" s="1454"/>
      <c r="X560" s="1455"/>
      <c r="Y560" s="1456"/>
      <c r="Z560" s="1693" t="s">
        <v>1185</v>
      </c>
      <c r="AA560" s="1693"/>
      <c r="AB560" s="1693"/>
      <c r="AC560" s="1693"/>
      <c r="AD560" s="1693"/>
      <c r="AE560" s="1674"/>
      <c r="AF560" s="1675"/>
      <c r="AG560" s="1675"/>
      <c r="AH560" s="1676"/>
      <c r="AI560" s="1677"/>
      <c r="AJ560" s="1678"/>
      <c r="AK560" s="1678"/>
      <c r="AL560" s="1679"/>
      <c r="AM560" s="1667"/>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680"/>
      <c r="D561" s="1680"/>
      <c r="E561" s="1680"/>
      <c r="F561" s="1680"/>
      <c r="G561" s="1680"/>
      <c r="H561" s="1680"/>
      <c r="I561" s="1680"/>
      <c r="J561" s="1680"/>
      <c r="K561" s="1680"/>
      <c r="L561" s="1680"/>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52831062</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Citibank - TEB</v>
      </c>
      <c r="H568" s="1358"/>
      <c r="I568" s="1358"/>
      <c r="J568" s="1358"/>
      <c r="K568" s="1358"/>
      <c r="L568" s="1358"/>
      <c r="M568" s="1358"/>
      <c r="N568" s="1358"/>
      <c r="O568" s="1358"/>
      <c r="P568" s="1358"/>
      <c r="Q568" s="1358"/>
      <c r="R568" s="1358"/>
      <c r="S568" s="8"/>
      <c r="T568" s="55" t="s">
        <v>113</v>
      </c>
      <c r="U568" t="s">
        <v>464</v>
      </c>
      <c r="Z568" s="1358" t="str">
        <f>C555</f>
        <v>Citibank -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2698</v>
      </c>
      <c r="H569" s="1371"/>
      <c r="I569" s="1371"/>
      <c r="J569" s="1371"/>
      <c r="K569" s="1371"/>
      <c r="L569" s="1371"/>
      <c r="M569" s="1371"/>
      <c r="N569" s="1371"/>
      <c r="O569" s="1371"/>
      <c r="P569" s="1371"/>
      <c r="Q569" s="1371"/>
      <c r="R569" s="1371"/>
      <c r="S569" s="8"/>
      <c r="T569" s="22"/>
      <c r="U569" t="s">
        <v>85</v>
      </c>
      <c r="Z569" s="1371" t="s">
        <v>2698</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2642</v>
      </c>
      <c r="H570" s="1371"/>
      <c r="I570" s="1371"/>
      <c r="J570" s="1371"/>
      <c r="K570" s="1371"/>
      <c r="L570" s="1371"/>
      <c r="M570" s="1371"/>
      <c r="N570" s="1371"/>
      <c r="O570" s="1371"/>
      <c r="P570" s="1371"/>
      <c r="Q570" s="1371"/>
      <c r="R570" s="1371"/>
      <c r="T570" s="22"/>
      <c r="U570" t="s">
        <v>581</v>
      </c>
      <c r="Z570" s="1348" t="s">
        <v>2642</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2699</v>
      </c>
      <c r="H571" s="1371"/>
      <c r="I571" s="1371"/>
      <c r="J571" s="1371"/>
      <c r="K571" s="1371"/>
      <c r="L571" s="1371"/>
      <c r="M571" s="1371"/>
      <c r="N571" s="1371"/>
      <c r="O571" s="1371"/>
      <c r="P571" s="1371"/>
      <c r="Q571" s="1371"/>
      <c r="R571" s="1371"/>
      <c r="S571" s="8"/>
      <c r="T571" s="22"/>
      <c r="U571" t="s">
        <v>17</v>
      </c>
      <c r="Z571" s="1348" t="s">
        <v>2699</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2700</v>
      </c>
      <c r="H572" s="1346"/>
      <c r="I572" s="1346"/>
      <c r="J572" s="1346"/>
      <c r="K572" s="1346"/>
      <c r="L572" s="1346"/>
      <c r="O572" s="33" t="s">
        <v>206</v>
      </c>
      <c r="P572" s="1436"/>
      <c r="Q572" s="1436"/>
      <c r="R572" s="1436"/>
      <c r="S572" s="10"/>
      <c r="T572" s="22"/>
      <c r="U572" t="s">
        <v>316</v>
      </c>
      <c r="Z572" s="1346" t="s">
        <v>2700</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2701</v>
      </c>
      <c r="I573" s="1371"/>
      <c r="J573" s="1371"/>
      <c r="K573" s="1371"/>
      <c r="L573" s="1371"/>
      <c r="M573" s="1371"/>
      <c r="N573" s="1371"/>
      <c r="O573" s="1371"/>
      <c r="P573" s="1371"/>
      <c r="Q573" s="1371"/>
      <c r="R573" s="1371"/>
      <c r="S573" s="8"/>
      <c r="T573" s="22"/>
      <c r="U573" t="s">
        <v>18</v>
      </c>
      <c r="AA573" s="1371" t="s">
        <v>2702</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5" t="s">
        <v>2703</v>
      </c>
      <c r="N574" s="1695"/>
      <c r="O574" s="1695"/>
      <c r="P574" s="1695"/>
      <c r="Q574" s="1695"/>
      <c r="R574" s="1695"/>
      <c r="S574" s="8"/>
      <c r="T574" s="22"/>
      <c r="U574" s="320" t="s">
        <v>1186</v>
      </c>
      <c r="AA574" s="8"/>
      <c r="AB574" s="8"/>
      <c r="AC574" s="8"/>
      <c r="AD574" s="8"/>
      <c r="AE574" s="8"/>
      <c r="AF574" s="1695" t="s">
        <v>2703</v>
      </c>
      <c r="AG574" s="1695"/>
      <c r="AH574" s="1695"/>
      <c r="AI574" s="1695"/>
      <c r="AJ574" s="1695"/>
      <c r="AK574" s="1695"/>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Citibank - Taxable Tail</v>
      </c>
      <c r="H577" s="1358"/>
      <c r="I577" s="1358"/>
      <c r="J577" s="1358"/>
      <c r="K577" s="1358"/>
      <c r="L577" s="1358"/>
      <c r="M577" s="1358"/>
      <c r="N577" s="1358"/>
      <c r="O577" s="1358"/>
      <c r="P577" s="1358"/>
      <c r="Q577" s="1358"/>
      <c r="R577" s="1358"/>
      <c r="T577" s="55" t="s">
        <v>582</v>
      </c>
      <c r="U577" t="s">
        <v>464</v>
      </c>
      <c r="Z577" s="1358" t="str">
        <f>C557</f>
        <v>RBC - Tax Credit Equity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2698</v>
      </c>
      <c r="H578" s="1371"/>
      <c r="I578" s="1371"/>
      <c r="J578" s="1371"/>
      <c r="K578" s="1371"/>
      <c r="L578" s="1371"/>
      <c r="M578" s="1371"/>
      <c r="N578" s="1371"/>
      <c r="O578" s="1371"/>
      <c r="P578" s="1371"/>
      <c r="Q578" s="1371"/>
      <c r="R578" s="1371"/>
      <c r="T578" s="22"/>
      <c r="U578" t="s">
        <v>85</v>
      </c>
      <c r="Z578" s="1371" t="s">
        <v>2659</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2642</v>
      </c>
      <c r="H579" s="1348"/>
      <c r="I579" s="1348"/>
      <c r="J579" s="1348"/>
      <c r="K579" s="1348"/>
      <c r="L579" s="1348"/>
      <c r="M579" s="1348"/>
      <c r="N579" s="1348"/>
      <c r="O579" s="1348"/>
      <c r="P579" s="1348"/>
      <c r="Q579" s="1348"/>
      <c r="R579" s="1348"/>
      <c r="T579" s="22"/>
      <c r="U579" t="s">
        <v>581</v>
      </c>
      <c r="Z579" s="1348" t="s">
        <v>2660</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2699</v>
      </c>
      <c r="H580" s="1348"/>
      <c r="I580" s="1348"/>
      <c r="J580" s="1348"/>
      <c r="K580" s="1348"/>
      <c r="L580" s="1348"/>
      <c r="M580" s="1348"/>
      <c r="N580" s="1348"/>
      <c r="O580" s="1348"/>
      <c r="P580" s="1348"/>
      <c r="Q580" s="1348"/>
      <c r="R580" s="1348"/>
      <c r="T580" s="22"/>
      <c r="U580" t="s">
        <v>17</v>
      </c>
      <c r="Z580" s="1348" t="s">
        <v>2661</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2700</v>
      </c>
      <c r="H581" s="1346"/>
      <c r="I581" s="1346"/>
      <c r="J581" s="1346"/>
      <c r="K581" s="1346"/>
      <c r="L581" s="1346"/>
      <c r="O581" s="33" t="s">
        <v>206</v>
      </c>
      <c r="P581" s="1436"/>
      <c r="Q581" s="1436"/>
      <c r="R581" s="1436"/>
      <c r="T581" s="22"/>
      <c r="U581" t="s">
        <v>316</v>
      </c>
      <c r="Z581" s="1346" t="s">
        <v>2662</v>
      </c>
      <c r="AA581" s="1346"/>
      <c r="AB581" s="1346"/>
      <c r="AC581" s="1346"/>
      <c r="AD581" s="1346"/>
      <c r="AE581" s="1346"/>
      <c r="AH581" s="33" t="s">
        <v>206</v>
      </c>
      <c r="AI581" s="1436"/>
      <c r="AJ581" s="1436"/>
      <c r="AK581" s="1436"/>
      <c r="BB581" s="3"/>
      <c r="BC581" s="3"/>
    </row>
    <row r="582" spans="1:55" ht="12.95" customHeight="1">
      <c r="A582" s="22"/>
      <c r="B582" t="s">
        <v>18</v>
      </c>
      <c r="H582" s="1371" t="s">
        <v>2704</v>
      </c>
      <c r="I582" s="1371"/>
      <c r="J582" s="1371"/>
      <c r="K582" s="1371"/>
      <c r="L582" s="1371"/>
      <c r="M582" s="1371"/>
      <c r="N582" s="1371"/>
      <c r="O582" s="1371"/>
      <c r="P582" s="1371"/>
      <c r="Q582" s="1371"/>
      <c r="R582" s="1371"/>
      <c r="T582" s="22"/>
      <c r="U582" t="s">
        <v>18</v>
      </c>
      <c r="AA582" s="1371" t="s">
        <v>2705</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Deferred Costs</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2618</v>
      </c>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2633</v>
      </c>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2620</v>
      </c>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t="s">
        <v>2621</v>
      </c>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2696</v>
      </c>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99" t="s">
        <v>2104</v>
      </c>
      <c r="C624" s="1699"/>
      <c r="D624" s="1699"/>
      <c r="E624" s="1699"/>
      <c r="F624" s="1699"/>
      <c r="G624" s="1699"/>
      <c r="H624" s="1699"/>
      <c r="I624" s="1699"/>
      <c r="J624" s="1699"/>
      <c r="K624" s="1699"/>
      <c r="L624" s="1699"/>
      <c r="M624" s="1441" t="s">
        <v>2105</v>
      </c>
      <c r="N624" s="1441"/>
      <c r="O624" s="1441"/>
      <c r="P624" s="1441"/>
      <c r="Q624" s="1441" t="s">
        <v>1854</v>
      </c>
      <c r="R624" s="1441"/>
      <c r="S624" s="1441"/>
      <c r="T624" s="1441" t="s">
        <v>1852</v>
      </c>
      <c r="U624" s="1441"/>
      <c r="V624" s="1441"/>
      <c r="W624" s="1700" t="s">
        <v>454</v>
      </c>
      <c r="X624" s="1700"/>
      <c r="Y624" s="1700"/>
      <c r="Z624" s="1430" t="s">
        <v>2134</v>
      </c>
      <c r="AA624" s="1430"/>
      <c r="AB624" s="1431"/>
      <c r="AC624" s="1681" t="s">
        <v>1677</v>
      </c>
      <c r="AD624" s="1682"/>
      <c r="AE624" s="1683"/>
      <c r="AF624" s="1671" t="s">
        <v>1932</v>
      </c>
      <c r="AG624" s="1430"/>
      <c r="AH624" s="1430"/>
      <c r="AI624" s="1430"/>
      <c r="AJ624" s="1431"/>
      <c r="AK624" s="1732" t="s">
        <v>1933</v>
      </c>
      <c r="AL624" s="1733"/>
      <c r="AM624" s="1733"/>
      <c r="AN624" s="1734"/>
      <c r="AO624" s="1441" t="s">
        <v>455</v>
      </c>
      <c r="AP624" s="1441"/>
      <c r="AQ624" s="1441"/>
      <c r="AR624" s="1441"/>
      <c r="AS624" s="1441"/>
      <c r="AU624" s="3"/>
      <c r="AZ624" s="3"/>
      <c r="BA624" s="3"/>
      <c r="BB624" s="3"/>
      <c r="BC624" s="3"/>
    </row>
    <row r="625" spans="2:157" ht="12.9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5" customHeight="1">
      <c r="B627" s="51" t="s">
        <v>112</v>
      </c>
      <c r="C627" s="1691" t="s">
        <v>2697</v>
      </c>
      <c r="D627" s="1691"/>
      <c r="E627" s="1691"/>
      <c r="F627" s="1691"/>
      <c r="G627" s="1691"/>
      <c r="H627" s="1691"/>
      <c r="I627" s="1691"/>
      <c r="J627" s="1691"/>
      <c r="K627" s="1691"/>
      <c r="L627" s="1691"/>
      <c r="M627" s="1617" t="s">
        <v>2115</v>
      </c>
      <c r="N627" s="1617"/>
      <c r="O627" s="1617"/>
      <c r="P627" s="1617"/>
      <c r="Q627" s="1425">
        <v>204</v>
      </c>
      <c r="R627" s="1425"/>
      <c r="S627" s="1426"/>
      <c r="T627" s="1424">
        <v>480</v>
      </c>
      <c r="U627" s="1425"/>
      <c r="V627" s="1426"/>
      <c r="W627" s="1437">
        <v>7.0499999999999993E-2</v>
      </c>
      <c r="X627" s="1438"/>
      <c r="Y627" s="1439"/>
      <c r="Z627" s="1477" t="s">
        <v>2133</v>
      </c>
      <c r="AA627" s="1478"/>
      <c r="AB627" s="1479"/>
      <c r="AC627" s="1445">
        <v>1</v>
      </c>
      <c r="AD627" s="1446"/>
      <c r="AE627" s="1447"/>
      <c r="AF627" s="1474">
        <v>1299541</v>
      </c>
      <c r="AG627" s="1475"/>
      <c r="AH627" s="1475"/>
      <c r="AI627" s="1475"/>
      <c r="AJ627" s="1476"/>
      <c r="AK627" s="1427"/>
      <c r="AL627" s="1428"/>
      <c r="AM627" s="1428"/>
      <c r="AN627" s="1429"/>
      <c r="AO627" s="1480">
        <f>-ROUND(PV(W627/12,T627,AF627/12),-3)</f>
        <v>17325000</v>
      </c>
      <c r="AP627" s="1480"/>
      <c r="AQ627" s="1480"/>
      <c r="AR627" s="1480"/>
      <c r="AS627" s="1480"/>
      <c r="AT627" s="3"/>
      <c r="AU627" s="3"/>
      <c r="AZ627" s="3"/>
      <c r="BA627" s="3"/>
      <c r="BB627" s="3"/>
      <c r="BC627" s="3"/>
      <c r="BD627" s="3"/>
    </row>
    <row r="628" spans="2:157" ht="12.95" customHeight="1">
      <c r="B628" s="52" t="s">
        <v>113</v>
      </c>
      <c r="C628" s="1691" t="s">
        <v>2517</v>
      </c>
      <c r="D628" s="1691"/>
      <c r="E628" s="1691"/>
      <c r="F628" s="1691"/>
      <c r="G628" s="1691"/>
      <c r="H628" s="1691"/>
      <c r="I628" s="1691"/>
      <c r="J628" s="1691"/>
      <c r="K628" s="1691"/>
      <c r="L628" s="1691"/>
      <c r="M628" s="1617" t="s">
        <v>2117</v>
      </c>
      <c r="N628" s="1617"/>
      <c r="O628" s="1617"/>
      <c r="P628" s="1617"/>
      <c r="Q628" s="1424">
        <v>180</v>
      </c>
      <c r="R628" s="1425"/>
      <c r="S628" s="1426"/>
      <c r="T628" s="1424"/>
      <c r="U628" s="1425"/>
      <c r="V628" s="1426"/>
      <c r="W628" s="1437">
        <v>0.03</v>
      </c>
      <c r="X628" s="1438"/>
      <c r="Y628" s="1439"/>
      <c r="Z628" s="1477" t="s">
        <v>458</v>
      </c>
      <c r="AA628" s="1478"/>
      <c r="AB628" s="1479"/>
      <c r="AC628" s="1445">
        <v>2</v>
      </c>
      <c r="AD628" s="1446"/>
      <c r="AE628" s="1447"/>
      <c r="AF628" s="1474"/>
      <c r="AG628" s="1475"/>
      <c r="AH628" s="1475"/>
      <c r="AI628" s="1475"/>
      <c r="AJ628" s="1476"/>
      <c r="AK628" s="1427"/>
      <c r="AL628" s="1428"/>
      <c r="AM628" s="1428"/>
      <c r="AN628" s="1429"/>
      <c r="AO628" s="1465">
        <v>4000000</v>
      </c>
      <c r="AP628" s="1466"/>
      <c r="AQ628" s="1466"/>
      <c r="AR628" s="1466"/>
      <c r="AS628" s="1467"/>
      <c r="AT628" s="1148" t="str">
        <f>IF(AND(NOT(C627=""),C628="",NOT(C629="")),"!","")</f>
        <v/>
      </c>
      <c r="AU628" s="3"/>
      <c r="AZ628" s="3"/>
      <c r="BA628" s="3"/>
      <c r="BB628" s="3"/>
      <c r="BC628" s="3"/>
      <c r="BD628" s="3"/>
    </row>
    <row r="629" spans="2:157" ht="12.95" customHeight="1">
      <c r="B629" s="52" t="s">
        <v>119</v>
      </c>
      <c r="C629" s="1691" t="s">
        <v>2322</v>
      </c>
      <c r="D629" s="1691"/>
      <c r="E629" s="1691"/>
      <c r="F629" s="1691"/>
      <c r="G629" s="1691"/>
      <c r="H629" s="1691"/>
      <c r="I629" s="1691"/>
      <c r="J629" s="1691"/>
      <c r="K629" s="1691"/>
      <c r="L629" s="1691"/>
      <c r="M629" s="1617" t="s">
        <v>2108</v>
      </c>
      <c r="N629" s="1617"/>
      <c r="O629" s="1617"/>
      <c r="P629" s="1617"/>
      <c r="Q629" s="1424">
        <v>180</v>
      </c>
      <c r="R629" s="1425"/>
      <c r="S629" s="1426"/>
      <c r="T629" s="1424"/>
      <c r="U629" s="1425"/>
      <c r="V629" s="1426"/>
      <c r="W629" s="1437">
        <v>0.08</v>
      </c>
      <c r="X629" s="1438"/>
      <c r="Y629" s="1439"/>
      <c r="Z629" s="1477" t="s">
        <v>458</v>
      </c>
      <c r="AA629" s="1478"/>
      <c r="AB629" s="1479"/>
      <c r="AC629" s="1445"/>
      <c r="AD629" s="1446"/>
      <c r="AE629" s="1447"/>
      <c r="AF629" s="1474"/>
      <c r="AG629" s="1475"/>
      <c r="AH629" s="1475"/>
      <c r="AI629" s="1475"/>
      <c r="AJ629" s="1476"/>
      <c r="AK629" s="1427"/>
      <c r="AL629" s="1428"/>
      <c r="AM629" s="1428"/>
      <c r="AN629" s="1429"/>
      <c r="AO629" s="1465">
        <v>4182834</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t="s">
        <v>2623</v>
      </c>
      <c r="D630" s="1347"/>
      <c r="E630" s="1347"/>
      <c r="F630" s="1347"/>
      <c r="G630" s="1347"/>
      <c r="H630" s="1347"/>
      <c r="I630" s="1347"/>
      <c r="J630" s="1347"/>
      <c r="K630" s="1347"/>
      <c r="L630" s="1347"/>
      <c r="M630" s="1617" t="s">
        <v>2117</v>
      </c>
      <c r="N630" s="1617"/>
      <c r="O630" s="1617"/>
      <c r="P630" s="1617"/>
      <c r="Q630" s="1424">
        <v>660</v>
      </c>
      <c r="R630" s="1425"/>
      <c r="S630" s="1426"/>
      <c r="T630" s="1424"/>
      <c r="U630" s="1425"/>
      <c r="V630" s="1426"/>
      <c r="W630" s="1437">
        <v>0.03</v>
      </c>
      <c r="X630" s="1438"/>
      <c r="Y630" s="1439"/>
      <c r="Z630" s="1477" t="s">
        <v>458</v>
      </c>
      <c r="AA630" s="1478"/>
      <c r="AB630" s="1479"/>
      <c r="AC630" s="1445">
        <v>3</v>
      </c>
      <c r="AD630" s="1446"/>
      <c r="AE630" s="1447"/>
      <c r="AF630" s="1474"/>
      <c r="AG630" s="1475"/>
      <c r="AH630" s="1475"/>
      <c r="AI630" s="1475"/>
      <c r="AJ630" s="1476"/>
      <c r="AK630" s="1427"/>
      <c r="AL630" s="1428"/>
      <c r="AM630" s="1428"/>
      <c r="AN630" s="1429"/>
      <c r="AO630" s="1465">
        <f>'Sources and Uses Budget'!B105-Application!AO627-Application!AO628-Application!AO629-Application!AO640</f>
        <v>6207884</v>
      </c>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271.55844155844159</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2"/>
        <v>153.50649350649348</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f t="shared" si="2"/>
        <v>185.06493506493504</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f t="shared" si="2"/>
        <v>389.9220779220779</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31715718</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f t="shared" si="2"/>
        <v>223.36363636363635</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21115344</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f t="shared" si="3"/>
        <v>35.095238095238095</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52831062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f t="shared" si="3"/>
        <v>74.821428571428569</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f t="shared" si="3"/>
        <v>126.41666666666666</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CalHFA Perm Loan</v>
      </c>
      <c r="H643" s="1358"/>
      <c r="I643" s="1358"/>
      <c r="J643" s="1358"/>
      <c r="K643" s="1358"/>
      <c r="L643" s="1358"/>
      <c r="M643" s="1358"/>
      <c r="N643" s="1358"/>
      <c r="O643" s="1358"/>
      <c r="P643" s="1358"/>
      <c r="Q643" s="1358"/>
      <c r="R643" s="1358"/>
      <c r="S643" s="8"/>
      <c r="T643" s="55" t="s">
        <v>113</v>
      </c>
      <c r="U643" t="s">
        <v>464</v>
      </c>
      <c r="Z643" s="1358" t="str">
        <f>C628</f>
        <v>CalHFA MIP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f t="shared" si="3"/>
        <v>1163.5119047619048</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2676</v>
      </c>
      <c r="H644" s="1371"/>
      <c r="I644" s="1371"/>
      <c r="J644" s="1371"/>
      <c r="K644" s="1371"/>
      <c r="L644" s="1371"/>
      <c r="M644" s="1371"/>
      <c r="N644" s="1371"/>
      <c r="O644" s="1371"/>
      <c r="P644" s="1371"/>
      <c r="Q644" s="1371"/>
      <c r="R644" s="1371"/>
      <c r="S644" s="8"/>
      <c r="T644" s="22"/>
      <c r="U644" t="s">
        <v>85</v>
      </c>
      <c r="Z644" s="1371" t="s">
        <v>2676</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f t="shared" si="3"/>
        <v>315.25</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2677</v>
      </c>
      <c r="H645" s="1371"/>
      <c r="I645" s="1371"/>
      <c r="J645" s="1371"/>
      <c r="K645" s="1371"/>
      <c r="L645" s="1371"/>
      <c r="M645" s="1371"/>
      <c r="N645" s="1371"/>
      <c r="O645" s="1371"/>
      <c r="P645" s="1371"/>
      <c r="Q645" s="1371"/>
      <c r="R645" s="1371"/>
      <c r="T645" s="22"/>
      <c r="U645" t="s">
        <v>581</v>
      </c>
      <c r="Z645" s="1348" t="s">
        <v>2677</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2678</v>
      </c>
      <c r="H646" s="1371"/>
      <c r="I646" s="1371"/>
      <c r="J646" s="1371"/>
      <c r="K646" s="1371"/>
      <c r="L646" s="1371"/>
      <c r="M646" s="1371"/>
      <c r="N646" s="1371"/>
      <c r="O646" s="1371"/>
      <c r="P646" s="1371"/>
      <c r="Q646" s="1371"/>
      <c r="R646" s="1371"/>
      <c r="S646" s="8"/>
      <c r="T646" s="22"/>
      <c r="U646" t="s">
        <v>17</v>
      </c>
      <c r="Z646" s="1348" t="s">
        <v>2678</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2706</v>
      </c>
      <c r="H647" s="1346"/>
      <c r="I647" s="1346"/>
      <c r="J647" s="1346"/>
      <c r="K647" s="1346"/>
      <c r="L647" s="1346"/>
      <c r="O647" s="33" t="s">
        <v>206</v>
      </c>
      <c r="P647" s="1436"/>
      <c r="Q647" s="1436"/>
      <c r="R647" s="1436"/>
      <c r="S647" s="10"/>
      <c r="T647" s="22"/>
      <c r="U647" t="s">
        <v>316</v>
      </c>
      <c r="Z647" s="1346" t="s">
        <v>2706</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2701</v>
      </c>
      <c r="I648" s="1371"/>
      <c r="J648" s="1371"/>
      <c r="K648" s="1371"/>
      <c r="L648" s="1371"/>
      <c r="M648" s="1371"/>
      <c r="N648" s="1371"/>
      <c r="O648" s="1371"/>
      <c r="P648" s="1371"/>
      <c r="Q648" s="1371"/>
      <c r="R648" s="1371"/>
      <c r="S648" s="8"/>
      <c r="T648" s="22"/>
      <c r="U648" t="s">
        <v>18</v>
      </c>
      <c r="AA648" s="1371" t="s">
        <v>2517</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t="str">
        <f>C630</f>
        <v>Hankey Investment Company</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2618</v>
      </c>
      <c r="H652" s="1371"/>
      <c r="I652" s="1371"/>
      <c r="J652" s="1371"/>
      <c r="K652" s="1371"/>
      <c r="L652" s="1371"/>
      <c r="M652" s="1371"/>
      <c r="N652" s="1371"/>
      <c r="O652" s="1371"/>
      <c r="P652" s="1371"/>
      <c r="Q652" s="1371"/>
      <c r="R652" s="1371"/>
      <c r="T652" s="22"/>
      <c r="U652" t="s">
        <v>85</v>
      </c>
      <c r="Z652" s="1371" t="s">
        <v>2707</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2633</v>
      </c>
      <c r="H653" s="1348"/>
      <c r="I653" s="1348"/>
      <c r="J653" s="1348"/>
      <c r="K653" s="1348"/>
      <c r="L653" s="1348"/>
      <c r="M653" s="1348"/>
      <c r="N653" s="1348"/>
      <c r="O653" s="1348"/>
      <c r="P653" s="1348"/>
      <c r="Q653" s="1348"/>
      <c r="R653" s="1348"/>
      <c r="T653" s="22"/>
      <c r="U653" t="s">
        <v>581</v>
      </c>
      <c r="Z653" s="1348" t="s">
        <v>2633</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2620</v>
      </c>
      <c r="H654" s="1348"/>
      <c r="I654" s="1348"/>
      <c r="J654" s="1348"/>
      <c r="K654" s="1348"/>
      <c r="L654" s="1348"/>
      <c r="M654" s="1348"/>
      <c r="N654" s="1348"/>
      <c r="O654" s="1348"/>
      <c r="P654" s="1348"/>
      <c r="Q654" s="1348"/>
      <c r="R654" s="1348"/>
      <c r="T654" s="22"/>
      <c r="U654" t="s">
        <v>17</v>
      </c>
      <c r="Z654" s="1348" t="s">
        <v>2620</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t="s">
        <v>2621</v>
      </c>
      <c r="H655" s="1346"/>
      <c r="I655" s="1346"/>
      <c r="J655" s="1346"/>
      <c r="K655" s="1346"/>
      <c r="L655" s="1346"/>
      <c r="O655" s="33" t="s">
        <v>206</v>
      </c>
      <c r="P655" s="1436"/>
      <c r="Q655" s="1436"/>
      <c r="R655" s="1436"/>
      <c r="T655" s="22"/>
      <c r="U655" t="s">
        <v>316</v>
      </c>
      <c r="Z655" s="1346" t="s">
        <v>2621</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2322</v>
      </c>
      <c r="I656" s="1371"/>
      <c r="J656" s="1371"/>
      <c r="K656" s="1371"/>
      <c r="L656" s="1371"/>
      <c r="M656" s="1371"/>
      <c r="N656" s="1371"/>
      <c r="O656" s="1371"/>
      <c r="P656" s="1371"/>
      <c r="Q656" s="1371"/>
      <c r="R656" s="1371"/>
      <c r="T656" s="22"/>
      <c r="U656" t="s">
        <v>18</v>
      </c>
      <c r="AA656" s="1371" t="s">
        <v>2708</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1223.4155844155844</v>
      </c>
      <c r="DY670" s="1444"/>
      <c r="DZ670" s="1444"/>
      <c r="EA670" s="1444"/>
      <c r="EB670" s="1444"/>
      <c r="EC670" s="1444">
        <f>SUMIF(EC635:EG669,"&gt;0")</f>
        <v>1715.0952380952381</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0">
        <v>45797</v>
      </c>
      <c r="AF695" s="1690"/>
      <c r="AG695" s="1690"/>
      <c r="AH695" s="1690"/>
      <c r="AI695" s="1690"/>
    </row>
    <row r="696" spans="1:67" ht="12.95" customHeight="1">
      <c r="B696" s="135"/>
      <c r="C696" s="135"/>
      <c r="D696" s="317" t="s">
        <v>984</v>
      </c>
      <c r="E696" s="135"/>
      <c r="F696" s="135"/>
      <c r="G696" s="135"/>
      <c r="H696" s="135"/>
      <c r="AE696" s="1701">
        <v>45874</v>
      </c>
      <c r="AF696" s="1701"/>
      <c r="AG696" s="1701"/>
      <c r="AH696" s="1701"/>
      <c r="AI696" s="1701"/>
    </row>
    <row r="697" spans="1:67" ht="12.95" customHeight="1">
      <c r="B697" s="135"/>
      <c r="C697" s="135"/>
    </row>
    <row r="698" spans="1:67" ht="12.95" customHeight="1">
      <c r="B698" s="135"/>
      <c r="C698" s="135"/>
      <c r="D698" s="136" t="s">
        <v>817</v>
      </c>
      <c r="E698" s="135"/>
      <c r="F698" s="135"/>
      <c r="G698" s="135"/>
      <c r="H698" s="135"/>
      <c r="AE698" s="1690">
        <v>46051</v>
      </c>
      <c r="AF698" s="1690"/>
      <c r="AG698" s="1690"/>
      <c r="AH698" s="1690"/>
      <c r="AI698" s="1690"/>
    </row>
    <row r="699" spans="1:67" ht="12.95" customHeight="1">
      <c r="B699" s="135"/>
      <c r="C699" s="135"/>
      <c r="D699" s="136" t="s">
        <v>436</v>
      </c>
      <c r="E699" s="135"/>
      <c r="F699" s="135"/>
      <c r="G699" s="135"/>
      <c r="H699" s="135"/>
      <c r="AE699" s="1402">
        <f>AM554/('Sources and Uses Budget'!C12+'Sources and Uses Budget'!S107+'Sources and Uses Budget'!C29-'Sources and Uses Budget'!S29+'Sources and Uses Budget'!C89)</f>
        <v>0.52019461295233194</v>
      </c>
      <c r="AF699" s="1660"/>
      <c r="AG699" s="1660"/>
      <c r="AH699" s="1660"/>
      <c r="AI699" s="1660"/>
    </row>
    <row r="700" spans="1:67" ht="12.95" customHeight="1">
      <c r="B700" s="135"/>
      <c r="C700" s="135"/>
      <c r="D700" s="136" t="s">
        <v>437</v>
      </c>
      <c r="E700" s="135"/>
      <c r="F700" s="135"/>
      <c r="G700" s="135"/>
      <c r="H700" s="135"/>
      <c r="W700" s="1358" t="str">
        <f>H335</f>
        <v>CalHFA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8" t="s">
        <v>1680</v>
      </c>
      <c r="L714" s="1719"/>
      <c r="M714" s="1719"/>
      <c r="N714" s="1720"/>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30</v>
      </c>
      <c r="H718" s="1350"/>
      <c r="I718" s="1350"/>
      <c r="J718" s="1351"/>
      <c r="K718" s="1343">
        <v>416</v>
      </c>
      <c r="L718" s="1344"/>
      <c r="M718" s="1344"/>
      <c r="N718" s="1345"/>
      <c r="O718" s="1340">
        <v>697</v>
      </c>
      <c r="P718" s="1341"/>
      <c r="Q718" s="1341"/>
      <c r="R718" s="1341"/>
      <c r="S718" s="1342"/>
      <c r="T718" s="1340">
        <v>31</v>
      </c>
      <c r="U718" s="1341"/>
      <c r="V718" s="1341"/>
      <c r="W718" s="1342"/>
      <c r="X718" s="1352">
        <f t="shared" ref="X718:X741" si="8">O718+T718</f>
        <v>728</v>
      </c>
      <c r="Y718" s="1353"/>
      <c r="Z718" s="1353"/>
      <c r="AA718" s="1353"/>
      <c r="AB718" s="1354"/>
      <c r="AC718" s="1359">
        <v>0.3</v>
      </c>
      <c r="AD718" s="1360"/>
      <c r="AE718" s="1360"/>
      <c r="AF718" s="1360"/>
      <c r="AG718" s="1361"/>
      <c r="AH718" s="1355">
        <f>IF($AC718&gt;0,($X718/$AZ718), "")</f>
        <v>0.27471698113207549</v>
      </c>
      <c r="AI718" s="1356"/>
      <c r="AJ718" s="1357"/>
      <c r="AK718" s="1337" t="s">
        <v>592</v>
      </c>
      <c r="AL718" s="1338"/>
      <c r="AM718" s="1338"/>
      <c r="AN718" s="1338"/>
      <c r="AO718" s="1339"/>
      <c r="AP718" s="3"/>
      <c r="AQ718" s="3"/>
      <c r="AR718" s="3"/>
      <c r="AS718" s="3"/>
      <c r="AZ718" s="118">
        <f t="shared" ref="AZ718:AZ752" si="9">IF($G718=0,"N/A",VLOOKUP($T$189,TC_Rent,(MATCH($B718,bedrooms,FALSE)),FALSE))</f>
        <v>2650</v>
      </c>
      <c r="BA718" s="3"/>
      <c r="BB718" s="3"/>
      <c r="BC718" s="3"/>
      <c r="BD718" s="3"/>
      <c r="BE718" s="204"/>
      <c r="BF718" s="293">
        <f t="shared" ref="BF718:BF752" si="10">G718</f>
        <v>30</v>
      </c>
      <c r="BG718" s="297">
        <f t="shared" ref="BG718:BG752" si="11">IF($BF$753=0,0,BF718/$BF$753)</f>
        <v>0.18633540372670807</v>
      </c>
      <c r="BH718" s="298">
        <f t="shared" ref="BH718:BH752" si="12">IF(BG718=0,"",BG718*AC718)</f>
        <v>5.5900621118012417E-2</v>
      </c>
      <c r="BI718" s="3"/>
      <c r="BJ718" s="3"/>
      <c r="BK718" s="3"/>
      <c r="BL718" s="3"/>
      <c r="BM718" s="3"/>
      <c r="BN718" s="3"/>
      <c r="BS718" s="293">
        <f t="shared" ref="BS718:BS752" si="13">G718</f>
        <v>30</v>
      </c>
      <c r="BT718" s="297">
        <f t="shared" ref="BT718:BT752" si="14">IF($BS$753=0,0,BS718/$BS$753)</f>
        <v>0.18633540372670807</v>
      </c>
      <c r="BU718" s="298">
        <f t="shared" ref="BU718:BU752" si="15">IF(BT718=0,"",BT718*AH718)</f>
        <v>5.1189499589827728E-2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30</v>
      </c>
      <c r="CN718" s="1469"/>
      <c r="CO718" s="3"/>
      <c r="CP718" s="1457">
        <f t="shared" ref="CP718:CP752" si="18">IF(B718="SRO/Studio",G718,0)</f>
        <v>30</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30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697</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324</v>
      </c>
      <c r="C719" s="1338"/>
      <c r="D719" s="1338"/>
      <c r="E719" s="1338"/>
      <c r="F719" s="1339"/>
      <c r="G719" s="1349">
        <v>10</v>
      </c>
      <c r="H719" s="1350"/>
      <c r="I719" s="1350"/>
      <c r="J719" s="1351"/>
      <c r="K719" s="1343">
        <v>406</v>
      </c>
      <c r="L719" s="1344"/>
      <c r="M719" s="1344"/>
      <c r="N719" s="1345"/>
      <c r="O719" s="1340">
        <v>1182</v>
      </c>
      <c r="P719" s="1341"/>
      <c r="Q719" s="1341"/>
      <c r="R719" s="1341"/>
      <c r="S719" s="1342"/>
      <c r="T719" s="1340">
        <v>31</v>
      </c>
      <c r="U719" s="1341"/>
      <c r="V719" s="1341"/>
      <c r="W719" s="1342"/>
      <c r="X719" s="1352">
        <f t="shared" si="8"/>
        <v>1213</v>
      </c>
      <c r="Y719" s="1353"/>
      <c r="Z719" s="1353"/>
      <c r="AA719" s="1353"/>
      <c r="AB719" s="1354"/>
      <c r="AC719" s="1359">
        <v>0.5</v>
      </c>
      <c r="AD719" s="1360"/>
      <c r="AE719" s="1360"/>
      <c r="AF719" s="1360"/>
      <c r="AG719" s="1361"/>
      <c r="AH719" s="1355">
        <f t="shared" ref="AH719:AH752" si="36">IF($AC719&gt;0,($X719/$AZ719), "")</f>
        <v>0.45773584905660375</v>
      </c>
      <c r="AI719" s="1356"/>
      <c r="AJ719" s="1357"/>
      <c r="AK719" s="1337" t="s">
        <v>592</v>
      </c>
      <c r="AL719" s="1338"/>
      <c r="AM719" s="1338"/>
      <c r="AN719" s="1338"/>
      <c r="AO719" s="1339"/>
      <c r="AP719" s="3"/>
      <c r="AQ719" s="3"/>
      <c r="AR719" s="3"/>
      <c r="AS719" s="3"/>
      <c r="AZ719" s="118">
        <f t="shared" si="9"/>
        <v>2650</v>
      </c>
      <c r="BA719" s="3"/>
      <c r="BB719" s="3"/>
      <c r="BC719" s="3"/>
      <c r="BD719" s="3"/>
      <c r="BE719" s="204"/>
      <c r="BF719" s="294">
        <f t="shared" si="10"/>
        <v>10</v>
      </c>
      <c r="BG719" s="297">
        <f t="shared" si="11"/>
        <v>6.2111801242236024E-2</v>
      </c>
      <c r="BH719" s="298">
        <f t="shared" si="12"/>
        <v>3.1055900621118012E-2</v>
      </c>
      <c r="BI719" s="3"/>
      <c r="BJ719" s="3"/>
      <c r="BK719" s="3"/>
      <c r="BL719" s="3"/>
      <c r="BM719" s="3"/>
      <c r="BN719" s="3"/>
      <c r="BS719" s="294">
        <f t="shared" si="13"/>
        <v>10</v>
      </c>
      <c r="BT719" s="297">
        <f t="shared" si="14"/>
        <v>6.2111801242236024E-2</v>
      </c>
      <c r="BU719" s="298">
        <f t="shared" si="15"/>
        <v>2.8430798078049921E-2</v>
      </c>
      <c r="CC719" s="3"/>
      <c r="CD719" s="3"/>
      <c r="CE719" s="3"/>
      <c r="CF719" s="3"/>
      <c r="CG719" s="1462">
        <f t="shared" ref="CG719:CG752" si="37">IF(AND(AC719&lt;=0.5,AC719&gt;=0.36),1,0)</f>
        <v>1</v>
      </c>
      <c r="CH719" s="1463"/>
      <c r="CI719" s="1468">
        <f t="shared" ref="CI719:CI752" si="38">IF(CG719=1,G719,0)</f>
        <v>10</v>
      </c>
      <c r="CJ719" s="1469"/>
      <c r="CK719" s="1462">
        <f t="shared" si="16"/>
        <v>0</v>
      </c>
      <c r="CL719" s="1463"/>
      <c r="CM719" s="1468">
        <f t="shared" si="17"/>
        <v>0</v>
      </c>
      <c r="CN719" s="1469"/>
      <c r="CO719" s="3"/>
      <c r="CP719" s="1457">
        <f t="shared" si="18"/>
        <v>10</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1182</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324</v>
      </c>
      <c r="C720" s="1338"/>
      <c r="D720" s="1338"/>
      <c r="E720" s="1338"/>
      <c r="F720" s="1339"/>
      <c r="G720" s="1349">
        <v>10</v>
      </c>
      <c r="H720" s="1350"/>
      <c r="I720" s="1350"/>
      <c r="J720" s="1351"/>
      <c r="K720" s="1343">
        <v>406</v>
      </c>
      <c r="L720" s="1344"/>
      <c r="M720" s="1344"/>
      <c r="N720" s="1345"/>
      <c r="O720" s="1340">
        <v>1425</v>
      </c>
      <c r="P720" s="1341"/>
      <c r="Q720" s="1341"/>
      <c r="R720" s="1341"/>
      <c r="S720" s="1342"/>
      <c r="T720" s="1340">
        <v>31</v>
      </c>
      <c r="U720" s="1341"/>
      <c r="V720" s="1341"/>
      <c r="W720" s="1342"/>
      <c r="X720" s="1352">
        <f t="shared" si="8"/>
        <v>1456</v>
      </c>
      <c r="Y720" s="1353"/>
      <c r="Z720" s="1353"/>
      <c r="AA720" s="1353"/>
      <c r="AB720" s="1354"/>
      <c r="AC720" s="1359">
        <v>0.6</v>
      </c>
      <c r="AD720" s="1360"/>
      <c r="AE720" s="1360"/>
      <c r="AF720" s="1360"/>
      <c r="AG720" s="1361"/>
      <c r="AH720" s="1355">
        <f t="shared" si="36"/>
        <v>0.54943396226415098</v>
      </c>
      <c r="AI720" s="1356"/>
      <c r="AJ720" s="1357"/>
      <c r="AK720" s="1337" t="s">
        <v>592</v>
      </c>
      <c r="AL720" s="1338"/>
      <c r="AM720" s="1338"/>
      <c r="AN720" s="1338"/>
      <c r="AO720" s="1339"/>
      <c r="AP720" s="3"/>
      <c r="AQ720" s="3"/>
      <c r="AR720" s="3"/>
      <c r="AS720" s="3"/>
      <c r="AZ720" s="118">
        <f t="shared" si="9"/>
        <v>2650</v>
      </c>
      <c r="BA720" s="3"/>
      <c r="BB720" s="3"/>
      <c r="BC720" s="3"/>
      <c r="BD720" s="3"/>
      <c r="BE720" s="204"/>
      <c r="BF720" s="294">
        <f t="shared" si="10"/>
        <v>10</v>
      </c>
      <c r="BG720" s="297">
        <f t="shared" si="11"/>
        <v>6.2111801242236024E-2</v>
      </c>
      <c r="BH720" s="298">
        <f t="shared" si="12"/>
        <v>3.7267080745341616E-2</v>
      </c>
      <c r="BI720" s="3"/>
      <c r="BJ720" s="3"/>
      <c r="BK720" s="3"/>
      <c r="BL720" s="3"/>
      <c r="BM720" s="3"/>
      <c r="BN720" s="3"/>
      <c r="BS720" s="294">
        <f t="shared" si="13"/>
        <v>10</v>
      </c>
      <c r="BT720" s="297">
        <f t="shared" si="14"/>
        <v>6.2111801242236024E-2</v>
      </c>
      <c r="BU720" s="298">
        <f t="shared" si="15"/>
        <v>3.4126333059885154E-2</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10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f t="shared" si="30"/>
        <v>1425</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324</v>
      </c>
      <c r="C721" s="1338"/>
      <c r="D721" s="1338"/>
      <c r="E721" s="1338"/>
      <c r="F721" s="1339"/>
      <c r="G721" s="1349">
        <v>18</v>
      </c>
      <c r="H721" s="1350"/>
      <c r="I721" s="1350"/>
      <c r="J721" s="1351"/>
      <c r="K721" s="1343">
        <v>406</v>
      </c>
      <c r="L721" s="1344"/>
      <c r="M721" s="1344"/>
      <c r="N721" s="1345"/>
      <c r="O721" s="1340">
        <v>1668</v>
      </c>
      <c r="P721" s="1341"/>
      <c r="Q721" s="1341"/>
      <c r="R721" s="1341"/>
      <c r="S721" s="1342"/>
      <c r="T721" s="1340">
        <v>31</v>
      </c>
      <c r="U721" s="1341"/>
      <c r="V721" s="1341"/>
      <c r="W721" s="1342"/>
      <c r="X721" s="1352">
        <f t="shared" si="8"/>
        <v>1699</v>
      </c>
      <c r="Y721" s="1353"/>
      <c r="Z721" s="1353"/>
      <c r="AA721" s="1353"/>
      <c r="AB721" s="1354"/>
      <c r="AC721" s="1359">
        <v>0.7</v>
      </c>
      <c r="AD721" s="1360"/>
      <c r="AE721" s="1360"/>
      <c r="AF721" s="1360"/>
      <c r="AG721" s="1361"/>
      <c r="AH721" s="1355">
        <f t="shared" si="36"/>
        <v>0.64113207547169815</v>
      </c>
      <c r="AI721" s="1356"/>
      <c r="AJ721" s="1357"/>
      <c r="AK721" s="1337" t="s">
        <v>592</v>
      </c>
      <c r="AL721" s="1338"/>
      <c r="AM721" s="1338"/>
      <c r="AN721" s="1338"/>
      <c r="AO721" s="1339"/>
      <c r="AP721" s="3"/>
      <c r="AQ721" s="3"/>
      <c r="AR721" s="3"/>
      <c r="AS721" s="3"/>
      <c r="AY721" s="116"/>
      <c r="AZ721" s="118">
        <f t="shared" si="9"/>
        <v>2650</v>
      </c>
      <c r="BA721" s="3"/>
      <c r="BB721" s="3"/>
      <c r="BC721" s="3"/>
      <c r="BD721" s="3"/>
      <c r="BE721" s="204"/>
      <c r="BF721" s="294">
        <f t="shared" si="10"/>
        <v>18</v>
      </c>
      <c r="BG721" s="297">
        <f t="shared" si="11"/>
        <v>0.11180124223602485</v>
      </c>
      <c r="BH721" s="298">
        <f t="shared" si="12"/>
        <v>7.8260869565217384E-2</v>
      </c>
      <c r="BI721" s="3"/>
      <c r="BJ721" s="3"/>
      <c r="BK721" s="3"/>
      <c r="BL721" s="3"/>
      <c r="BM721" s="3"/>
      <c r="BN721" s="3"/>
      <c r="BS721" s="294">
        <f t="shared" si="13"/>
        <v>18</v>
      </c>
      <c r="BT721" s="297">
        <f t="shared" si="14"/>
        <v>0.11180124223602485</v>
      </c>
      <c r="BU721" s="298">
        <f t="shared" si="15"/>
        <v>7.1679362475096695E-2</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18</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f t="shared" si="30"/>
        <v>1668</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324</v>
      </c>
      <c r="C722" s="1338"/>
      <c r="D722" s="1338"/>
      <c r="E722" s="1338"/>
      <c r="F722" s="1339"/>
      <c r="G722" s="1349">
        <v>9</v>
      </c>
      <c r="H722" s="1350"/>
      <c r="I722" s="1350"/>
      <c r="J722" s="1351"/>
      <c r="K722" s="1343">
        <v>406</v>
      </c>
      <c r="L722" s="1344"/>
      <c r="M722" s="1344"/>
      <c r="N722" s="1345"/>
      <c r="O722" s="1340">
        <v>1911</v>
      </c>
      <c r="P722" s="1341"/>
      <c r="Q722" s="1341"/>
      <c r="R722" s="1341"/>
      <c r="S722" s="1342"/>
      <c r="T722" s="1340">
        <f>T719</f>
        <v>31</v>
      </c>
      <c r="U722" s="1341"/>
      <c r="V722" s="1341"/>
      <c r="W722" s="1342"/>
      <c r="X722" s="1352">
        <f t="shared" si="8"/>
        <v>1942</v>
      </c>
      <c r="Y722" s="1353"/>
      <c r="Z722" s="1353"/>
      <c r="AA722" s="1353"/>
      <c r="AB722" s="1354"/>
      <c r="AC722" s="1359">
        <v>0.8</v>
      </c>
      <c r="AD722" s="1360"/>
      <c r="AE722" s="1360"/>
      <c r="AF722" s="1360"/>
      <c r="AG722" s="1361"/>
      <c r="AH722" s="1355">
        <f t="shared" si="36"/>
        <v>0.73283018867924532</v>
      </c>
      <c r="AI722" s="1356"/>
      <c r="AJ722" s="1357"/>
      <c r="AK722" s="1337" t="s">
        <v>592</v>
      </c>
      <c r="AL722" s="1338"/>
      <c r="AM722" s="1338"/>
      <c r="AN722" s="1338"/>
      <c r="AO722" s="1339"/>
      <c r="AP722" s="3"/>
      <c r="AQ722" s="3"/>
      <c r="AR722" s="3"/>
      <c r="AS722" s="3"/>
      <c r="AY722" s="116"/>
      <c r="AZ722" s="118">
        <f t="shared" si="9"/>
        <v>2650</v>
      </c>
      <c r="BA722" s="3"/>
      <c r="BB722" s="3"/>
      <c r="BC722" s="3"/>
      <c r="BD722" s="3"/>
      <c r="BE722" s="204"/>
      <c r="BF722" s="294">
        <f t="shared" si="10"/>
        <v>9</v>
      </c>
      <c r="BG722" s="297">
        <f t="shared" si="11"/>
        <v>5.5900621118012424E-2</v>
      </c>
      <c r="BH722" s="298">
        <f t="shared" si="12"/>
        <v>4.472049689440994E-2</v>
      </c>
      <c r="BI722" s="3"/>
      <c r="BJ722" s="3"/>
      <c r="BK722" s="3"/>
      <c r="BL722" s="3"/>
      <c r="BM722" s="3"/>
      <c r="BN722" s="3"/>
      <c r="BS722" s="294">
        <f t="shared" si="13"/>
        <v>9</v>
      </c>
      <c r="BT722" s="297">
        <f t="shared" si="14"/>
        <v>5.5900621118012424E-2</v>
      </c>
      <c r="BU722" s="298">
        <f t="shared" si="15"/>
        <v>4.0965662721200051E-2</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9</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f t="shared" si="30"/>
        <v>1911</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325</v>
      </c>
      <c r="C723" s="1338"/>
      <c r="D723" s="1338"/>
      <c r="E723" s="1338"/>
      <c r="F723" s="1339"/>
      <c r="G723" s="1349">
        <v>4</v>
      </c>
      <c r="H723" s="1350"/>
      <c r="I723" s="1350"/>
      <c r="J723" s="1351"/>
      <c r="K723" s="1343">
        <v>488</v>
      </c>
      <c r="L723" s="1344"/>
      <c r="M723" s="1344"/>
      <c r="N723" s="1345"/>
      <c r="O723" s="1340">
        <v>737</v>
      </c>
      <c r="P723" s="1341"/>
      <c r="Q723" s="1341"/>
      <c r="R723" s="1341"/>
      <c r="S723" s="1342"/>
      <c r="T723" s="1340">
        <v>43</v>
      </c>
      <c r="U723" s="1341"/>
      <c r="V723" s="1341"/>
      <c r="W723" s="1342"/>
      <c r="X723" s="1352">
        <f t="shared" si="8"/>
        <v>780</v>
      </c>
      <c r="Y723" s="1353"/>
      <c r="Z723" s="1353"/>
      <c r="AA723" s="1353"/>
      <c r="AB723" s="1354"/>
      <c r="AC723" s="1359">
        <v>0.3</v>
      </c>
      <c r="AD723" s="1360"/>
      <c r="AE723" s="1360"/>
      <c r="AF723" s="1360"/>
      <c r="AG723" s="1361"/>
      <c r="AH723" s="1355">
        <f t="shared" si="36"/>
        <v>0.27464788732394368</v>
      </c>
      <c r="AI723" s="1356"/>
      <c r="AJ723" s="1357"/>
      <c r="AK723" s="1337" t="s">
        <v>592</v>
      </c>
      <c r="AL723" s="1338"/>
      <c r="AM723" s="1338"/>
      <c r="AN723" s="1338"/>
      <c r="AO723" s="1339"/>
      <c r="AP723" s="3"/>
      <c r="AQ723" s="3"/>
      <c r="AR723" s="3"/>
      <c r="AS723" s="3"/>
      <c r="AY723" s="116"/>
      <c r="AZ723" s="118">
        <f t="shared" si="9"/>
        <v>2840</v>
      </c>
      <c r="BA723" s="3"/>
      <c r="BB723" s="3"/>
      <c r="BC723" s="3"/>
      <c r="BD723" s="3"/>
      <c r="BE723" s="204"/>
      <c r="BF723" s="294">
        <f t="shared" si="10"/>
        <v>4</v>
      </c>
      <c r="BG723" s="297">
        <f t="shared" si="11"/>
        <v>2.4844720496894408E-2</v>
      </c>
      <c r="BH723" s="298">
        <f t="shared" si="12"/>
        <v>7.453416149068322E-3</v>
      </c>
      <c r="BI723" s="3"/>
      <c r="BJ723" s="3"/>
      <c r="BK723" s="3"/>
      <c r="BL723" s="3"/>
      <c r="BM723" s="3"/>
      <c r="BN723" s="3"/>
      <c r="BS723" s="294">
        <f t="shared" si="13"/>
        <v>4</v>
      </c>
      <c r="BT723" s="297">
        <f t="shared" si="14"/>
        <v>2.4844720496894408E-2</v>
      </c>
      <c r="BU723" s="298">
        <f t="shared" si="15"/>
        <v>6.8235499956259297E-3</v>
      </c>
      <c r="CC723" s="3"/>
      <c r="CD723" s="3"/>
      <c r="CE723" s="3"/>
      <c r="CF723" s="3"/>
      <c r="CG723" s="1462">
        <f t="shared" si="37"/>
        <v>0</v>
      </c>
      <c r="CH723" s="1463"/>
      <c r="CI723" s="1468">
        <f t="shared" si="38"/>
        <v>0</v>
      </c>
      <c r="CJ723" s="1469"/>
      <c r="CK723" s="1462">
        <f t="shared" si="16"/>
        <v>1</v>
      </c>
      <c r="CL723" s="1463"/>
      <c r="CM723" s="1468">
        <f t="shared" si="17"/>
        <v>4</v>
      </c>
      <c r="CN723" s="1469"/>
      <c r="CO723" s="3"/>
      <c r="CP723" s="1457">
        <f t="shared" si="18"/>
        <v>0</v>
      </c>
      <c r="CQ723" s="1458"/>
      <c r="CR723" s="1458"/>
      <c r="CS723" s="1458"/>
      <c r="CT723" s="1459"/>
      <c r="CU723" s="1442">
        <f t="shared" si="19"/>
        <v>4</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4</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f t="shared" si="31"/>
        <v>737</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325</v>
      </c>
      <c r="C724" s="1338"/>
      <c r="D724" s="1338"/>
      <c r="E724" s="1338"/>
      <c r="F724" s="1339"/>
      <c r="G724" s="1349">
        <v>5</v>
      </c>
      <c r="H724" s="1350"/>
      <c r="I724" s="1350"/>
      <c r="J724" s="1351"/>
      <c r="K724" s="1343">
        <f>K723</f>
        <v>488</v>
      </c>
      <c r="L724" s="1344"/>
      <c r="M724" s="1344"/>
      <c r="N724" s="1345"/>
      <c r="O724" s="1340">
        <v>1257</v>
      </c>
      <c r="P724" s="1341"/>
      <c r="Q724" s="1341"/>
      <c r="R724" s="1341"/>
      <c r="S724" s="1342"/>
      <c r="T724" s="1340">
        <v>43</v>
      </c>
      <c r="U724" s="1341"/>
      <c r="V724" s="1341"/>
      <c r="W724" s="1342"/>
      <c r="X724" s="1352">
        <f t="shared" si="8"/>
        <v>1300</v>
      </c>
      <c r="Y724" s="1353"/>
      <c r="Z724" s="1353"/>
      <c r="AA724" s="1353"/>
      <c r="AB724" s="1354"/>
      <c r="AC724" s="1359">
        <v>0.5</v>
      </c>
      <c r="AD724" s="1360"/>
      <c r="AE724" s="1360"/>
      <c r="AF724" s="1360"/>
      <c r="AG724" s="1361"/>
      <c r="AH724" s="1355">
        <f t="shared" si="36"/>
        <v>0.45774647887323944</v>
      </c>
      <c r="AI724" s="1356"/>
      <c r="AJ724" s="1357"/>
      <c r="AK724" s="1337" t="s">
        <v>592</v>
      </c>
      <c r="AL724" s="1338"/>
      <c r="AM724" s="1338"/>
      <c r="AN724" s="1338"/>
      <c r="AO724" s="1339"/>
      <c r="AP724" s="3"/>
      <c r="AQ724" s="3"/>
      <c r="AR724" s="3"/>
      <c r="AS724" s="3"/>
      <c r="AY724" s="116"/>
      <c r="AZ724" s="118">
        <f t="shared" si="9"/>
        <v>2840</v>
      </c>
      <c r="BA724" s="3"/>
      <c r="BB724" s="3"/>
      <c r="BC724" s="3"/>
      <c r="BD724" s="3"/>
      <c r="BE724" s="204"/>
      <c r="BF724" s="294">
        <f t="shared" si="10"/>
        <v>5</v>
      </c>
      <c r="BG724" s="297">
        <f t="shared" si="11"/>
        <v>3.1055900621118012E-2</v>
      </c>
      <c r="BH724" s="298">
        <f t="shared" si="12"/>
        <v>1.5527950310559006E-2</v>
      </c>
      <c r="BI724" s="3"/>
      <c r="BJ724" s="3"/>
      <c r="BK724" s="3"/>
      <c r="BL724" s="3"/>
      <c r="BM724" s="3"/>
      <c r="BN724" s="3"/>
      <c r="BS724" s="294">
        <f t="shared" si="13"/>
        <v>5</v>
      </c>
      <c r="BT724" s="297">
        <f t="shared" si="14"/>
        <v>3.1055900621118012E-2</v>
      </c>
      <c r="BU724" s="298">
        <f t="shared" si="15"/>
        <v>1.421572915755402E-2</v>
      </c>
      <c r="CC724" s="3"/>
      <c r="CE724" s="3"/>
      <c r="CF724" s="3"/>
      <c r="CG724" s="1462">
        <f t="shared" si="37"/>
        <v>1</v>
      </c>
      <c r="CH724" s="1463"/>
      <c r="CI724" s="1468">
        <f t="shared" si="38"/>
        <v>5</v>
      </c>
      <c r="CJ724" s="1469"/>
      <c r="CK724" s="1462">
        <f t="shared" si="16"/>
        <v>0</v>
      </c>
      <c r="CL724" s="1463"/>
      <c r="CM724" s="1468">
        <f t="shared" si="17"/>
        <v>0</v>
      </c>
      <c r="CN724" s="1469"/>
      <c r="CO724" s="3"/>
      <c r="CP724" s="1457">
        <f t="shared" si="18"/>
        <v>0</v>
      </c>
      <c r="CQ724" s="1458"/>
      <c r="CR724" s="1458"/>
      <c r="CS724" s="1458"/>
      <c r="CT724" s="1459"/>
      <c r="CU724" s="1442">
        <f t="shared" si="19"/>
        <v>5</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f t="shared" si="31"/>
        <v>1257</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325</v>
      </c>
      <c r="C725" s="1338"/>
      <c r="D725" s="1338"/>
      <c r="E725" s="1338"/>
      <c r="F725" s="1339"/>
      <c r="G725" s="1349">
        <v>7</v>
      </c>
      <c r="H725" s="1350"/>
      <c r="I725" s="1350"/>
      <c r="J725" s="1351"/>
      <c r="K725" s="1343">
        <f t="shared" ref="K725:K727" si="39">K724</f>
        <v>488</v>
      </c>
      <c r="L725" s="1344"/>
      <c r="M725" s="1344"/>
      <c r="N725" s="1345"/>
      <c r="O725" s="1340">
        <v>1517</v>
      </c>
      <c r="P725" s="1341"/>
      <c r="Q725" s="1341"/>
      <c r="R725" s="1341"/>
      <c r="S725" s="1342"/>
      <c r="T725" s="1340">
        <v>43</v>
      </c>
      <c r="U725" s="1341"/>
      <c r="V725" s="1341"/>
      <c r="W725" s="1342"/>
      <c r="X725" s="1352">
        <f t="shared" si="8"/>
        <v>1560</v>
      </c>
      <c r="Y725" s="1353"/>
      <c r="Z725" s="1353"/>
      <c r="AA725" s="1353"/>
      <c r="AB725" s="1354"/>
      <c r="AC725" s="1359">
        <v>0.6</v>
      </c>
      <c r="AD725" s="1360"/>
      <c r="AE725" s="1360"/>
      <c r="AF725" s="1360"/>
      <c r="AG725" s="1361"/>
      <c r="AH725" s="1355">
        <f t="shared" si="36"/>
        <v>0.54929577464788737</v>
      </c>
      <c r="AI725" s="1356"/>
      <c r="AJ725" s="1357"/>
      <c r="AK725" s="1337" t="s">
        <v>592</v>
      </c>
      <c r="AL725" s="1338"/>
      <c r="AM725" s="1338"/>
      <c r="AN725" s="1338"/>
      <c r="AO725" s="1339"/>
      <c r="AP725" s="3"/>
      <c r="AQ725" s="3"/>
      <c r="AR725" s="3"/>
      <c r="AS725" s="3"/>
      <c r="AY725" s="1085"/>
      <c r="AZ725" s="118">
        <f t="shared" si="9"/>
        <v>2840</v>
      </c>
      <c r="BA725" s="3"/>
      <c r="BB725" s="3"/>
      <c r="BC725" s="3"/>
      <c r="BD725" s="3"/>
      <c r="BE725" s="204"/>
      <c r="BF725" s="294">
        <f t="shared" si="10"/>
        <v>7</v>
      </c>
      <c r="BG725" s="297">
        <f t="shared" si="11"/>
        <v>4.3478260869565216E-2</v>
      </c>
      <c r="BH725" s="298">
        <f t="shared" si="12"/>
        <v>2.6086956521739129E-2</v>
      </c>
      <c r="BI725" s="3"/>
      <c r="BJ725" s="3"/>
      <c r="BK725" s="3"/>
      <c r="BL725" s="3"/>
      <c r="BM725" s="3"/>
      <c r="BN725" s="3"/>
      <c r="BS725" s="294">
        <f t="shared" si="13"/>
        <v>7</v>
      </c>
      <c r="BT725" s="297">
        <f t="shared" si="14"/>
        <v>4.3478260869565216E-2</v>
      </c>
      <c r="BU725" s="298">
        <f t="shared" si="15"/>
        <v>2.3882424984690755E-2</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7</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f t="shared" si="31"/>
        <v>1517</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t="s">
        <v>325</v>
      </c>
      <c r="C726" s="1338"/>
      <c r="D726" s="1338"/>
      <c r="E726" s="1338"/>
      <c r="F726" s="1339"/>
      <c r="G726" s="1349">
        <v>55</v>
      </c>
      <c r="H726" s="1350"/>
      <c r="I726" s="1350"/>
      <c r="J726" s="1351"/>
      <c r="K726" s="1343">
        <f t="shared" si="39"/>
        <v>488</v>
      </c>
      <c r="L726" s="1344"/>
      <c r="M726" s="1344"/>
      <c r="N726" s="1345"/>
      <c r="O726" s="1340">
        <v>1777</v>
      </c>
      <c r="P726" s="1341"/>
      <c r="Q726" s="1341"/>
      <c r="R726" s="1341"/>
      <c r="S726" s="1342"/>
      <c r="T726" s="1340">
        <v>43</v>
      </c>
      <c r="U726" s="1341"/>
      <c r="V726" s="1341"/>
      <c r="W726" s="1342"/>
      <c r="X726" s="1352">
        <f t="shared" si="8"/>
        <v>1820</v>
      </c>
      <c r="Y726" s="1353"/>
      <c r="Z726" s="1353"/>
      <c r="AA726" s="1353"/>
      <c r="AB726" s="1354"/>
      <c r="AC726" s="1359">
        <v>0.7</v>
      </c>
      <c r="AD726" s="1360"/>
      <c r="AE726" s="1360"/>
      <c r="AF726" s="1360"/>
      <c r="AG726" s="1361"/>
      <c r="AH726" s="1355">
        <f t="shared" si="36"/>
        <v>0.64084507042253525</v>
      </c>
      <c r="AI726" s="1356"/>
      <c r="AJ726" s="1357"/>
      <c r="AK726" s="1337" t="s">
        <v>592</v>
      </c>
      <c r="AL726" s="1338"/>
      <c r="AM726" s="1338"/>
      <c r="AN726" s="1338"/>
      <c r="AO726" s="1339"/>
      <c r="AP726" s="3"/>
      <c r="AQ726" s="3"/>
      <c r="AR726" s="3"/>
      <c r="AS726" s="3"/>
      <c r="AY726" s="1085"/>
      <c r="AZ726" s="118">
        <f t="shared" si="9"/>
        <v>2840</v>
      </c>
      <c r="BA726" s="3"/>
      <c r="BB726" s="3"/>
      <c r="BC726" s="3"/>
      <c r="BD726" s="3"/>
      <c r="BE726" s="204"/>
      <c r="BF726" s="294">
        <f t="shared" si="10"/>
        <v>55</v>
      </c>
      <c r="BG726" s="297">
        <f t="shared" si="11"/>
        <v>0.34161490683229812</v>
      </c>
      <c r="BH726" s="298">
        <f t="shared" si="12"/>
        <v>0.23913043478260868</v>
      </c>
      <c r="BI726" s="3"/>
      <c r="BJ726" s="3"/>
      <c r="BK726" s="3"/>
      <c r="BL726" s="3"/>
      <c r="BM726" s="3"/>
      <c r="BN726" s="3"/>
      <c r="BS726" s="294">
        <f t="shared" si="13"/>
        <v>55</v>
      </c>
      <c r="BT726" s="297">
        <f t="shared" si="14"/>
        <v>0.34161490683229812</v>
      </c>
      <c r="BU726" s="298">
        <f t="shared" si="15"/>
        <v>0.2189222290263319</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55</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f t="shared" si="31"/>
        <v>1777</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t="s">
        <v>325</v>
      </c>
      <c r="C727" s="1338"/>
      <c r="D727" s="1338"/>
      <c r="E727" s="1338"/>
      <c r="F727" s="1339"/>
      <c r="G727" s="1349">
        <v>13</v>
      </c>
      <c r="H727" s="1350"/>
      <c r="I727" s="1350"/>
      <c r="J727" s="1351"/>
      <c r="K727" s="1343">
        <f t="shared" si="39"/>
        <v>488</v>
      </c>
      <c r="L727" s="1344"/>
      <c r="M727" s="1344"/>
      <c r="N727" s="1345"/>
      <c r="O727" s="1340">
        <v>2037</v>
      </c>
      <c r="P727" s="1341"/>
      <c r="Q727" s="1341"/>
      <c r="R727" s="1341"/>
      <c r="S727" s="1342"/>
      <c r="T727" s="1340">
        <v>43</v>
      </c>
      <c r="U727" s="1341"/>
      <c r="V727" s="1341"/>
      <c r="W727" s="1342"/>
      <c r="X727" s="1352">
        <f t="shared" si="8"/>
        <v>2080</v>
      </c>
      <c r="Y727" s="1353"/>
      <c r="Z727" s="1353"/>
      <c r="AA727" s="1353"/>
      <c r="AB727" s="1354"/>
      <c r="AC727" s="1359">
        <v>0.8</v>
      </c>
      <c r="AD727" s="1360"/>
      <c r="AE727" s="1360"/>
      <c r="AF727" s="1360"/>
      <c r="AG727" s="1361"/>
      <c r="AH727" s="1355">
        <f t="shared" si="36"/>
        <v>0.73239436619718312</v>
      </c>
      <c r="AI727" s="1356"/>
      <c r="AJ727" s="1357"/>
      <c r="AK727" s="1337" t="s">
        <v>592</v>
      </c>
      <c r="AL727" s="1338"/>
      <c r="AM727" s="1338"/>
      <c r="AN727" s="1338"/>
      <c r="AO727" s="1339"/>
      <c r="AP727" s="3"/>
      <c r="AQ727" s="3"/>
      <c r="AR727" s="3"/>
      <c r="AS727" s="3"/>
      <c r="AY727" s="1085"/>
      <c r="AZ727" s="118">
        <f t="shared" si="9"/>
        <v>2840</v>
      </c>
      <c r="BA727" s="3"/>
      <c r="BB727" s="3"/>
      <c r="BC727" s="3"/>
      <c r="BD727" s="3"/>
      <c r="BE727" s="204"/>
      <c r="BF727" s="294">
        <f t="shared" si="10"/>
        <v>13</v>
      </c>
      <c r="BG727" s="297">
        <f t="shared" si="11"/>
        <v>8.0745341614906832E-2</v>
      </c>
      <c r="BH727" s="298">
        <f t="shared" si="12"/>
        <v>6.4596273291925466E-2</v>
      </c>
      <c r="BI727" s="3"/>
      <c r="BJ727" s="3"/>
      <c r="BK727" s="3"/>
      <c r="BL727" s="3"/>
      <c r="BM727" s="3"/>
      <c r="BN727" s="3"/>
      <c r="BS727" s="294">
        <f t="shared" si="13"/>
        <v>13</v>
      </c>
      <c r="BT727" s="297">
        <f t="shared" si="14"/>
        <v>8.0745341614906832E-2</v>
      </c>
      <c r="BU727" s="298">
        <f t="shared" si="15"/>
        <v>5.9137433295424723E-2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13</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f t="shared" si="31"/>
        <v>2037</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0">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0"/>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0"/>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0"/>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0"/>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0"/>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0"/>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0"/>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0"/>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0"/>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161</v>
      </c>
      <c r="H753" s="1621"/>
      <c r="I753" s="1621"/>
      <c r="J753" s="1622"/>
      <c r="K753" s="902" t="s">
        <v>124</v>
      </c>
      <c r="L753" s="5"/>
      <c r="M753" s="5"/>
      <c r="N753" s="46"/>
      <c r="O753" s="1352">
        <f>SUMPRODUCT(G718:G752,O718:O752)</f>
        <v>238271</v>
      </c>
      <c r="P753" s="1353"/>
      <c r="Q753" s="1353"/>
      <c r="R753" s="1353"/>
      <c r="S753" s="1354"/>
      <c r="T753"/>
      <c r="U753"/>
      <c r="V753"/>
      <c r="W753"/>
      <c r="X753" s="904" t="s">
        <v>901</v>
      </c>
      <c r="Y753" s="903"/>
      <c r="Z753" s="903"/>
      <c r="AA753" s="903"/>
      <c r="AB753" s="905"/>
      <c r="AC753" s="1603">
        <f>BH753</f>
        <v>0.59999999999999987</v>
      </c>
      <c r="AD753" s="1604"/>
      <c r="AE753" s="1604"/>
      <c r="AF753" s="1604"/>
      <c r="AG753" s="1605"/>
      <c r="AH753" s="1603">
        <f>IFERROR(BU753,"")</f>
        <v>0.5493730223836869</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161</v>
      </c>
      <c r="BG753" s="300">
        <f>SUM(BG718:BG752)</f>
        <v>0.99999999999999989</v>
      </c>
      <c r="BH753" s="300">
        <f>SUM(BH718:BH752)</f>
        <v>0.59999999999999987</v>
      </c>
      <c r="BI753"/>
      <c r="BJ753"/>
      <c r="BK753"/>
      <c r="BL753"/>
      <c r="BO753"/>
      <c r="BP753"/>
      <c r="BQ753"/>
      <c r="BR753"/>
      <c r="BS753" s="859">
        <f>SUM(BS718:BS752)</f>
        <v>161</v>
      </c>
      <c r="BT753" s="300">
        <f>SUM(BT718:BT752)</f>
        <v>0.99999999999999989</v>
      </c>
      <c r="BU753" s="300">
        <f>SUM(BU718:BU752)</f>
        <v>0.5493730223836869</v>
      </c>
      <c r="CI753" s="1462">
        <f>SUM(CI718:CJ752)</f>
        <v>15</v>
      </c>
      <c r="CJ753" s="1463"/>
      <c r="CM753" s="1462">
        <f>SUM(CM718:CN752)</f>
        <v>34</v>
      </c>
      <c r="CN753" s="1463"/>
      <c r="CP753" s="1462">
        <f>SUM(CP718:CT752)</f>
        <v>77</v>
      </c>
      <c r="CQ753" s="1464"/>
      <c r="CR753" s="1464"/>
      <c r="CS753" s="1464"/>
      <c r="CT753" s="1463"/>
      <c r="CU753" s="1460">
        <f>SUM(CU718:CY752)</f>
        <v>84</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30</v>
      </c>
      <c r="DV753" s="1460"/>
      <c r="DW753" s="1460"/>
      <c r="DX753" s="1460"/>
      <c r="DY753" s="1460"/>
      <c r="DZ753" s="1460">
        <f>SUM(DZ718:ED752)</f>
        <v>4</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6883</v>
      </c>
      <c r="FA753" s="1460"/>
      <c r="FB753" s="1460"/>
      <c r="FC753" s="1460"/>
      <c r="FD753" s="1460"/>
      <c r="FE753" s="1460">
        <f>SUM(FE718:FI752)</f>
        <v>7325</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161</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77</v>
      </c>
      <c r="CU755" s="3"/>
      <c r="CV755" s="3"/>
      <c r="CW755" s="3"/>
      <c r="CX755" s="3"/>
      <c r="CY755" s="861">
        <f>CU753*1</f>
        <v>84</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161</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161</v>
      </c>
      <c r="P756" s="1460"/>
      <c r="Q756" s="1460"/>
      <c r="R756" s="1460"/>
      <c r="S756" s="969"/>
      <c r="T756" s="969"/>
      <c r="U756" s="118" t="s">
        <v>1894</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8" t="s">
        <v>1680</v>
      </c>
      <c r="U769" s="1719"/>
      <c r="V769" s="1719"/>
      <c r="W769" s="1720"/>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2">
        <v>2</v>
      </c>
      <c r="P773" s="1612"/>
      <c r="Q773" s="1612"/>
      <c r="R773" s="1612"/>
      <c r="S773" s="1612"/>
      <c r="T773" s="1343">
        <v>487</v>
      </c>
      <c r="U773" s="1344"/>
      <c r="V773" s="1344"/>
      <c r="W773" s="1345"/>
      <c r="X773" s="1340">
        <v>2037</v>
      </c>
      <c r="Y773" s="1341"/>
      <c r="Z773" s="1341"/>
      <c r="AA773" s="1341"/>
      <c r="AB773" s="1342"/>
      <c r="AC773" s="1352">
        <f>X773*O773</f>
        <v>4074</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2</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2</v>
      </c>
      <c r="P777" s="1470"/>
      <c r="Q777" s="1470"/>
      <c r="R777" s="1470"/>
      <c r="S777" s="1469"/>
      <c r="X777" s="1448" t="s">
        <v>124</v>
      </c>
      <c r="Y777" s="1449"/>
      <c r="Z777" s="1449"/>
      <c r="AA777" s="1449"/>
      <c r="AB777" s="1450"/>
      <c r="AC777" s="1352">
        <f>SUM(AC773:AG776)</f>
        <v>4074</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2</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8" t="s">
        <v>1680</v>
      </c>
      <c r="U783" s="1719"/>
      <c r="V783" s="1719"/>
      <c r="W783" s="1720"/>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1">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2">IF(J787="SRO/Studio",O787,0)</f>
        <v>0</v>
      </c>
      <c r="CQ787" s="1458"/>
      <c r="CR787" s="1458"/>
      <c r="CS787" s="1458"/>
      <c r="CT787" s="1459"/>
      <c r="CU787" s="1457">
        <f t="shared" ref="CU787:CU796" si="43">IF(J787="1 Bedroom",O787,0)</f>
        <v>0</v>
      </c>
      <c r="CV787" s="1458"/>
      <c r="CW787" s="1458"/>
      <c r="CX787" s="1458"/>
      <c r="CY787" s="1459"/>
      <c r="CZ787" s="1457">
        <f t="shared" ref="CZ787:CZ796" si="44">IF(J787="2 Bedrooms",O787,0)</f>
        <v>0</v>
      </c>
      <c r="DA787" s="1458"/>
      <c r="DB787" s="1458"/>
      <c r="DC787" s="1458"/>
      <c r="DD787" s="1459"/>
      <c r="DE787" s="1457">
        <f t="shared" ref="DE787:DE796" si="45">IF(J787="3 Bedrooms",O787,0)</f>
        <v>0</v>
      </c>
      <c r="DF787" s="1458"/>
      <c r="DG787" s="1458"/>
      <c r="DH787" s="1458"/>
      <c r="DI787" s="1459"/>
      <c r="DJ787" s="1457">
        <f t="shared" ref="DJ787:DJ796" si="46">IF(J787="4 Bedrooms",O787,0)</f>
        <v>0</v>
      </c>
      <c r="DK787" s="1458"/>
      <c r="DL787" s="1458"/>
      <c r="DM787" s="1458"/>
      <c r="DN787" s="1459"/>
      <c r="DO787" s="1457">
        <f t="shared" ref="DO787:DO796" si="47">IF(J787="5 Bedrooms",O787,0)</f>
        <v>0</v>
      </c>
      <c r="DP787" s="1458"/>
      <c r="DQ787" s="1458"/>
      <c r="DR787" s="1458"/>
      <c r="DS787" s="1459"/>
      <c r="DT787" s="6"/>
      <c r="DU787" s="1457">
        <f t="shared" ref="DU787:DU796" si="48">IF(AND(CP787&gt;=1,AH787&gt;=0.1,AH787&lt;=1),O787,0)</f>
        <v>0</v>
      </c>
      <c r="DV787" s="1458"/>
      <c r="DW787" s="1458"/>
      <c r="DX787" s="1458"/>
      <c r="DY787" s="1459"/>
      <c r="DZ787" s="1457">
        <f t="shared" ref="DZ787:DZ796" si="49">IF(AND(CU787&gt;=1,AH787&gt;=0.1,AH787&lt;=1),O787,0)</f>
        <v>0</v>
      </c>
      <c r="EA787" s="1458"/>
      <c r="EB787" s="1458"/>
      <c r="EC787" s="1458"/>
      <c r="ED787" s="1459"/>
      <c r="EE787" s="1457">
        <f t="shared" ref="EE787:EE796" si="50">IF(AND(CZ787&gt;=1,AH787&gt;=0.1,AH787&lt;=1),O787,0)</f>
        <v>0</v>
      </c>
      <c r="EF787" s="1458"/>
      <c r="EG787" s="1458"/>
      <c r="EH787" s="1458"/>
      <c r="EI787" s="1459"/>
      <c r="EJ787" s="1457">
        <f t="shared" ref="EJ787:EJ796" si="51">IF(AND(DE787&gt;=1,AH787&gt;=0.1,AH787&lt;=1),O787,0)</f>
        <v>0</v>
      </c>
      <c r="EK787" s="1458"/>
      <c r="EL787" s="1458"/>
      <c r="EM787" s="1458"/>
      <c r="EN787" s="1459"/>
      <c r="EO787" s="1457">
        <f t="shared" ref="EO787:EO796" si="52">IF(AND(DJ787&gt;=1,AH787&gt;=0.1,AH787&lt;=1),O787,0)</f>
        <v>0</v>
      </c>
      <c r="EP787" s="1458"/>
      <c r="EQ787" s="1458"/>
      <c r="ER787" s="1458"/>
      <c r="ES787" s="1459"/>
      <c r="ET787" s="1457">
        <f t="shared" ref="ET787:ET796" si="53">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1"/>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2"/>
        <v>0</v>
      </c>
      <c r="CQ788" s="1458"/>
      <c r="CR788" s="1458"/>
      <c r="CS788" s="1458"/>
      <c r="CT788" s="1459"/>
      <c r="CU788" s="1457">
        <f t="shared" si="43"/>
        <v>0</v>
      </c>
      <c r="CV788" s="1458"/>
      <c r="CW788" s="1458"/>
      <c r="CX788" s="1458"/>
      <c r="CY788" s="1459"/>
      <c r="CZ788" s="1457">
        <f t="shared" si="44"/>
        <v>0</v>
      </c>
      <c r="DA788" s="1458"/>
      <c r="DB788" s="1458"/>
      <c r="DC788" s="1458"/>
      <c r="DD788" s="1459"/>
      <c r="DE788" s="1457">
        <f t="shared" si="45"/>
        <v>0</v>
      </c>
      <c r="DF788" s="1458"/>
      <c r="DG788" s="1458"/>
      <c r="DH788" s="1458"/>
      <c r="DI788" s="1459"/>
      <c r="DJ788" s="1457">
        <f t="shared" si="46"/>
        <v>0</v>
      </c>
      <c r="DK788" s="1458"/>
      <c r="DL788" s="1458"/>
      <c r="DM788" s="1458"/>
      <c r="DN788" s="1459"/>
      <c r="DO788" s="1457">
        <f t="shared" si="47"/>
        <v>0</v>
      </c>
      <c r="DP788" s="1458"/>
      <c r="DQ788" s="1458"/>
      <c r="DR788" s="1458"/>
      <c r="DS788" s="1459"/>
      <c r="DT788" s="6"/>
      <c r="DU788" s="1457">
        <f t="shared" si="48"/>
        <v>0</v>
      </c>
      <c r="DV788" s="1458"/>
      <c r="DW788" s="1458"/>
      <c r="DX788" s="1458"/>
      <c r="DY788" s="1459"/>
      <c r="DZ788" s="1457">
        <f t="shared" si="49"/>
        <v>0</v>
      </c>
      <c r="EA788" s="1458"/>
      <c r="EB788" s="1458"/>
      <c r="EC788" s="1458"/>
      <c r="ED788" s="1459"/>
      <c r="EE788" s="1457">
        <f t="shared" si="50"/>
        <v>0</v>
      </c>
      <c r="EF788" s="1458"/>
      <c r="EG788" s="1458"/>
      <c r="EH788" s="1458"/>
      <c r="EI788" s="1459"/>
      <c r="EJ788" s="1457">
        <f t="shared" si="51"/>
        <v>0</v>
      </c>
      <c r="EK788" s="1458"/>
      <c r="EL788" s="1458"/>
      <c r="EM788" s="1458"/>
      <c r="EN788" s="1459"/>
      <c r="EO788" s="1457">
        <f t="shared" si="52"/>
        <v>0</v>
      </c>
      <c r="EP788" s="1458"/>
      <c r="EQ788" s="1458"/>
      <c r="ER788" s="1458"/>
      <c r="ES788" s="1459"/>
      <c r="ET788" s="1457">
        <f t="shared" si="53"/>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1"/>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2"/>
        <v>0</v>
      </c>
      <c r="CQ789" s="1458"/>
      <c r="CR789" s="1458"/>
      <c r="CS789" s="1458"/>
      <c r="CT789" s="1459"/>
      <c r="CU789" s="1457">
        <f t="shared" si="43"/>
        <v>0</v>
      </c>
      <c r="CV789" s="1458"/>
      <c r="CW789" s="1458"/>
      <c r="CX789" s="1458"/>
      <c r="CY789" s="1459"/>
      <c r="CZ789" s="1457">
        <f t="shared" si="44"/>
        <v>0</v>
      </c>
      <c r="DA789" s="1458"/>
      <c r="DB789" s="1458"/>
      <c r="DC789" s="1458"/>
      <c r="DD789" s="1459"/>
      <c r="DE789" s="1457">
        <f t="shared" si="45"/>
        <v>0</v>
      </c>
      <c r="DF789" s="1458"/>
      <c r="DG789" s="1458"/>
      <c r="DH789" s="1458"/>
      <c r="DI789" s="1459"/>
      <c r="DJ789" s="1457">
        <f t="shared" si="46"/>
        <v>0</v>
      </c>
      <c r="DK789" s="1458"/>
      <c r="DL789" s="1458"/>
      <c r="DM789" s="1458"/>
      <c r="DN789" s="1459"/>
      <c r="DO789" s="1457">
        <f t="shared" si="47"/>
        <v>0</v>
      </c>
      <c r="DP789" s="1458"/>
      <c r="DQ789" s="1458"/>
      <c r="DR789" s="1458"/>
      <c r="DS789" s="1459"/>
      <c r="DT789" s="6"/>
      <c r="DU789" s="1457">
        <f t="shared" si="48"/>
        <v>0</v>
      </c>
      <c r="DV789" s="1458"/>
      <c r="DW789" s="1458"/>
      <c r="DX789" s="1458"/>
      <c r="DY789" s="1459"/>
      <c r="DZ789" s="1457">
        <f t="shared" si="49"/>
        <v>0</v>
      </c>
      <c r="EA789" s="1458"/>
      <c r="EB789" s="1458"/>
      <c r="EC789" s="1458"/>
      <c r="ED789" s="1459"/>
      <c r="EE789" s="1457">
        <f t="shared" si="50"/>
        <v>0</v>
      </c>
      <c r="EF789" s="1458"/>
      <c r="EG789" s="1458"/>
      <c r="EH789" s="1458"/>
      <c r="EI789" s="1459"/>
      <c r="EJ789" s="1457">
        <f t="shared" si="51"/>
        <v>0</v>
      </c>
      <c r="EK789" s="1458"/>
      <c r="EL789" s="1458"/>
      <c r="EM789" s="1458"/>
      <c r="EN789" s="1459"/>
      <c r="EO789" s="1457">
        <f t="shared" si="52"/>
        <v>0</v>
      </c>
      <c r="EP789" s="1458"/>
      <c r="EQ789" s="1458"/>
      <c r="ER789" s="1458"/>
      <c r="ES789" s="1459"/>
      <c r="ET789" s="1457">
        <f t="shared" si="53"/>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1"/>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2"/>
        <v>0</v>
      </c>
      <c r="CQ790" s="1458"/>
      <c r="CR790" s="1458"/>
      <c r="CS790" s="1458"/>
      <c r="CT790" s="1459"/>
      <c r="CU790" s="1457">
        <f t="shared" si="43"/>
        <v>0</v>
      </c>
      <c r="CV790" s="1458"/>
      <c r="CW790" s="1458"/>
      <c r="CX790" s="1458"/>
      <c r="CY790" s="1459"/>
      <c r="CZ790" s="1457">
        <f t="shared" si="44"/>
        <v>0</v>
      </c>
      <c r="DA790" s="1458"/>
      <c r="DB790" s="1458"/>
      <c r="DC790" s="1458"/>
      <c r="DD790" s="1459"/>
      <c r="DE790" s="1457">
        <f t="shared" si="45"/>
        <v>0</v>
      </c>
      <c r="DF790" s="1458"/>
      <c r="DG790" s="1458"/>
      <c r="DH790" s="1458"/>
      <c r="DI790" s="1459"/>
      <c r="DJ790" s="1457">
        <f t="shared" si="46"/>
        <v>0</v>
      </c>
      <c r="DK790" s="1458"/>
      <c r="DL790" s="1458"/>
      <c r="DM790" s="1458"/>
      <c r="DN790" s="1459"/>
      <c r="DO790" s="1457">
        <f t="shared" si="47"/>
        <v>0</v>
      </c>
      <c r="DP790" s="1458"/>
      <c r="DQ790" s="1458"/>
      <c r="DR790" s="1458"/>
      <c r="DS790" s="1459"/>
      <c r="DT790" s="6"/>
      <c r="DU790" s="1457">
        <f t="shared" si="48"/>
        <v>0</v>
      </c>
      <c r="DV790" s="1458"/>
      <c r="DW790" s="1458"/>
      <c r="DX790" s="1458"/>
      <c r="DY790" s="1459"/>
      <c r="DZ790" s="1457">
        <f t="shared" si="49"/>
        <v>0</v>
      </c>
      <c r="EA790" s="1458"/>
      <c r="EB790" s="1458"/>
      <c r="EC790" s="1458"/>
      <c r="ED790" s="1459"/>
      <c r="EE790" s="1457">
        <f t="shared" si="50"/>
        <v>0</v>
      </c>
      <c r="EF790" s="1458"/>
      <c r="EG790" s="1458"/>
      <c r="EH790" s="1458"/>
      <c r="EI790" s="1459"/>
      <c r="EJ790" s="1457">
        <f t="shared" si="51"/>
        <v>0</v>
      </c>
      <c r="EK790" s="1458"/>
      <c r="EL790" s="1458"/>
      <c r="EM790" s="1458"/>
      <c r="EN790" s="1459"/>
      <c r="EO790" s="1457">
        <f t="shared" si="52"/>
        <v>0</v>
      </c>
      <c r="EP790" s="1458"/>
      <c r="EQ790" s="1458"/>
      <c r="ER790" s="1458"/>
      <c r="ES790" s="1459"/>
      <c r="ET790" s="1457">
        <f t="shared" si="53"/>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1"/>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2"/>
        <v>0</v>
      </c>
      <c r="CQ791" s="1458"/>
      <c r="CR791" s="1458"/>
      <c r="CS791" s="1458"/>
      <c r="CT791" s="1459"/>
      <c r="CU791" s="1457">
        <f t="shared" si="43"/>
        <v>0</v>
      </c>
      <c r="CV791" s="1458"/>
      <c r="CW791" s="1458"/>
      <c r="CX791" s="1458"/>
      <c r="CY791" s="1459"/>
      <c r="CZ791" s="1457">
        <f t="shared" si="44"/>
        <v>0</v>
      </c>
      <c r="DA791" s="1458"/>
      <c r="DB791" s="1458"/>
      <c r="DC791" s="1458"/>
      <c r="DD791" s="1459"/>
      <c r="DE791" s="1457">
        <f t="shared" si="45"/>
        <v>0</v>
      </c>
      <c r="DF791" s="1458"/>
      <c r="DG791" s="1458"/>
      <c r="DH791" s="1458"/>
      <c r="DI791" s="1459"/>
      <c r="DJ791" s="1457">
        <f t="shared" si="46"/>
        <v>0</v>
      </c>
      <c r="DK791" s="1458"/>
      <c r="DL791" s="1458"/>
      <c r="DM791" s="1458"/>
      <c r="DN791" s="1459"/>
      <c r="DO791" s="1457">
        <f t="shared" si="47"/>
        <v>0</v>
      </c>
      <c r="DP791" s="1458"/>
      <c r="DQ791" s="1458"/>
      <c r="DR791" s="1458"/>
      <c r="DS791" s="1459"/>
      <c r="DT791" s="6"/>
      <c r="DU791" s="1457">
        <f t="shared" si="48"/>
        <v>0</v>
      </c>
      <c r="DV791" s="1458"/>
      <c r="DW791" s="1458"/>
      <c r="DX791" s="1458"/>
      <c r="DY791" s="1459"/>
      <c r="DZ791" s="1457">
        <f t="shared" si="49"/>
        <v>0</v>
      </c>
      <c r="EA791" s="1458"/>
      <c r="EB791" s="1458"/>
      <c r="EC791" s="1458"/>
      <c r="ED791" s="1459"/>
      <c r="EE791" s="1457">
        <f t="shared" si="50"/>
        <v>0</v>
      </c>
      <c r="EF791" s="1458"/>
      <c r="EG791" s="1458"/>
      <c r="EH791" s="1458"/>
      <c r="EI791" s="1459"/>
      <c r="EJ791" s="1457">
        <f t="shared" si="51"/>
        <v>0</v>
      </c>
      <c r="EK791" s="1458"/>
      <c r="EL791" s="1458"/>
      <c r="EM791" s="1458"/>
      <c r="EN791" s="1459"/>
      <c r="EO791" s="1457">
        <f t="shared" si="52"/>
        <v>0</v>
      </c>
      <c r="EP791" s="1458"/>
      <c r="EQ791" s="1458"/>
      <c r="ER791" s="1458"/>
      <c r="ES791" s="1459"/>
      <c r="ET791" s="1457">
        <f t="shared" si="53"/>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1"/>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2"/>
        <v>0</v>
      </c>
      <c r="CQ792" s="1458"/>
      <c r="CR792" s="1458"/>
      <c r="CS792" s="1458"/>
      <c r="CT792" s="1459"/>
      <c r="CU792" s="1457">
        <f t="shared" si="43"/>
        <v>0</v>
      </c>
      <c r="CV792" s="1458"/>
      <c r="CW792" s="1458"/>
      <c r="CX792" s="1458"/>
      <c r="CY792" s="1459"/>
      <c r="CZ792" s="1457">
        <f t="shared" si="44"/>
        <v>0</v>
      </c>
      <c r="DA792" s="1458"/>
      <c r="DB792" s="1458"/>
      <c r="DC792" s="1458"/>
      <c r="DD792" s="1459"/>
      <c r="DE792" s="1457">
        <f t="shared" si="45"/>
        <v>0</v>
      </c>
      <c r="DF792" s="1458"/>
      <c r="DG792" s="1458"/>
      <c r="DH792" s="1458"/>
      <c r="DI792" s="1459"/>
      <c r="DJ792" s="1457">
        <f t="shared" si="46"/>
        <v>0</v>
      </c>
      <c r="DK792" s="1458"/>
      <c r="DL792" s="1458"/>
      <c r="DM792" s="1458"/>
      <c r="DN792" s="1459"/>
      <c r="DO792" s="1457">
        <f t="shared" si="47"/>
        <v>0</v>
      </c>
      <c r="DP792" s="1458"/>
      <c r="DQ792" s="1458"/>
      <c r="DR792" s="1458"/>
      <c r="DS792" s="1459"/>
      <c r="DT792" s="6"/>
      <c r="DU792" s="1457">
        <f t="shared" si="48"/>
        <v>0</v>
      </c>
      <c r="DV792" s="1458"/>
      <c r="DW792" s="1458"/>
      <c r="DX792" s="1458"/>
      <c r="DY792" s="1459"/>
      <c r="DZ792" s="1457">
        <f t="shared" si="49"/>
        <v>0</v>
      </c>
      <c r="EA792" s="1458"/>
      <c r="EB792" s="1458"/>
      <c r="EC792" s="1458"/>
      <c r="ED792" s="1459"/>
      <c r="EE792" s="1457">
        <f t="shared" si="50"/>
        <v>0</v>
      </c>
      <c r="EF792" s="1458"/>
      <c r="EG792" s="1458"/>
      <c r="EH792" s="1458"/>
      <c r="EI792" s="1459"/>
      <c r="EJ792" s="1457">
        <f t="shared" si="51"/>
        <v>0</v>
      </c>
      <c r="EK792" s="1458"/>
      <c r="EL792" s="1458"/>
      <c r="EM792" s="1458"/>
      <c r="EN792" s="1459"/>
      <c r="EO792" s="1457">
        <f t="shared" si="52"/>
        <v>0</v>
      </c>
      <c r="EP792" s="1458"/>
      <c r="EQ792" s="1458"/>
      <c r="ER792" s="1458"/>
      <c r="ES792" s="1459"/>
      <c r="ET792" s="1457">
        <f t="shared" si="53"/>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1"/>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2"/>
        <v>0</v>
      </c>
      <c r="CQ793" s="1458"/>
      <c r="CR793" s="1458"/>
      <c r="CS793" s="1458"/>
      <c r="CT793" s="1459"/>
      <c r="CU793" s="1457">
        <f t="shared" si="43"/>
        <v>0</v>
      </c>
      <c r="CV793" s="1458"/>
      <c r="CW793" s="1458"/>
      <c r="CX793" s="1458"/>
      <c r="CY793" s="1459"/>
      <c r="CZ793" s="1457">
        <f t="shared" si="44"/>
        <v>0</v>
      </c>
      <c r="DA793" s="1458"/>
      <c r="DB793" s="1458"/>
      <c r="DC793" s="1458"/>
      <c r="DD793" s="1459"/>
      <c r="DE793" s="1457">
        <f t="shared" si="45"/>
        <v>0</v>
      </c>
      <c r="DF793" s="1458"/>
      <c r="DG793" s="1458"/>
      <c r="DH793" s="1458"/>
      <c r="DI793" s="1459"/>
      <c r="DJ793" s="1457">
        <f t="shared" si="46"/>
        <v>0</v>
      </c>
      <c r="DK793" s="1458"/>
      <c r="DL793" s="1458"/>
      <c r="DM793" s="1458"/>
      <c r="DN793" s="1459"/>
      <c r="DO793" s="1457">
        <f t="shared" si="47"/>
        <v>0</v>
      </c>
      <c r="DP793" s="1458"/>
      <c r="DQ793" s="1458"/>
      <c r="DR793" s="1458"/>
      <c r="DS793" s="1459"/>
      <c r="DT793" s="6"/>
      <c r="DU793" s="1457">
        <f t="shared" si="48"/>
        <v>0</v>
      </c>
      <c r="DV793" s="1458"/>
      <c r="DW793" s="1458"/>
      <c r="DX793" s="1458"/>
      <c r="DY793" s="1459"/>
      <c r="DZ793" s="1457">
        <f t="shared" si="49"/>
        <v>0</v>
      </c>
      <c r="EA793" s="1458"/>
      <c r="EB793" s="1458"/>
      <c r="EC793" s="1458"/>
      <c r="ED793" s="1459"/>
      <c r="EE793" s="1457">
        <f t="shared" si="50"/>
        <v>0</v>
      </c>
      <c r="EF793" s="1458"/>
      <c r="EG793" s="1458"/>
      <c r="EH793" s="1458"/>
      <c r="EI793" s="1459"/>
      <c r="EJ793" s="1457">
        <f t="shared" si="51"/>
        <v>0</v>
      </c>
      <c r="EK793" s="1458"/>
      <c r="EL793" s="1458"/>
      <c r="EM793" s="1458"/>
      <c r="EN793" s="1459"/>
      <c r="EO793" s="1457">
        <f t="shared" si="52"/>
        <v>0</v>
      </c>
      <c r="EP793" s="1458"/>
      <c r="EQ793" s="1458"/>
      <c r="ER793" s="1458"/>
      <c r="ES793" s="1459"/>
      <c r="ET793" s="1457">
        <f t="shared" si="53"/>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1"/>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2"/>
        <v>0</v>
      </c>
      <c r="CQ794" s="1458"/>
      <c r="CR794" s="1458"/>
      <c r="CS794" s="1458"/>
      <c r="CT794" s="1459"/>
      <c r="CU794" s="1457">
        <f t="shared" si="43"/>
        <v>0</v>
      </c>
      <c r="CV794" s="1458"/>
      <c r="CW794" s="1458"/>
      <c r="CX794" s="1458"/>
      <c r="CY794" s="1459"/>
      <c r="CZ794" s="1457">
        <f t="shared" si="44"/>
        <v>0</v>
      </c>
      <c r="DA794" s="1458"/>
      <c r="DB794" s="1458"/>
      <c r="DC794" s="1458"/>
      <c r="DD794" s="1459"/>
      <c r="DE794" s="1457">
        <f t="shared" si="45"/>
        <v>0</v>
      </c>
      <c r="DF794" s="1458"/>
      <c r="DG794" s="1458"/>
      <c r="DH794" s="1458"/>
      <c r="DI794" s="1459"/>
      <c r="DJ794" s="1457">
        <f t="shared" si="46"/>
        <v>0</v>
      </c>
      <c r="DK794" s="1458"/>
      <c r="DL794" s="1458"/>
      <c r="DM794" s="1458"/>
      <c r="DN794" s="1459"/>
      <c r="DO794" s="1457">
        <f t="shared" si="47"/>
        <v>0</v>
      </c>
      <c r="DP794" s="1458"/>
      <c r="DQ794" s="1458"/>
      <c r="DR794" s="1458"/>
      <c r="DS794" s="1459"/>
      <c r="DT794" s="6"/>
      <c r="DU794" s="1457">
        <f t="shared" si="48"/>
        <v>0</v>
      </c>
      <c r="DV794" s="1458"/>
      <c r="DW794" s="1458"/>
      <c r="DX794" s="1458"/>
      <c r="DY794" s="1459"/>
      <c r="DZ794" s="1457">
        <f t="shared" si="49"/>
        <v>0</v>
      </c>
      <c r="EA794" s="1458"/>
      <c r="EB794" s="1458"/>
      <c r="EC794" s="1458"/>
      <c r="ED794" s="1459"/>
      <c r="EE794" s="1457">
        <f t="shared" si="50"/>
        <v>0</v>
      </c>
      <c r="EF794" s="1458"/>
      <c r="EG794" s="1458"/>
      <c r="EH794" s="1458"/>
      <c r="EI794" s="1459"/>
      <c r="EJ794" s="1457">
        <f t="shared" si="51"/>
        <v>0</v>
      </c>
      <c r="EK794" s="1458"/>
      <c r="EL794" s="1458"/>
      <c r="EM794" s="1458"/>
      <c r="EN794" s="1459"/>
      <c r="EO794" s="1457">
        <f t="shared" si="52"/>
        <v>0</v>
      </c>
      <c r="EP794" s="1458"/>
      <c r="EQ794" s="1458"/>
      <c r="ER794" s="1458"/>
      <c r="ES794" s="1459"/>
      <c r="ET794" s="1457">
        <f t="shared" si="53"/>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1"/>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2"/>
        <v>0</v>
      </c>
      <c r="CQ795" s="1458"/>
      <c r="CR795" s="1458"/>
      <c r="CS795" s="1458"/>
      <c r="CT795" s="1459"/>
      <c r="CU795" s="1457">
        <f t="shared" si="43"/>
        <v>0</v>
      </c>
      <c r="CV795" s="1458"/>
      <c r="CW795" s="1458"/>
      <c r="CX795" s="1458"/>
      <c r="CY795" s="1459"/>
      <c r="CZ795" s="1457">
        <f t="shared" si="44"/>
        <v>0</v>
      </c>
      <c r="DA795" s="1458"/>
      <c r="DB795" s="1458"/>
      <c r="DC795" s="1458"/>
      <c r="DD795" s="1459"/>
      <c r="DE795" s="1457">
        <f t="shared" si="45"/>
        <v>0</v>
      </c>
      <c r="DF795" s="1458"/>
      <c r="DG795" s="1458"/>
      <c r="DH795" s="1458"/>
      <c r="DI795" s="1459"/>
      <c r="DJ795" s="1457">
        <f t="shared" si="46"/>
        <v>0</v>
      </c>
      <c r="DK795" s="1458"/>
      <c r="DL795" s="1458"/>
      <c r="DM795" s="1458"/>
      <c r="DN795" s="1459"/>
      <c r="DO795" s="1457">
        <f t="shared" si="47"/>
        <v>0</v>
      </c>
      <c r="DP795" s="1458"/>
      <c r="DQ795" s="1458"/>
      <c r="DR795" s="1458"/>
      <c r="DS795" s="1459"/>
      <c r="DT795" s="6"/>
      <c r="DU795" s="1457">
        <f t="shared" si="48"/>
        <v>0</v>
      </c>
      <c r="DV795" s="1458"/>
      <c r="DW795" s="1458"/>
      <c r="DX795" s="1458"/>
      <c r="DY795" s="1459"/>
      <c r="DZ795" s="1457">
        <f t="shared" si="49"/>
        <v>0</v>
      </c>
      <c r="EA795" s="1458"/>
      <c r="EB795" s="1458"/>
      <c r="EC795" s="1458"/>
      <c r="ED795" s="1459"/>
      <c r="EE795" s="1457">
        <f t="shared" si="50"/>
        <v>0</v>
      </c>
      <c r="EF795" s="1458"/>
      <c r="EG795" s="1458"/>
      <c r="EH795" s="1458"/>
      <c r="EI795" s="1459"/>
      <c r="EJ795" s="1457">
        <f t="shared" si="51"/>
        <v>0</v>
      </c>
      <c r="EK795" s="1458"/>
      <c r="EL795" s="1458"/>
      <c r="EM795" s="1458"/>
      <c r="EN795" s="1459"/>
      <c r="EO795" s="1457">
        <f t="shared" si="52"/>
        <v>0</v>
      </c>
      <c r="EP795" s="1458"/>
      <c r="EQ795" s="1458"/>
      <c r="ER795" s="1458"/>
      <c r="ES795" s="1459"/>
      <c r="ET795" s="1457">
        <f t="shared" si="53"/>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1"/>
        <v>0</v>
      </c>
      <c r="AD796" s="1353"/>
      <c r="AE796" s="1353"/>
      <c r="AF796" s="1353"/>
      <c r="AG796" s="1354"/>
      <c r="AH796"/>
      <c r="AI796"/>
      <c r="AJ796"/>
      <c r="AK796"/>
      <c r="AL796"/>
      <c r="AM796"/>
      <c r="AN796"/>
      <c r="AO796"/>
      <c r="AP796"/>
      <c r="AQ796"/>
      <c r="AR796"/>
      <c r="AS796"/>
      <c r="AT796"/>
      <c r="AU796"/>
      <c r="AV796"/>
      <c r="AW796"/>
      <c r="AX796"/>
      <c r="AY796"/>
      <c r="AZ796" s="3"/>
      <c r="CP796" s="1457">
        <f t="shared" si="42"/>
        <v>0</v>
      </c>
      <c r="CQ796" s="1458"/>
      <c r="CR796" s="1458"/>
      <c r="CS796" s="1458"/>
      <c r="CT796" s="1459"/>
      <c r="CU796" s="1457">
        <f t="shared" si="43"/>
        <v>0</v>
      </c>
      <c r="CV796" s="1458"/>
      <c r="CW796" s="1458"/>
      <c r="CX796" s="1458"/>
      <c r="CY796" s="1459"/>
      <c r="CZ796" s="1457">
        <f t="shared" si="44"/>
        <v>0</v>
      </c>
      <c r="DA796" s="1458"/>
      <c r="DB796" s="1458"/>
      <c r="DC796" s="1458"/>
      <c r="DD796" s="1459"/>
      <c r="DE796" s="1457">
        <f t="shared" si="45"/>
        <v>0</v>
      </c>
      <c r="DF796" s="1458"/>
      <c r="DG796" s="1458"/>
      <c r="DH796" s="1458"/>
      <c r="DI796" s="1459"/>
      <c r="DJ796" s="1457">
        <f t="shared" si="46"/>
        <v>0</v>
      </c>
      <c r="DK796" s="1458"/>
      <c r="DL796" s="1458"/>
      <c r="DM796" s="1458"/>
      <c r="DN796" s="1459"/>
      <c r="DO796" s="1457">
        <f t="shared" si="47"/>
        <v>0</v>
      </c>
      <c r="DP796" s="1458"/>
      <c r="DQ796" s="1458"/>
      <c r="DR796" s="1458"/>
      <c r="DS796" s="1459"/>
      <c r="DT796" s="6"/>
      <c r="DU796" s="1457">
        <f t="shared" si="48"/>
        <v>0</v>
      </c>
      <c r="DV796" s="1458"/>
      <c r="DW796" s="1458"/>
      <c r="DX796" s="1458"/>
      <c r="DY796" s="1459"/>
      <c r="DZ796" s="1457">
        <f t="shared" si="49"/>
        <v>0</v>
      </c>
      <c r="EA796" s="1458"/>
      <c r="EB796" s="1458"/>
      <c r="EC796" s="1458"/>
      <c r="ED796" s="1459"/>
      <c r="EE796" s="1457">
        <f t="shared" si="50"/>
        <v>0</v>
      </c>
      <c r="EF796" s="1458"/>
      <c r="EG796" s="1458"/>
      <c r="EH796" s="1458"/>
      <c r="EI796" s="1459"/>
      <c r="EJ796" s="1457">
        <f t="shared" si="51"/>
        <v>0</v>
      </c>
      <c r="EK796" s="1458"/>
      <c r="EL796" s="1458"/>
      <c r="EM796" s="1458"/>
      <c r="EN796" s="1459"/>
      <c r="EO796" s="1457">
        <f t="shared" si="52"/>
        <v>0</v>
      </c>
      <c r="EP796" s="1458"/>
      <c r="EQ796" s="1458"/>
      <c r="ER796" s="1458"/>
      <c r="ES796" s="1459"/>
      <c r="ET796" s="1457">
        <f t="shared" si="53"/>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242345</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2908140</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77</v>
      </c>
      <c r="CQ802" s="1472"/>
      <c r="CR802" s="1472"/>
      <c r="CS802" s="1472"/>
      <c r="CT802" s="1473"/>
      <c r="CU802" s="1471">
        <f>CU753+CU777+CU797</f>
        <v>86</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161</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105950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v>28800</v>
      </c>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2709</v>
      </c>
      <c r="Q816" s="1593"/>
      <c r="R816" s="1593"/>
      <c r="S816" s="1593"/>
      <c r="T816" s="1593"/>
      <c r="U816" s="1593"/>
      <c r="V816" s="1593"/>
      <c r="W816" s="1593"/>
      <c r="X816" s="1593"/>
      <c r="Y816" s="1594"/>
      <c r="Z816" s="1465">
        <f>97213</f>
        <v>97213</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231963</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3140103</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v>6</v>
      </c>
      <c r="N825" s="1641"/>
      <c r="O825" s="1641"/>
      <c r="P825" s="1641"/>
      <c r="Q825" s="1641">
        <v>8</v>
      </c>
      <c r="R825" s="1641"/>
      <c r="S825" s="1641"/>
      <c r="T825" s="1641"/>
      <c r="U825" s="1641">
        <v>11</v>
      </c>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2</v>
      </c>
      <c r="N827" s="1641"/>
      <c r="O827" s="1641"/>
      <c r="P827" s="1641"/>
      <c r="Q827" s="1641">
        <v>3</v>
      </c>
      <c r="R827" s="1641"/>
      <c r="S827" s="1641"/>
      <c r="T827" s="1641"/>
      <c r="U827" s="1641">
        <v>4</v>
      </c>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v>16</v>
      </c>
      <c r="N829" s="1641"/>
      <c r="O829" s="1641"/>
      <c r="P829" s="1641"/>
      <c r="Q829" s="1641">
        <v>22</v>
      </c>
      <c r="R829" s="1641"/>
      <c r="S829" s="1641"/>
      <c r="T829" s="1641"/>
      <c r="U829" s="1641">
        <v>28</v>
      </c>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2710</v>
      </c>
      <c r="G831" s="1593"/>
      <c r="H831" s="1593"/>
      <c r="I831" s="1593"/>
      <c r="J831" s="1593"/>
      <c r="K831" s="1593"/>
      <c r="L831" s="1593"/>
      <c r="M831" s="1641">
        <v>7</v>
      </c>
      <c r="N831" s="1641"/>
      <c r="O831" s="1641"/>
      <c r="P831" s="1641"/>
      <c r="Q831" s="1641">
        <v>10</v>
      </c>
      <c r="R831" s="1641"/>
      <c r="S831" s="1641"/>
      <c r="T831" s="1641"/>
      <c r="U831" s="1641">
        <v>13</v>
      </c>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31</v>
      </c>
      <c r="N832" s="1635"/>
      <c r="O832" s="1635"/>
      <c r="P832" s="1635"/>
      <c r="Q832" s="1635">
        <f>SUM(Q825:T831)</f>
        <v>43</v>
      </c>
      <c r="R832" s="1635"/>
      <c r="S832" s="1635"/>
      <c r="T832" s="1635"/>
      <c r="U832" s="1635">
        <f>SUM(U825:X831)</f>
        <v>56</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2711</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6000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25000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50000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150000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231000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120000</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2.95" customHeight="1">
      <c r="J852" s="45" t="s">
        <v>351</v>
      </c>
      <c r="K852" s="5"/>
      <c r="L852" s="5"/>
      <c r="M852" s="5"/>
      <c r="N852" s="5"/>
      <c r="O852" s="5"/>
      <c r="P852" s="5"/>
      <c r="Q852" s="5"/>
      <c r="R852" s="5"/>
      <c r="S852" s="5"/>
      <c r="T852" s="5"/>
      <c r="U852" s="5"/>
      <c r="V852" s="46"/>
      <c r="W852" s="1650">
        <v>20000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120524</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20000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4">
        <f>SUM(W851:W854)</f>
        <v>160524</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87925</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08">
        <v>2</v>
      </c>
      <c r="U858" s="1695"/>
      <c r="V858" s="170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76928</v>
      </c>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08"/>
      <c r="U860" s="1695"/>
      <c r="V860" s="1709"/>
      <c r="W860" s="874"/>
      <c r="X860" s="875"/>
      <c r="Y860" s="875"/>
      <c r="Z860" s="875"/>
      <c r="AA860" s="875"/>
      <c r="AB860" s="875"/>
      <c r="AC860" s="876"/>
      <c r="AD860" s="533"/>
      <c r="AZ860" s="34"/>
      <c r="BA860" s="34"/>
      <c r="BB860" s="34"/>
      <c r="BC860" s="34"/>
    </row>
    <row r="861" spans="3:55" ht="12.95"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0">
        <f>SUM(W857:W861)</f>
        <v>164853</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195523</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10000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60000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20000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5000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30000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v>30000</v>
      </c>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SUM(W865:W871)</f>
        <v>155000</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1026900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3">
        <f>O797+O777+G753</f>
        <v>163</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6300</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Budget'!C75</f>
        <v>1216852</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22800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48900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v>12225</v>
      </c>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24450</v>
      </c>
      <c r="AD891" s="1466"/>
      <c r="AE891" s="1466"/>
      <c r="AF891" s="1466"/>
      <c r="AG891" s="1466"/>
      <c r="AH891" s="1467"/>
      <c r="AZ891" s="34"/>
      <c r="BA891" s="34"/>
      <c r="BB891" s="34"/>
      <c r="BC891" s="34"/>
    </row>
    <row r="892" spans="3:55" ht="12.95" hidden="1" customHeight="1">
      <c r="C892" s="1448" t="s">
        <v>2235</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24900000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AM556</f>
        <v>15957014</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546</v>
      </c>
      <c r="V934" s="1402"/>
      <c r="W934" s="1402"/>
      <c r="X934" s="1402"/>
      <c r="Y934" s="1402"/>
      <c r="Z934" s="1403"/>
      <c r="AA934" s="1407">
        <f>AO628</f>
        <v>4000000</v>
      </c>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2193</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9">
        <f>CP802</f>
        <v>77</v>
      </c>
      <c r="AC986" s="1390"/>
      <c r="AD986" s="1390"/>
      <c r="AE986" s="1390"/>
      <c r="AF986" s="1390"/>
      <c r="AG986" s="1390"/>
      <c r="AH986" s="1390"/>
      <c r="AI986" s="1391"/>
      <c r="AJ986" s="1487">
        <f>IF(ISERROR((R986*AB986)),0,(R986*AB986))</f>
        <v>33704979</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9">
        <f>CU802</f>
        <v>86</v>
      </c>
      <c r="AC987" s="1390"/>
      <c r="AD987" s="1390"/>
      <c r="AE987" s="1390"/>
      <c r="AF987" s="1390"/>
      <c r="AG987" s="1390"/>
      <c r="AH987" s="1390"/>
      <c r="AI987" s="1391"/>
      <c r="AJ987" s="1487">
        <f>IF(ISERROR((R987*AB987)),0,(R987*AB987))</f>
        <v>43403770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163</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77108749</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2237</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2207</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161</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0.09</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0.21</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2">
        <f>ROUND(IF(AG1007="yes",AJ992*0.1,0),0)</f>
        <v>7710875</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2604</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4"/>
        <v>0</v>
      </c>
      <c r="AZ1015" s="1255">
        <v>0.05</v>
      </c>
    </row>
    <row r="1016" spans="1:52" ht="12.95" customHeight="1">
      <c r="A1016" s="14"/>
      <c r="B1016" s="79"/>
      <c r="C1016" s="80" t="s">
        <v>218</v>
      </c>
      <c r="D1016" s="1503" t="s">
        <v>2238</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4"/>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4"/>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4"/>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4"/>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4"/>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4"/>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4"/>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2603</v>
      </c>
      <c r="AY1024" s="201">
        <f>IF(SUM(AY1015:AY1023)&lt;=0.2,SUM(AY1015:AY1023),0.2)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546</v>
      </c>
      <c r="AH1025" s="1502"/>
      <c r="AI1025" s="87"/>
      <c r="AJ1025" s="1392">
        <f>ROUND(IF(AG1025="Yes",AF1027,0),0)</f>
        <v>401280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f>'Sources and Uses Budget'!C85</f>
        <v>401280</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7710875</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7710875</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0.30434782608695654</v>
      </c>
      <c r="BB1039" s="3" t="s">
        <v>2490</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2487</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2488</v>
      </c>
    </row>
    <row r="1042" spans="1:56" ht="12.95" customHeight="1">
      <c r="A1042" s="14"/>
      <c r="B1042" s="73"/>
      <c r="C1042" s="74"/>
      <c r="D1042" s="1506" t="s">
        <v>2146</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2489</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6939787.4100000001</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6270303.75</v>
      </c>
      <c r="BA1046" s="1182">
        <f>IF(BA1040,20%,15%)</f>
        <v>0.15</v>
      </c>
      <c r="BB1046" s="3" t="s">
        <v>2476</v>
      </c>
      <c r="BC1046" s="3" t="s">
        <v>2477</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973</v>
      </c>
      <c r="E1048" s="133"/>
      <c r="F1048" s="133"/>
      <c r="G1048" s="133"/>
      <c r="H1048" s="133"/>
      <c r="I1048" s="1569">
        <f>AY1003</f>
        <v>161</v>
      </c>
      <c r="J1048" s="1570"/>
      <c r="K1048" s="7"/>
      <c r="L1048" s="133"/>
      <c r="M1048" s="133"/>
      <c r="N1048" s="133"/>
      <c r="O1048" s="133"/>
      <c r="P1048" s="133"/>
      <c r="Q1048" s="133"/>
      <c r="R1048" s="133"/>
      <c r="S1048" s="133"/>
      <c r="T1048" s="133"/>
      <c r="U1048" s="133"/>
      <c r="V1048" s="134" t="s">
        <v>974</v>
      </c>
      <c r="W1048" s="48"/>
      <c r="X1048" s="1567">
        <f>CI753</f>
        <v>15</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2.95" customHeight="1">
      <c r="A1049" s="14"/>
      <c r="B1049" s="79"/>
      <c r="C1049" s="131" t="s">
        <v>1686</v>
      </c>
      <c r="D1049" s="1493" t="s">
        <v>2172</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32385674.579999998</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161</v>
      </c>
      <c r="J1052" s="1570"/>
      <c r="K1052" s="14"/>
      <c r="L1052" s="133"/>
      <c r="M1052" s="133"/>
      <c r="N1052" s="133"/>
      <c r="O1052" s="133"/>
      <c r="P1052" s="133"/>
      <c r="Q1052" s="133"/>
      <c r="R1052" s="133"/>
      <c r="S1052" s="133"/>
      <c r="T1052" s="133"/>
      <c r="U1052" s="133"/>
      <c r="V1052" s="134" t="s">
        <v>975</v>
      </c>
      <c r="X1052" s="1567">
        <f>CM753</f>
        <v>34</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139968115.99000001</v>
      </c>
      <c r="AK1053" s="1579"/>
      <c r="AL1053" s="1579"/>
      <c r="AM1053" s="1579"/>
      <c r="AN1053" s="1579"/>
      <c r="AO1053" s="1579"/>
      <c r="AP1053" s="1579"/>
      <c r="AQ1053" s="1580"/>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46674051</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6270303.75</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0.44019134272830279</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4872026</v>
      </c>
      <c r="BB1058" s="3" t="s">
        <v>2491</v>
      </c>
    </row>
    <row r="1059" spans="1:54" ht="12.95"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2372026</v>
      </c>
      <c r="BB1059" s="3" t="s">
        <v>2492</v>
      </c>
    </row>
    <row r="1060" spans="1:54" ht="12.95"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C99" sqref="C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6" t="s">
        <v>622</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374</v>
      </c>
      <c r="D2" s="138" t="s">
        <v>373</v>
      </c>
      <c r="E2" s="138" t="s">
        <v>24</v>
      </c>
      <c r="F2" s="139" t="str">
        <f>Application!B627&amp;Application!C627</f>
        <v>1)CalHFA Perm Loan</v>
      </c>
      <c r="G2" s="139" t="str">
        <f>Application!B628&amp;Application!C628</f>
        <v>2)CalHFA MIP Loan</v>
      </c>
      <c r="H2" s="139" t="str">
        <f>Application!B629&amp;Application!C629</f>
        <v>3)Deferred Developer Fee</v>
      </c>
      <c r="I2" s="139" t="str">
        <f>Application!B630&amp;Application!C630</f>
        <v>4)Hankey Investment Company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f>R13</f>
        <v>20000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1084700</v>
      </c>
      <c r="C29" s="147">
        <f>1084700</f>
        <v>1084700</v>
      </c>
      <c r="D29" s="147"/>
      <c r="E29" s="147">
        <f>C29</f>
        <v>1084700</v>
      </c>
      <c r="F29" s="147">
        <f>C29-E29</f>
        <v>0</v>
      </c>
      <c r="G29" s="147"/>
      <c r="H29" s="147"/>
      <c r="I29" s="147"/>
      <c r="J29" s="147"/>
      <c r="K29" s="147"/>
      <c r="L29" s="147"/>
      <c r="M29" s="147"/>
      <c r="N29" s="147"/>
      <c r="O29" s="147"/>
      <c r="P29" s="147"/>
      <c r="Q29" s="147"/>
      <c r="R29" s="516">
        <f t="shared" ref="R29:R37" si="7">SUM(E29:Q29)</f>
        <v>1084700</v>
      </c>
      <c r="S29" s="147"/>
      <c r="T29" s="147"/>
      <c r="U29" s="143"/>
    </row>
    <row r="30" spans="1:21" s="144" customFormat="1">
      <c r="A30" s="145" t="s">
        <v>600</v>
      </c>
      <c r="B30" s="146">
        <f t="shared" si="6"/>
        <v>29029000</v>
      </c>
      <c r="C30" s="147">
        <f>29000000+29000</f>
        <v>29029000</v>
      </c>
      <c r="D30" s="147"/>
      <c r="E30" s="147">
        <f>E108-E99-E75-E29-E13</f>
        <v>18104600</v>
      </c>
      <c r="F30" s="147">
        <f>C30-E30</f>
        <v>10924400</v>
      </c>
      <c r="G30" s="147"/>
      <c r="H30" s="147"/>
      <c r="I30" s="147"/>
      <c r="J30" s="147"/>
      <c r="K30" s="147"/>
      <c r="L30" s="147"/>
      <c r="M30" s="147"/>
      <c r="N30" s="147"/>
      <c r="O30" s="147"/>
      <c r="P30" s="147"/>
      <c r="Q30" s="147"/>
      <c r="R30" s="516">
        <f t="shared" si="7"/>
        <v>29029000</v>
      </c>
      <c r="S30" s="147">
        <f>R30</f>
        <v>29029000</v>
      </c>
      <c r="T30" s="147"/>
      <c r="U30" s="143"/>
    </row>
    <row r="31" spans="1:21" s="144" customFormat="1">
      <c r="A31" s="145" t="s">
        <v>601</v>
      </c>
      <c r="B31" s="146">
        <f t="shared" si="6"/>
        <v>1373024</v>
      </c>
      <c r="C31" s="147">
        <v>1373024</v>
      </c>
      <c r="D31" s="147"/>
      <c r="E31" s="147"/>
      <c r="F31" s="147">
        <f>C31</f>
        <v>1373024</v>
      </c>
      <c r="G31" s="147"/>
      <c r="H31" s="147"/>
      <c r="I31" s="147"/>
      <c r="J31" s="147"/>
      <c r="K31" s="147"/>
      <c r="L31" s="147"/>
      <c r="M31" s="147"/>
      <c r="N31" s="147"/>
      <c r="O31" s="147"/>
      <c r="P31" s="147"/>
      <c r="Q31" s="147"/>
      <c r="R31" s="516">
        <f t="shared" si="7"/>
        <v>1373024</v>
      </c>
      <c r="S31" s="147">
        <f t="shared" ref="S31:S36" si="8">R31</f>
        <v>1373024</v>
      </c>
      <c r="T31" s="147"/>
      <c r="U31" s="143"/>
    </row>
    <row r="32" spans="1:21" s="144" customFormat="1">
      <c r="A32" s="145" t="s">
        <v>137</v>
      </c>
      <c r="B32" s="146">
        <f t="shared" si="6"/>
        <v>1373024</v>
      </c>
      <c r="C32" s="147">
        <v>1373024</v>
      </c>
      <c r="D32" s="147"/>
      <c r="E32" s="147"/>
      <c r="F32" s="147">
        <f>C32</f>
        <v>1373024</v>
      </c>
      <c r="G32" s="147"/>
      <c r="H32" s="147"/>
      <c r="I32" s="147"/>
      <c r="J32" s="147"/>
      <c r="K32" s="147"/>
      <c r="L32" s="147"/>
      <c r="M32" s="147"/>
      <c r="N32" s="147"/>
      <c r="O32" s="147"/>
      <c r="P32" s="147"/>
      <c r="Q32" s="147"/>
      <c r="R32" s="516">
        <f t="shared" si="7"/>
        <v>1373024</v>
      </c>
      <c r="S32" s="147">
        <f t="shared" si="8"/>
        <v>1373024</v>
      </c>
      <c r="T32" s="147"/>
      <c r="U32" s="143"/>
    </row>
    <row r="33" spans="1:21" s="144" customFormat="1">
      <c r="A33" s="145" t="s">
        <v>138</v>
      </c>
      <c r="B33" s="146">
        <f t="shared" si="6"/>
        <v>1220466</v>
      </c>
      <c r="C33" s="147">
        <v>1220466</v>
      </c>
      <c r="D33" s="147"/>
      <c r="E33" s="147"/>
      <c r="F33" s="147">
        <f>C33</f>
        <v>1220466</v>
      </c>
      <c r="G33" s="147"/>
      <c r="H33" s="147"/>
      <c r="I33" s="147"/>
      <c r="J33" s="147"/>
      <c r="K33" s="147"/>
      <c r="L33" s="147"/>
      <c r="M33" s="147"/>
      <c r="N33" s="147"/>
      <c r="O33" s="147"/>
      <c r="P33" s="147"/>
      <c r="Q33" s="147"/>
      <c r="R33" s="516">
        <f t="shared" si="7"/>
        <v>1220466</v>
      </c>
      <c r="S33" s="147">
        <f t="shared" si="8"/>
        <v>1220466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305117</v>
      </c>
      <c r="C35" s="147">
        <v>305117</v>
      </c>
      <c r="D35" s="147"/>
      <c r="E35" s="147"/>
      <c r="F35" s="147">
        <f>C35</f>
        <v>305117</v>
      </c>
      <c r="G35" s="147"/>
      <c r="H35" s="147"/>
      <c r="I35" s="147"/>
      <c r="J35" s="147"/>
      <c r="K35" s="147"/>
      <c r="L35" s="147"/>
      <c r="M35" s="147"/>
      <c r="N35" s="147"/>
      <c r="O35" s="147"/>
      <c r="P35" s="147"/>
      <c r="Q35" s="147"/>
      <c r="R35" s="516">
        <f t="shared" si="7"/>
        <v>305117</v>
      </c>
      <c r="S35" s="147">
        <f t="shared" si="8"/>
        <v>305117</v>
      </c>
      <c r="T35" s="147"/>
      <c r="U35" s="143"/>
    </row>
    <row r="36" spans="1:21" s="144" customFormat="1">
      <c r="A36" s="283" t="s">
        <v>1641</v>
      </c>
      <c r="B36" s="146">
        <f t="shared" si="6"/>
        <v>150000</v>
      </c>
      <c r="C36" s="147">
        <v>150000</v>
      </c>
      <c r="D36" s="147"/>
      <c r="E36" s="147"/>
      <c r="F36" s="147">
        <f>C36</f>
        <v>150000</v>
      </c>
      <c r="G36" s="147"/>
      <c r="H36" s="147"/>
      <c r="I36" s="147"/>
      <c r="J36" s="147"/>
      <c r="K36" s="147"/>
      <c r="L36" s="147"/>
      <c r="M36" s="147"/>
      <c r="N36" s="147"/>
      <c r="O36" s="147"/>
      <c r="P36" s="147"/>
      <c r="Q36" s="147"/>
      <c r="R36" s="516">
        <f t="shared" si="7"/>
        <v>150000</v>
      </c>
      <c r="S36" s="147">
        <f t="shared" si="8"/>
        <v>150000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34535331</v>
      </c>
      <c r="C38" s="146">
        <f>SUM(C29:C37)</f>
        <v>34535331</v>
      </c>
      <c r="D38" s="146">
        <f t="shared" ref="D38:Q38" si="9">SUM(D29:D37)</f>
        <v>0</v>
      </c>
      <c r="E38" s="146">
        <f t="shared" si="9"/>
        <v>19189300</v>
      </c>
      <c r="F38" s="146">
        <f t="shared" si="9"/>
        <v>15346031</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34535331</v>
      </c>
      <c r="S38" s="150">
        <f>SUM(S29:S37)</f>
        <v>33450631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225000</v>
      </c>
      <c r="C40" s="147">
        <f>200000+20000+5000</f>
        <v>225000</v>
      </c>
      <c r="D40" s="147"/>
      <c r="E40" s="147"/>
      <c r="F40" s="147">
        <f>C40</f>
        <v>225000</v>
      </c>
      <c r="G40" s="147"/>
      <c r="H40" s="147"/>
      <c r="I40" s="147"/>
      <c r="J40" s="147"/>
      <c r="K40" s="147"/>
      <c r="L40" s="147"/>
      <c r="M40" s="147"/>
      <c r="N40" s="147"/>
      <c r="O40" s="147"/>
      <c r="P40" s="147"/>
      <c r="Q40" s="147"/>
      <c r="R40" s="516">
        <f>SUM(E40:Q40)</f>
        <v>225000</v>
      </c>
      <c r="S40" s="147">
        <f t="shared" ref="S40" si="10">R40</f>
        <v>225000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225000</v>
      </c>
      <c r="C42" s="146">
        <f>SUM(C39:C41)</f>
        <v>225000</v>
      </c>
      <c r="D42" s="146">
        <f>SUM(D39:D41)</f>
        <v>0</v>
      </c>
      <c r="E42" s="146">
        <f t="shared" ref="E42:T42" si="11">SUM(E40:E41)</f>
        <v>0</v>
      </c>
      <c r="F42" s="146">
        <f t="shared" si="11"/>
        <v>225000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225000</v>
      </c>
      <c r="S42" s="150">
        <f t="shared" si="11"/>
        <v>225000</v>
      </c>
      <c r="T42" s="150">
        <f t="shared" si="11"/>
        <v>0</v>
      </c>
      <c r="U42" s="143"/>
    </row>
    <row r="43" spans="1:21" s="144" customFormat="1">
      <c r="A43" s="149" t="s">
        <v>148</v>
      </c>
      <c r="B43" s="146">
        <f>SUM(C43:D43)</f>
        <v>290000</v>
      </c>
      <c r="C43" s="147">
        <f>100000+100000+40000+50000</f>
        <v>290000</v>
      </c>
      <c r="D43" s="147"/>
      <c r="E43" s="147"/>
      <c r="F43" s="147">
        <f>C43</f>
        <v>290000</v>
      </c>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4133672</v>
      </c>
      <c r="C45" s="147">
        <f>3100254+1033418</f>
        <v>4133672</v>
      </c>
      <c r="D45" s="147"/>
      <c r="E45" s="147"/>
      <c r="F45" s="147">
        <f>F108-F43-F42-F38</f>
        <v>1463969</v>
      </c>
      <c r="G45" s="147">
        <f>C45-F45</f>
        <v>2669703</v>
      </c>
      <c r="H45" s="147"/>
      <c r="I45" s="147"/>
      <c r="J45" s="147"/>
      <c r="K45" s="147"/>
      <c r="L45" s="147"/>
      <c r="M45" s="147"/>
      <c r="N45" s="147"/>
      <c r="O45" s="147"/>
      <c r="P45" s="147"/>
      <c r="Q45" s="147"/>
      <c r="R45" s="516">
        <f t="shared" ref="R45:R53" si="13">SUM(E45:Q45)</f>
        <v>4133672</v>
      </c>
      <c r="S45" s="147">
        <f>1550127+516709-600000</f>
        <v>1466836</v>
      </c>
      <c r="T45" s="147"/>
      <c r="U45" s="143"/>
    </row>
    <row r="46" spans="1:21" s="144" customFormat="1">
      <c r="A46" s="145" t="s">
        <v>151</v>
      </c>
      <c r="B46" s="146">
        <f t="shared" si="12"/>
        <v>451363</v>
      </c>
      <c r="C46" s="147">
        <v>451363</v>
      </c>
      <c r="D46" s="147"/>
      <c r="E46" s="147"/>
      <c r="F46" s="147"/>
      <c r="G46" s="147">
        <f>C46</f>
        <v>451363</v>
      </c>
      <c r="H46" s="147"/>
      <c r="I46" s="147"/>
      <c r="J46" s="147"/>
      <c r="K46" s="147"/>
      <c r="L46" s="147"/>
      <c r="M46" s="147"/>
      <c r="N46" s="147"/>
      <c r="O46" s="147"/>
      <c r="P46" s="147"/>
      <c r="Q46" s="147"/>
      <c r="R46" s="516">
        <f t="shared" si="13"/>
        <v>451363</v>
      </c>
      <c r="S46" s="147">
        <f>C46</f>
        <v>451363</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313754</v>
      </c>
      <c r="C49" s="147">
        <f>90000+15000+65754+50000+40000+35000+3000+15000</f>
        <v>313754</v>
      </c>
      <c r="D49" s="147"/>
      <c r="E49" s="147"/>
      <c r="F49" s="147"/>
      <c r="G49" s="147">
        <f>C49</f>
        <v>313754</v>
      </c>
      <c r="H49" s="147"/>
      <c r="I49" s="147"/>
      <c r="J49" s="147"/>
      <c r="K49" s="147"/>
      <c r="L49" s="147"/>
      <c r="M49" s="147"/>
      <c r="N49" s="147"/>
      <c r="O49" s="147"/>
      <c r="P49" s="147"/>
      <c r="Q49" s="147"/>
      <c r="R49" s="516">
        <f t="shared" si="13"/>
        <v>313754</v>
      </c>
      <c r="S49" s="147"/>
      <c r="T49" s="147"/>
      <c r="U49" s="143"/>
    </row>
    <row r="50" spans="1:21" s="144" customFormat="1">
      <c r="A50" s="145" t="s">
        <v>156</v>
      </c>
      <c r="B50" s="146">
        <f t="shared" si="12"/>
        <v>30000</v>
      </c>
      <c r="C50" s="147">
        <v>30000</v>
      </c>
      <c r="D50" s="147"/>
      <c r="E50" s="147"/>
      <c r="F50" s="147"/>
      <c r="G50" s="147">
        <f>C50</f>
        <v>30000</v>
      </c>
      <c r="H50" s="147"/>
      <c r="I50" s="147"/>
      <c r="J50" s="147"/>
      <c r="K50" s="147"/>
      <c r="L50" s="147"/>
      <c r="M50" s="147"/>
      <c r="N50" s="147"/>
      <c r="O50" s="147"/>
      <c r="P50" s="147"/>
      <c r="Q50" s="147"/>
      <c r="R50" s="516">
        <f t="shared" si="13"/>
        <v>30000</v>
      </c>
      <c r="S50" s="147">
        <f t="shared" ref="S50:S52" si="14">R50</f>
        <v>30000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500000</v>
      </c>
      <c r="C52" s="147">
        <v>500000</v>
      </c>
      <c r="D52" s="147"/>
      <c r="E52" s="147"/>
      <c r="F52" s="147"/>
      <c r="G52" s="147">
        <f>C52-I52</f>
        <v>208806</v>
      </c>
      <c r="H52" s="147"/>
      <c r="I52" s="147">
        <f>324194+11000-44000</f>
        <v>291194</v>
      </c>
      <c r="J52" s="147"/>
      <c r="K52" s="147"/>
      <c r="L52" s="147"/>
      <c r="M52" s="147"/>
      <c r="N52" s="147"/>
      <c r="O52" s="147"/>
      <c r="P52" s="147"/>
      <c r="Q52" s="147"/>
      <c r="R52" s="516">
        <f t="shared" si="13"/>
        <v>500000</v>
      </c>
      <c r="S52" s="147">
        <f t="shared" si="14"/>
        <v>500000</v>
      </c>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5428789</v>
      </c>
      <c r="C54" s="150">
        <f t="shared" ref="C54:T54" si="15">SUM(C45:C53)</f>
        <v>5428789</v>
      </c>
      <c r="D54" s="150">
        <f t="shared" si="15"/>
        <v>0</v>
      </c>
      <c r="E54" s="150">
        <f t="shared" si="15"/>
        <v>0</v>
      </c>
      <c r="F54" s="150">
        <f t="shared" si="15"/>
        <v>1463969</v>
      </c>
      <c r="G54" s="150">
        <f t="shared" si="15"/>
        <v>3673626</v>
      </c>
      <c r="H54" s="150">
        <f t="shared" si="15"/>
        <v>0</v>
      </c>
      <c r="I54" s="150">
        <f t="shared" si="15"/>
        <v>291194</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5428789</v>
      </c>
      <c r="S54" s="150">
        <f t="shared" si="15"/>
        <v>2448199</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326374</v>
      </c>
      <c r="C56" s="147">
        <f>269874+11500+5000+40000</f>
        <v>326374</v>
      </c>
      <c r="D56" s="147"/>
      <c r="E56" s="147"/>
      <c r="F56" s="147"/>
      <c r="G56" s="147">
        <f>C56</f>
        <v>326374</v>
      </c>
      <c r="H56" s="147"/>
      <c r="I56" s="147"/>
      <c r="J56" s="147"/>
      <c r="K56" s="147"/>
      <c r="L56" s="147"/>
      <c r="M56" s="147"/>
      <c r="N56" s="147"/>
      <c r="O56" s="147"/>
      <c r="P56" s="147"/>
      <c r="Q56" s="147"/>
      <c r="R56" s="516">
        <f t="shared" ref="R56:R61" si="17">SUM(E56:Q56)</f>
        <v>326374</v>
      </c>
      <c r="S56" s="148"/>
      <c r="T56" s="148"/>
      <c r="U56" s="143"/>
    </row>
    <row r="57" spans="1:21" s="192" customFormat="1">
      <c r="A57" s="186" t="s">
        <v>152</v>
      </c>
      <c r="B57" s="193">
        <f t="shared" si="16"/>
        <v>10000</v>
      </c>
      <c r="C57" s="190">
        <v>10000</v>
      </c>
      <c r="D57" s="190"/>
      <c r="E57" s="190"/>
      <c r="F57" s="190"/>
      <c r="G57" s="190"/>
      <c r="H57" s="190"/>
      <c r="I57" s="190">
        <f>C57</f>
        <v>10000</v>
      </c>
      <c r="J57" s="190"/>
      <c r="K57" s="190"/>
      <c r="L57" s="190"/>
      <c r="M57" s="190"/>
      <c r="N57" s="190"/>
      <c r="O57" s="190"/>
      <c r="P57" s="190"/>
      <c r="Q57" s="190"/>
      <c r="R57" s="516">
        <f t="shared" si="17"/>
        <v>10000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2712</v>
      </c>
      <c r="B61" s="146">
        <f t="shared" si="16"/>
        <v>3000</v>
      </c>
      <c r="C61" s="147">
        <v>3000</v>
      </c>
      <c r="D61" s="147"/>
      <c r="E61" s="147"/>
      <c r="F61" s="147"/>
      <c r="G61" s="147"/>
      <c r="H61" s="147"/>
      <c r="I61" s="147">
        <f>C61</f>
        <v>3000</v>
      </c>
      <c r="J61" s="147"/>
      <c r="K61" s="147"/>
      <c r="L61" s="147"/>
      <c r="M61" s="147"/>
      <c r="N61" s="147"/>
      <c r="O61" s="147"/>
      <c r="P61" s="147"/>
      <c r="Q61" s="147"/>
      <c r="R61" s="516">
        <f t="shared" si="17"/>
        <v>3000</v>
      </c>
      <c r="S61" s="148"/>
      <c r="T61" s="148"/>
      <c r="U61" s="143"/>
    </row>
    <row r="62" spans="1:21" s="144" customFormat="1" ht="13.7" customHeight="1">
      <c r="A62" s="149" t="s">
        <v>301</v>
      </c>
      <c r="B62" s="146">
        <f>SUM(C62:D62)</f>
        <v>339374</v>
      </c>
      <c r="C62" s="146">
        <f t="shared" ref="C62:R62" si="18">SUM(C56:C61)</f>
        <v>339374</v>
      </c>
      <c r="D62" s="146">
        <f t="shared" si="18"/>
        <v>0</v>
      </c>
      <c r="E62" s="146">
        <f t="shared" si="18"/>
        <v>0</v>
      </c>
      <c r="F62" s="146">
        <f t="shared" si="18"/>
        <v>0</v>
      </c>
      <c r="G62" s="146">
        <f t="shared" si="18"/>
        <v>326374</v>
      </c>
      <c r="H62" s="146">
        <f t="shared" si="18"/>
        <v>0</v>
      </c>
      <c r="I62" s="146">
        <f t="shared" si="18"/>
        <v>13000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339374</v>
      </c>
      <c r="S62" s="148"/>
      <c r="T62" s="148"/>
      <c r="U62" s="143"/>
    </row>
    <row r="63" spans="1:21" s="144" customFormat="1">
      <c r="A63" s="154" t="s">
        <v>302</v>
      </c>
      <c r="B63" s="146">
        <f t="shared" ref="B63:R63" si="19">SUM(B8+B11+B13+B14+B15+B26+B27+B38+B42+B43+B54+B62)</f>
        <v>40838494</v>
      </c>
      <c r="C63" s="146">
        <f t="shared" si="19"/>
        <v>40838494</v>
      </c>
      <c r="D63" s="146">
        <f t="shared" si="19"/>
        <v>0</v>
      </c>
      <c r="E63" s="146">
        <f t="shared" si="19"/>
        <v>19209300</v>
      </c>
      <c r="F63" s="146">
        <f t="shared" si="19"/>
        <v>17325000</v>
      </c>
      <c r="G63" s="146">
        <f t="shared" si="19"/>
        <v>4000000</v>
      </c>
      <c r="H63" s="146">
        <f t="shared" si="19"/>
        <v>0</v>
      </c>
      <c r="I63" s="146">
        <f t="shared" si="19"/>
        <v>304194</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40838494</v>
      </c>
      <c r="S63" s="146">
        <f>SUM(S10+S13+S14+S15+S26+S27+S38+S42+S43+S54)</f>
        <v>36433830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c r="F65" s="147"/>
      <c r="G65" s="147"/>
      <c r="H65" s="147"/>
      <c r="I65" s="147">
        <f>C65</f>
        <v>50000</v>
      </c>
      <c r="J65" s="147"/>
      <c r="K65" s="147"/>
      <c r="L65" s="147"/>
      <c r="M65" s="147"/>
      <c r="N65" s="147"/>
      <c r="O65" s="147"/>
      <c r="P65" s="147"/>
      <c r="Q65" s="147"/>
      <c r="R65" s="516">
        <f>SUM(E65:Q65)</f>
        <v>50000</v>
      </c>
      <c r="S65" s="147">
        <f>C65</f>
        <v>50000</v>
      </c>
      <c r="T65" s="147"/>
      <c r="U65" s="143"/>
    </row>
    <row r="66" spans="1:21" s="144" customFormat="1" ht="24" customHeight="1">
      <c r="A66" s="283" t="s">
        <v>1642</v>
      </c>
      <c r="B66" s="146">
        <f>SUM(C66+D66)</f>
        <v>230000</v>
      </c>
      <c r="C66" s="147">
        <f>200000+30000</f>
        <v>230000</v>
      </c>
      <c r="D66" s="147"/>
      <c r="E66" s="147"/>
      <c r="F66" s="147"/>
      <c r="G66" s="147"/>
      <c r="H66" s="147"/>
      <c r="I66" s="147">
        <f>C66</f>
        <v>230000</v>
      </c>
      <c r="J66" s="147"/>
      <c r="K66" s="147"/>
      <c r="L66" s="147"/>
      <c r="M66" s="147"/>
      <c r="N66" s="147"/>
      <c r="O66" s="147"/>
      <c r="P66" s="147"/>
      <c r="Q66" s="147"/>
      <c r="R66" s="516">
        <f>SUM(E66:Q66)</f>
        <v>230000</v>
      </c>
      <c r="S66" s="147">
        <v>200000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2713</v>
      </c>
      <c r="B69" s="146">
        <f>SUM(C69+D69)</f>
        <v>75000</v>
      </c>
      <c r="C69" s="147">
        <f>50000+25000</f>
        <v>75000</v>
      </c>
      <c r="D69" s="147"/>
      <c r="E69" s="147"/>
      <c r="F69" s="147"/>
      <c r="G69" s="147"/>
      <c r="H69" s="147"/>
      <c r="I69" s="147">
        <f>C69</f>
        <v>75000</v>
      </c>
      <c r="J69" s="147"/>
      <c r="K69" s="147"/>
      <c r="L69" s="147"/>
      <c r="M69" s="147"/>
      <c r="N69" s="147"/>
      <c r="O69" s="147"/>
      <c r="P69" s="147"/>
      <c r="Q69" s="147"/>
      <c r="R69" s="516">
        <f>SUM(E69:Q69)</f>
        <v>75000</v>
      </c>
      <c r="S69" s="147">
        <f>R69-25000</f>
        <v>50000</v>
      </c>
      <c r="T69" s="147"/>
      <c r="U69" s="143"/>
    </row>
    <row r="70" spans="1:21" s="144" customFormat="1">
      <c r="A70" s="149" t="s">
        <v>1646</v>
      </c>
      <c r="B70" s="146">
        <f>SUM(C70:D70)</f>
        <v>355000</v>
      </c>
      <c r="C70" s="146">
        <f>SUM(C65:C69)</f>
        <v>355000</v>
      </c>
      <c r="D70" s="146">
        <f>SUM(D65:D69)</f>
        <v>0</v>
      </c>
      <c r="E70" s="146">
        <f t="shared" ref="E70:T70" si="20">SUM(E65:E69)</f>
        <v>0</v>
      </c>
      <c r="F70" s="146">
        <f t="shared" si="20"/>
        <v>0</v>
      </c>
      <c r="G70" s="146">
        <f t="shared" si="20"/>
        <v>0</v>
      </c>
      <c r="H70" s="146">
        <f t="shared" si="20"/>
        <v>0</v>
      </c>
      <c r="I70" s="146">
        <f t="shared" si="20"/>
        <v>355000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355000</v>
      </c>
      <c r="S70" s="150">
        <f t="shared" si="20"/>
        <v>300000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1216852</v>
      </c>
      <c r="C75" s="147">
        <v>1216852</v>
      </c>
      <c r="D75" s="147"/>
      <c r="E75" s="147">
        <f>C75</f>
        <v>1216852</v>
      </c>
      <c r="F75" s="147"/>
      <c r="G75" s="147"/>
      <c r="H75" s="147"/>
      <c r="I75" s="147"/>
      <c r="J75" s="147"/>
      <c r="K75" s="147"/>
      <c r="L75" s="147"/>
      <c r="M75" s="147"/>
      <c r="N75" s="147"/>
      <c r="O75" s="147"/>
      <c r="P75" s="147"/>
      <c r="Q75" s="147"/>
      <c r="R75" s="516">
        <f>SUM(E75:Q75)</f>
        <v>1216852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1216852</v>
      </c>
      <c r="C77" s="146">
        <f>SUM(C72:C76)</f>
        <v>1216852</v>
      </c>
      <c r="D77" s="146">
        <f>SUM(D72:D76)</f>
        <v>0</v>
      </c>
      <c r="E77" s="146">
        <f t="shared" ref="E77:Q77" si="21">SUM(E72:E76)</f>
        <v>1216852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1216852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2175000</v>
      </c>
      <c r="C79" s="147">
        <v>2175000</v>
      </c>
      <c r="D79" s="147"/>
      <c r="E79" s="147"/>
      <c r="F79" s="147"/>
      <c r="G79" s="147"/>
      <c r="H79" s="147"/>
      <c r="I79" s="147">
        <f>C79-G79</f>
        <v>2175000</v>
      </c>
      <c r="J79" s="147"/>
      <c r="K79" s="147"/>
      <c r="L79" s="147"/>
      <c r="M79" s="147"/>
      <c r="N79" s="147"/>
      <c r="O79" s="147"/>
      <c r="P79" s="147"/>
      <c r="Q79" s="147"/>
      <c r="R79" s="516">
        <f>SUM(E79:Q79)</f>
        <v>2175000</v>
      </c>
      <c r="S79" s="147">
        <f>R79</f>
        <v>2175000</v>
      </c>
      <c r="T79" s="147"/>
      <c r="U79" s="143"/>
    </row>
    <row r="80" spans="1:21" s="144" customFormat="1">
      <c r="A80" s="283" t="s">
        <v>58</v>
      </c>
      <c r="B80" s="146">
        <f>SUM(C80:D80)</f>
        <v>317455</v>
      </c>
      <c r="C80" s="147">
        <f>317456-1</f>
        <v>317455</v>
      </c>
      <c r="D80" s="147"/>
      <c r="E80" s="147"/>
      <c r="F80" s="147"/>
      <c r="G80" s="147"/>
      <c r="H80" s="147"/>
      <c r="I80" s="147">
        <f>C80</f>
        <v>317455</v>
      </c>
      <c r="J80" s="147"/>
      <c r="K80" s="147"/>
      <c r="L80" s="147"/>
      <c r="M80" s="147"/>
      <c r="N80" s="147"/>
      <c r="O80" s="147"/>
      <c r="P80" s="147"/>
      <c r="Q80" s="147"/>
      <c r="R80" s="516">
        <f>SUM(E80:Q80)</f>
        <v>317455</v>
      </c>
      <c r="S80" s="147">
        <f>R80</f>
        <v>317455</v>
      </c>
      <c r="T80" s="147"/>
      <c r="U80" s="143"/>
    </row>
    <row r="81" spans="1:21" s="144" customFormat="1">
      <c r="A81" s="149" t="s">
        <v>1210</v>
      </c>
      <c r="B81" s="146">
        <f>SUM(C81:D81)</f>
        <v>2492455</v>
      </c>
      <c r="C81" s="509">
        <f>SUM(C79:C80)</f>
        <v>2492455</v>
      </c>
      <c r="D81" s="509">
        <f t="shared" ref="D81:T81" si="22">SUM(D79:D80)</f>
        <v>0</v>
      </c>
      <c r="E81" s="509">
        <f t="shared" si="22"/>
        <v>0</v>
      </c>
      <c r="F81" s="509">
        <f t="shared" si="22"/>
        <v>0</v>
      </c>
      <c r="G81" s="509">
        <f t="shared" si="22"/>
        <v>0</v>
      </c>
      <c r="H81" s="509">
        <f t="shared" si="22"/>
        <v>0</v>
      </c>
      <c r="I81" s="509">
        <f t="shared" si="22"/>
        <v>2492455</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2492455</v>
      </c>
      <c r="S81" s="509">
        <f t="shared" si="22"/>
        <v>2492455</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3">SUM(C83+D83)</f>
        <v>332545</v>
      </c>
      <c r="C83" s="147">
        <f>117798+214747</f>
        <v>332545</v>
      </c>
      <c r="D83" s="147"/>
      <c r="E83" s="147"/>
      <c r="F83" s="147"/>
      <c r="G83" s="147"/>
      <c r="H83" s="147"/>
      <c r="I83" s="147">
        <f>C83</f>
        <v>332545</v>
      </c>
      <c r="J83" s="147"/>
      <c r="K83" s="147"/>
      <c r="L83" s="147"/>
      <c r="M83" s="147"/>
      <c r="N83" s="147"/>
      <c r="O83" s="147"/>
      <c r="P83" s="147"/>
      <c r="Q83" s="147"/>
      <c r="R83" s="516">
        <f t="shared" ref="R83:R95" si="24">SUM(E83:Q83)</f>
        <v>332545</v>
      </c>
      <c r="S83" s="148"/>
      <c r="T83" s="148"/>
      <c r="U83" s="143"/>
    </row>
    <row r="84" spans="1:21" s="144" customFormat="1">
      <c r="A84" s="145" t="s">
        <v>768</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769</v>
      </c>
      <c r="B85" s="146">
        <f t="shared" si="23"/>
        <v>401280</v>
      </c>
      <c r="C85" s="147">
        <v>401280</v>
      </c>
      <c r="D85" s="147"/>
      <c r="E85" s="147"/>
      <c r="F85" s="147"/>
      <c r="G85" s="147"/>
      <c r="H85" s="147"/>
      <c r="I85" s="147">
        <f t="shared" ref="I85:I86" si="25">C85</f>
        <v>401280</v>
      </c>
      <c r="J85" s="147"/>
      <c r="K85" s="147"/>
      <c r="L85" s="147"/>
      <c r="M85" s="147"/>
      <c r="N85" s="147"/>
      <c r="O85" s="147"/>
      <c r="P85" s="147"/>
      <c r="Q85" s="147"/>
      <c r="R85" s="516">
        <f t="shared" si="24"/>
        <v>401280</v>
      </c>
      <c r="S85" s="147">
        <f>R85</f>
        <v>401280</v>
      </c>
      <c r="T85" s="147"/>
      <c r="U85" s="143"/>
    </row>
    <row r="86" spans="1:21" s="144" customFormat="1">
      <c r="A86" s="145" t="s">
        <v>770</v>
      </c>
      <c r="B86" s="146">
        <f t="shared" si="23"/>
        <v>1144460</v>
      </c>
      <c r="C86" s="147">
        <f>100000+938888+50000+456852-401280</f>
        <v>1144460</v>
      </c>
      <c r="D86" s="147"/>
      <c r="E86" s="147"/>
      <c r="F86" s="147"/>
      <c r="G86" s="147"/>
      <c r="H86" s="147"/>
      <c r="I86" s="147">
        <f t="shared" si="25"/>
        <v>1144460</v>
      </c>
      <c r="J86" s="147"/>
      <c r="K86" s="147"/>
      <c r="L86" s="147"/>
      <c r="M86" s="147"/>
      <c r="N86" s="147"/>
      <c r="O86" s="147"/>
      <c r="P86" s="147"/>
      <c r="Q86" s="147"/>
      <c r="R86" s="516">
        <f t="shared" si="24"/>
        <v>1144460</v>
      </c>
      <c r="S86" s="147">
        <f>R86</f>
        <v>1144460</v>
      </c>
      <c r="T86" s="147"/>
      <c r="U86" s="143"/>
    </row>
    <row r="87" spans="1:21" s="144" customFormat="1">
      <c r="A87" s="145" t="s">
        <v>771</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30000</v>
      </c>
      <c r="C88" s="147">
        <f>15000+15000</f>
        <v>30000</v>
      </c>
      <c r="D88" s="147"/>
      <c r="E88" s="147"/>
      <c r="F88" s="147"/>
      <c r="G88" s="147"/>
      <c r="H88" s="147"/>
      <c r="I88" s="147">
        <f t="shared" ref="I88:I95" si="26">C88</f>
        <v>30000</v>
      </c>
      <c r="J88" s="147"/>
      <c r="K88" s="147"/>
      <c r="L88" s="147"/>
      <c r="M88" s="147"/>
      <c r="N88" s="147"/>
      <c r="O88" s="147"/>
      <c r="P88" s="147"/>
      <c r="Q88" s="147"/>
      <c r="R88" s="516">
        <f t="shared" si="24"/>
        <v>30000</v>
      </c>
      <c r="S88" s="148"/>
      <c r="T88" s="148"/>
      <c r="U88" s="143"/>
    </row>
    <row r="89" spans="1:21" s="144" customFormat="1">
      <c r="A89" s="145" t="s">
        <v>773</v>
      </c>
      <c r="B89" s="146">
        <f t="shared" si="23"/>
        <v>107950</v>
      </c>
      <c r="C89" s="147">
        <f>107950</f>
        <v>107950</v>
      </c>
      <c r="D89" s="147"/>
      <c r="E89" s="147"/>
      <c r="F89" s="147"/>
      <c r="G89" s="147"/>
      <c r="H89" s="147"/>
      <c r="I89" s="147">
        <f t="shared" si="26"/>
        <v>107950</v>
      </c>
      <c r="J89" s="147"/>
      <c r="K89" s="147"/>
      <c r="L89" s="147"/>
      <c r="M89" s="147"/>
      <c r="N89" s="147"/>
      <c r="O89" s="147"/>
      <c r="P89" s="147"/>
      <c r="Q89" s="147"/>
      <c r="R89" s="516">
        <f t="shared" si="24"/>
        <v>107950</v>
      </c>
      <c r="S89" s="147"/>
      <c r="T89" s="147"/>
      <c r="U89" s="143"/>
    </row>
    <row r="90" spans="1:21" s="144" customFormat="1">
      <c r="A90" s="145" t="s">
        <v>774</v>
      </c>
      <c r="B90" s="146">
        <f t="shared" si="23"/>
        <v>10000</v>
      </c>
      <c r="C90" s="147">
        <v>10000</v>
      </c>
      <c r="D90" s="147"/>
      <c r="E90" s="147"/>
      <c r="F90" s="147"/>
      <c r="G90" s="147"/>
      <c r="H90" s="147"/>
      <c r="I90" s="147">
        <f t="shared" si="26"/>
        <v>10000</v>
      </c>
      <c r="J90" s="147"/>
      <c r="K90" s="147"/>
      <c r="L90" s="147"/>
      <c r="M90" s="147"/>
      <c r="N90" s="147"/>
      <c r="O90" s="147"/>
      <c r="P90" s="147"/>
      <c r="Q90" s="147"/>
      <c r="R90" s="516">
        <f t="shared" si="24"/>
        <v>10000</v>
      </c>
      <c r="S90" s="147">
        <f t="shared" ref="S90:S95" si="27">R90</f>
        <v>10000</v>
      </c>
      <c r="T90" s="147"/>
      <c r="U90" s="143"/>
    </row>
    <row r="91" spans="1:21" s="144" customFormat="1">
      <c r="A91" s="145" t="s">
        <v>372</v>
      </c>
      <c r="B91" s="146">
        <f t="shared" si="23"/>
        <v>50000</v>
      </c>
      <c r="C91" s="147">
        <v>50000</v>
      </c>
      <c r="D91" s="147"/>
      <c r="E91" s="147"/>
      <c r="F91" s="147"/>
      <c r="G91" s="147"/>
      <c r="H91" s="147"/>
      <c r="I91" s="147">
        <f t="shared" si="26"/>
        <v>50000</v>
      </c>
      <c r="J91" s="147"/>
      <c r="K91" s="147"/>
      <c r="L91" s="147"/>
      <c r="M91" s="147"/>
      <c r="N91" s="147"/>
      <c r="O91" s="147"/>
      <c r="P91" s="147"/>
      <c r="Q91" s="147"/>
      <c r="R91" s="516">
        <f t="shared" si="24"/>
        <v>50000</v>
      </c>
      <c r="S91" s="147">
        <f t="shared" si="27"/>
        <v>50000</v>
      </c>
      <c r="T91" s="147"/>
      <c r="U91" s="143"/>
    </row>
    <row r="92" spans="1:21" s="144" customFormat="1">
      <c r="A92" s="283" t="s">
        <v>1212</v>
      </c>
      <c r="B92" s="146">
        <f t="shared" si="23"/>
        <v>10000</v>
      </c>
      <c r="C92" s="147">
        <v>10000</v>
      </c>
      <c r="D92" s="147"/>
      <c r="E92" s="147"/>
      <c r="F92" s="147"/>
      <c r="G92" s="147"/>
      <c r="H92" s="147"/>
      <c r="I92" s="147">
        <f t="shared" si="26"/>
        <v>10000</v>
      </c>
      <c r="J92" s="147"/>
      <c r="K92" s="147"/>
      <c r="L92" s="147"/>
      <c r="M92" s="147"/>
      <c r="N92" s="147"/>
      <c r="O92" s="147"/>
      <c r="P92" s="147"/>
      <c r="Q92" s="147"/>
      <c r="R92" s="516">
        <f t="shared" si="24"/>
        <v>10000</v>
      </c>
      <c r="S92" s="147"/>
      <c r="T92" s="147"/>
      <c r="U92" s="143"/>
    </row>
    <row r="93" spans="1:21" s="144" customFormat="1">
      <c r="A93" s="1149" t="s">
        <v>2714</v>
      </c>
      <c r="B93" s="146">
        <f t="shared" si="23"/>
        <v>600000</v>
      </c>
      <c r="C93" s="147">
        <v>600000</v>
      </c>
      <c r="D93" s="147"/>
      <c r="E93" s="147"/>
      <c r="F93" s="147"/>
      <c r="G93" s="147"/>
      <c r="H93" s="147"/>
      <c r="I93" s="147">
        <f t="shared" si="26"/>
        <v>600000</v>
      </c>
      <c r="J93" s="147"/>
      <c r="K93" s="147"/>
      <c r="L93" s="147"/>
      <c r="M93" s="147"/>
      <c r="N93" s="147"/>
      <c r="O93" s="147"/>
      <c r="P93" s="147"/>
      <c r="Q93" s="147"/>
      <c r="R93" s="516">
        <f t="shared" si="24"/>
        <v>600000</v>
      </c>
      <c r="S93" s="147">
        <f>C93</f>
        <v>600000</v>
      </c>
      <c r="T93" s="147"/>
      <c r="U93" s="143"/>
    </row>
    <row r="94" spans="1:21" s="144" customFormat="1">
      <c r="A94" s="1149" t="s">
        <v>2715</v>
      </c>
      <c r="B94" s="146">
        <f t="shared" si="23"/>
        <v>80000</v>
      </c>
      <c r="C94" s="147">
        <f>80000</f>
        <v>80000</v>
      </c>
      <c r="D94" s="147"/>
      <c r="E94" s="147"/>
      <c r="F94" s="147"/>
      <c r="G94" s="147"/>
      <c r="H94" s="147"/>
      <c r="I94" s="147">
        <f t="shared" si="26"/>
        <v>80000</v>
      </c>
      <c r="J94" s="147"/>
      <c r="K94" s="147"/>
      <c r="L94" s="147"/>
      <c r="M94" s="147"/>
      <c r="N94" s="147"/>
      <c r="O94" s="147"/>
      <c r="P94" s="147"/>
      <c r="Q94" s="147"/>
      <c r="R94" s="516">
        <f t="shared" si="24"/>
        <v>80000</v>
      </c>
      <c r="S94" s="147">
        <f t="shared" si="27"/>
        <v>80000</v>
      </c>
      <c r="T94" s="147"/>
      <c r="U94" s="143"/>
    </row>
    <row r="95" spans="1:21" s="144" customFormat="1">
      <c r="A95" s="1149" t="s">
        <v>2716</v>
      </c>
      <c r="B95" s="146">
        <f t="shared" si="23"/>
        <v>290000</v>
      </c>
      <c r="C95" s="147">
        <v>290000</v>
      </c>
      <c r="D95" s="147"/>
      <c r="E95" s="147"/>
      <c r="F95" s="147"/>
      <c r="G95" s="147"/>
      <c r="H95" s="147"/>
      <c r="I95" s="147">
        <f t="shared" si="26"/>
        <v>290000</v>
      </c>
      <c r="J95" s="147"/>
      <c r="K95" s="147"/>
      <c r="L95" s="147"/>
      <c r="M95" s="147"/>
      <c r="N95" s="147"/>
      <c r="O95" s="147"/>
      <c r="P95" s="147"/>
      <c r="Q95" s="147"/>
      <c r="R95" s="516">
        <f t="shared" si="24"/>
        <v>290000</v>
      </c>
      <c r="S95" s="147">
        <f t="shared" si="27"/>
        <v>290000</v>
      </c>
      <c r="T95" s="147"/>
      <c r="U95" s="143"/>
    </row>
    <row r="96" spans="1:21" s="144" customFormat="1">
      <c r="A96" s="149" t="s">
        <v>775</v>
      </c>
      <c r="B96" s="146">
        <f>SUM(C96:D96)</f>
        <v>3056235</v>
      </c>
      <c r="C96" s="146">
        <f t="shared" ref="C96:R96" si="28">SUM(C83:C95)</f>
        <v>3056235</v>
      </c>
      <c r="D96" s="146">
        <f t="shared" si="28"/>
        <v>0</v>
      </c>
      <c r="E96" s="146">
        <f t="shared" si="28"/>
        <v>0</v>
      </c>
      <c r="F96" s="146">
        <f t="shared" si="28"/>
        <v>0</v>
      </c>
      <c r="G96" s="146">
        <f t="shared" si="28"/>
        <v>0</v>
      </c>
      <c r="H96" s="146">
        <f t="shared" si="28"/>
        <v>0</v>
      </c>
      <c r="I96" s="146">
        <f t="shared" si="28"/>
        <v>3056235</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3056235</v>
      </c>
      <c r="S96" s="150">
        <f>SUM(S84:S87,S89:S95)</f>
        <v>2575740</v>
      </c>
      <c r="T96" s="146">
        <f>SUM(T84:T87,T89:T95)</f>
        <v>0</v>
      </c>
      <c r="U96" s="143"/>
    </row>
    <row r="97" spans="1:21" s="144" customFormat="1">
      <c r="A97" s="149" t="s">
        <v>776</v>
      </c>
      <c r="B97" s="146">
        <f>SUM(C97:D97)</f>
        <v>47959036</v>
      </c>
      <c r="C97" s="146">
        <f t="shared" ref="C97:R97" si="29">SUM(C63+C70+C77+C81+C96)</f>
        <v>47959036</v>
      </c>
      <c r="D97" s="146">
        <f t="shared" si="29"/>
        <v>0</v>
      </c>
      <c r="E97" s="146">
        <f t="shared" si="29"/>
        <v>20426152</v>
      </c>
      <c r="F97" s="146">
        <f t="shared" si="29"/>
        <v>17325000</v>
      </c>
      <c r="G97" s="146">
        <f t="shared" si="29"/>
        <v>4000000</v>
      </c>
      <c r="H97" s="146">
        <f t="shared" si="29"/>
        <v>0</v>
      </c>
      <c r="I97" s="146">
        <f t="shared" si="29"/>
        <v>6207884</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47959036</v>
      </c>
      <c r="S97" s="146">
        <f>SUM(S63+S70+S81+S96)</f>
        <v>41802025</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4872026</v>
      </c>
      <c r="C99" s="979">
        <v>4872026</v>
      </c>
      <c r="D99" s="979"/>
      <c r="E99" s="979">
        <f>C99-H99</f>
        <v>689192</v>
      </c>
      <c r="F99" s="147"/>
      <c r="G99" s="147"/>
      <c r="H99" s="147">
        <f>H108</f>
        <v>4182834</v>
      </c>
      <c r="I99" s="147"/>
      <c r="J99" s="147"/>
      <c r="K99" s="147"/>
      <c r="L99" s="147"/>
      <c r="M99" s="147"/>
      <c r="N99" s="147"/>
      <c r="O99" s="147"/>
      <c r="P99" s="147"/>
      <c r="Q99" s="147"/>
      <c r="R99" s="516">
        <f>SUM(E99:Q99)</f>
        <v>4872026</v>
      </c>
      <c r="S99" s="147">
        <f>R99</f>
        <v>4872026</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4872026</v>
      </c>
      <c r="C104" s="146">
        <f>SUM(C99:C103)</f>
        <v>4872026</v>
      </c>
      <c r="D104" s="146">
        <f t="shared" ref="D104:T104" si="30">SUM(D99:D103)</f>
        <v>0</v>
      </c>
      <c r="E104" s="146">
        <f t="shared" si="30"/>
        <v>689192</v>
      </c>
      <c r="F104" s="146">
        <f t="shared" si="30"/>
        <v>0</v>
      </c>
      <c r="G104" s="146">
        <f t="shared" si="30"/>
        <v>0</v>
      </c>
      <c r="H104" s="146">
        <f t="shared" si="30"/>
        <v>4182834</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4872026</v>
      </c>
      <c r="S104" s="150">
        <f t="shared" si="30"/>
        <v>4872026</v>
      </c>
      <c r="T104" s="150">
        <f t="shared" si="30"/>
        <v>0</v>
      </c>
      <c r="U104" s="143"/>
    </row>
    <row r="105" spans="1:21" s="144" customFormat="1">
      <c r="A105" s="149" t="s">
        <v>781</v>
      </c>
      <c r="B105" s="150">
        <f>SUM(C105:D105)</f>
        <v>52831062</v>
      </c>
      <c r="C105" s="150">
        <f t="shared" ref="C105:R105" si="31">SUM(C97+C104)</f>
        <v>52831062</v>
      </c>
      <c r="D105" s="150">
        <f t="shared" si="31"/>
        <v>0</v>
      </c>
      <c r="E105" s="150">
        <f t="shared" si="31"/>
        <v>21115344</v>
      </c>
      <c r="F105" s="150">
        <f t="shared" si="31"/>
        <v>17325000</v>
      </c>
      <c r="G105" s="150">
        <f t="shared" si="31"/>
        <v>4000000</v>
      </c>
      <c r="H105" s="150">
        <f t="shared" si="31"/>
        <v>4182834</v>
      </c>
      <c r="I105" s="150">
        <f t="shared" si="31"/>
        <v>6207884</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52831062</v>
      </c>
      <c r="S105" s="150">
        <f>S97+S104</f>
        <v>46674051</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46674051</v>
      </c>
      <c r="T107" s="150">
        <f>T105+T106</f>
        <v>0</v>
      </c>
    </row>
    <row r="108" spans="1:21" s="189" customFormat="1">
      <c r="A108" s="162" t="s">
        <v>880</v>
      </c>
      <c r="B108" s="157"/>
      <c r="C108" s="157"/>
      <c r="D108" s="157"/>
      <c r="E108" s="301">
        <f>Application!AO640</f>
        <v>21115344</v>
      </c>
      <c r="F108" s="301">
        <f>Application!AO627</f>
        <v>17325000</v>
      </c>
      <c r="G108" s="301">
        <f>Application!AO628</f>
        <v>4000000</v>
      </c>
      <c r="H108" s="301">
        <f>Application!AO629</f>
        <v>4182834</v>
      </c>
      <c r="I108" s="301">
        <f>Application!AO630</f>
        <v>6207884</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2" t="s">
        <v>991</v>
      </c>
      <c r="E122" s="1862"/>
      <c r="F122" s="186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994</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75">
      <c r="A129" s="117" t="s">
        <v>300</v>
      </c>
      <c r="B129" s="333"/>
      <c r="C129" s="117"/>
      <c r="D129" s="1861" t="s">
        <v>998</v>
      </c>
      <c r="E129" s="1861"/>
      <c r="F129" s="1861"/>
      <c r="G129" s="1861"/>
      <c r="H129" s="186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2.75">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1228</v>
      </c>
      <c r="B1" s="1870"/>
      <c r="C1" s="1870"/>
      <c r="D1" s="1870"/>
      <c r="E1" s="1870"/>
      <c r="F1" s="1870"/>
      <c r="G1" s="1870"/>
      <c r="H1" s="1870"/>
      <c r="I1" s="1870"/>
      <c r="J1" s="187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20000</v>
      </c>
      <c r="C13" s="362"/>
      <c r="D13" s="362"/>
      <c r="E13" s="361">
        <f>'Sources and Uses Budget'!S13</f>
        <v>20000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1084700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29029000</v>
      </c>
      <c r="C30" s="362"/>
      <c r="D30" s="362"/>
      <c r="E30" s="361">
        <f>'Sources and Uses Budget'!S30</f>
        <v>29029000</v>
      </c>
      <c r="F30" s="362"/>
      <c r="G30" s="362"/>
      <c r="H30" s="361">
        <f>'Sources and Uses Budget'!T30</f>
        <v>0</v>
      </c>
      <c r="I30" s="362"/>
      <c r="J30" s="362"/>
      <c r="K30" s="359"/>
    </row>
    <row r="31" spans="1:11" s="360" customFormat="1">
      <c r="A31" s="145" t="s">
        <v>601</v>
      </c>
      <c r="B31" s="361">
        <f>'Sources and Uses Budget'!C31</f>
        <v>1373024</v>
      </c>
      <c r="C31" s="362"/>
      <c r="D31" s="362"/>
      <c r="E31" s="361">
        <f>'Sources and Uses Budget'!S31</f>
        <v>1373024</v>
      </c>
      <c r="F31" s="362"/>
      <c r="G31" s="362"/>
      <c r="H31" s="361">
        <f>'Sources and Uses Budget'!T31</f>
        <v>0</v>
      </c>
      <c r="I31" s="362"/>
      <c r="J31" s="362"/>
      <c r="K31" s="359"/>
    </row>
    <row r="32" spans="1:11" s="360" customFormat="1">
      <c r="A32" s="145" t="s">
        <v>137</v>
      </c>
      <c r="B32" s="361">
        <f>'Sources and Uses Budget'!C32</f>
        <v>1373024</v>
      </c>
      <c r="C32" s="362"/>
      <c r="D32" s="362"/>
      <c r="E32" s="361">
        <f>'Sources and Uses Budget'!S32</f>
        <v>1373024</v>
      </c>
      <c r="F32" s="362"/>
      <c r="G32" s="362"/>
      <c r="H32" s="361">
        <f>'Sources and Uses Budget'!T32</f>
        <v>0</v>
      </c>
      <c r="I32" s="362"/>
      <c r="J32" s="362"/>
      <c r="K32" s="359"/>
    </row>
    <row r="33" spans="1:11" s="360" customFormat="1">
      <c r="A33" s="145" t="s">
        <v>138</v>
      </c>
      <c r="B33" s="361">
        <f>'Sources and Uses Budget'!C33</f>
        <v>1220466</v>
      </c>
      <c r="C33" s="362"/>
      <c r="D33" s="362"/>
      <c r="E33" s="361">
        <f>'Sources and Uses Budget'!S33</f>
        <v>1220466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305117</v>
      </c>
      <c r="C35" s="362"/>
      <c r="D35" s="362"/>
      <c r="E35" s="361">
        <f>'Sources and Uses Budget'!S35</f>
        <v>305117</v>
      </c>
      <c r="F35" s="362"/>
      <c r="G35" s="362"/>
      <c r="H35" s="361">
        <f>'Sources and Uses Budget'!T35</f>
        <v>0</v>
      </c>
      <c r="I35" s="362"/>
      <c r="J35" s="362"/>
      <c r="K35" s="359"/>
    </row>
    <row r="36" spans="1:11" s="360" customFormat="1">
      <c r="A36" s="508" t="s">
        <v>1641</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34535331</v>
      </c>
      <c r="C38" s="361">
        <f>SUM(C29:C37)</f>
        <v>0</v>
      </c>
      <c r="D38" s="361">
        <f>SUM(D29:D37)</f>
        <v>0</v>
      </c>
      <c r="E38" s="361">
        <f>'Sources and Uses Budget'!S38</f>
        <v>33450631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225000</v>
      </c>
      <c r="C40" s="362"/>
      <c r="D40" s="362"/>
      <c r="E40" s="361">
        <f>'Sources and Uses Budget'!S40</f>
        <v>225000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225000</v>
      </c>
      <c r="C42" s="361">
        <f>SUM(C39:C41)</f>
        <v>0</v>
      </c>
      <c r="D42" s="361">
        <f>SUM(D39:D41)</f>
        <v>0</v>
      </c>
      <c r="E42" s="361">
        <f>'Sources and Uses Budget'!S42</f>
        <v>225000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4133672</v>
      </c>
      <c r="C45" s="362"/>
      <c r="D45" s="362"/>
      <c r="E45" s="361">
        <f>'Sources and Uses Budget'!S45</f>
        <v>1466836</v>
      </c>
      <c r="F45" s="362"/>
      <c r="G45" s="362"/>
      <c r="H45" s="361">
        <f>'Sources and Uses Budget'!T45</f>
        <v>0</v>
      </c>
      <c r="I45" s="362"/>
      <c r="J45" s="362"/>
      <c r="K45" s="359"/>
    </row>
    <row r="46" spans="1:11" s="360" customFormat="1">
      <c r="A46" s="364" t="s">
        <v>151</v>
      </c>
      <c r="B46" s="361">
        <f>'Sources and Uses Budget'!C46</f>
        <v>451363</v>
      </c>
      <c r="C46" s="362"/>
      <c r="D46" s="362"/>
      <c r="E46" s="361">
        <f>'Sources and Uses Budget'!S46</f>
        <v>451363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313754</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500000</v>
      </c>
      <c r="C52" s="362"/>
      <c r="D52" s="362"/>
      <c r="E52" s="361">
        <f>'Sources and Uses Budget'!S52</f>
        <v>500000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5428789</v>
      </c>
      <c r="C54" s="367">
        <f>SUM(C45:C53)</f>
        <v>0</v>
      </c>
      <c r="D54" s="367">
        <f>SUM(D45:D53)</f>
        <v>0</v>
      </c>
      <c r="E54" s="361">
        <f>'Sources and Uses Budget'!S54</f>
        <v>2448199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326374</v>
      </c>
      <c r="C56" s="362"/>
      <c r="D56" s="362"/>
      <c r="E56" s="363"/>
      <c r="F56" s="363"/>
      <c r="G56" s="363"/>
      <c r="H56" s="363"/>
      <c r="I56" s="363"/>
      <c r="J56" s="363"/>
      <c r="K56" s="359"/>
    </row>
    <row r="57" spans="1:11" s="360" customFormat="1" ht="12" customHeight="1">
      <c r="A57" s="364" t="s">
        <v>152</v>
      </c>
      <c r="B57" s="361">
        <f>'Sources and Uses Budget'!C57</f>
        <v>10000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Loan Legal</v>
      </c>
      <c r="B61" s="361">
        <f>'Sources and Uses Budget'!C61</f>
        <v>3000</v>
      </c>
      <c r="C61" s="362"/>
      <c r="D61" s="362"/>
      <c r="E61" s="363"/>
      <c r="F61" s="363"/>
      <c r="G61" s="363"/>
      <c r="H61" s="363"/>
      <c r="I61" s="363"/>
      <c r="J61" s="363"/>
      <c r="K61" s="359"/>
    </row>
    <row r="62" spans="1:11" s="360" customFormat="1" ht="13.7" customHeight="1">
      <c r="A62" s="365" t="s">
        <v>301</v>
      </c>
      <c r="B62" s="361">
        <f>'Sources and Uses Budget'!C62</f>
        <v>339374</v>
      </c>
      <c r="C62" s="361">
        <f>SUM(C56:C61)</f>
        <v>0</v>
      </c>
      <c r="D62" s="361">
        <f>SUM(D56:D61)</f>
        <v>0</v>
      </c>
      <c r="E62" s="363"/>
      <c r="F62" s="363"/>
      <c r="G62" s="363"/>
      <c r="H62" s="363"/>
      <c r="I62" s="363"/>
      <c r="J62" s="363"/>
      <c r="K62" s="359"/>
    </row>
    <row r="63" spans="1:11" s="360" customFormat="1">
      <c r="A63" s="370" t="s">
        <v>302</v>
      </c>
      <c r="B63" s="361">
        <f>'Sources and Uses Budget'!C63</f>
        <v>40838494</v>
      </c>
      <c r="C63" s="361">
        <f>SUM(C8+C11+C13+C14+C15+C26+C27+C38+C42+C43+C54+C62)</f>
        <v>0</v>
      </c>
      <c r="D63" s="361">
        <f>SUM(D8+D11+D13+D14+D15+D26+D27+D38+D42+D43+D54+D62)</f>
        <v>0</v>
      </c>
      <c r="E63" s="361">
        <f>'Sources and Uses Budget'!S63</f>
        <v>36433830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4">
      <c r="A66" s="283" t="s">
        <v>1642</v>
      </c>
      <c r="B66" s="361">
        <f>'Sources and Uses Budget'!C66</f>
        <v>230000</v>
      </c>
      <c r="C66" s="362"/>
      <c r="D66" s="362"/>
      <c r="E66" s="361">
        <f>'Sources and Uses Budget'!S66</f>
        <v>200000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(Developer Legal)</v>
      </c>
      <c r="B69" s="361">
        <f>'Sources and Uses Budget'!C69</f>
        <v>75000</v>
      </c>
      <c r="C69" s="362"/>
      <c r="D69" s="362"/>
      <c r="E69" s="361">
        <f>'Sources and Uses Budget'!S69</f>
        <v>50000</v>
      </c>
      <c r="F69" s="362"/>
      <c r="G69" s="362"/>
      <c r="H69" s="361">
        <f>'Sources and Uses Budget'!T69</f>
        <v>0</v>
      </c>
      <c r="I69" s="362"/>
      <c r="J69" s="362"/>
      <c r="K69" s="359"/>
    </row>
    <row r="70" spans="1:11" s="360" customFormat="1">
      <c r="A70" s="365" t="s">
        <v>602</v>
      </c>
      <c r="B70" s="361">
        <f>'Sources and Uses Budget'!C70</f>
        <v>355000</v>
      </c>
      <c r="C70" s="361">
        <f>SUM(C64:C69)</f>
        <v>0</v>
      </c>
      <c r="D70" s="361">
        <f>SUM(D64:D69)</f>
        <v>0</v>
      </c>
      <c r="E70" s="361">
        <f>'Sources and Uses Budget'!S70</f>
        <v>300000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1216852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1216852</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2175000</v>
      </c>
      <c r="C79" s="362"/>
      <c r="D79" s="362"/>
      <c r="E79" s="361">
        <f>'Sources and Uses Budget'!S79</f>
        <v>2175000</v>
      </c>
      <c r="F79" s="362"/>
      <c r="G79" s="362"/>
      <c r="H79" s="361">
        <f>'Sources and Uses Budget'!T79</f>
        <v>0</v>
      </c>
      <c r="I79" s="362"/>
      <c r="J79" s="362"/>
      <c r="K79" s="359"/>
    </row>
    <row r="80" spans="1:11" s="360" customFormat="1">
      <c r="A80" s="364" t="s">
        <v>58</v>
      </c>
      <c r="B80" s="361">
        <f>'Sources and Uses Budget'!C80</f>
        <v>317455</v>
      </c>
      <c r="C80" s="362"/>
      <c r="D80" s="362"/>
      <c r="E80" s="361">
        <f>'Sources and Uses Budget'!S80</f>
        <v>317455</v>
      </c>
      <c r="F80" s="362"/>
      <c r="G80" s="362"/>
      <c r="H80" s="361">
        <f>'Sources and Uses Budget'!T80</f>
        <v>0</v>
      </c>
      <c r="I80" s="362"/>
      <c r="J80" s="362"/>
      <c r="K80" s="359"/>
    </row>
    <row r="81" spans="1:11" s="360" customFormat="1">
      <c r="A81" s="365" t="s">
        <v>1210</v>
      </c>
      <c r="B81" s="361">
        <f>'Sources and Uses Budget'!C81</f>
        <v>2492455</v>
      </c>
      <c r="C81" s="361">
        <f>SUM(C79:C80)</f>
        <v>0</v>
      </c>
      <c r="D81" s="361">
        <f>SUM(D79:D80)</f>
        <v>0</v>
      </c>
      <c r="E81" s="361">
        <f>'Sources and Uses Budget'!S81</f>
        <v>2492455</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332545</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401280</v>
      </c>
      <c r="C85" s="362"/>
      <c r="D85" s="362"/>
      <c r="E85" s="361">
        <f>'Sources and Uses Budget'!S85</f>
        <v>401280</v>
      </c>
      <c r="F85" s="362"/>
      <c r="G85" s="362"/>
      <c r="H85" s="361">
        <f>'Sources and Uses Budget'!T85</f>
        <v>0</v>
      </c>
      <c r="I85" s="362"/>
      <c r="J85" s="362"/>
      <c r="K85" s="359"/>
    </row>
    <row r="86" spans="1:11" s="360" customFormat="1">
      <c r="A86" s="145" t="s">
        <v>770</v>
      </c>
      <c r="B86" s="361">
        <f>'Sources and Uses Budget'!C86</f>
        <v>1144460</v>
      </c>
      <c r="C86" s="362"/>
      <c r="D86" s="362"/>
      <c r="E86" s="361">
        <f>'Sources and Uses Budget'!S86</f>
        <v>1144460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30000</v>
      </c>
      <c r="C88" s="362"/>
      <c r="D88" s="362"/>
      <c r="E88" s="363"/>
      <c r="F88" s="363"/>
      <c r="G88" s="363"/>
      <c r="H88" s="363"/>
      <c r="I88" s="363"/>
      <c r="J88" s="363"/>
      <c r="K88" s="359"/>
    </row>
    <row r="89" spans="1:11" s="360" customFormat="1">
      <c r="A89" s="145" t="s">
        <v>773</v>
      </c>
      <c r="B89" s="361">
        <f>'Sources and Uses Budget'!C89</f>
        <v>107950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0</v>
      </c>
      <c r="F92" s="362"/>
      <c r="G92" s="362"/>
      <c r="H92" s="361">
        <f>'Sources and Uses Budget'!T92</f>
        <v>0</v>
      </c>
      <c r="I92" s="362"/>
      <c r="J92" s="362"/>
      <c r="K92" s="359"/>
    </row>
    <row r="93" spans="1:11" s="360" customFormat="1">
      <c r="A93" s="364" t="str">
        <f>'Sources and Uses Budget'!$A93</f>
        <v>Other: Ground Lease</v>
      </c>
      <c r="B93" s="361">
        <f>'Sources and Uses Budget'!C93</f>
        <v>600000</v>
      </c>
      <c r="C93" s="362"/>
      <c r="D93" s="362"/>
      <c r="E93" s="361">
        <f>'Sources and Uses Budget'!S93</f>
        <v>600000</v>
      </c>
      <c r="F93" s="362"/>
      <c r="G93" s="362"/>
      <c r="H93" s="361">
        <f>'Sources and Uses Budget'!T93</f>
        <v>0</v>
      </c>
      <c r="I93" s="362"/>
      <c r="J93" s="362"/>
      <c r="K93" s="359"/>
    </row>
    <row r="94" spans="1:11" s="360" customFormat="1">
      <c r="A94" s="364" t="str">
        <f>'Sources and Uses Budget'!$A94</f>
        <v>Other: Inspections</v>
      </c>
      <c r="B94" s="361">
        <f>'Sources and Uses Budget'!C94</f>
        <v>80000</v>
      </c>
      <c r="C94" s="362"/>
      <c r="D94" s="362"/>
      <c r="E94" s="361">
        <f>'Sources and Uses Budget'!S94</f>
        <v>80000</v>
      </c>
      <c r="F94" s="362"/>
      <c r="G94" s="362"/>
      <c r="H94" s="361">
        <f>'Sources and Uses Budget'!T94</f>
        <v>0</v>
      </c>
      <c r="I94" s="362"/>
      <c r="J94" s="362"/>
      <c r="K94" s="359"/>
    </row>
    <row r="95" spans="1:11" s="360" customFormat="1">
      <c r="A95" s="364" t="str">
        <f>'Sources and Uses Budget'!$A95</f>
        <v>Other: Utility</v>
      </c>
      <c r="B95" s="361">
        <f>'Sources and Uses Budget'!C95</f>
        <v>290000</v>
      </c>
      <c r="C95" s="362"/>
      <c r="D95" s="362"/>
      <c r="E95" s="361">
        <f>'Sources and Uses Budget'!S95</f>
        <v>290000</v>
      </c>
      <c r="F95" s="362"/>
      <c r="G95" s="362"/>
      <c r="H95" s="361">
        <f>'Sources and Uses Budget'!T95</f>
        <v>0</v>
      </c>
      <c r="I95" s="362"/>
      <c r="J95" s="362"/>
      <c r="K95" s="359"/>
    </row>
    <row r="96" spans="1:11" s="360" customFormat="1">
      <c r="A96" s="365" t="s">
        <v>775</v>
      </c>
      <c r="B96" s="361">
        <f>'Sources and Uses Budget'!C96</f>
        <v>3056235</v>
      </c>
      <c r="C96" s="361">
        <f>SUM(C83:C95)</f>
        <v>0</v>
      </c>
      <c r="D96" s="361">
        <f>SUM(D83:D95)</f>
        <v>0</v>
      </c>
      <c r="E96" s="361">
        <f>'Sources and Uses Budget'!S96</f>
        <v>2575740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47959036</v>
      </c>
      <c r="C97" s="361">
        <f>SUM(C63+C70+C77+C81+C96)</f>
        <v>0</v>
      </c>
      <c r="D97" s="361">
        <f>SUM(D63+D70+D77+D81+D96)</f>
        <v>0</v>
      </c>
      <c r="E97" s="361">
        <f>'Sources and Uses Budget'!S97</f>
        <v>41802025</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4872026</v>
      </c>
      <c r="C99" s="362"/>
      <c r="D99" s="362"/>
      <c r="E99" s="361">
        <f>'Sources and Uses Budget'!S99</f>
        <v>4872026</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4872026</v>
      </c>
      <c r="C104" s="361">
        <f>SUM(C99:C103)</f>
        <v>0</v>
      </c>
      <c r="D104" s="361">
        <f>SUM(D99:D103)</f>
        <v>0</v>
      </c>
      <c r="E104" s="361">
        <f>'Sources and Uses Budget'!S104</f>
        <v>4872026</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52831062</v>
      </c>
      <c r="C105" s="367">
        <f>SUM(C97+C104)</f>
        <v>0</v>
      </c>
      <c r="D105" s="367">
        <f>SUM(D97+D104)</f>
        <v>0</v>
      </c>
      <c r="E105" s="361">
        <f>'Sources and Uses Budget'!S105</f>
        <v>46674051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46674051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71" workbookViewId="0">
      <selection activeCell="F115" sqref="F115:R11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7" t="s">
        <v>2454</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2453</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9" t="str">
        <f>IF(Application!H18="","",Application!H18)</f>
        <v>638 S Berendo</v>
      </c>
      <c r="M4" s="2310"/>
      <c r="N4" s="2310"/>
      <c r="O4" s="2310"/>
      <c r="P4" s="2310"/>
      <c r="Q4" s="2310"/>
      <c r="R4" s="2310"/>
      <c r="S4" s="2310"/>
      <c r="T4" s="2310"/>
      <c r="U4" s="2310"/>
      <c r="V4" s="2310"/>
      <c r="W4" s="2310"/>
      <c r="X4" s="2310"/>
      <c r="Y4" s="2310"/>
      <c r="Z4" s="2310"/>
      <c r="AA4" s="2310"/>
      <c r="AB4" s="2310"/>
      <c r="AC4" s="2311"/>
      <c r="AD4" s="1190"/>
      <c r="AE4" s="1190"/>
      <c r="AF4" s="2305" t="s">
        <v>2452</v>
      </c>
      <c r="AG4" s="2305"/>
      <c r="AH4" s="2305"/>
      <c r="AI4" s="2305"/>
      <c r="AJ4" s="2305"/>
      <c r="AK4" s="2305"/>
      <c r="AL4" s="2305"/>
      <c r="AM4" s="2305"/>
      <c r="AN4" s="2305"/>
      <c r="AO4" s="2305"/>
      <c r="AP4" s="2306">
        <v>45992</v>
      </c>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2451</v>
      </c>
      <c r="AG5" s="2305"/>
      <c r="AH5" s="2305"/>
      <c r="AI5" s="2305"/>
      <c r="AJ5" s="2305"/>
      <c r="AK5" s="2305"/>
      <c r="AL5" s="2305"/>
      <c r="AM5" s="2305"/>
      <c r="AN5" s="2305"/>
      <c r="AO5" s="2305"/>
      <c r="AP5" s="2306">
        <v>45962</v>
      </c>
      <c r="AQ5" s="2307"/>
      <c r="AR5" s="2307"/>
      <c r="AS5" s="2307"/>
      <c r="AT5" s="2307"/>
      <c r="AU5" s="2307"/>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09" t="str">
        <f>IF(Application!H16="","",Application!H16)</f>
        <v>638 Berendo Partners, LLC</v>
      </c>
      <c r="M6" s="2310"/>
      <c r="N6" s="2310"/>
      <c r="O6" s="2310"/>
      <c r="P6" s="2310"/>
      <c r="Q6" s="2310"/>
      <c r="R6" s="2310"/>
      <c r="S6" s="2310"/>
      <c r="T6" s="2310"/>
      <c r="U6" s="2310"/>
      <c r="V6" s="2310"/>
      <c r="W6" s="2310"/>
      <c r="X6" s="2310"/>
      <c r="Y6" s="2310"/>
      <c r="Z6" s="2310"/>
      <c r="AA6" s="2310"/>
      <c r="AB6" s="2310"/>
      <c r="AC6" s="2311"/>
      <c r="AD6" s="1190"/>
      <c r="AE6" s="1190"/>
      <c r="AF6" s="2312" t="s">
        <v>2449</v>
      </c>
      <c r="AG6" s="2312"/>
      <c r="AH6" s="2312"/>
      <c r="AI6" s="2312"/>
      <c r="AJ6" s="2312"/>
      <c r="AK6" s="2312"/>
      <c r="AL6" s="2312"/>
      <c r="AM6" s="2312"/>
      <c r="AN6" s="2312"/>
      <c r="AO6" s="2312"/>
      <c r="AP6" s="2313">
        <v>5</v>
      </c>
      <c r="AQ6" s="2313"/>
      <c r="AR6" s="2313"/>
      <c r="AS6" s="2313"/>
      <c r="AT6" s="2313"/>
      <c r="AU6" s="231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2448</v>
      </c>
      <c r="AG7" s="2312"/>
      <c r="AH7" s="2312"/>
      <c r="AI7" s="2312"/>
      <c r="AJ7" s="2312"/>
      <c r="AK7" s="2312"/>
      <c r="AL7" s="2312"/>
      <c r="AM7" s="2312"/>
      <c r="AN7" s="2312"/>
      <c r="AO7" s="2312"/>
      <c r="AP7" s="2313">
        <v>2</v>
      </c>
      <c r="AQ7" s="2313"/>
      <c r="AR7" s="2313"/>
      <c r="AS7" s="2313"/>
      <c r="AT7" s="2313"/>
      <c r="AU7" s="2313"/>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2446</v>
      </c>
      <c r="AG8" s="2312"/>
      <c r="AH8" s="2312"/>
      <c r="AI8" s="2312"/>
      <c r="AJ8" s="2312"/>
      <c r="AK8" s="2312"/>
      <c r="AL8" s="2312"/>
      <c r="AM8" s="2312"/>
      <c r="AN8" s="2312"/>
      <c r="AO8" s="2312"/>
      <c r="AP8" s="2313" t="s">
        <v>2100</v>
      </c>
      <c r="AQ8" s="2313"/>
      <c r="AR8" s="2313"/>
      <c r="AS8" s="2313"/>
      <c r="AT8" s="2313"/>
      <c r="AU8" s="2313"/>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2445</v>
      </c>
      <c r="AG9" s="2305"/>
      <c r="AH9" s="2305"/>
      <c r="AI9" s="2305"/>
      <c r="AJ9" s="2305"/>
      <c r="AK9" s="2305"/>
      <c r="AL9" s="2305"/>
      <c r="AM9" s="2305"/>
      <c r="AN9" s="2305"/>
      <c r="AO9" s="2305"/>
      <c r="AP9" s="2306">
        <v>46753</v>
      </c>
      <c r="AQ9" s="2307"/>
      <c r="AR9" s="2307"/>
      <c r="AS9" s="2307"/>
      <c r="AT9" s="2307"/>
      <c r="AU9" s="2307"/>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2308">
        <f>Application!AO627</f>
        <v>17325000</v>
      </c>
      <c r="O10" s="2308"/>
      <c r="P10" s="2308"/>
      <c r="Q10" s="2308"/>
      <c r="R10" s="2308"/>
      <c r="S10" s="2308"/>
      <c r="T10" s="2308"/>
      <c r="U10" s="1190"/>
      <c r="V10" s="1190"/>
      <c r="W10" s="1190"/>
      <c r="X10" s="1193"/>
      <c r="Y10" s="1193"/>
      <c r="Z10" s="1193"/>
      <c r="AA10" s="1193"/>
      <c r="AB10" s="1193"/>
      <c r="AC10" s="1193"/>
      <c r="AD10" s="1193"/>
      <c r="AE10" s="1193"/>
      <c r="AF10" s="2305" t="s">
        <v>2442</v>
      </c>
      <c r="AG10" s="2305"/>
      <c r="AH10" s="2305"/>
      <c r="AI10" s="2305"/>
      <c r="AJ10" s="2305"/>
      <c r="AK10" s="2305"/>
      <c r="AL10" s="2305"/>
      <c r="AM10" s="2305"/>
      <c r="AN10" s="2305"/>
      <c r="AO10" s="2305"/>
      <c r="AP10" s="2306">
        <v>46753</v>
      </c>
      <c r="AQ10" s="2307"/>
      <c r="AR10" s="2307"/>
      <c r="AS10" s="2307"/>
      <c r="AT10" s="2307"/>
      <c r="AU10" s="2307"/>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2308">
        <f>Application!AA934</f>
        <v>4000000</v>
      </c>
      <c r="O11" s="2308"/>
      <c r="P11" s="2308"/>
      <c r="Q11" s="2308"/>
      <c r="R11" s="2308"/>
      <c r="S11" s="2308"/>
      <c r="T11" s="2308"/>
      <c r="U11" s="1190"/>
      <c r="V11" s="1190"/>
      <c r="W11" s="1190"/>
      <c r="X11" s="1193"/>
      <c r="Y11" s="1193"/>
      <c r="Z11" s="1193"/>
      <c r="AA11" s="1193"/>
      <c r="AB11" s="1193"/>
      <c r="AC11" s="1193"/>
      <c r="AD11" s="1193"/>
      <c r="AE11" s="1193"/>
      <c r="AF11" s="2305" t="s">
        <v>2439</v>
      </c>
      <c r="AG11" s="2305"/>
      <c r="AH11" s="2305"/>
      <c r="AI11" s="2305"/>
      <c r="AJ11" s="2305"/>
      <c r="AK11" s="2305"/>
      <c r="AL11" s="2305"/>
      <c r="AM11" s="2305"/>
      <c r="AN11" s="2305"/>
      <c r="AO11" s="2305"/>
      <c r="AP11" s="2306">
        <v>46905</v>
      </c>
      <c r="AQ11" s="2307"/>
      <c r="AR11" s="2307"/>
      <c r="AS11" s="2307"/>
      <c r="AT11" s="2307"/>
      <c r="AU11" s="230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2296" t="s">
        <v>2437</v>
      </c>
      <c r="C13" s="2297"/>
      <c r="D13" s="2297"/>
      <c r="E13" s="2297"/>
      <c r="F13" s="2297"/>
      <c r="G13" s="2297"/>
      <c r="H13" s="2297"/>
      <c r="I13" s="2297"/>
      <c r="J13" s="2297"/>
      <c r="K13" s="2297"/>
      <c r="L13" s="2297"/>
      <c r="M13" s="2297"/>
      <c r="N13" s="2297"/>
      <c r="O13" s="2297"/>
      <c r="P13" s="2298"/>
      <c r="Q13" s="2299" t="s">
        <v>670</v>
      </c>
      <c r="R13" s="2300"/>
      <c r="S13" s="2300"/>
      <c r="T13" s="2301"/>
      <c r="U13" s="1193"/>
      <c r="V13" s="1190"/>
      <c r="W13" s="1190"/>
      <c r="X13" s="1190"/>
      <c r="Y13" s="1190"/>
      <c r="Z13" s="1190"/>
      <c r="AA13" s="2286" t="s">
        <v>2436</v>
      </c>
      <c r="AB13" s="2286"/>
      <c r="AC13" s="2286"/>
      <c r="AD13" s="2286"/>
      <c r="AE13" s="2286"/>
      <c r="AF13" s="2286"/>
      <c r="AG13" s="2286"/>
      <c r="AH13" s="2286"/>
      <c r="AI13" s="2286"/>
      <c r="AJ13" s="2286"/>
      <c r="AK13" s="2286"/>
      <c r="AL13" s="2286"/>
      <c r="AM13" s="2286"/>
      <c r="AN13" s="2286"/>
      <c r="AO13" s="2302">
        <f>Application!W473</f>
        <v>41</v>
      </c>
      <c r="AP13" s="2303"/>
      <c r="AQ13" s="2303"/>
      <c r="AR13" s="2303"/>
      <c r="AS13" s="2303"/>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2434</v>
      </c>
      <c r="AB14" s="2304"/>
      <c r="AC14" s="2304"/>
      <c r="AD14" s="2304"/>
      <c r="AE14" s="2304"/>
      <c r="AF14" s="2304"/>
      <c r="AG14" s="2304"/>
      <c r="AH14" s="2304"/>
      <c r="AI14" s="2304"/>
      <c r="AJ14" s="2304"/>
      <c r="AK14" s="2304"/>
      <c r="AL14" s="2304"/>
      <c r="AM14" s="2304"/>
      <c r="AN14" s="2304"/>
      <c r="AO14" s="2287">
        <v>45726</v>
      </c>
      <c r="AP14" s="2288"/>
      <c r="AQ14" s="2288"/>
      <c r="AR14" s="2288"/>
      <c r="AS14" s="2288"/>
      <c r="AT14" s="1193"/>
      <c r="AU14" s="1193"/>
      <c r="AV14" s="1193"/>
      <c r="AW14" s="1193"/>
      <c r="AX14" s="1193"/>
      <c r="AY14" s="1193"/>
      <c r="AZ14" s="1193"/>
      <c r="BA14" s="1193"/>
      <c r="BB14" s="1193"/>
      <c r="BC14" s="1193"/>
      <c r="BD14" s="1193"/>
      <c r="BE14" s="1194"/>
    </row>
    <row r="15" spans="1:65" thickBot="1">
      <c r="A15" s="1190"/>
      <c r="B15" s="2281" t="s">
        <v>2433</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2432</v>
      </c>
      <c r="AB15" s="2286"/>
      <c r="AC15" s="2286"/>
      <c r="AD15" s="2286"/>
      <c r="AE15" s="2286"/>
      <c r="AF15" s="2286"/>
      <c r="AG15" s="2286"/>
      <c r="AH15" s="2286"/>
      <c r="AI15" s="2286"/>
      <c r="AJ15" s="2286"/>
      <c r="AK15" s="2286"/>
      <c r="AL15" s="2286"/>
      <c r="AM15" s="2286"/>
      <c r="AN15" s="2286"/>
      <c r="AO15" s="2287">
        <v>45797</v>
      </c>
      <c r="AP15" s="2288"/>
      <c r="AQ15" s="2288"/>
      <c r="AR15" s="2288"/>
      <c r="AS15" s="228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2431</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89" t="s">
        <v>2430</v>
      </c>
      <c r="C18" s="2290"/>
      <c r="D18" s="2290"/>
      <c r="E18" s="2290"/>
      <c r="F18" s="2290"/>
      <c r="G18" s="2290"/>
      <c r="H18" s="2290"/>
      <c r="I18" s="2291"/>
      <c r="J18" s="2292" t="s">
        <v>1587</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2429</v>
      </c>
      <c r="AU18" s="2293"/>
      <c r="AV18" s="2293"/>
      <c r="AW18" s="2293"/>
      <c r="AX18" s="2293"/>
      <c r="AY18" s="2295"/>
      <c r="AZ18" s="1190"/>
      <c r="BA18" s="1190"/>
      <c r="BB18" s="1190"/>
      <c r="BC18" s="1190"/>
      <c r="BD18" s="1190"/>
      <c r="BE18" s="1194"/>
    </row>
    <row r="19" spans="1:58" ht="15">
      <c r="A19" s="1190"/>
      <c r="B19" s="2275">
        <v>0.3</v>
      </c>
      <c r="C19" s="2276"/>
      <c r="D19" s="2276"/>
      <c r="E19" s="2276"/>
      <c r="F19" s="2276"/>
      <c r="G19" s="2276"/>
      <c r="H19" s="2276"/>
      <c r="I19" s="2277"/>
      <c r="J19" s="2278">
        <f t="shared" ref="J19:J24" si="0">SUM(P19:AS19)</f>
        <v>34</v>
      </c>
      <c r="K19" s="2279"/>
      <c r="L19" s="2279"/>
      <c r="M19" s="2279"/>
      <c r="N19" s="2279"/>
      <c r="O19" s="2280"/>
      <c r="P19" s="2278" cm="1">
        <f t="array" ref="P19">SUMPRODUCT((Application!$B$718:$B$752 = 'CalHFA Addendum'!P$18)*(Application!$AC$718:$AC$752 = 'CalHFA Addendum'!$B19),Application!$G$718:$G$752)</f>
        <v>30</v>
      </c>
      <c r="Q19" s="2279"/>
      <c r="R19" s="2279"/>
      <c r="S19" s="2279"/>
      <c r="T19" s="2279"/>
      <c r="U19" s="2280"/>
      <c r="V19" s="2278" cm="1">
        <f t="array" ref="V19">SUMPRODUCT((Application!$B$714:$B$738 = 'CalHFA Addendum'!V$18)*(Application!$AC$714:$AC$738 = 'CalHFA Addendum'!$B19),Application!$G$714:$G$738)</f>
        <v>4</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0.20858895705521471</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90"/>
      <c r="BA20" s="1190"/>
      <c r="BB20" s="1190"/>
      <c r="BC20" s="1190"/>
      <c r="BD20" s="1190"/>
      <c r="BE20" s="1194"/>
    </row>
    <row r="21" spans="1:58" ht="15">
      <c r="A21" s="1190"/>
      <c r="B21" s="2275">
        <v>0.5</v>
      </c>
      <c r="C21" s="2276"/>
      <c r="D21" s="2276"/>
      <c r="E21" s="2276"/>
      <c r="F21" s="2276"/>
      <c r="G21" s="2276"/>
      <c r="H21" s="2276"/>
      <c r="I21" s="2277"/>
      <c r="J21" s="2278">
        <f t="shared" si="0"/>
        <v>15</v>
      </c>
      <c r="K21" s="2279"/>
      <c r="L21" s="2279"/>
      <c r="M21" s="2279"/>
      <c r="N21" s="2279"/>
      <c r="O21" s="2280"/>
      <c r="P21" s="2278" cm="1">
        <f t="array" ref="P21">SUMPRODUCT((Application!$B$714:$B$738 = 'CalHFA Addendum'!P$18)*(Application!$AC$714:$AC$738 = 'CalHFA Addendum'!$B21),Application!$G$714:$G$738)</f>
        <v>10</v>
      </c>
      <c r="Q21" s="2279"/>
      <c r="R21" s="2279"/>
      <c r="S21" s="2279"/>
      <c r="T21" s="2279"/>
      <c r="U21" s="2280"/>
      <c r="V21" s="2278" cm="1">
        <f t="array" ref="V21">SUMPRODUCT((Application!$B$714:$B$738 = 'CalHFA Addendum'!V$18)*(Application!$AC$714:$AC$738 = 'CalHFA Addendum'!$B21),Application!$G$714:$G$738)</f>
        <v>5</v>
      </c>
      <c r="W21" s="2279"/>
      <c r="X21" s="2279"/>
      <c r="Y21" s="2279"/>
      <c r="Z21" s="2279"/>
      <c r="AA21" s="2280"/>
      <c r="AB21" s="2278" cm="1">
        <f t="array" ref="AB21">SUMPRODUCT((Application!$B$714:$B$738 = 'CalHFA Addendum'!AB$18)*(Application!$AC$714:$AC$738 = 'CalHFA Addendum'!$B21),Application!$G$714:$G$738)</f>
        <v>0</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9.202453987730061E-2</v>
      </c>
      <c r="AU21" s="2264"/>
      <c r="AV21" s="2264"/>
      <c r="AW21" s="2264"/>
      <c r="AX21" s="2264"/>
      <c r="AY21" s="2265"/>
      <c r="AZ21" s="1190"/>
      <c r="BA21" s="1190"/>
      <c r="BB21" s="1190"/>
      <c r="BC21" s="1190"/>
      <c r="BD21" s="1190"/>
      <c r="BE21" s="1194"/>
    </row>
    <row r="22" spans="1:58" ht="15">
      <c r="A22" s="1190"/>
      <c r="B22" s="2275">
        <v>0.6</v>
      </c>
      <c r="C22" s="2276"/>
      <c r="D22" s="2276"/>
      <c r="E22" s="2276"/>
      <c r="F22" s="2276"/>
      <c r="G22" s="2276"/>
      <c r="H22" s="2276"/>
      <c r="I22" s="2277"/>
      <c r="J22" s="2278">
        <f t="shared" si="0"/>
        <v>17</v>
      </c>
      <c r="K22" s="2279"/>
      <c r="L22" s="2279"/>
      <c r="M22" s="2279"/>
      <c r="N22" s="2279"/>
      <c r="O22" s="2280"/>
      <c r="P22" s="2278" cm="1">
        <f t="array" ref="P22">SUMPRODUCT((Application!$B$714:$B$738 = 'CalHFA Addendum'!P$18)*(Application!$AC$714:$AC$738 = 'CalHFA Addendum'!$B22),Application!$G$714:$G$738)</f>
        <v>10</v>
      </c>
      <c r="Q22" s="2279"/>
      <c r="R22" s="2279"/>
      <c r="S22" s="2279"/>
      <c r="T22" s="2279"/>
      <c r="U22" s="2280"/>
      <c r="V22" s="2278" cm="1">
        <f t="array" ref="V22">SUMPRODUCT((Application!$B$714:$B$738 = 'CalHFA Addendum'!V$18)*(Application!$AC$714:$AC$738 = 'CalHFA Addendum'!$B22),Application!$G$714:$G$738)</f>
        <v>7</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0.10429447852760736</v>
      </c>
      <c r="AU22" s="2264"/>
      <c r="AV22" s="2264"/>
      <c r="AW22" s="2264"/>
      <c r="AX22" s="2264"/>
      <c r="AY22" s="2265"/>
      <c r="AZ22" s="1190"/>
      <c r="BA22" s="1190"/>
      <c r="BB22" s="1190"/>
      <c r="BC22" s="1190"/>
      <c r="BD22" s="1190"/>
      <c r="BE22" s="1194"/>
    </row>
    <row r="23" spans="1:58" ht="15">
      <c r="A23" s="1190"/>
      <c r="B23" s="2275">
        <v>0.7</v>
      </c>
      <c r="C23" s="2276"/>
      <c r="D23" s="2276"/>
      <c r="E23" s="2276"/>
      <c r="F23" s="2276"/>
      <c r="G23" s="2276"/>
      <c r="H23" s="2276"/>
      <c r="I23" s="2277"/>
      <c r="J23" s="2278">
        <f t="shared" si="0"/>
        <v>73</v>
      </c>
      <c r="K23" s="2279"/>
      <c r="L23" s="2279"/>
      <c r="M23" s="2279"/>
      <c r="N23" s="2279"/>
      <c r="O23" s="2280"/>
      <c r="P23" s="2278" cm="1">
        <f t="array" ref="P23">SUMPRODUCT((Application!$B$714:$B$738 = 'CalHFA Addendum'!P$18)*(Application!$AC$714:$AC$738 = 'CalHFA Addendum'!$B23),Application!$G$714:$G$738)</f>
        <v>18</v>
      </c>
      <c r="Q23" s="2279"/>
      <c r="R23" s="2279"/>
      <c r="S23" s="2279"/>
      <c r="T23" s="2279"/>
      <c r="U23" s="2280"/>
      <c r="V23" s="2278" cm="1">
        <f t="array" ref="V23">SUMPRODUCT((Application!$B$714:$B$738 = 'CalHFA Addendum'!V$18)*(Application!$AC$714:$AC$738 = 'CalHFA Addendum'!$B23),Application!$G$714:$G$738)</f>
        <v>55</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0.44785276073619634</v>
      </c>
      <c r="AU23" s="2264"/>
      <c r="AV23" s="2264"/>
      <c r="AW23" s="2264"/>
      <c r="AX23" s="2264"/>
      <c r="AY23" s="2265"/>
      <c r="AZ23" s="1190"/>
      <c r="BA23" s="1190"/>
      <c r="BB23" s="1190"/>
      <c r="BC23" s="1190"/>
      <c r="BD23" s="1190"/>
      <c r="BE23" s="1194"/>
    </row>
    <row r="24" spans="1:58" ht="15">
      <c r="A24" s="1190"/>
      <c r="B24" s="2275">
        <v>0.8</v>
      </c>
      <c r="C24" s="2276"/>
      <c r="D24" s="2276"/>
      <c r="E24" s="2276"/>
      <c r="F24" s="2276"/>
      <c r="G24" s="2276"/>
      <c r="H24" s="2276"/>
      <c r="I24" s="2277"/>
      <c r="J24" s="2278">
        <f t="shared" si="0"/>
        <v>22</v>
      </c>
      <c r="K24" s="2279"/>
      <c r="L24" s="2279"/>
      <c r="M24" s="2279"/>
      <c r="N24" s="2279"/>
      <c r="O24" s="2280"/>
      <c r="P24" s="2278" cm="1">
        <f t="array" ref="P24">SUMPRODUCT((Application!$B$714:$B$738 = 'CalHFA Addendum'!P$18)*(Application!$AC$714:$AC$738 = 'CalHFA Addendum'!$B24),Application!$G$714:$G$738)</f>
        <v>9</v>
      </c>
      <c r="Q24" s="2279"/>
      <c r="R24" s="2279"/>
      <c r="S24" s="2279"/>
      <c r="T24" s="2279"/>
      <c r="U24" s="2280"/>
      <c r="V24" s="2278" cm="1">
        <f t="array" ref="V24">SUMPRODUCT((Application!$B$714:$B$738 = 'CalHFA Addendum'!V$18)*(Application!$AC$714:$AC$738 = 'CalHFA Addendum'!$B24),Application!$G$714:$G$738)</f>
        <v>13</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0.13496932515337423</v>
      </c>
      <c r="AU24" s="2264"/>
      <c r="AV24" s="2264"/>
      <c r="AW24" s="2264"/>
      <c r="AX24" s="2264"/>
      <c r="AY24" s="2265"/>
      <c r="AZ24" s="1190"/>
      <c r="BA24" s="1190"/>
      <c r="BB24" s="1190"/>
      <c r="BC24" s="1190"/>
      <c r="BD24" s="1190"/>
      <c r="BE24" s="1194"/>
    </row>
    <row r="25" spans="1:58" ht="1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thickBot="1">
      <c r="A28" s="1190"/>
      <c r="B28" s="2266" t="s">
        <v>2428</v>
      </c>
      <c r="C28" s="2267"/>
      <c r="D28" s="2267"/>
      <c r="E28" s="2267"/>
      <c r="F28" s="2267"/>
      <c r="G28" s="2267"/>
      <c r="H28" s="2267"/>
      <c r="I28" s="2268"/>
      <c r="J28" s="2269">
        <f>SUM(P28:AS28)</f>
        <v>2</v>
      </c>
      <c r="K28" s="2270"/>
      <c r="L28" s="2270"/>
      <c r="M28" s="2270"/>
      <c r="N28" s="2270"/>
      <c r="O28" s="2271"/>
      <c r="P28" s="2269">
        <f>_xlfn.IFNA(VLOOKUP(P$18,Application!$J$773:$S$776,6,FALSE), 0)</f>
        <v>0</v>
      </c>
      <c r="Q28" s="2270"/>
      <c r="R28" s="2270"/>
      <c r="S28" s="2270"/>
      <c r="T28" s="2270"/>
      <c r="U28" s="2271"/>
      <c r="V28" s="2269">
        <f>_xlfn.IFNA(VLOOKUP(V$18,Application!$J$773:$S$776,6,FALSE), 0)</f>
        <v>2</v>
      </c>
      <c r="W28" s="2270"/>
      <c r="X28" s="2270"/>
      <c r="Y28" s="2270"/>
      <c r="Z28" s="2270"/>
      <c r="AA28" s="2271"/>
      <c r="AB28" s="2269">
        <f>_xlfn.IFNA(VLOOKUP(AB$18,Application!$J$773:$S$776,6,FALSE), 0)</f>
        <v>0</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1.2269938650306749E-2</v>
      </c>
      <c r="AU28" s="2273"/>
      <c r="AV28" s="2273"/>
      <c r="AW28" s="2273"/>
      <c r="AX28" s="2273"/>
      <c r="AY28" s="2274"/>
      <c r="AZ28" s="1190"/>
      <c r="BA28" s="1190"/>
      <c r="BB28" s="1190"/>
      <c r="BC28" s="1190"/>
      <c r="BD28" s="1190"/>
      <c r="BE28" s="1194"/>
    </row>
    <row r="29" spans="1:58" thickBot="1">
      <c r="A29" s="1190"/>
      <c r="B29" s="2249" t="s">
        <v>1587</v>
      </c>
      <c r="C29" s="2222"/>
      <c r="D29" s="2222"/>
      <c r="E29" s="2222"/>
      <c r="F29" s="2222"/>
      <c r="G29" s="2222"/>
      <c r="H29" s="2222"/>
      <c r="I29" s="2223"/>
      <c r="J29" s="2221">
        <f>SUM(J19:O28)</f>
        <v>163</v>
      </c>
      <c r="K29" s="2222"/>
      <c r="L29" s="2222"/>
      <c r="M29" s="2222"/>
      <c r="N29" s="2222"/>
      <c r="O29" s="2223"/>
      <c r="P29" s="2221">
        <f>SUM(P19:U28)</f>
        <v>77</v>
      </c>
      <c r="Q29" s="2222"/>
      <c r="R29" s="2222"/>
      <c r="S29" s="2222"/>
      <c r="T29" s="2222"/>
      <c r="U29" s="2223"/>
      <c r="V29" s="2221">
        <f>SUM(V19:AA28)</f>
        <v>86</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7" t="s">
        <v>2427</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thickBot="1">
      <c r="A32" s="1190"/>
      <c r="B32" s="2230" t="s">
        <v>2426</v>
      </c>
      <c r="C32" s="2231"/>
      <c r="D32" s="2231"/>
      <c r="E32" s="2231"/>
      <c r="F32" s="2231"/>
      <c r="G32" s="2231"/>
      <c r="H32" s="2231"/>
      <c r="I32" s="2231"/>
      <c r="J32" s="2234" t="s">
        <v>2425</v>
      </c>
      <c r="K32" s="2235"/>
      <c r="L32" s="2235"/>
      <c r="M32" s="2235"/>
      <c r="N32" s="2234" t="s">
        <v>2424</v>
      </c>
      <c r="O32" s="2235"/>
      <c r="P32" s="2235"/>
      <c r="Q32" s="2237"/>
      <c r="R32" s="2239" t="s">
        <v>2423</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2422</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2421</v>
      </c>
      <c r="AT35" s="2251"/>
      <c r="AU35" s="2251"/>
      <c r="AV35" s="2251"/>
      <c r="AW35" s="2251"/>
      <c r="AX35" s="2259"/>
      <c r="AY35" s="2250" t="s">
        <v>2420</v>
      </c>
      <c r="AZ35" s="2251"/>
      <c r="BA35" s="2251"/>
      <c r="BB35" s="2251"/>
      <c r="BC35" s="2251"/>
      <c r="BD35" s="2252"/>
      <c r="BE35" s="1194"/>
    </row>
    <row r="36" spans="1:58" ht="15.75" customHeight="1">
      <c r="A36" s="1190"/>
      <c r="B36" s="2154" t="s">
        <v>2419</v>
      </c>
      <c r="C36" s="2155"/>
      <c r="D36" s="2155"/>
      <c r="E36" s="2155"/>
      <c r="F36" s="2155"/>
      <c r="G36" s="2155"/>
      <c r="H36" s="2155"/>
      <c r="I36" s="2155"/>
      <c r="J36" s="2219" t="s">
        <v>2418</v>
      </c>
      <c r="K36" s="2219"/>
      <c r="L36" s="2219"/>
      <c r="M36" s="2219"/>
      <c r="N36" s="2219">
        <v>55</v>
      </c>
      <c r="O36" s="2219"/>
      <c r="P36" s="2219"/>
      <c r="Q36" s="2219"/>
      <c r="R36" s="2220"/>
      <c r="S36" s="2220"/>
      <c r="T36" s="2220"/>
      <c r="U36" s="2220"/>
      <c r="V36" s="2220"/>
      <c r="W36" s="2220"/>
      <c r="X36" s="2220"/>
      <c r="Y36" s="2220"/>
      <c r="Z36" s="2220"/>
      <c r="AA36" s="2220"/>
      <c r="AB36" s="2220"/>
      <c r="AC36" s="2220"/>
      <c r="AD36" s="2220">
        <f>R38+AD38+Z38</f>
        <v>66</v>
      </c>
      <c r="AE36" s="2220"/>
      <c r="AF36" s="2220"/>
      <c r="AG36" s="2220"/>
      <c r="AH36" s="2220"/>
      <c r="AI36" s="2220"/>
      <c r="AJ36" s="2220"/>
      <c r="AK36" s="2220"/>
      <c r="AL36" s="2204"/>
      <c r="AM36" s="2205"/>
      <c r="AN36" s="2205"/>
      <c r="AO36" s="2206"/>
      <c r="AP36" s="2204"/>
      <c r="AQ36" s="2205"/>
      <c r="AR36" s="2206"/>
      <c r="AS36" s="2207">
        <f t="shared" ref="AS36:AS47" si="2">SUM(R36:AR36)</f>
        <v>66</v>
      </c>
      <c r="AT36" s="2208"/>
      <c r="AU36" s="2208"/>
      <c r="AV36" s="2208"/>
      <c r="AW36" s="2208"/>
      <c r="AX36" s="2209"/>
      <c r="AY36" s="2210">
        <f t="shared" ref="AY36:AY47" si="3">AS36/$J$29</f>
        <v>0.40490797546012269</v>
      </c>
      <c r="AZ36" s="2211"/>
      <c r="BA36" s="2211"/>
      <c r="BB36" s="2211"/>
      <c r="BC36" s="2211"/>
      <c r="BD36" s="2212"/>
      <c r="BE36" s="1194"/>
    </row>
    <row r="37" spans="1:58" ht="15.75" customHeight="1">
      <c r="A37" s="1190"/>
      <c r="B37" s="2154" t="s">
        <v>2417</v>
      </c>
      <c r="C37" s="2155"/>
      <c r="D37" s="2155"/>
      <c r="E37" s="2155"/>
      <c r="F37" s="2155"/>
      <c r="G37" s="2155"/>
      <c r="H37" s="2155"/>
      <c r="I37" s="2155"/>
      <c r="J37" s="2219" t="s">
        <v>2416</v>
      </c>
      <c r="K37" s="2219"/>
      <c r="L37" s="2219"/>
      <c r="M37" s="2219"/>
      <c r="N37" s="2219">
        <v>55</v>
      </c>
      <c r="O37" s="2219"/>
      <c r="P37" s="2219"/>
      <c r="Q37" s="2219"/>
      <c r="R37" s="2220">
        <f>161*0.1</f>
        <v>16.100000000000001</v>
      </c>
      <c r="S37" s="2220"/>
      <c r="T37" s="2220"/>
      <c r="U37" s="2220"/>
      <c r="V37" s="2220"/>
      <c r="W37" s="2220"/>
      <c r="X37" s="2220"/>
      <c r="Y37" s="2220"/>
      <c r="Z37" s="2220">
        <f>161*0.2</f>
        <v>32.200000000000003</v>
      </c>
      <c r="AA37" s="2220"/>
      <c r="AB37" s="2220"/>
      <c r="AC37" s="2220"/>
      <c r="AD37" s="2220"/>
      <c r="AE37" s="2220"/>
      <c r="AF37" s="2220"/>
      <c r="AG37" s="2220"/>
      <c r="AH37" s="2220"/>
      <c r="AI37" s="2220"/>
      <c r="AJ37" s="2220"/>
      <c r="AK37" s="2220"/>
      <c r="AL37" s="2204">
        <f>R37</f>
        <v>16.100000000000001</v>
      </c>
      <c r="AM37" s="2205"/>
      <c r="AN37" s="2205"/>
      <c r="AO37" s="2206"/>
      <c r="AP37" s="2204">
        <f>161-R37-Z37-AL37</f>
        <v>96.6</v>
      </c>
      <c r="AQ37" s="2205"/>
      <c r="AR37" s="2206"/>
      <c r="AS37" s="2207">
        <f t="shared" si="2"/>
        <v>161</v>
      </c>
      <c r="AT37" s="2208"/>
      <c r="AU37" s="2208"/>
      <c r="AV37" s="2208"/>
      <c r="AW37" s="2208"/>
      <c r="AX37" s="2209"/>
      <c r="AY37" s="2210">
        <f t="shared" si="3"/>
        <v>0.98773006134969321</v>
      </c>
      <c r="AZ37" s="2211"/>
      <c r="BA37" s="2211"/>
      <c r="BB37" s="2211"/>
      <c r="BC37" s="2211"/>
      <c r="BD37" s="2212"/>
      <c r="BE37" s="1194"/>
    </row>
    <row r="38" spans="1:58" ht="15.75" customHeight="1">
      <c r="A38" s="1190"/>
      <c r="B38" s="2154" t="s">
        <v>2415</v>
      </c>
      <c r="C38" s="2155"/>
      <c r="D38" s="2155"/>
      <c r="E38" s="2155"/>
      <c r="F38" s="2155"/>
      <c r="G38" s="2155"/>
      <c r="H38" s="2155"/>
      <c r="I38" s="2155"/>
      <c r="J38" s="2219" t="s">
        <v>2414</v>
      </c>
      <c r="K38" s="2219"/>
      <c r="L38" s="2219"/>
      <c r="M38" s="2219"/>
      <c r="N38" s="2219">
        <v>55</v>
      </c>
      <c r="O38" s="2219"/>
      <c r="P38" s="2219"/>
      <c r="Q38" s="2219"/>
      <c r="R38" s="2220">
        <f>J19</f>
        <v>34</v>
      </c>
      <c r="S38" s="2220"/>
      <c r="T38" s="2220"/>
      <c r="U38" s="2220"/>
      <c r="V38" s="2220"/>
      <c r="W38" s="2220"/>
      <c r="X38" s="2220"/>
      <c r="Y38" s="2220"/>
      <c r="Z38" s="2220">
        <f>J21</f>
        <v>15</v>
      </c>
      <c r="AA38" s="2220"/>
      <c r="AB38" s="2220"/>
      <c r="AC38" s="2220"/>
      <c r="AD38" s="2220">
        <f>J22</f>
        <v>17</v>
      </c>
      <c r="AE38" s="2220"/>
      <c r="AF38" s="2220"/>
      <c r="AG38" s="2220"/>
      <c r="AH38" s="2220">
        <f>J23</f>
        <v>73</v>
      </c>
      <c r="AI38" s="2220"/>
      <c r="AJ38" s="2220"/>
      <c r="AK38" s="2220"/>
      <c r="AL38" s="2204">
        <f>J24</f>
        <v>22</v>
      </c>
      <c r="AM38" s="2205"/>
      <c r="AN38" s="2205"/>
      <c r="AO38" s="2206"/>
      <c r="AP38" s="2204"/>
      <c r="AQ38" s="2205"/>
      <c r="AR38" s="2206"/>
      <c r="AS38" s="2207">
        <f t="shared" si="2"/>
        <v>161</v>
      </c>
      <c r="AT38" s="2208"/>
      <c r="AU38" s="2208"/>
      <c r="AV38" s="2208"/>
      <c r="AW38" s="2208"/>
      <c r="AX38" s="2209"/>
      <c r="AY38" s="2210">
        <f t="shared" si="3"/>
        <v>0.98773006134969321</v>
      </c>
      <c r="AZ38" s="2211"/>
      <c r="BA38" s="2211"/>
      <c r="BB38" s="2211"/>
      <c r="BC38" s="2211"/>
      <c r="BD38" s="2212"/>
      <c r="BE38" s="1194"/>
    </row>
    <row r="39" spans="1:58" ht="15.75" customHeight="1">
      <c r="A39" s="1190"/>
      <c r="B39" s="2154" t="s">
        <v>2413</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2413</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2412</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2412</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2411</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2410</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2409</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2337</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2406</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2401</v>
      </c>
      <c r="C51" s="2098"/>
      <c r="D51" s="2098"/>
      <c r="E51" s="2098"/>
      <c r="F51" s="2098"/>
      <c r="G51" s="2098"/>
      <c r="H51" s="2098"/>
      <c r="I51" s="2098"/>
      <c r="J51" s="2098" t="s">
        <v>2405</v>
      </c>
      <c r="K51" s="2098"/>
      <c r="L51" s="2098"/>
      <c r="M51" s="2098"/>
      <c r="N51" s="2098"/>
      <c r="O51" s="2098"/>
      <c r="P51" s="2098"/>
      <c r="Q51" s="2098"/>
      <c r="R51" s="2198" t="s">
        <v>2404</v>
      </c>
      <c r="S51" s="2198"/>
      <c r="T51" s="2198"/>
      <c r="U51" s="2198"/>
      <c r="V51" s="2198"/>
      <c r="W51" s="2198"/>
      <c r="X51" s="2198"/>
      <c r="Y51" s="2198"/>
      <c r="Z51" s="2198" t="s">
        <v>2403</v>
      </c>
      <c r="AA51" s="2198"/>
      <c r="AB51" s="2198"/>
      <c r="AC51" s="2198"/>
      <c r="AD51" s="2198"/>
      <c r="AE51" s="2198"/>
      <c r="AF51" s="2198"/>
      <c r="AG51" s="2198"/>
      <c r="AH51" s="2198" t="s">
        <v>2402</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2717</v>
      </c>
      <c r="C52" s="2160"/>
      <c r="D52" s="2160"/>
      <c r="E52" s="2160"/>
      <c r="F52" s="2160"/>
      <c r="G52" s="2160"/>
      <c r="H52" s="2160"/>
      <c r="I52" s="2160"/>
      <c r="J52" s="1983">
        <v>15</v>
      </c>
      <c r="K52" s="1983"/>
      <c r="L52" s="1983"/>
      <c r="M52" s="1983"/>
      <c r="N52" s="1983"/>
      <c r="O52" s="1983"/>
      <c r="P52" s="1983"/>
      <c r="Q52" s="1983"/>
      <c r="R52" s="2190">
        <v>25000</v>
      </c>
      <c r="S52" s="2190"/>
      <c r="T52" s="2190"/>
      <c r="U52" s="2190"/>
      <c r="V52" s="2190"/>
      <c r="W52" s="2190"/>
      <c r="X52" s="2190"/>
      <c r="Y52" s="2190"/>
      <c r="Z52" s="2191">
        <v>3</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c r="C53" s="2160"/>
      <c r="D53" s="2160"/>
      <c r="E53" s="2160"/>
      <c r="F53" s="2160"/>
      <c r="G53" s="2160"/>
      <c r="H53" s="2160"/>
      <c r="I53" s="2160"/>
      <c r="J53" s="1983"/>
      <c r="K53" s="1983"/>
      <c r="L53" s="1983"/>
      <c r="M53" s="1983"/>
      <c r="N53" s="1983"/>
      <c r="O53" s="1983"/>
      <c r="P53" s="1983"/>
      <c r="Q53" s="1983"/>
      <c r="R53" s="2190"/>
      <c r="S53" s="2190"/>
      <c r="T53" s="2190"/>
      <c r="U53" s="2190"/>
      <c r="V53" s="2190"/>
      <c r="W53" s="2190"/>
      <c r="X53" s="2190"/>
      <c r="Y53" s="2190"/>
      <c r="Z53" s="2191"/>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1587</v>
      </c>
      <c r="C57" s="2128"/>
      <c r="D57" s="2128"/>
      <c r="E57" s="2128"/>
      <c r="F57" s="2128"/>
      <c r="G57" s="2128"/>
      <c r="H57" s="2128"/>
      <c r="I57" s="2128"/>
      <c r="J57" s="2128"/>
      <c r="K57" s="2128"/>
      <c r="L57" s="2128"/>
      <c r="M57" s="2128"/>
      <c r="N57" s="2128"/>
      <c r="O57" s="2128"/>
      <c r="P57" s="2128"/>
      <c r="Q57" s="2128"/>
      <c r="R57" s="2194">
        <f>SUM(R52:Y56)</f>
        <v>25000</v>
      </c>
      <c r="S57" s="2194"/>
      <c r="T57" s="2194"/>
      <c r="U57" s="2194"/>
      <c r="V57" s="2194"/>
      <c r="W57" s="2194"/>
      <c r="X57" s="2194"/>
      <c r="Y57" s="2194"/>
      <c r="Z57" s="2195">
        <f>SUM(Z52:AG56)</f>
        <v>3</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2401</v>
      </c>
      <c r="C59" s="2188"/>
      <c r="D59" s="2188"/>
      <c r="E59" s="2188"/>
      <c r="F59" s="2188"/>
      <c r="G59" s="2188"/>
      <c r="H59" s="2188"/>
      <c r="I59" s="2189"/>
      <c r="J59" s="2096" t="s">
        <v>2400</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79" t="str">
        <f>IF(B52="", "", B52)</f>
        <v>LifeSTEPs</v>
      </c>
      <c r="C60" s="2180"/>
      <c r="D60" s="2180"/>
      <c r="E60" s="2180"/>
      <c r="F60" s="2180"/>
      <c r="G60" s="2180"/>
      <c r="H60" s="2180"/>
      <c r="I60" s="2181"/>
      <c r="J60" s="2182" t="s">
        <v>2718</v>
      </c>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
      </c>
      <c r="C61" s="2180"/>
      <c r="D61" s="2180"/>
      <c r="E61" s="2180"/>
      <c r="F61" s="2180"/>
      <c r="G61" s="2180"/>
      <c r="H61" s="2180"/>
      <c r="I61" s="2181"/>
      <c r="J61" s="2182" t="s">
        <v>2719</v>
      </c>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2398</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0" t="s">
        <v>2397</v>
      </c>
      <c r="AD68" s="2021"/>
      <c r="AE68" s="2021"/>
      <c r="AF68" s="2021"/>
      <c r="AG68" s="2021"/>
      <c r="AH68" s="2021"/>
      <c r="AI68" s="2021"/>
      <c r="AJ68" s="2021"/>
      <c r="AK68" s="2021"/>
      <c r="AL68" s="2021"/>
      <c r="AM68" s="2021"/>
      <c r="AN68" s="2021"/>
      <c r="AO68" s="2021"/>
      <c r="AP68" s="2021"/>
      <c r="AQ68" s="2021"/>
      <c r="AR68" s="2021"/>
      <c r="AS68" s="2021"/>
      <c r="AT68" s="2021"/>
      <c r="AU68" s="2021"/>
      <c r="AV68" s="2171" t="s">
        <v>546</v>
      </c>
      <c r="AW68" s="2077"/>
      <c r="AX68" s="2077"/>
      <c r="AY68" s="2077"/>
      <c r="AZ68" s="2077"/>
      <c r="BA68" s="2077"/>
      <c r="BB68" s="2077"/>
      <c r="BC68" s="2078"/>
      <c r="BD68" s="1190"/>
      <c r="BE68" s="1194"/>
      <c r="BM68" s="1199" t="s">
        <v>2396</v>
      </c>
    </row>
    <row r="69" spans="1:94" ht="15.75" customHeight="1" thickTop="1" thickBot="1">
      <c r="A69" s="1190"/>
      <c r="B69" s="2172" t="s">
        <v>2395</v>
      </c>
      <c r="C69" s="2173"/>
      <c r="D69" s="2173"/>
      <c r="E69" s="2173"/>
      <c r="F69" s="2173"/>
      <c r="G69" s="2173"/>
      <c r="H69" s="2173"/>
      <c r="I69" s="2173"/>
      <c r="J69" s="2173"/>
      <c r="K69" s="2173"/>
      <c r="L69" s="2173"/>
      <c r="M69" s="2173"/>
      <c r="N69" s="2173"/>
      <c r="O69" s="2174" t="s">
        <v>2394</v>
      </c>
      <c r="P69" s="2175"/>
      <c r="Q69" s="2175"/>
      <c r="R69" s="2175"/>
      <c r="S69" s="2175"/>
      <c r="T69" s="2175"/>
      <c r="U69" s="2175"/>
      <c r="V69" s="2175"/>
      <c r="W69" s="2175"/>
      <c r="X69" s="2175"/>
      <c r="Y69" s="2175"/>
      <c r="Z69" s="2175"/>
      <c r="AA69" s="2176"/>
      <c r="AB69" s="1190"/>
      <c r="AC69" s="2177" t="s">
        <v>2393</v>
      </c>
      <c r="AD69" s="2178"/>
      <c r="AE69" s="2178"/>
      <c r="AF69" s="2178"/>
      <c r="AG69" s="2178"/>
      <c r="AH69" s="2178"/>
      <c r="AI69" s="2178"/>
      <c r="AJ69" s="2178"/>
      <c r="AK69" s="2178"/>
      <c r="AL69" s="2178"/>
      <c r="AM69" s="2178"/>
      <c r="AN69" s="2178"/>
      <c r="AO69" s="2178"/>
      <c r="AP69" s="2178"/>
      <c r="AQ69" s="2178"/>
      <c r="AR69" s="2178"/>
      <c r="AS69" s="2178"/>
      <c r="AT69" s="2178"/>
      <c r="AU69" s="2178"/>
      <c r="AV69" s="2171" t="s">
        <v>2388</v>
      </c>
      <c r="AW69" s="2077"/>
      <c r="AX69" s="2077"/>
      <c r="AY69" s="2077"/>
      <c r="AZ69" s="2077"/>
      <c r="BA69" s="2077"/>
      <c r="BB69" s="2077"/>
      <c r="BC69" s="2078"/>
      <c r="BD69" s="1190"/>
      <c r="BE69" s="1194"/>
      <c r="BM69" s="1200" t="s">
        <v>546</v>
      </c>
    </row>
    <row r="70" spans="1:94" ht="15.75" customHeight="1">
      <c r="A70" s="1190"/>
      <c r="B70" s="2154" t="s">
        <v>2392</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2391</v>
      </c>
      <c r="AD70" s="2022"/>
      <c r="AE70" s="2022"/>
      <c r="AF70" s="2165" t="s">
        <v>2681</v>
      </c>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670</v>
      </c>
    </row>
    <row r="71" spans="1:94" ht="15.75" customHeight="1" thickBot="1">
      <c r="A71" s="1190"/>
      <c r="B71" s="2154" t="s">
        <v>2390</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2389</v>
      </c>
      <c r="AD71" s="2168"/>
      <c r="AE71" s="2168"/>
      <c r="AF71" s="2169" t="s">
        <v>2720</v>
      </c>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2388</v>
      </c>
    </row>
    <row r="72" spans="1:94" ht="15.75" customHeight="1">
      <c r="A72" s="1190"/>
      <c r="B72" s="2154" t="s">
        <v>2387</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2386</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2385</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94" t="s">
        <v>2721</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39" t="s">
        <v>2722</v>
      </c>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2383</v>
      </c>
      <c r="C80" s="2143"/>
      <c r="D80" s="2143"/>
      <c r="E80" s="2143"/>
      <c r="F80" s="2143"/>
      <c r="G80" s="2143"/>
      <c r="H80" s="2143"/>
      <c r="I80" s="2143"/>
      <c r="J80" s="2143"/>
      <c r="K80" s="2143"/>
      <c r="L80" s="2143"/>
      <c r="M80" s="2143"/>
      <c r="N80" s="2143"/>
      <c r="O80" s="2143"/>
      <c r="P80" s="2143"/>
      <c r="Q80" s="2143"/>
      <c r="R80" s="2145">
        <f>IFERROR(INDEX(BR96:BR98,MATCH(F79,$BQ$96:$BQ$98,0))/SUM($BR$96:$BR$98),"")</f>
        <v>0.51</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2382</v>
      </c>
      <c r="C81" s="2149"/>
      <c r="D81" s="2149"/>
      <c r="E81" s="2149"/>
      <c r="F81" s="2149"/>
      <c r="G81" s="2149"/>
      <c r="H81" s="2149"/>
      <c r="I81" s="2149"/>
      <c r="J81" s="2149"/>
      <c r="K81" s="2149"/>
      <c r="L81" s="2149"/>
      <c r="M81" s="2149"/>
      <c r="N81" s="2149"/>
      <c r="O81" s="2149"/>
      <c r="P81" s="2149"/>
      <c r="Q81" s="2149"/>
      <c r="R81" s="2130">
        <v>1</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2381</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2380</v>
      </c>
      <c r="AK83" s="2119"/>
      <c r="AL83" s="2119"/>
      <c r="AM83" s="2119"/>
      <c r="AN83" s="2119"/>
      <c r="AO83" s="2119"/>
      <c r="AP83" s="2119"/>
      <c r="AQ83" s="2119"/>
      <c r="AR83" s="2119"/>
      <c r="AS83" s="2119"/>
      <c r="AT83" s="2119"/>
      <c r="AU83" s="2119"/>
      <c r="AV83" s="2119"/>
      <c r="AW83" s="2119"/>
      <c r="AX83" s="2119"/>
      <c r="AY83" s="2135" t="s">
        <v>546</v>
      </c>
      <c r="AZ83" s="2135"/>
      <c r="BA83" s="2135"/>
      <c r="BB83" s="2136"/>
      <c r="BC83" s="1190"/>
      <c r="BD83" s="1190"/>
      <c r="BE83" s="1194"/>
      <c r="CK83" s="1188"/>
      <c r="CL83" s="1188"/>
      <c r="CM83" s="1188"/>
      <c r="CN83" s="1188"/>
      <c r="CO83" s="1188"/>
      <c r="CP83" s="1188"/>
    </row>
    <row r="84" spans="1:94" ht="15.75" customHeight="1">
      <c r="A84" s="1190"/>
      <c r="B84" s="2129"/>
      <c r="C84" s="2098"/>
      <c r="D84" s="2098"/>
      <c r="E84" s="2098"/>
      <c r="F84" s="2098"/>
      <c r="G84" s="2098"/>
      <c r="H84" s="2098"/>
      <c r="I84" s="2098" t="s">
        <v>2370</v>
      </c>
      <c r="J84" s="2098"/>
      <c r="K84" s="2098"/>
      <c r="L84" s="2098"/>
      <c r="M84" s="2098"/>
      <c r="N84" s="2098"/>
      <c r="O84" s="2098" t="s">
        <v>2348</v>
      </c>
      <c r="P84" s="2098"/>
      <c r="Q84" s="2098"/>
      <c r="R84" s="2098"/>
      <c r="S84" s="2098"/>
      <c r="T84" s="2098"/>
      <c r="U84" s="2098"/>
      <c r="V84" s="2133" t="s">
        <v>2347</v>
      </c>
      <c r="W84" s="2133"/>
      <c r="X84" s="2133"/>
      <c r="Y84" s="2133"/>
      <c r="Z84" s="2133"/>
      <c r="AA84" s="2133"/>
      <c r="AB84" s="2067" t="s">
        <v>2369</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8"/>
      <c r="D85" s="2098"/>
      <c r="E85" s="2098"/>
      <c r="F85" s="2098"/>
      <c r="G85" s="2098"/>
      <c r="H85" s="2098"/>
      <c r="I85" s="2098"/>
      <c r="J85" s="2098"/>
      <c r="K85" s="2098"/>
      <c r="L85" s="2098"/>
      <c r="M85" s="2098"/>
      <c r="N85" s="2098"/>
      <c r="O85" s="2098"/>
      <c r="P85" s="2098"/>
      <c r="Q85" s="2098"/>
      <c r="R85" s="2098"/>
      <c r="S85" s="2098"/>
      <c r="T85" s="2098"/>
      <c r="U85" s="2098"/>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2368</v>
      </c>
      <c r="C86" s="2098"/>
      <c r="D86" s="2098"/>
      <c r="E86" s="2098"/>
      <c r="F86" s="2098"/>
      <c r="G86" s="2098"/>
      <c r="H86" s="2098"/>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2367</v>
      </c>
      <c r="C87" s="2098"/>
      <c r="D87" s="2098"/>
      <c r="E87" s="2098"/>
      <c r="F87" s="2098"/>
      <c r="G87" s="2098"/>
      <c r="H87" s="2098"/>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2723</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2366</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2378</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2377</v>
      </c>
      <c r="C94" s="2149"/>
      <c r="D94" s="2149"/>
      <c r="E94" s="2149"/>
      <c r="F94" s="2149"/>
      <c r="G94" s="2149"/>
      <c r="H94" s="2149"/>
      <c r="I94" s="2149"/>
      <c r="J94" s="2149"/>
      <c r="K94" s="2149"/>
      <c r="L94" s="2149"/>
      <c r="M94" s="2149"/>
      <c r="N94" s="2149"/>
      <c r="O94" s="2149"/>
      <c r="P94" s="2149"/>
      <c r="Q94" s="2150"/>
      <c r="R94" s="2130" t="s">
        <v>2190</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2376</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2375</v>
      </c>
      <c r="AK96" s="2119"/>
      <c r="AL96" s="2119"/>
      <c r="AM96" s="2119"/>
      <c r="AN96" s="2119"/>
      <c r="AO96" s="2119"/>
      <c r="AP96" s="2119"/>
      <c r="AQ96" s="2119"/>
      <c r="AR96" s="2119"/>
      <c r="AS96" s="2119"/>
      <c r="AT96" s="2119"/>
      <c r="AU96" s="2119"/>
      <c r="AV96" s="2119"/>
      <c r="AW96" s="2119"/>
      <c r="AX96" s="2119"/>
      <c r="AY96" s="2135" t="s">
        <v>546</v>
      </c>
      <c r="AZ96" s="2135"/>
      <c r="BA96" s="2135"/>
      <c r="BB96" s="2136"/>
      <c r="BC96" s="1190"/>
      <c r="BD96" s="1190"/>
      <c r="BE96" s="1194"/>
      <c r="BQ96" s="1256" t="str">
        <f>Application!M243&amp;IF(TRIM(Application!AA249)&lt;&gt;""," ("&amp;Application!AA249&amp;")","")</f>
        <v>638 Berendo Partners, LLC (Hankey Investment Company)</v>
      </c>
      <c r="BR96" s="1259">
        <f>Application!AH246</f>
        <v>5.1000000000000004E-3</v>
      </c>
      <c r="CM96" s="1188"/>
      <c r="CN96" s="1188"/>
      <c r="CO96" s="1188"/>
      <c r="CP96" s="1188"/>
    </row>
    <row r="97" spans="1:94" ht="15.75" customHeight="1">
      <c r="A97" s="1190"/>
      <c r="B97" s="2129"/>
      <c r="C97" s="2098"/>
      <c r="D97" s="2098"/>
      <c r="E97" s="2098"/>
      <c r="F97" s="2098"/>
      <c r="G97" s="2098"/>
      <c r="H97" s="2098"/>
      <c r="I97" s="2098" t="s">
        <v>2370</v>
      </c>
      <c r="J97" s="2098"/>
      <c r="K97" s="2098"/>
      <c r="L97" s="2098"/>
      <c r="M97" s="2098"/>
      <c r="N97" s="2098"/>
      <c r="O97" s="2098" t="s">
        <v>2348</v>
      </c>
      <c r="P97" s="2098"/>
      <c r="Q97" s="2098"/>
      <c r="R97" s="2098"/>
      <c r="S97" s="2098"/>
      <c r="T97" s="2098"/>
      <c r="U97" s="2098"/>
      <c r="V97" s="2133" t="s">
        <v>2347</v>
      </c>
      <c r="W97" s="2133"/>
      <c r="X97" s="2133"/>
      <c r="Y97" s="2133"/>
      <c r="Z97" s="2133"/>
      <c r="AA97" s="2133"/>
      <c r="AB97" s="2067" t="s">
        <v>2369</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Kingdom BE LLC (Kingdom Development, Inc.)</v>
      </c>
      <c r="BR97" s="1259">
        <f>Application!AH254</f>
        <v>4.8999999999999998E-3</v>
      </c>
      <c r="CM97" s="1188"/>
      <c r="CN97" s="1188"/>
      <c r="CO97" s="1188"/>
      <c r="CP97" s="1188"/>
    </row>
    <row r="98" spans="1:94" ht="15.75" customHeight="1">
      <c r="A98" s="1190"/>
      <c r="B98" s="2129"/>
      <c r="C98" s="2098"/>
      <c r="D98" s="2098"/>
      <c r="E98" s="2098"/>
      <c r="F98" s="2098"/>
      <c r="G98" s="2098"/>
      <c r="H98" s="2098"/>
      <c r="I98" s="2098"/>
      <c r="J98" s="2098"/>
      <c r="K98" s="2098"/>
      <c r="L98" s="2098"/>
      <c r="M98" s="2098"/>
      <c r="N98" s="2098"/>
      <c r="O98" s="2098"/>
      <c r="P98" s="2098"/>
      <c r="Q98" s="2098"/>
      <c r="R98" s="2098"/>
      <c r="S98" s="2098"/>
      <c r="T98" s="2098"/>
      <c r="U98" s="2098"/>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9" t="s">
        <v>2368</v>
      </c>
      <c r="C99" s="2098"/>
      <c r="D99" s="2098"/>
      <c r="E99" s="2098"/>
      <c r="F99" s="2098"/>
      <c r="G99" s="2098"/>
      <c r="H99" s="2098"/>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2367</v>
      </c>
      <c r="C100" s="2098"/>
      <c r="D100" s="2098"/>
      <c r="E100" s="2098"/>
      <c r="F100" s="2098"/>
      <c r="G100" s="2098"/>
      <c r="H100" s="2098"/>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2374</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2366</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1" t="s">
        <v>2625</v>
      </c>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0">
        <f>Application!AH254*100</f>
        <v>0.49</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2371</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8"/>
      <c r="D108" s="2098"/>
      <c r="E108" s="2098"/>
      <c r="F108" s="2098"/>
      <c r="G108" s="2098"/>
      <c r="H108" s="2098"/>
      <c r="I108" s="2098" t="s">
        <v>2370</v>
      </c>
      <c r="J108" s="2098"/>
      <c r="K108" s="2098"/>
      <c r="L108" s="2098"/>
      <c r="M108" s="2098"/>
      <c r="N108" s="2098"/>
      <c r="O108" s="2098" t="s">
        <v>2348</v>
      </c>
      <c r="P108" s="2098"/>
      <c r="Q108" s="2098"/>
      <c r="R108" s="2098"/>
      <c r="S108" s="2098"/>
      <c r="T108" s="2098"/>
      <c r="U108" s="2098"/>
      <c r="V108" s="2133" t="s">
        <v>2347</v>
      </c>
      <c r="W108" s="2133"/>
      <c r="X108" s="2133"/>
      <c r="Y108" s="2133"/>
      <c r="Z108" s="2133"/>
      <c r="AA108" s="2133"/>
      <c r="AB108" s="2067" t="s">
        <v>2369</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8"/>
      <c r="D109" s="2098"/>
      <c r="E109" s="2098"/>
      <c r="F109" s="2098"/>
      <c r="G109" s="2098"/>
      <c r="H109" s="2098"/>
      <c r="I109" s="2098"/>
      <c r="J109" s="2098"/>
      <c r="K109" s="2098"/>
      <c r="L109" s="2098"/>
      <c r="M109" s="2098"/>
      <c r="N109" s="2098"/>
      <c r="O109" s="2098"/>
      <c r="P109" s="2098"/>
      <c r="Q109" s="2098"/>
      <c r="R109" s="2098"/>
      <c r="S109" s="2098"/>
      <c r="T109" s="2098"/>
      <c r="U109" s="2098"/>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2368</v>
      </c>
      <c r="C110" s="2098"/>
      <c r="D110" s="2098"/>
      <c r="E110" s="2098"/>
      <c r="F110" s="2098"/>
      <c r="G110" s="2098"/>
      <c r="H110" s="2098"/>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2367</v>
      </c>
      <c r="C111" s="2098"/>
      <c r="D111" s="2098"/>
      <c r="E111" s="2098"/>
      <c r="F111" s="2098"/>
      <c r="G111" s="2098"/>
      <c r="H111" s="2098"/>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2366</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1" t="str">
        <f>BQ101</f>
        <v>Aperto Property Management, Inc.</v>
      </c>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2364</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094" t="s">
        <v>2364</v>
      </c>
      <c r="C121" s="2111"/>
      <c r="D121" s="2111"/>
      <c r="E121" s="2111"/>
      <c r="F121" s="2111"/>
      <c r="G121" s="2111"/>
      <c r="H121" s="2111"/>
      <c r="I121" s="2111"/>
      <c r="J121" s="2111"/>
      <c r="K121" s="2111"/>
      <c r="L121" s="2111"/>
      <c r="M121" s="2111"/>
      <c r="N121" s="2111"/>
      <c r="O121" s="2111"/>
      <c r="P121" s="2111"/>
      <c r="Q121" s="2111"/>
      <c r="R121" s="2111"/>
      <c r="S121" s="2111"/>
      <c r="T121" s="2111"/>
      <c r="U121" s="2114" t="s">
        <v>546</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2362</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1577</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8" t="s">
        <v>2361</v>
      </c>
      <c r="J127" s="2098"/>
      <c r="K127" s="2098"/>
      <c r="L127" s="2098"/>
      <c r="M127" s="2098"/>
      <c r="N127" s="2098"/>
      <c r="O127" s="2099" t="s">
        <v>2360</v>
      </c>
      <c r="P127" s="2099"/>
      <c r="Q127" s="2099"/>
      <c r="R127" s="2099"/>
      <c r="S127" s="2099"/>
      <c r="T127" s="2099"/>
      <c r="U127" s="2100"/>
      <c r="V127" s="1190"/>
      <c r="W127" s="1190"/>
      <c r="X127" s="2094" t="s">
        <v>2724</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2346</v>
      </c>
      <c r="C128" s="2069"/>
      <c r="D128" s="2069"/>
      <c r="E128" s="2069"/>
      <c r="F128" s="2069"/>
      <c r="G128" s="2069"/>
      <c r="H128" s="2069"/>
      <c r="I128" s="2070">
        <v>131</v>
      </c>
      <c r="J128" s="2070"/>
      <c r="K128" s="2070"/>
      <c r="L128" s="2070"/>
      <c r="M128" s="2070"/>
      <c r="N128" s="2070"/>
      <c r="O128" s="2070">
        <v>11</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2345</v>
      </c>
      <c r="C129" s="2063"/>
      <c r="D129" s="2063"/>
      <c r="E129" s="2063"/>
      <c r="F129" s="2063"/>
      <c r="G129" s="2063"/>
      <c r="H129" s="2063"/>
      <c r="I129" s="2064">
        <v>0</v>
      </c>
      <c r="J129" s="2064"/>
      <c r="K129" s="2064"/>
      <c r="L129" s="2064"/>
      <c r="M129" s="2064"/>
      <c r="N129" s="2064"/>
      <c r="O129" s="2101"/>
      <c r="P129" s="2101"/>
      <c r="Q129" s="2101"/>
      <c r="R129" s="2101"/>
      <c r="S129" s="2101"/>
      <c r="T129" s="2101"/>
      <c r="U129" s="2102"/>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5" t="s">
        <v>2358</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2348</v>
      </c>
      <c r="J134" s="2072"/>
      <c r="K134" s="2072"/>
      <c r="L134" s="2072"/>
      <c r="M134" s="2072"/>
      <c r="N134" s="2072"/>
      <c r="O134" s="2072"/>
      <c r="P134" s="2072" t="s">
        <v>2347</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2346</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2345</v>
      </c>
      <c r="C137" s="2063"/>
      <c r="D137" s="2063"/>
      <c r="E137" s="2063"/>
      <c r="F137" s="2063"/>
      <c r="G137" s="2063"/>
      <c r="H137" s="2063"/>
      <c r="I137" s="2064">
        <v>29</v>
      </c>
      <c r="J137" s="2064"/>
      <c r="K137" s="2064"/>
      <c r="L137" s="2064"/>
      <c r="M137" s="2064"/>
      <c r="N137" s="2064"/>
      <c r="O137" s="2064"/>
      <c r="P137" s="2064">
        <v>10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2357</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2356</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t="s">
        <v>2725</v>
      </c>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2355</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2354</v>
      </c>
      <c r="C142" s="2080"/>
      <c r="D142" s="2080"/>
      <c r="E142" s="2080"/>
      <c r="F142" s="2080"/>
      <c r="G142" s="2080"/>
      <c r="H142" s="2080"/>
      <c r="I142" s="2080"/>
      <c r="J142" s="2080"/>
      <c r="K142" s="2080"/>
      <c r="L142" s="2080"/>
      <c r="M142" s="2080"/>
      <c r="N142" s="2080"/>
      <c r="O142" s="2080"/>
      <c r="P142" s="2080"/>
      <c r="Q142" s="2080"/>
      <c r="R142" s="2081" t="s">
        <v>2726</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250</v>
      </c>
      <c r="BD142" s="1190"/>
      <c r="BE142" s="1194"/>
    </row>
    <row r="143" spans="1:57" ht="15.75" customHeight="1">
      <c r="A143" s="1190"/>
      <c r="B143" s="2083" t="s">
        <v>2727</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2351</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2350</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2348</v>
      </c>
      <c r="J157" s="2072"/>
      <c r="K157" s="2072"/>
      <c r="L157" s="2072"/>
      <c r="M157" s="2072"/>
      <c r="N157" s="2072"/>
      <c r="O157" s="2072"/>
      <c r="P157" s="2072" t="s">
        <v>2349</v>
      </c>
      <c r="Q157" s="2072"/>
      <c r="R157" s="2072"/>
      <c r="S157" s="2072"/>
      <c r="T157" s="2072"/>
      <c r="U157" s="2073"/>
      <c r="V157" s="1190"/>
      <c r="W157" s="1190"/>
      <c r="X157" s="2034"/>
      <c r="Y157" s="2035"/>
      <c r="Z157" s="2035"/>
      <c r="AA157" s="2035"/>
      <c r="AB157" s="2035"/>
      <c r="AC157" s="2035"/>
      <c r="AD157" s="2035"/>
      <c r="AE157" s="2072" t="s">
        <v>2348</v>
      </c>
      <c r="AF157" s="2072"/>
      <c r="AG157" s="2072"/>
      <c r="AH157" s="2072"/>
      <c r="AI157" s="2072"/>
      <c r="AJ157" s="2072"/>
      <c r="AK157" s="2072"/>
      <c r="AL157" s="2072" t="s">
        <v>2347</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2346</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2346</v>
      </c>
      <c r="Y159" s="2063"/>
      <c r="Z159" s="2063"/>
      <c r="AA159" s="2063"/>
      <c r="AB159" s="2063"/>
      <c r="AC159" s="2063"/>
      <c r="AD159" s="2063"/>
      <c r="AE159" s="2064">
        <v>22</v>
      </c>
      <c r="AF159" s="2064"/>
      <c r="AG159" s="2064"/>
      <c r="AH159" s="2064"/>
      <c r="AI159" s="2064"/>
      <c r="AJ159" s="2064"/>
      <c r="AK159" s="2064"/>
      <c r="AL159" s="2064">
        <v>15</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2345</v>
      </c>
      <c r="C160" s="2063"/>
      <c r="D160" s="2063"/>
      <c r="E160" s="2063"/>
      <c r="F160" s="2063"/>
      <c r="G160" s="2063"/>
      <c r="H160" s="2063"/>
      <c r="I160" s="2064">
        <v>4</v>
      </c>
      <c r="J160" s="2064"/>
      <c r="K160" s="2064"/>
      <c r="L160" s="2064"/>
      <c r="M160" s="2064"/>
      <c r="N160" s="2064"/>
      <c r="O160" s="2064"/>
      <c r="P160" s="2064">
        <v>3</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2344</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2329</v>
      </c>
      <c r="D163" s="2035"/>
      <c r="E163" s="2035"/>
      <c r="F163" s="2035"/>
      <c r="G163" s="2035"/>
      <c r="H163" s="2035"/>
      <c r="I163" s="2035"/>
      <c r="J163" s="2035"/>
      <c r="K163" s="2035"/>
      <c r="L163" s="2035"/>
      <c r="M163" s="2035"/>
      <c r="N163" s="2035"/>
      <c r="O163" s="2035"/>
      <c r="P163" s="2035"/>
      <c r="Q163" s="2035" t="s">
        <v>2343</v>
      </c>
      <c r="R163" s="2035"/>
      <c r="S163" s="2035"/>
      <c r="T163" s="2067" t="s">
        <v>2342</v>
      </c>
      <c r="U163" s="2067"/>
      <c r="V163" s="2067"/>
      <c r="W163" s="2067"/>
      <c r="X163" s="2067"/>
      <c r="Y163" s="2067"/>
      <c r="Z163" s="2067"/>
      <c r="AA163" s="2067"/>
      <c r="AB163" s="2035" t="s">
        <v>2341</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2340</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2339</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2338</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2337</v>
      </c>
      <c r="D167" s="2050"/>
      <c r="E167" s="2050"/>
      <c r="F167" s="2050"/>
      <c r="G167" s="2050"/>
      <c r="H167" s="2050"/>
      <c r="I167" s="2050"/>
      <c r="J167" s="2050"/>
      <c r="K167" s="2050"/>
      <c r="L167" s="2050"/>
      <c r="M167" s="2050"/>
      <c r="N167" s="2050"/>
      <c r="O167" s="2050"/>
      <c r="P167" s="2050"/>
      <c r="Q167" s="1992">
        <v>55</v>
      </c>
      <c r="R167" s="1992"/>
      <c r="S167" s="1992"/>
      <c r="T167" s="2043">
        <v>45717</v>
      </c>
      <c r="U167" s="2043"/>
      <c r="V167" s="2043"/>
      <c r="W167" s="2043"/>
      <c r="X167" s="2043"/>
      <c r="Y167" s="2043"/>
      <c r="Z167" s="2043"/>
      <c r="AA167" s="2043"/>
      <c r="AB167" s="2053">
        <v>300000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170</v>
      </c>
      <c r="D168" s="2050"/>
      <c r="E168" s="2050"/>
      <c r="F168" s="2051" t="s">
        <v>2318</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170</v>
      </c>
      <c r="D169" s="2050"/>
      <c r="E169" s="2050"/>
      <c r="F169" s="2051" t="s">
        <v>2318</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170</v>
      </c>
      <c r="D170" s="2056"/>
      <c r="E170" s="2056"/>
      <c r="F170" s="2057" t="s">
        <v>2318</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2336</v>
      </c>
      <c r="D172" s="2021"/>
      <c r="E172" s="2021"/>
      <c r="F172" s="2021"/>
      <c r="G172" s="2021"/>
      <c r="H172" s="2021"/>
      <c r="I172" s="2021"/>
      <c r="J172" s="2021"/>
      <c r="K172" s="2021"/>
      <c r="L172" s="2021"/>
      <c r="M172" s="2021"/>
      <c r="N172" s="2030"/>
      <c r="O172" s="1190"/>
      <c r="P172" s="2031" t="s">
        <v>2335</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2334</v>
      </c>
      <c r="D173" s="2035"/>
      <c r="E173" s="2035"/>
      <c r="F173" s="2035"/>
      <c r="G173" s="2035"/>
      <c r="H173" s="2035"/>
      <c r="I173" s="2035" t="s">
        <v>2333</v>
      </c>
      <c r="J173" s="2035"/>
      <c r="K173" s="2035"/>
      <c r="L173" s="2035"/>
      <c r="M173" s="2035"/>
      <c r="N173" s="2036"/>
      <c r="O173" s="1190"/>
      <c r="P173" s="2037" t="s">
        <v>2332</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t="s">
        <v>2728</v>
      </c>
      <c r="D174" s="1983"/>
      <c r="E174" s="1983"/>
      <c r="F174" s="1983"/>
      <c r="G174" s="1983"/>
      <c r="H174" s="1983"/>
      <c r="I174" s="2043">
        <v>45726</v>
      </c>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2331</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2329</v>
      </c>
      <c r="D184" s="2021"/>
      <c r="E184" s="2021"/>
      <c r="F184" s="2021"/>
      <c r="G184" s="2021"/>
      <c r="H184" s="2021"/>
      <c r="I184" s="2021"/>
      <c r="J184" s="2021"/>
      <c r="K184" s="2021"/>
      <c r="L184" s="2021"/>
      <c r="M184" s="2021"/>
      <c r="N184" s="2021" t="s">
        <v>2330</v>
      </c>
      <c r="O184" s="2021"/>
      <c r="P184" s="2021"/>
      <c r="Q184" s="2021"/>
      <c r="R184" s="2021"/>
      <c r="S184" s="2021"/>
      <c r="T184" s="2021"/>
      <c r="U184" s="2022" t="s">
        <v>2329</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2328</v>
      </c>
      <c r="D185" s="2000"/>
      <c r="E185" s="2000"/>
      <c r="F185" s="2000"/>
      <c r="G185" s="2000"/>
      <c r="H185" s="2000"/>
      <c r="I185" s="2000"/>
      <c r="J185" s="2000"/>
      <c r="K185" s="2000"/>
      <c r="L185" s="2000"/>
      <c r="M185" s="2000"/>
      <c r="N185" s="2010">
        <f>'Sources and Uses Budget'!B105</f>
        <v>52831062</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2327</v>
      </c>
      <c r="D186" s="2000"/>
      <c r="E186" s="2000"/>
      <c r="F186" s="2000"/>
      <c r="G186" s="2000"/>
      <c r="H186" s="2000"/>
      <c r="I186" s="2000"/>
      <c r="J186" s="2000"/>
      <c r="K186" s="2000"/>
      <c r="L186" s="2000"/>
      <c r="M186" s="2000"/>
      <c r="N186" s="2010">
        <f>N185/J29</f>
        <v>324116.94478527608</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2326</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2325</v>
      </c>
      <c r="D188" s="2000"/>
      <c r="E188" s="2000"/>
      <c r="F188" s="2000"/>
      <c r="G188" s="2000"/>
      <c r="H188" s="2000"/>
      <c r="I188" s="2000"/>
      <c r="J188" s="2000"/>
      <c r="K188" s="2000"/>
      <c r="L188" s="2000"/>
      <c r="M188" s="2000"/>
      <c r="N188" s="2029">
        <f>SUM('Sources and Uses Budget'!B85:B86)</f>
        <v>1545740</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2324</v>
      </c>
      <c r="D189" s="2000"/>
      <c r="E189" s="2000"/>
      <c r="F189" s="2000"/>
      <c r="G189" s="2000"/>
      <c r="H189" s="2000"/>
      <c r="I189" s="2000"/>
      <c r="J189" s="2000"/>
      <c r="K189" s="2000"/>
      <c r="L189" s="2000"/>
      <c r="M189" s="2000"/>
      <c r="N189" s="2029">
        <f>'Sources and Uses Budget'!B8</f>
        <v>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2322</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2323</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2322</v>
      </c>
      <c r="AI190" s="2002"/>
      <c r="AJ190" s="2002"/>
      <c r="AK190" s="2002"/>
      <c r="AL190" s="2002"/>
      <c r="AM190" s="2002"/>
      <c r="AN190" s="2002"/>
      <c r="AO190" s="2002"/>
      <c r="AP190" s="2002"/>
      <c r="AQ190" s="2002"/>
      <c r="AR190" s="2002"/>
      <c r="AS190" s="2002"/>
      <c r="AT190" s="2002"/>
      <c r="AU190" s="2003">
        <f>Application!AO629</f>
        <v>4182834</v>
      </c>
      <c r="AV190" s="2003"/>
      <c r="AW190" s="2003"/>
      <c r="AX190" s="2003"/>
      <c r="AY190" s="2003"/>
      <c r="AZ190" s="2003"/>
      <c r="BA190" s="2003"/>
      <c r="BB190" s="2003"/>
      <c r="BC190" s="2004"/>
      <c r="BD190" s="2005"/>
      <c r="BE190" s="2006"/>
    </row>
    <row r="191" spans="1:57" ht="15.75" customHeight="1">
      <c r="A191" s="1190"/>
      <c r="B191" s="1190"/>
      <c r="C191" s="1999" t="s">
        <v>2321</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2320</v>
      </c>
      <c r="AI191" s="2018"/>
      <c r="AJ191" s="2018"/>
      <c r="AK191" s="2018"/>
      <c r="AL191" s="2018"/>
      <c r="AM191" s="2018"/>
      <c r="AN191" s="2018"/>
      <c r="AO191" s="2018"/>
      <c r="AP191" s="2018"/>
      <c r="AQ191" s="2018"/>
      <c r="AR191" s="2018"/>
      <c r="AS191" s="2018"/>
      <c r="AT191" s="2018"/>
      <c r="AU191" s="2019">
        <f>'Sources and Uses Budget'!E99</f>
        <v>689192</v>
      </c>
      <c r="AV191" s="2019"/>
      <c r="AW191" s="2019"/>
      <c r="AX191" s="2019"/>
      <c r="AY191" s="2019"/>
      <c r="AZ191" s="2019"/>
      <c r="BA191" s="2019"/>
      <c r="BB191" s="2019"/>
      <c r="BC191" s="2007"/>
      <c r="BD191" s="2008"/>
      <c r="BE191" s="2009"/>
    </row>
    <row r="192" spans="1:57" ht="15.75" customHeight="1">
      <c r="A192" s="1190"/>
      <c r="B192" s="1190"/>
      <c r="C192" s="1991" t="s">
        <v>300</v>
      </c>
      <c r="D192" s="1992"/>
      <c r="E192" s="1984" t="s">
        <v>2318</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2319</v>
      </c>
      <c r="AI192" s="1994"/>
      <c r="AJ192" s="1994"/>
      <c r="AK192" s="1994"/>
      <c r="AL192" s="1994"/>
      <c r="AM192" s="1994"/>
      <c r="AN192" s="1994"/>
      <c r="AO192" s="1994"/>
      <c r="AP192" s="1994"/>
      <c r="AQ192" s="1994"/>
      <c r="AR192" s="1994"/>
      <c r="AS192" s="1994"/>
      <c r="AT192" s="1994"/>
      <c r="AU192" s="1995">
        <f>SUM(AU190:BB191)</f>
        <v>4872026</v>
      </c>
      <c r="AV192" s="1995"/>
      <c r="AW192" s="1995"/>
      <c r="AX192" s="1995"/>
      <c r="AY192" s="1995"/>
      <c r="AZ192" s="1995"/>
      <c r="BA192" s="1995"/>
      <c r="BB192" s="1995"/>
      <c r="BC192" s="2007"/>
      <c r="BD192" s="2008"/>
      <c r="BE192" s="2009"/>
    </row>
    <row r="193" spans="1:57" ht="15.75" customHeight="1" thickBot="1">
      <c r="A193" s="1190"/>
      <c r="B193" s="1190"/>
      <c r="C193" s="1982" t="s">
        <v>300</v>
      </c>
      <c r="D193" s="1983"/>
      <c r="E193" s="1984" t="s">
        <v>2318</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300</v>
      </c>
      <c r="D194" s="1971"/>
      <c r="E194" s="1972" t="s">
        <v>2318</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2317</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2316</v>
      </c>
      <c r="D195" s="1954"/>
      <c r="E195" s="1954"/>
      <c r="F195" s="1954"/>
      <c r="G195" s="1954"/>
      <c r="H195" s="1954"/>
      <c r="I195" s="1954"/>
      <c r="J195" s="1954"/>
      <c r="K195" s="1954"/>
      <c r="L195" s="1954"/>
      <c r="M195" s="1954"/>
      <c r="N195" s="1955">
        <f>SUM(N187:T194)</f>
        <v>1545740</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2315</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2314</v>
      </c>
      <c r="D196" s="1964"/>
      <c r="E196" s="1964"/>
      <c r="F196" s="1964"/>
      <c r="G196" s="1964"/>
      <c r="H196" s="1964"/>
      <c r="I196" s="1964"/>
      <c r="J196" s="1964"/>
      <c r="K196" s="1964"/>
      <c r="L196" s="1964"/>
      <c r="M196" s="1964"/>
      <c r="N196" s="1965">
        <f>(N185-N195)/J29</f>
        <v>314633.8773006135</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2313</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2312</v>
      </c>
      <c r="D200" s="1951"/>
      <c r="E200" s="1951"/>
      <c r="F200" s="1951"/>
      <c r="G200" s="1951"/>
      <c r="H200" s="1951"/>
      <c r="I200" s="1951"/>
      <c r="J200" s="1951"/>
      <c r="K200" s="1951"/>
      <c r="L200" s="1951"/>
      <c r="M200" s="1951"/>
      <c r="N200" s="1951"/>
      <c r="O200" s="1952" t="s">
        <v>2311</v>
      </c>
      <c r="P200" s="1952"/>
      <c r="Q200" s="1952"/>
      <c r="R200" s="1952"/>
      <c r="S200" s="1952"/>
      <c r="T200" s="1952"/>
      <c r="U200" s="1952"/>
      <c r="V200" s="1952"/>
      <c r="W200" s="1952"/>
      <c r="X200" s="1952" t="s">
        <v>2310</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2309</v>
      </c>
      <c r="D201" s="1943"/>
      <c r="E201" s="1943"/>
      <c r="F201" s="1943"/>
      <c r="G201" s="1943"/>
      <c r="H201" s="1943"/>
      <c r="I201" s="1943"/>
      <c r="J201" s="1943"/>
      <c r="K201" s="1943"/>
      <c r="L201" s="1943"/>
      <c r="M201" s="1943"/>
      <c r="N201" s="1943"/>
      <c r="O201" s="1944">
        <f>'15 Year Pro Forma'!E60</f>
        <v>248281.85000000009</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855</v>
      </c>
      <c r="D202" s="1943"/>
      <c r="E202" s="1943"/>
      <c r="F202" s="1943"/>
      <c r="G202" s="1943"/>
      <c r="H202" s="1943"/>
      <c r="I202" s="1943"/>
      <c r="J202" s="1943"/>
      <c r="K202" s="1943"/>
      <c r="L202" s="1943"/>
      <c r="M202" s="1943"/>
      <c r="N202" s="1943"/>
      <c r="O202" s="1944">
        <f>'15 Year Pro Forma'!E61</f>
        <v>0</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2308</v>
      </c>
      <c r="D203" s="1943"/>
      <c r="E203" s="1943"/>
      <c r="F203" s="1943"/>
      <c r="G203" s="1943"/>
      <c r="H203" s="1943"/>
      <c r="I203" s="1943"/>
      <c r="J203" s="1943"/>
      <c r="K203" s="1943"/>
      <c r="L203" s="1943"/>
      <c r="M203" s="1943"/>
      <c r="N203" s="1943"/>
      <c r="O203" s="1946">
        <f>SUM(O201:W202)</f>
        <v>248281.85000000009</v>
      </c>
      <c r="P203" s="1947"/>
      <c r="Q203" s="1947"/>
      <c r="R203" s="1947"/>
      <c r="S203" s="1947"/>
      <c r="T203" s="1947"/>
      <c r="U203" s="1947"/>
      <c r="V203" s="1947"/>
      <c r="W203" s="1947"/>
      <c r="X203" s="1947" t="s">
        <v>2307</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2306</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2305</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2304</v>
      </c>
      <c r="D207" s="1922"/>
      <c r="E207" s="1922"/>
      <c r="F207" s="1923"/>
      <c r="G207" s="1927" t="s">
        <v>2303</v>
      </c>
      <c r="H207" s="1922"/>
      <c r="I207" s="1922"/>
      <c r="J207" s="1922"/>
      <c r="K207" s="1922"/>
      <c r="L207" s="1922"/>
      <c r="M207" s="1922"/>
      <c r="N207" s="1922"/>
      <c r="O207" s="1923"/>
      <c r="P207" s="1929" t="s">
        <v>2302</v>
      </c>
      <c r="Q207" s="1930"/>
      <c r="R207" s="1930"/>
      <c r="S207" s="1930"/>
      <c r="T207" s="1931"/>
      <c r="U207" s="1935" t="s">
        <v>2301</v>
      </c>
      <c r="V207" s="1936"/>
      <c r="W207" s="1936"/>
      <c r="X207" s="1937"/>
      <c r="Y207" s="1935" t="s">
        <v>2300</v>
      </c>
      <c r="Z207" s="1936"/>
      <c r="AA207" s="1936"/>
      <c r="AB207" s="1937"/>
      <c r="AC207" s="1935" t="s">
        <v>2299</v>
      </c>
      <c r="AD207" s="1936"/>
      <c r="AE207" s="1936"/>
      <c r="AF207" s="1937"/>
      <c r="AG207" s="1927" t="s">
        <v>2298</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2730</v>
      </c>
      <c r="H209" s="1912"/>
      <c r="I209" s="1912"/>
      <c r="J209" s="1912"/>
      <c r="K209" s="1912"/>
      <c r="L209" s="1912"/>
      <c r="M209" s="1912"/>
      <c r="N209" s="1912"/>
      <c r="O209" s="1912"/>
      <c r="P209" s="1913">
        <v>46023</v>
      </c>
      <c r="Q209" s="1916"/>
      <c r="R209" s="1916"/>
      <c r="S209" s="1916"/>
      <c r="T209" s="1916"/>
      <c r="U209" s="1914">
        <v>-3167301.6</v>
      </c>
      <c r="V209" s="1914"/>
      <c r="W209" s="1914"/>
      <c r="X209" s="1914"/>
      <c r="Y209" s="1914" t="s">
        <v>1886</v>
      </c>
      <c r="Z209" s="1914"/>
      <c r="AA209" s="1914"/>
      <c r="AB209" s="1914"/>
      <c r="AC209" s="1915" t="s">
        <v>1886</v>
      </c>
      <c r="AD209" s="1915"/>
      <c r="AE209" s="1915"/>
      <c r="AF209" s="1915"/>
      <c r="AG209" s="1899" t="s">
        <v>2729</v>
      </c>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2731</v>
      </c>
      <c r="H210" s="1912"/>
      <c r="I210" s="1912"/>
      <c r="J210" s="1912"/>
      <c r="K210" s="1912"/>
      <c r="L210" s="1912"/>
      <c r="M210" s="1912"/>
      <c r="N210" s="1912"/>
      <c r="O210" s="1912"/>
      <c r="P210" s="1913">
        <v>46722</v>
      </c>
      <c r="Q210" s="1913"/>
      <c r="R210" s="1913"/>
      <c r="S210" s="1913"/>
      <c r="T210" s="1913"/>
      <c r="U210" s="1914">
        <v>-3167301.6</v>
      </c>
      <c r="V210" s="1914"/>
      <c r="W210" s="1914"/>
      <c r="X210" s="1914"/>
      <c r="Y210" s="1914" t="s">
        <v>1886</v>
      </c>
      <c r="Z210" s="1914"/>
      <c r="AA210" s="1914"/>
      <c r="AB210" s="1914"/>
      <c r="AC210" s="1915" t="s">
        <v>1886</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2732</v>
      </c>
      <c r="H211" s="1912"/>
      <c r="I211" s="1912"/>
      <c r="J211" s="1912"/>
      <c r="K211" s="1912"/>
      <c r="L211" s="1912"/>
      <c r="M211" s="1912"/>
      <c r="N211" s="1912"/>
      <c r="O211" s="1912"/>
      <c r="P211" s="1913">
        <v>46813</v>
      </c>
      <c r="Q211" s="1913"/>
      <c r="R211" s="1913"/>
      <c r="S211" s="1913"/>
      <c r="T211" s="1913"/>
      <c r="U211" s="1914">
        <v>-14595843.297842801</v>
      </c>
      <c r="V211" s="1914"/>
      <c r="W211" s="1914"/>
      <c r="X211" s="1914"/>
      <c r="Y211" s="1914" t="s">
        <v>1886</v>
      </c>
      <c r="Z211" s="1914"/>
      <c r="AA211" s="1914"/>
      <c r="AB211" s="1914"/>
      <c r="AC211" s="1915" t="s">
        <v>1886</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2733</v>
      </c>
      <c r="H212" s="1912"/>
      <c r="I212" s="1912"/>
      <c r="J212" s="1912"/>
      <c r="K212" s="1912"/>
      <c r="L212" s="1912"/>
      <c r="M212" s="1912"/>
      <c r="N212" s="1912"/>
      <c r="O212" s="1912"/>
      <c r="P212" s="1913">
        <v>46905</v>
      </c>
      <c r="Q212" s="1913"/>
      <c r="R212" s="1913"/>
      <c r="S212" s="1913"/>
      <c r="T212" s="1913"/>
      <c r="U212" s="1914">
        <v>-184897.713310608</v>
      </c>
      <c r="V212" s="1914"/>
      <c r="W212" s="1914"/>
      <c r="X212" s="1914"/>
      <c r="Y212" s="1914" t="s">
        <v>1886</v>
      </c>
      <c r="Z212" s="1914"/>
      <c r="AA212" s="1914"/>
      <c r="AB212" s="1914"/>
      <c r="AC212" s="1915" t="s">
        <v>1886</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1886</v>
      </c>
      <c r="H213" s="1912"/>
      <c r="I213" s="1912"/>
      <c r="J213" s="1912"/>
      <c r="K213" s="1912"/>
      <c r="L213" s="1912"/>
      <c r="M213" s="1912"/>
      <c r="N213" s="1912"/>
      <c r="O213" s="1912"/>
      <c r="P213" s="1913"/>
      <c r="Q213" s="1913"/>
      <c r="R213" s="1913"/>
      <c r="S213" s="1913"/>
      <c r="T213" s="1913"/>
      <c r="U213" s="1914" t="s">
        <v>1886</v>
      </c>
      <c r="V213" s="1914"/>
      <c r="W213" s="1914"/>
      <c r="X213" s="1914"/>
      <c r="Y213" s="1914" t="s">
        <v>1886</v>
      </c>
      <c r="Z213" s="1914"/>
      <c r="AA213" s="1914"/>
      <c r="AB213" s="1914"/>
      <c r="AC213" s="1915" t="s">
        <v>1886</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1886</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1886</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1886</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2297</v>
      </c>
      <c r="D216" s="1903"/>
      <c r="E216" s="1903"/>
      <c r="F216" s="1903"/>
      <c r="G216" s="1903"/>
      <c r="H216" s="1903"/>
      <c r="I216" s="1903"/>
      <c r="J216" s="1903"/>
      <c r="K216" s="1903"/>
      <c r="L216" s="1903"/>
      <c r="M216" s="1903"/>
      <c r="N216" s="1903"/>
      <c r="O216" s="1903"/>
      <c r="P216" s="1904"/>
      <c r="Q216" s="1904"/>
      <c r="R216" s="1904"/>
      <c r="S216" s="1904"/>
      <c r="T216" s="1904"/>
      <c r="U216" s="1905">
        <f>-SUM(U209:U215)</f>
        <v>21115344.211153407</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2295</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2294</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2293</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2292</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2290</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2289</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2288</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2287</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2286</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442</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2285</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2284</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1281</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46674051</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498</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499</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500</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501</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806</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502</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503</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1264</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504</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505</v>
      </c>
      <c r="C23" s="2337"/>
      <c r="D23" s="2337"/>
      <c r="E23" s="2337"/>
      <c r="F23" s="2337"/>
      <c r="G23" s="2337"/>
      <c r="H23" s="2337"/>
      <c r="I23" s="2337"/>
      <c r="J23" s="2337"/>
      <c r="K23" s="2337"/>
      <c r="L23" s="2337"/>
      <c r="M23" s="2337"/>
      <c r="N23" s="2337"/>
      <c r="O23" s="2337"/>
      <c r="P23" s="2337"/>
      <c r="Q23" s="2337"/>
      <c r="R23" s="2337"/>
      <c r="S23" s="2338"/>
      <c r="T23" s="2349">
        <f>T11+T22</f>
        <v>46674051</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962</v>
      </c>
      <c r="C24" s="2337"/>
      <c r="D24" s="2337"/>
      <c r="E24" s="2337"/>
      <c r="F24" s="2337"/>
      <c r="G24" s="2337"/>
      <c r="H24" s="2337"/>
      <c r="I24" s="2337"/>
      <c r="J24" s="2337"/>
      <c r="K24" s="2337"/>
      <c r="L24" s="2337"/>
      <c r="M24" s="2337"/>
      <c r="N24" s="2337"/>
      <c r="O24" s="2337"/>
      <c r="P24" s="2337"/>
      <c r="Q24" s="2337"/>
      <c r="R24" s="2337"/>
      <c r="S24" s="2338"/>
      <c r="T24" s="2340">
        <f>Application!AJ1053</f>
        <v>139968115.99000001</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1265</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506</v>
      </c>
      <c r="C26" s="2337"/>
      <c r="D26" s="2337"/>
      <c r="E26" s="2337"/>
      <c r="F26" s="2337"/>
      <c r="G26" s="2337"/>
      <c r="H26" s="2337"/>
      <c r="I26" s="2337"/>
      <c r="J26" s="2337"/>
      <c r="K26" s="2337"/>
      <c r="L26" s="2337"/>
      <c r="M26" s="2337"/>
      <c r="N26" s="2337"/>
      <c r="O26" s="2337"/>
      <c r="P26" s="2337"/>
      <c r="Q26" s="2337"/>
      <c r="R26" s="2337"/>
      <c r="S26" s="2338"/>
      <c r="T26" s="2349">
        <f>T23*T25</f>
        <v>60676266.300000004</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4"/>
      <c r="B28" s="2336" t="s">
        <v>507</v>
      </c>
      <c r="C28" s="2337"/>
      <c r="D28" s="2337"/>
      <c r="E28" s="2337"/>
      <c r="F28" s="2337"/>
      <c r="G28" s="2337"/>
      <c r="H28" s="2337"/>
      <c r="I28" s="2337"/>
      <c r="J28" s="2337"/>
      <c r="K28" s="2337"/>
      <c r="L28" s="2337"/>
      <c r="M28" s="2337"/>
      <c r="N28" s="2337"/>
      <c r="O28" s="2337"/>
      <c r="P28" s="2337"/>
      <c r="Q28" s="2337"/>
      <c r="R28" s="2337"/>
      <c r="S28" s="2338"/>
      <c r="T28" s="2349">
        <f>IF(ISERROR((T26*T27)),0,(T26*T27))</f>
        <v>60676266.300000004</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524</v>
      </c>
      <c r="C29" s="2337"/>
      <c r="D29" s="2337"/>
      <c r="E29" s="2337"/>
      <c r="F29" s="2337"/>
      <c r="G29" s="2337"/>
      <c r="H29" s="2337"/>
      <c r="I29" s="2337"/>
      <c r="J29" s="2337"/>
      <c r="K29" s="2337"/>
      <c r="L29" s="2337"/>
      <c r="M29" s="2337"/>
      <c r="N29" s="2337"/>
      <c r="O29" s="2337"/>
      <c r="P29" s="2337"/>
      <c r="Q29" s="2337"/>
      <c r="R29" s="2337"/>
      <c r="S29" s="2338"/>
      <c r="T29" s="2340">
        <f>T28+Y28+AD28+AI28</f>
        <v>60676266.300000004</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1267</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1266</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1155</v>
      </c>
      <c r="Z35" s="2350"/>
      <c r="AA35" s="2350"/>
      <c r="AB35" s="2350"/>
      <c r="AC35" s="2350"/>
      <c r="AD35" s="2351" t="s">
        <v>369</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507</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60676266.300000004</v>
      </c>
      <c r="Z38" s="2330"/>
      <c r="AA38" s="2330"/>
      <c r="AB38" s="2330"/>
      <c r="AC38" s="2330"/>
      <c r="AD38" s="2330">
        <f>IF(T24&gt;=(T23+Y23+AD23+AI23),AD28+AI28,0)</f>
        <v>0</v>
      </c>
      <c r="AE38" s="2330"/>
      <c r="AF38" s="2330"/>
      <c r="AG38" s="2330"/>
      <c r="AH38" s="2330"/>
    </row>
    <row r="39" spans="1:76" ht="12.95" customHeight="1">
      <c r="B39" s="2336" t="s">
        <v>1692</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643</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2427051</v>
      </c>
      <c r="Z40" s="2330"/>
      <c r="AA40" s="2330"/>
      <c r="AB40" s="2330"/>
      <c r="AC40" s="2330"/>
      <c r="AD40" s="2349">
        <f>ROUND(AD38*AD39,0)</f>
        <v>0</v>
      </c>
      <c r="AE40" s="2330"/>
      <c r="AF40" s="2330"/>
      <c r="AG40" s="2330"/>
      <c r="AH40" s="2330"/>
    </row>
    <row r="41" spans="1:76" ht="12.95" customHeight="1">
      <c r="B41" s="2336" t="s">
        <v>644</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2427051</v>
      </c>
      <c r="Z41" s="2348"/>
      <c r="AA41" s="2348"/>
      <c r="AB41" s="2348"/>
      <c r="AC41" s="2348"/>
      <c r="AD41" s="2348"/>
      <c r="AE41" s="2348"/>
      <c r="AF41" s="2348"/>
      <c r="AG41" s="2348"/>
      <c r="AH41" s="234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1277</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52831062</v>
      </c>
      <c r="AC47" s="2345"/>
      <c r="AD47" s="2345"/>
      <c r="AE47" s="2345"/>
      <c r="AF47" s="2346"/>
    </row>
    <row r="48" spans="1:76" ht="12.95" customHeight="1">
      <c r="D48" s="404" t="s">
        <v>21</v>
      </c>
      <c r="AB48" s="2344">
        <f>Application!AO639-MAX(IF('Sources and Uses Budget'!B15="",0,'Sources and Uses Budget'!B15),IF(Application!AG394="",0,Application!AG394))</f>
        <v>31715718</v>
      </c>
      <c r="AC48" s="2345"/>
      <c r="AD48" s="2345"/>
      <c r="AE48" s="2345"/>
      <c r="AF48" s="2346"/>
    </row>
    <row r="49" spans="1:76" ht="12.95" customHeight="1">
      <c r="D49" s="404" t="s">
        <v>91</v>
      </c>
      <c r="AB49" s="2344">
        <f>AB47-AB48</f>
        <v>21115344</v>
      </c>
      <c r="AC49" s="2345"/>
      <c r="AD49" s="2345"/>
      <c r="AE49" s="2345"/>
      <c r="AF49" s="2346"/>
    </row>
    <row r="50" spans="1:76" ht="12.95" customHeight="1">
      <c r="D50" s="404" t="s">
        <v>682</v>
      </c>
      <c r="AA50" s="415"/>
      <c r="AB50" s="2332">
        <v>0.87</v>
      </c>
      <c r="AC50" s="2333"/>
      <c r="AD50" s="2333"/>
      <c r="AE50" s="2333"/>
      <c r="AF50" s="2334"/>
    </row>
    <row r="51" spans="1:76" s="417" customFormat="1" ht="12.95" customHeight="1">
      <c r="A51" s="402"/>
      <c r="B51" s="402"/>
      <c r="C51" s="402"/>
      <c r="D51" s="402"/>
      <c r="E51" s="2343" t="s">
        <v>1851</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24270510</v>
      </c>
      <c r="AC54" s="2345"/>
      <c r="AD54" s="2345"/>
      <c r="AE54" s="2345"/>
      <c r="AF54" s="2346"/>
    </row>
    <row r="55" spans="1:76" ht="12.95" customHeight="1">
      <c r="D55" s="404" t="s">
        <v>333</v>
      </c>
      <c r="AB55" s="2344">
        <f>(AB54/10)</f>
        <v>2427051</v>
      </c>
      <c r="AC55" s="2345"/>
      <c r="AD55" s="2345"/>
      <c r="AE55" s="2345"/>
      <c r="AF55" s="2346"/>
    </row>
    <row r="56" spans="1:76" ht="12.95" customHeight="1">
      <c r="D56" s="404" t="s">
        <v>757</v>
      </c>
      <c r="AB56" s="2344">
        <f>ROUND((IF((Y41&lt;AB55),Y41,AB55)),0)</f>
        <v>2427051</v>
      </c>
      <c r="AC56" s="2345"/>
      <c r="AD56" s="2345"/>
      <c r="AE56" s="2345"/>
      <c r="AF56" s="2346"/>
    </row>
    <row r="57" spans="1:76" ht="12.95" customHeight="1">
      <c r="D57" s="404" t="s">
        <v>756</v>
      </c>
      <c r="AB57" s="2344">
        <f>ROUND((10*AB56*AB50),0)</f>
        <v>21115344</v>
      </c>
      <c r="AC57" s="2345"/>
      <c r="AD57" s="2345"/>
      <c r="AE57" s="2345"/>
      <c r="AF57" s="2346"/>
    </row>
    <row r="58" spans="1:76" ht="12.95" customHeight="1">
      <c r="D58" s="404"/>
      <c r="AB58" s="423"/>
      <c r="AC58" s="423"/>
      <c r="AD58" s="423"/>
      <c r="AE58" s="423"/>
      <c r="AF58" s="423"/>
    </row>
    <row r="59" spans="1:76" ht="12.95" customHeight="1">
      <c r="D59" s="404" t="s">
        <v>755</v>
      </c>
      <c r="AB59" s="2328">
        <f>AB49-AB57</f>
        <v>0</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590</v>
      </c>
      <c r="C63" s="205" t="s">
        <v>1249</v>
      </c>
      <c r="Y63" s="2339" t="s">
        <v>985</v>
      </c>
      <c r="Z63" s="2339"/>
      <c r="AA63" s="2339"/>
      <c r="AB63" s="2339"/>
      <c r="AC63" s="2339"/>
      <c r="AD63" s="2339" t="s">
        <v>369</v>
      </c>
      <c r="AE63" s="2339"/>
      <c r="AF63" s="2339"/>
      <c r="AG63" s="2339"/>
      <c r="AH63" s="233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46674051</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cm="1">
        <f t="array" ref="Y67">_xlfn.IFS(OR(Application!Z205="State Farmworker Credit",Application!Z205="$500M (Farmworker Housing)"),0.75,Application!Z205="15% set-aside",0.13,Application!Z205="15% set-aside with qualifying low value rehab",0.95,Application!Z205="$500M",0.3,TRUE,0)</f>
        <v>0.3</v>
      </c>
      <c r="Z67" s="2329"/>
      <c r="AA67" s="2329"/>
      <c r="AB67" s="2329"/>
      <c r="AC67" s="2329"/>
      <c r="AD67" s="2329" cm="1">
        <f t="array" ref="AD67">_xlfn.IFS(Application!Z205="15% set-aside with qualifying low value rehab", 0.95,OR(Application!D211="At-Risk",'Points System'!B13="Yes"),0.13,TRUE,0)</f>
        <v>0</v>
      </c>
      <c r="AE67" s="2329"/>
      <c r="AF67" s="2329"/>
      <c r="AG67" s="2329"/>
      <c r="AH67" s="2329"/>
    </row>
    <row r="68" spans="1:36" ht="12.95" customHeight="1">
      <c r="C68" s="404"/>
      <c r="D68" s="205" t="s">
        <v>2227</v>
      </c>
      <c r="Y68" s="2330">
        <f>ROUND(Y64*Y67,0)</f>
        <v>14002215</v>
      </c>
      <c r="Z68" s="2331"/>
      <c r="AA68" s="2331"/>
      <c r="AB68" s="2331"/>
      <c r="AC68" s="2331"/>
      <c r="AD68" s="2330">
        <f>ROUND(AD64*AD67,0)</f>
        <v>0</v>
      </c>
      <c r="AE68" s="2331"/>
      <c r="AF68" s="2331"/>
      <c r="AG68" s="2331"/>
      <c r="AH68" s="2331"/>
    </row>
    <row r="69" spans="1:36" ht="12.95" customHeight="1">
      <c r="C69" s="404"/>
      <c r="D69" s="205" t="s">
        <v>2228</v>
      </c>
      <c r="Y69" s="2330">
        <f>IF(OR(Application!Z205="State Farmworker Credit",Application!Z205="$500M (Farmworker Housing)"),Y68+AD68,MIN(Y68+AD68,200000*(Application!G753+Application!O777)))</f>
        <v>14002215</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2"/>
      <c r="AC72" s="2333"/>
      <c r="AD72" s="2333"/>
      <c r="AE72" s="2333"/>
      <c r="AF72" s="2334"/>
    </row>
    <row r="73" spans="1:36" ht="12.95" customHeight="1">
      <c r="A73" s="404"/>
      <c r="C73" s="404"/>
      <c r="D73" s="404"/>
      <c r="E73" s="2335" t="s">
        <v>1252</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3">
        <f>ROUND(IF(ISERROR((AB59/AB72)),0,(AB59/AB72)),0)</f>
        <v>0</v>
      </c>
      <c r="AC77" s="2323"/>
      <c r="AD77" s="2323"/>
      <c r="AE77" s="2323"/>
      <c r="AF77" s="2323"/>
    </row>
    <row r="78" spans="1:36" ht="12.95" customHeight="1">
      <c r="C78" s="404"/>
      <c r="D78" s="205" t="s">
        <v>1254</v>
      </c>
      <c r="AB78" s="2324">
        <f>ROUNDUP(MIN(Y69,AB77),0)</f>
        <v>0</v>
      </c>
      <c r="AC78" s="2325"/>
      <c r="AD78" s="2325"/>
      <c r="AE78" s="2325"/>
      <c r="AF78" s="2326"/>
    </row>
    <row r="79" spans="1:36" ht="12.95" customHeight="1">
      <c r="C79" s="404"/>
      <c r="D79" s="205" t="s">
        <v>1255</v>
      </c>
      <c r="AB79" s="2327">
        <f>AB78*AB72</f>
        <v>0</v>
      </c>
      <c r="AC79" s="2327"/>
      <c r="AD79" s="2327"/>
      <c r="AE79" s="2327"/>
      <c r="AF79" s="2327"/>
    </row>
    <row r="80" spans="1:36" ht="12.95" customHeight="1">
      <c r="C80" s="404"/>
      <c r="D80" s="404"/>
      <c r="AB80" s="425"/>
      <c r="AC80" s="425"/>
      <c r="AD80" s="425"/>
      <c r="AE80" s="425"/>
      <c r="AF80" s="425"/>
    </row>
    <row r="81" spans="1:78" ht="12.95" customHeight="1">
      <c r="D81" s="404" t="s">
        <v>755</v>
      </c>
      <c r="AB81" s="2328">
        <f>AB49-(AB57+AB79)</f>
        <v>0</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4"/>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8" zoomScale="130" zoomScaleNormal="130" workbookViewId="0">
      <selection activeCell="B151" sqref="B1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1301</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1306</v>
      </c>
      <c r="AF7" s="2402"/>
      <c r="AG7" s="2402"/>
      <c r="AH7" s="2402"/>
      <c r="AI7" s="2402"/>
      <c r="AJ7" s="2402"/>
      <c r="AK7" s="240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592</v>
      </c>
      <c r="C13" s="239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592</v>
      </c>
      <c r="C16" s="2392"/>
      <c r="D16" s="547"/>
      <c r="E16" s="2403" t="s">
        <v>1308</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592</v>
      </c>
      <c r="C22" s="2392"/>
      <c r="D22" s="547"/>
      <c r="E22" s="2428" t="s">
        <v>1311</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592</v>
      </c>
      <c r="C25" s="2392"/>
      <c r="D25" s="547"/>
      <c r="E25" s="2393" t="s">
        <v>2035</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592</v>
      </c>
      <c r="C28" s="2392"/>
      <c r="D28" s="547"/>
      <c r="E28" s="2416" t="s">
        <v>2251</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2" t="s">
        <v>592</v>
      </c>
      <c r="C33" s="2392"/>
      <c r="D33" s="547"/>
      <c r="E33" s="2428" t="s">
        <v>2253</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592</v>
      </c>
      <c r="C36" s="2392"/>
      <c r="D36" s="547"/>
      <c r="E36" s="2393" t="s">
        <v>2254</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592</v>
      </c>
      <c r="C40" s="2392"/>
      <c r="D40" s="547"/>
      <c r="E40" s="2393" t="s">
        <v>2252</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592</v>
      </c>
      <c r="C45" s="2392"/>
      <c r="D45" s="1142"/>
      <c r="E45" s="2393" t="s">
        <v>2010</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592</v>
      </c>
      <c r="C52" s="2392"/>
      <c r="D52" s="540"/>
      <c r="E52" s="2393" t="s">
        <v>2015</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592</v>
      </c>
      <c r="C56" s="2392"/>
      <c r="D56" s="540"/>
      <c r="E56" s="2413" t="s">
        <v>2016</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592</v>
      </c>
      <c r="C58" s="2392"/>
      <c r="D58" s="540"/>
      <c r="E58" s="2393" t="s">
        <v>2017</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1315</v>
      </c>
      <c r="AF65" s="2402"/>
      <c r="AG65" s="2402"/>
      <c r="AH65" s="2402"/>
      <c r="AI65" s="2402"/>
      <c r="AJ65" s="2402"/>
      <c r="AK65" s="240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592</v>
      </c>
      <c r="C68" s="2392"/>
      <c r="D68" s="547" t="s">
        <v>1316</v>
      </c>
      <c r="E68" s="2403" t="s">
        <v>2018</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10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1317</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546</v>
      </c>
      <c r="C74" s="239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546</v>
      </c>
      <c r="F75" s="239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592</v>
      </c>
      <c r="F76" s="239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592</v>
      </c>
      <c r="F77" s="239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592</v>
      </c>
      <c r="F79" s="239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592</v>
      </c>
      <c r="C81" s="2392"/>
      <c r="D81" s="547" t="s">
        <v>1321</v>
      </c>
      <c r="E81" s="2393" t="s">
        <v>1741</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1306</v>
      </c>
      <c r="AF87" s="2402"/>
      <c r="AG87" s="2402"/>
      <c r="AH87" s="2402"/>
      <c r="AI87" s="2402"/>
      <c r="AJ87" s="2402"/>
      <c r="AK87" s="240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592</v>
      </c>
      <c r="C90" s="2392"/>
      <c r="D90" s="547" t="s">
        <v>1316</v>
      </c>
      <c r="E90" s="2403" t="s">
        <v>1326</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0.59999999999999987</v>
      </c>
      <c r="F93" s="2387"/>
      <c r="G93" s="2387"/>
      <c r="H93" s="238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v>
      </c>
      <c r="F94" s="2389"/>
      <c r="G94" s="2389"/>
      <c r="H94" s="238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0</v>
      </c>
      <c r="F95" s="2420"/>
      <c r="G95" s="2420"/>
      <c r="H95" s="24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546</v>
      </c>
      <c r="C98" s="2392"/>
      <c r="D98" s="547" t="s">
        <v>1318</v>
      </c>
      <c r="E98" s="2403" t="s">
        <v>1726</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0.59999999999999987</v>
      </c>
      <c r="F103" s="2387"/>
      <c r="G103" s="2387"/>
      <c r="H103" s="238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0.21118012422360249</v>
      </c>
      <c r="F104" s="2387"/>
      <c r="G104" s="2387"/>
      <c r="H104" s="238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9.3167701863354033E-2</v>
      </c>
      <c r="F105" s="2387"/>
      <c r="G105" s="2387"/>
      <c r="H105" s="238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1315</v>
      </c>
      <c r="AF112" s="2402"/>
      <c r="AG112" s="2402"/>
      <c r="AH112" s="2402"/>
      <c r="AI112" s="2402"/>
      <c r="AJ112" s="2402"/>
      <c r="AK112" s="2402"/>
      <c r="AL112" s="540"/>
      <c r="AM112" s="540"/>
      <c r="AN112" s="535"/>
      <c r="AO112" s="536" t="str">
        <f>Application!B718</f>
        <v>SRO/Studio</v>
      </c>
      <c r="AQ112" s="536">
        <f>Application!O718</f>
        <v>697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1182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1425</v>
      </c>
    </row>
    <row r="115" spans="1:52" s="536" customFormat="1" ht="12.75" customHeight="1">
      <c r="A115" s="540"/>
      <c r="B115" s="2392" t="s">
        <v>546</v>
      </c>
      <c r="C115" s="2392"/>
      <c r="D115" s="547" t="s">
        <v>1316</v>
      </c>
      <c r="E115" s="2403" t="s">
        <v>1859</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SRO/Studio</v>
      </c>
      <c r="AQ115" s="536">
        <f>Application!O721</f>
        <v>1668</v>
      </c>
      <c r="AU115" s="536" t="s">
        <v>1841</v>
      </c>
      <c r="AV115" s="595" t="s">
        <v>1842</v>
      </c>
      <c r="AW115" s="536" t="s">
        <v>1843</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t="str">
        <f>Application!B722</f>
        <v>SRO/Studio</v>
      </c>
      <c r="AQ116" s="536">
        <f>Application!O722</f>
        <v>1911</v>
      </c>
      <c r="AU116" s="856" t="str">
        <f>E124</f>
        <v>Studio/SRO</v>
      </c>
      <c r="AV116" s="536">
        <f t="array" ref="AV116">SUM(IF(Application!B718:F752="SRO/Studio",Application!G718:J752))</f>
        <v>77</v>
      </c>
      <c r="AW116" s="1011">
        <f>AV116/AV122</f>
        <v>0.47826086956521741</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t="str">
        <f>Application!B723</f>
        <v>1 Bedroom</v>
      </c>
      <c r="AQ117" s="536">
        <f>Application!O723</f>
        <v>737</v>
      </c>
      <c r="AU117" s="856" t="str">
        <f>J124</f>
        <v>1-bedroom</v>
      </c>
      <c r="AV117" s="536">
        <f t="array" ref="AV117">SUM(IF(Application!B718:F752="1 Bedroom",Application!G718:J752))</f>
        <v>84</v>
      </c>
      <c r="AW117" s="1011">
        <f>AV117/AV122</f>
        <v>0.52173913043478259</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t="str">
        <f>Application!B724</f>
        <v>1 Bedroom</v>
      </c>
      <c r="AQ118" s="536">
        <f>Application!O724</f>
        <v>1257</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t="str">
        <f>Application!B725</f>
        <v>1 Bedroom</v>
      </c>
      <c r="AQ119" s="536">
        <f>Application!O725</f>
        <v>1517</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t="str">
        <f>Application!B726</f>
        <v>1 Bedroom</v>
      </c>
      <c r="AQ120" s="536">
        <f>Application!O726</f>
        <v>1777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t="str">
        <f>Application!B727</f>
        <v>1 Bedroom</v>
      </c>
      <c r="AQ121" s="536">
        <f>Application!O727</f>
        <v>2037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f>Application!B728</f>
        <v>0</v>
      </c>
      <c r="AQ122" s="536">
        <f>Application!O728</f>
        <v>0</v>
      </c>
      <c r="AV122" s="536">
        <f>SUM(AV116:AV121)</f>
        <v>161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6" t="s">
        <v>1589</v>
      </c>
      <c r="F124" s="2387"/>
      <c r="G124" s="2387"/>
      <c r="H124" s="2387"/>
      <c r="I124" s="577"/>
      <c r="J124" s="2387" t="s">
        <v>1632</v>
      </c>
      <c r="K124" s="2387"/>
      <c r="L124" s="2387"/>
      <c r="M124" s="2387"/>
      <c r="N124" s="577"/>
      <c r="O124" s="2387" t="s">
        <v>1633</v>
      </c>
      <c r="P124" s="2387"/>
      <c r="Q124" s="2387"/>
      <c r="R124" s="2387"/>
      <c r="S124" s="577"/>
      <c r="T124" s="2387" t="s">
        <v>1335</v>
      </c>
      <c r="U124" s="2387"/>
      <c r="V124" s="2387"/>
      <c r="W124" s="2387"/>
      <c r="X124" s="577"/>
      <c r="Y124" s="2387" t="s">
        <v>1634</v>
      </c>
      <c r="Z124" s="2387"/>
      <c r="AA124" s="2387"/>
      <c r="AB124" s="2387"/>
      <c r="AC124" s="577"/>
      <c r="AD124" s="2387" t="s">
        <v>1635</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v>2344</v>
      </c>
      <c r="F127" s="2447"/>
      <c r="G127" s="2447"/>
      <c r="H127" s="2447"/>
      <c r="I127" s="864"/>
      <c r="J127" s="2447">
        <v>2921</v>
      </c>
      <c r="K127" s="2447"/>
      <c r="L127" s="2447"/>
      <c r="M127" s="2447"/>
      <c r="N127" s="864"/>
      <c r="O127" s="2447"/>
      <c r="P127" s="2447"/>
      <c r="Q127" s="2447"/>
      <c r="R127" s="2447"/>
      <c r="S127" s="864"/>
      <c r="T127" s="2447"/>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1223.4155844155844</v>
      </c>
      <c r="F130" s="2440"/>
      <c r="G130" s="2440"/>
      <c r="H130" s="2440"/>
      <c r="I130" s="864"/>
      <c r="J130" s="2440">
        <f>Application!EC670</f>
        <v>1715.0952380952381</v>
      </c>
      <c r="K130" s="2440"/>
      <c r="L130" s="2440"/>
      <c r="M130" s="2440"/>
      <c r="N130" s="864"/>
      <c r="O130" s="2440">
        <f>Application!EH670</f>
        <v>0</v>
      </c>
      <c r="P130" s="2440"/>
      <c r="Q130" s="2440"/>
      <c r="R130" s="2440"/>
      <c r="S130" s="868"/>
      <c r="T130" s="2440">
        <f>Application!EM670</f>
        <v>0</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f>(E127-E130)/E127</f>
        <v>0.47806502371348791</v>
      </c>
      <c r="F133" s="2389"/>
      <c r="G133" s="2389"/>
      <c r="H133" s="2639"/>
      <c r="I133" s="577"/>
      <c r="J133" s="2638">
        <f>(J127-J130)/J127</f>
        <v>0.41283969938540294</v>
      </c>
      <c r="K133" s="2389"/>
      <c r="L133" s="2389"/>
      <c r="M133" s="2639"/>
      <c r="N133" s="577"/>
      <c r="O133" s="2638" t="e">
        <f>(O127-O130)/O127</f>
        <v>#DIV/0!</v>
      </c>
      <c r="P133" s="2389"/>
      <c r="Q133" s="2389"/>
      <c r="R133" s="2639"/>
      <c r="S133" s="577"/>
      <c r="T133" s="2638" t="e">
        <f>(T127-T130)/T127</f>
        <v>#DIV/0!</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f>IF(((E133-0.1)*AW116)&gt;0,((E133-0.1)*AW116),0)</f>
        <v>0.18081370699340729</v>
      </c>
      <c r="F136" s="2442"/>
      <c r="G136" s="2442"/>
      <c r="H136" s="2443"/>
      <c r="I136" s="577"/>
      <c r="J136" s="2441">
        <f>IF(((J133-0.1)*AW117)&gt;0,((J133-0.1)*AW117),0)</f>
        <v>0.16322071272281891</v>
      </c>
      <c r="K136" s="2442"/>
      <c r="L136" s="2442"/>
      <c r="M136" s="2443"/>
      <c r="N136" s="577"/>
      <c r="O136" s="2441" t="e">
        <f>IF(((O133-0.1)*AW118)&gt;0,((O133-0.1)*AW118),0)</f>
        <v>#DIV/0!</v>
      </c>
      <c r="P136" s="2442"/>
      <c r="Q136" s="2442"/>
      <c r="R136" s="2443"/>
      <c r="S136" s="577"/>
      <c r="T136" s="2441" t="e">
        <f>IF(((T133-0.1)*AW119)&gt;0,((T133-0.1)*AW119),0)</f>
        <v>#DIV/0!</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0.34</v>
      </c>
      <c r="F138" s="2389"/>
      <c r="G138" s="2389"/>
      <c r="H138" s="263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2" t="s">
        <v>1315</v>
      </c>
      <c r="AF146" s="2402"/>
      <c r="AG146" s="2402"/>
      <c r="AH146" s="2402"/>
      <c r="AI146" s="2402"/>
      <c r="AJ146" s="2402"/>
      <c r="AK146" s="240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1339</v>
      </c>
      <c r="AG148" s="2437"/>
      <c r="AH148" s="2437"/>
      <c r="AI148" s="2437"/>
      <c r="AJ148" s="2437"/>
      <c r="AK148" s="2437"/>
      <c r="AL148" s="243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2742</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4" t="s">
        <v>1342</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5" t="s">
        <v>592</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4" t="s">
        <v>1344</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2473</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2474</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2472</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592</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1353</v>
      </c>
      <c r="AG168" s="2437"/>
      <c r="AH168" s="2437"/>
      <c r="AI168" s="2437"/>
      <c r="AJ168" s="2437"/>
      <c r="AK168" s="2437"/>
      <c r="AL168" s="243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1351</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592</v>
      </c>
      <c r="AG172" s="246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4" t="s">
        <v>1344</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6" t="str">
        <f>Application!AA335</f>
        <v>Aperto Property Management, Inc.</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1315</v>
      </c>
      <c r="AF186" s="2402"/>
      <c r="AG186" s="2402"/>
      <c r="AH186" s="2402"/>
      <c r="AI186" s="2402"/>
      <c r="AJ186" s="2402"/>
      <c r="AK186" s="240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2" t="s">
        <v>1368</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1364</v>
      </c>
      <c r="AG188" s="2437"/>
      <c r="AH188" s="2437"/>
      <c r="AI188" s="2437"/>
      <c r="AJ188" s="2437"/>
      <c r="AK188" s="2437"/>
      <c r="AL188" s="2437"/>
      <c r="AN188" s="597"/>
      <c r="AP188" s="550" t="s">
        <v>1044</v>
      </c>
      <c r="AQ188" s="550">
        <v>10</v>
      </c>
    </row>
    <row r="189" spans="1:73" s="550" customFormat="1" ht="12.75" customHeight="1">
      <c r="A189" s="536"/>
      <c r="B189" s="2463" t="s">
        <v>1727</v>
      </c>
      <c r="C189" s="2463"/>
      <c r="D189" s="2463"/>
      <c r="E189" s="2463"/>
      <c r="F189" s="2463"/>
      <c r="G189" s="2463"/>
      <c r="H189" s="2463"/>
      <c r="I189" s="2463"/>
      <c r="J189" s="2463"/>
      <c r="K189" s="2463"/>
      <c r="L189" s="2463"/>
      <c r="M189" s="2463"/>
      <c r="N189" s="2463"/>
      <c r="O189" s="2463"/>
      <c r="P189" s="2463"/>
      <c r="Q189" s="2463"/>
      <c r="R189" s="2463"/>
      <c r="S189" s="2463"/>
      <c r="T189" s="2438" t="s">
        <v>592</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2">
        <f>IF(AK84&gt;0,VLOOKUP($B$188,AP185:AQ191,2,FALSE),0)</f>
        <v>10</v>
      </c>
      <c r="AL191" s="2473"/>
      <c r="AM191" s="247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1373</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2702</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f>Application!AM555</f>
        <v>4279316</v>
      </c>
      <c r="AE199" s="2450"/>
      <c r="AF199" s="2450"/>
      <c r="AG199" s="2450"/>
      <c r="AH199" s="2450"/>
      <c r="AI199" s="2450"/>
      <c r="AJ199" s="2450"/>
      <c r="AK199" s="610"/>
    </row>
    <row r="200" spans="1:40">
      <c r="A200" s="605"/>
      <c r="B200" s="2449" t="s">
        <v>2417</v>
      </c>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f>Application!AO628</f>
        <v>4000000</v>
      </c>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1628</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1591</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4">
        <f>SUM(AD199:AJ209)-AD210</f>
        <v>8279316</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1608</v>
      </c>
      <c r="J222" s="2453"/>
      <c r="K222" s="2453"/>
      <c r="L222" s="536"/>
      <c r="M222" s="536"/>
      <c r="N222" s="536"/>
      <c r="O222" s="536"/>
      <c r="P222" s="536"/>
      <c r="Q222" s="536"/>
      <c r="R222" s="536"/>
      <c r="S222" s="536"/>
      <c r="T222" s="2641" t="s">
        <v>1602</v>
      </c>
      <c r="U222" s="2641"/>
      <c r="V222" s="2641"/>
      <c r="W222" s="2641"/>
      <c r="X222" s="2641"/>
      <c r="Y222" s="2641"/>
      <c r="Z222" s="849"/>
      <c r="AA222" s="489"/>
      <c r="AB222" s="2448" t="s">
        <v>1603</v>
      </c>
      <c r="AC222" s="2448"/>
      <c r="AD222" s="2448"/>
      <c r="AE222" s="2448"/>
      <c r="AF222" s="2448"/>
      <c r="AG222" s="2448"/>
      <c r="AH222" s="827"/>
      <c r="AI222" s="827"/>
      <c r="AJ222" s="827"/>
      <c r="AK222" s="610"/>
    </row>
    <row r="223" spans="1:37">
      <c r="A223" s="605"/>
      <c r="B223" s="2451" t="s">
        <v>1588</v>
      </c>
      <c r="C223" s="2451"/>
      <c r="D223" s="2451"/>
      <c r="E223" s="2451"/>
      <c r="F223" s="2451"/>
      <c r="G223" s="2451"/>
      <c r="I223" s="2452" t="s">
        <v>1609</v>
      </c>
      <c r="J223" s="2452"/>
      <c r="K223" s="2452"/>
      <c r="L223" s="1008"/>
      <c r="N223" s="2458" t="s">
        <v>1604</v>
      </c>
      <c r="O223" s="2458"/>
      <c r="P223" s="2458"/>
      <c r="Q223" s="2458"/>
      <c r="R223" s="2458"/>
      <c r="T223" s="2458" t="s">
        <v>1605</v>
      </c>
      <c r="U223" s="2458"/>
      <c r="V223" s="2458"/>
      <c r="W223" s="2458"/>
      <c r="X223" s="2458"/>
      <c r="Y223" s="2458"/>
      <c r="Z223" s="850"/>
      <c r="AA223" s="489"/>
      <c r="AB223" s="2595" t="s">
        <v>1606</v>
      </c>
      <c r="AC223" s="2595"/>
      <c r="AD223" s="2595"/>
      <c r="AE223" s="2595"/>
      <c r="AF223" s="2595"/>
      <c r="AG223" s="2595"/>
      <c r="AH223" s="827"/>
      <c r="AI223" s="827"/>
      <c r="AJ223" s="827"/>
      <c r="AK223" s="610"/>
    </row>
    <row r="224" spans="1:37">
      <c r="A224" s="605"/>
      <c r="B224" s="2455" t="s">
        <v>1185</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1185</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1185</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1185</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1185</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1185</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1185</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1185</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1185</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1185</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8279316</v>
      </c>
      <c r="AH268" s="2475"/>
      <c r="AI268" s="2475"/>
      <c r="AJ268" s="2475"/>
      <c r="AK268" s="247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52831062</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0.15</v>
      </c>
      <c r="AH270" s="2476"/>
      <c r="AI270" s="2476"/>
      <c r="AJ270" s="2476"/>
      <c r="AK270" s="247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7">
        <f>IFERROR(IF(AG270=0,0,IF((AG270*100)&gt;8,8,(AG270*100))),0)</f>
        <v>8</v>
      </c>
      <c r="AL273" s="2477"/>
      <c r="AM273" s="247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9" t="s">
        <v>546</v>
      </c>
      <c r="D278" s="2469"/>
      <c r="E278" s="547"/>
      <c r="F278" s="2626" t="s">
        <v>2026</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1364</v>
      </c>
      <c r="AH278" s="2470"/>
      <c r="AI278" s="2470"/>
      <c r="AJ278" s="2470"/>
      <c r="AK278" s="550"/>
      <c r="AL278" s="550"/>
      <c r="AM278" s="550"/>
      <c r="AO278" s="550"/>
    </row>
    <row r="279" spans="1:52" ht="13.7"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7">
        <f>IF($C$278="yes",10,0)</f>
        <v>10</v>
      </c>
      <c r="AL285" s="2477"/>
      <c r="AM285" s="247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65" t="s">
        <v>592</v>
      </c>
      <c r="D292" s="2469"/>
      <c r="E292" s="547"/>
      <c r="F292" s="2497" t="s">
        <v>1384</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2019</v>
      </c>
      <c r="AH292" s="2500"/>
      <c r="AI292" s="2500"/>
      <c r="AJ292" s="2500"/>
      <c r="AK292" s="2500"/>
      <c r="AL292" s="550"/>
      <c r="AM292" s="550"/>
      <c r="AN292" s="73"/>
      <c r="AO292" s="14"/>
      <c r="AP292" s="30"/>
      <c r="AS292" s="570"/>
      <c r="AT292" s="570"/>
      <c r="AU292" s="570"/>
      <c r="AV292" s="32"/>
      <c r="AW292" s="32"/>
    </row>
    <row r="293" spans="1:49">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2027</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1385</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1386</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69" t="s">
        <v>546</v>
      </c>
      <c r="D302" s="2469"/>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399" t="s">
        <v>2021</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69" t="s">
        <v>592</v>
      </c>
      <c r="D310" s="246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1" t="s">
        <v>2028</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1185</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1185</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7" t="s">
        <v>1185</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7" t="s">
        <v>1185</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69" t="s">
        <v>592</v>
      </c>
      <c r="D333" s="2469"/>
      <c r="E333" s="547"/>
      <c r="F333" s="2393" t="s">
        <v>2029</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2" t="s">
        <v>1315</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1455</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2094</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2209</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1456</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85"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0</v>
      </c>
      <c r="AS357" s="539" t="s">
        <v>1457</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10</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7</v>
      </c>
      <c r="AS359" s="539" t="s">
        <v>1458</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0</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582</v>
      </c>
      <c r="AP361" s="696">
        <f>IF(C407="Yes",5,0)</f>
        <v>0</v>
      </c>
      <c r="AS361" s="539" t="s">
        <v>1880</v>
      </c>
    </row>
    <row r="362" spans="1:46" s="550" customFormat="1" ht="12.75" customHeight="1">
      <c r="A362" s="603"/>
      <c r="B362" s="611"/>
      <c r="C362" s="2533" t="s">
        <v>2234</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3</v>
      </c>
      <c r="AS362" s="2532">
        <f>IF(AQ366=0,AQ375,AQ366)</f>
        <v>10</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534">
        <f>IF(AP366&gt;0,AP366,0)</f>
        <v>10</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1" t="s">
        <v>1459</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457</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462</v>
      </c>
      <c r="AP370" s="696">
        <f>IF(C449="Yes",5,0)</f>
        <v>0</v>
      </c>
    </row>
    <row r="371" spans="1:81" s="550" customFormat="1" ht="68.099999999999994"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19">
        <f>Application!DU802-U374</f>
        <v>161</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4">
        <f>IF(AP375&gt;0,AP375,0)</f>
        <v>0</v>
      </c>
      <c r="AR375" s="2534"/>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5" t="s">
        <v>1461</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592</v>
      </c>
      <c r="D381" s="246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1463</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5" t="s">
        <v>1464</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592</v>
      </c>
      <c r="D389" s="246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1463</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5" t="s">
        <v>1466</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546</v>
      </c>
      <c r="D397" s="246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1468</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592</v>
      </c>
      <c r="D399" s="246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1463</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5" t="s">
        <v>1472</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592</v>
      </c>
      <c r="D407" s="246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1463</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546</v>
      </c>
      <c r="D409" s="246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1475</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592</v>
      </c>
      <c r="D412" s="2469"/>
      <c r="E412" s="715" t="s">
        <v>1476</v>
      </c>
      <c r="F412" s="2515" t="s">
        <v>1477</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1463</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5" t="s">
        <v>1479</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592</v>
      </c>
      <c r="D421" s="246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1463</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592</v>
      </c>
      <c r="D423" s="246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1475</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5" t="s">
        <v>1483</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592</v>
      </c>
      <c r="D430" s="246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1463</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5" t="s">
        <v>1486</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592</v>
      </c>
      <c r="D442" s="246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1463</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5" t="s">
        <v>1489</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592</v>
      </c>
      <c r="D449" s="246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1463</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592</v>
      </c>
      <c r="D453" s="2519"/>
      <c r="E453" s="715" t="s">
        <v>1498</v>
      </c>
      <c r="F453" s="2515" t="s">
        <v>1499</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1463</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592</v>
      </c>
      <c r="D457" s="2469"/>
      <c r="E457" s="715" t="s">
        <v>1504</v>
      </c>
      <c r="F457" s="2515" t="s">
        <v>1505</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1463</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5" t="s">
        <v>1508</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592</v>
      </c>
      <c r="D466" s="246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1463</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2">
        <f>IF(Application!D214="N/A",AS358,AS360)</f>
        <v>10</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3" t="s">
        <v>1512</v>
      </c>
      <c r="AF472" s="2513"/>
      <c r="AG472" s="2513"/>
      <c r="AH472" s="2513"/>
      <c r="AI472" s="2513"/>
      <c r="AJ472" s="2513"/>
      <c r="AK472" s="251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8" t="s">
        <v>592</v>
      </c>
      <c r="D478" s="2539"/>
      <c r="E478" s="761" t="s">
        <v>508</v>
      </c>
      <c r="F478" s="2540" t="s">
        <v>1518</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4" t="s">
        <v>592</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5" t="s">
        <v>546</v>
      </c>
      <c r="D482" s="261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3" t="s">
        <v>592</v>
      </c>
      <c r="W485" s="2613"/>
      <c r="X485" s="261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3" t="s">
        <v>592</v>
      </c>
      <c r="W487" s="2613"/>
      <c r="X487" s="261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3" t="s">
        <v>592</v>
      </c>
      <c r="W492" s="2613"/>
      <c r="X492" s="261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3"/>
      <c r="E495" s="260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3" t="s">
        <v>592</v>
      </c>
      <c r="W496" s="2613"/>
      <c r="X496" s="261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3" t="s">
        <v>592</v>
      </c>
      <c r="W498" s="2613"/>
      <c r="X498" s="261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592</v>
      </c>
      <c r="D501" s="2539"/>
      <c r="E501" s="761" t="s">
        <v>508</v>
      </c>
      <c r="F501" s="2540" t="s">
        <v>1518</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592</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592</v>
      </c>
      <c r="D505" s="2539"/>
      <c r="E505" s="761" t="s">
        <v>758</v>
      </c>
      <c r="F505" s="2610" t="s">
        <v>1540</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2" t="s">
        <v>592</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8" t="s">
        <v>592</v>
      </c>
      <c r="D510" s="253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2"/>
      <c r="D512" s="260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592</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592</v>
      </c>
      <c r="D515" s="254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592</v>
      </c>
      <c r="D519" s="2543"/>
      <c r="F519" s="795" t="s">
        <v>1548</v>
      </c>
      <c r="G519" s="2516" t="s">
        <v>1549</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592</v>
      </c>
      <c r="D523" s="254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592</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1561</v>
      </c>
      <c r="AF538" s="2402"/>
      <c r="AG538" s="2402"/>
      <c r="AH538" s="2402"/>
      <c r="AI538" s="2402"/>
      <c r="AJ538" s="2402"/>
      <c r="AK538" s="240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546</v>
      </c>
      <c r="D541" s="2469"/>
      <c r="E541" s="551"/>
      <c r="F541" s="2596" t="s">
        <v>1562</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592</v>
      </c>
      <c r="D544" s="246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1564</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1565</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77108749</v>
      </c>
      <c r="AQ550" s="2618"/>
      <c r="AR550" s="2618"/>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46674051</v>
      </c>
      <c r="AG551" s="2475"/>
      <c r="AH551" s="2475"/>
      <c r="AI551" s="2475"/>
      <c r="AJ551" s="247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139968115.99000001</v>
      </c>
      <c r="AG552" s="2623"/>
      <c r="AH552" s="2623"/>
      <c r="AI552" s="2623"/>
      <c r="AJ552" s="2623"/>
      <c r="AK552" s="595"/>
      <c r="AL552" s="595"/>
      <c r="AM552" s="595"/>
      <c r="AN552" s="597"/>
      <c r="AP552" s="2618">
        <f>Application!AJ1045</f>
        <v>6939787.4100000001</v>
      </c>
      <c r="AQ552" s="2618"/>
      <c r="AR552" s="2618"/>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0.66</v>
      </c>
      <c r="AG553" s="2624"/>
      <c r="AH553" s="2624"/>
      <c r="AI553" s="2624"/>
      <c r="AJ553" s="2624"/>
      <c r="AK553" s="595"/>
      <c r="AL553" s="595"/>
      <c r="AM553" s="595"/>
      <c r="AN553" s="597"/>
      <c r="AP553" s="2621">
        <f>Application!AJ1049</f>
        <v>32385674.579999998</v>
      </c>
      <c r="AQ553" s="2621"/>
      <c r="AR553" s="262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0.5099999999999999</v>
      </c>
      <c r="AQ554" s="2617"/>
      <c r="AR554" s="2617"/>
      <c r="AS554" s="550" t="s">
        <v>2173</v>
      </c>
    </row>
    <row r="555" spans="1:49" s="550" customFormat="1" ht="12.75" customHeight="1">
      <c r="A555" s="624"/>
      <c r="B555" s="2554" t="s">
        <v>2033</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100642654.00000001</v>
      </c>
      <c r="AQ556" s="2527"/>
      <c r="AR556" s="2527"/>
      <c r="AS556" s="550" t="s">
        <v>2175</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139968115.99000001</v>
      </c>
      <c r="AQ557" s="2618"/>
      <c r="AR557" s="2618"/>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3">
        <f>IFERROR(IF(AND(C541="N/A",C544="N/A"),0,IF(AF553=0,0,IF((AF553*100)&gt;12,12,(AF553*100)))),0)</f>
        <v>12</v>
      </c>
      <c r="AL559" s="2563"/>
      <c r="AM559" s="2564"/>
      <c r="AN559" s="597"/>
      <c r="AP559" s="2635">
        <f>AP556+(AP550*AP554)</f>
        <v>139968115.99000001</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1315</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2024</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1339</v>
      </c>
      <c r="AG578" s="2437"/>
      <c r="AH578" s="2437"/>
      <c r="AI578" s="2437"/>
      <c r="AJ578" s="2437"/>
      <c r="AK578" s="2437"/>
      <c r="AL578" s="243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1397</v>
      </c>
      <c r="AG585" s="2437"/>
      <c r="AH585" s="2437"/>
      <c r="AI585" s="2437"/>
      <c r="AJ585" s="2437"/>
      <c r="AK585" s="2437"/>
      <c r="AL585" s="243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1379</v>
      </c>
      <c r="AG591" s="2437"/>
      <c r="AH591" s="2437"/>
      <c r="AI591" s="2437"/>
      <c r="AJ591" s="2437"/>
      <c r="AK591" s="2437"/>
      <c r="AL591" s="243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1400</v>
      </c>
      <c r="AG597" s="2437"/>
      <c r="AH597" s="2437"/>
      <c r="AI597" s="2437"/>
      <c r="AJ597" s="2437"/>
      <c r="AK597" s="2437"/>
      <c r="AL597" s="243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3" t="s">
        <v>1185</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1353</v>
      </c>
      <c r="AG603" s="2437"/>
      <c r="AH603" s="2437"/>
      <c r="AI603" s="2437"/>
      <c r="AJ603" s="2437"/>
      <c r="AK603" s="2437"/>
      <c r="AL603" s="243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1" t="s">
        <v>688</v>
      </c>
      <c r="I606" s="2521"/>
      <c r="J606" s="936"/>
      <c r="K606" s="936"/>
      <c r="L606" s="936"/>
      <c r="N606" s="22"/>
      <c r="O606" s="22"/>
      <c r="P606" s="22"/>
      <c r="Q606" s="1151" t="s">
        <v>2178</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2" t="s">
        <v>592</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5" t="s">
        <v>592</v>
      </c>
      <c r="C616" s="2465"/>
      <c r="D616" s="642"/>
      <c r="E616" s="2492" t="s">
        <v>1404</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2">
        <f>VLOOKUP($H$606,$AO$586:$AP$591,2,FALSE)+IF(R606=AO594,0,VLOOKUP($I$614,$AO$613:$AP$615,2,FALSE))</f>
        <v>7</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0" t="s">
        <v>1695</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1353</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5" t="s">
        <v>592</v>
      </c>
      <c r="Y634" s="246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1409</v>
      </c>
      <c r="AG636" s="2437"/>
      <c r="AH636" s="2437"/>
      <c r="AI636" s="2437"/>
      <c r="AJ636" s="2437"/>
      <c r="AK636" s="2437"/>
      <c r="AL636" s="243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1" t="s">
        <v>688</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2">
        <f>VLOOKUP($H$638,$AO$605:$AP$607,2,FALSE)</f>
        <v>3</v>
      </c>
      <c r="AK640" s="247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2" t="s">
        <v>2099</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1353</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1409</v>
      </c>
      <c r="AG647" s="2437"/>
      <c r="AH647" s="2437"/>
      <c r="AI647" s="2437"/>
      <c r="AJ647" s="2437"/>
      <c r="AK647" s="2437"/>
      <c r="AL647" s="243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1" t="s">
        <v>510</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2">
        <f>VLOOKUP(H650,AT605:AU607,2,FALSE)</f>
        <v>2</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2" t="s">
        <v>1419</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1379</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2" t="s">
        <v>1420</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1400</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2" t="s">
        <v>1421</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1353</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592</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2" t="s">
        <v>1422</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1400</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2" t="s">
        <v>1423</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1353</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2" t="s">
        <v>1424</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1409</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2" t="s">
        <v>1425</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1426</v>
      </c>
      <c r="AG681" s="2437"/>
      <c r="AH681" s="2437"/>
      <c r="AI681" s="2437"/>
      <c r="AJ681" s="2437"/>
      <c r="AK681" s="2437"/>
      <c r="AL681" s="2437"/>
      <c r="AM681" s="596"/>
      <c r="AN681" s="597"/>
      <c r="AO681" s="611" t="s">
        <v>688</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1" t="s">
        <v>688</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2">
        <f>VLOOKUP($H$685,$AO$633:$AP$640,2,FALSE)</f>
        <v>5</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161</v>
      </c>
    </row>
    <row r="691" spans="1:51" s="550" customFormat="1" ht="12.75" customHeight="1">
      <c r="A691" s="679"/>
      <c r="B691" s="536"/>
      <c r="C691" s="948"/>
      <c r="D691" s="663" t="s">
        <v>688</v>
      </c>
      <c r="E691" s="2528" t="s">
        <v>2191</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1353</v>
      </c>
      <c r="AG691" s="2437"/>
      <c r="AH691" s="2437"/>
      <c r="AI691" s="2437"/>
      <c r="AJ691" s="2437"/>
      <c r="AK691" s="2437"/>
      <c r="AL691" s="2437"/>
      <c r="AN691" s="597"/>
      <c r="AW691" s="22" t="s">
        <v>2186</v>
      </c>
      <c r="AX691" s="550">
        <f>Application!DE753</f>
        <v>0</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2" t="s">
        <v>2135</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1353</v>
      </c>
      <c r="AG694" s="2437"/>
      <c r="AH694" s="2437"/>
      <c r="AI694" s="2437"/>
      <c r="AJ694" s="2437"/>
      <c r="AK694" s="2437"/>
      <c r="AL694" s="2437"/>
      <c r="AN694" s="597"/>
      <c r="AW694" s="22" t="s">
        <v>2189</v>
      </c>
      <c r="AX694" s="550">
        <f>AX691+AX692+AX693</f>
        <v>0</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0</v>
      </c>
      <c r="AP695" s="2527"/>
      <c r="AW695" s="22" t="s">
        <v>2190</v>
      </c>
      <c r="AX695" s="550">
        <f>IFERROR(AX694/AX690,0)</f>
        <v>0</v>
      </c>
      <c r="AY695" s="550">
        <f>IFERROR(AX694/(AX690-AX689),0)</f>
        <v>0</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2" t="s">
        <v>2136</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1409</v>
      </c>
      <c r="AG699" s="2437"/>
      <c r="AH699" s="2437"/>
      <c r="AI699" s="2437"/>
      <c r="AJ699" s="2437"/>
      <c r="AK699" s="2437"/>
      <c r="AL699" s="2437"/>
      <c r="AN699" s="597"/>
      <c r="AO699" s="611" t="s">
        <v>510</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2" t="s">
        <v>1694</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1" t="s">
        <v>592</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2">
        <f>VLOOKUP($H$709,$AO$703:$AP$706,2,FALSE)</f>
        <v>0</v>
      </c>
      <c r="AK711" s="247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1353</v>
      </c>
      <c r="AG715" s="2437"/>
      <c r="AH715" s="2437"/>
      <c r="AI715" s="2437"/>
      <c r="AJ715" s="2437"/>
      <c r="AK715" s="2437"/>
      <c r="AL715" s="2437"/>
      <c r="AM715" s="550"/>
      <c r="AN715" s="684"/>
      <c r="AP715" s="570" t="s">
        <v>1433</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1409</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1" t="s">
        <v>592</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2" t="s">
        <v>1697</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1353</v>
      </c>
      <c r="AG729" s="2437"/>
      <c r="AH729" s="2437"/>
      <c r="AI729" s="2437"/>
      <c r="AJ729" s="2437"/>
      <c r="AK729" s="2437"/>
      <c r="AL729" s="2437"/>
      <c r="AM729" s="550"/>
      <c r="AN729" s="684"/>
      <c r="AT729" s="14"/>
      <c r="AU729" s="14"/>
      <c r="AV729" s="14"/>
      <c r="AW729" s="14"/>
      <c r="AX729" s="14"/>
      <c r="AY729" s="14"/>
      <c r="AZ729" s="14"/>
    </row>
    <row r="730" spans="1:81" s="570" customFormat="1">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2" t="s">
        <v>1440</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1409</v>
      </c>
      <c r="AG732" s="2437"/>
      <c r="AH732" s="2437"/>
      <c r="AI732" s="2437"/>
      <c r="AJ732" s="2437"/>
      <c r="AK732" s="2437"/>
      <c r="AL732" s="2437"/>
      <c r="AM732" s="550"/>
      <c r="AN732" s="684"/>
      <c r="AT732" s="14"/>
      <c r="AU732" s="14"/>
      <c r="AV732" s="14"/>
      <c r="AW732" s="14"/>
      <c r="AX732" s="14"/>
      <c r="AY732" s="14"/>
      <c r="AZ732" s="14"/>
    </row>
    <row r="733" spans="1:81" s="570" customFormat="1">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1" t="s">
        <v>592</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2" t="s">
        <v>1443</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1353</v>
      </c>
      <c r="AG741" s="2437"/>
      <c r="AH741" s="2437"/>
      <c r="AI741" s="2437"/>
      <c r="AJ741" s="2437"/>
      <c r="AK741" s="2437"/>
      <c r="AL741" s="2437"/>
      <c r="AM741" s="550"/>
      <c r="AN741" s="684"/>
      <c r="AT741" s="14"/>
      <c r="AU741" s="14"/>
      <c r="AV741" s="14"/>
      <c r="AW741" s="14"/>
      <c r="AX741" s="14"/>
      <c r="AY741" s="14"/>
      <c r="AZ741" s="14"/>
    </row>
    <row r="742" spans="1:81" s="570" customFormat="1">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2" t="s">
        <v>1444</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1409</v>
      </c>
      <c r="AG746" s="2437"/>
      <c r="AH746" s="2437"/>
      <c r="AI746" s="2437"/>
      <c r="AJ746" s="2437"/>
      <c r="AK746" s="2437"/>
      <c r="AL746" s="2437"/>
      <c r="AM746" s="550"/>
      <c r="AN746" s="684"/>
      <c r="AO746" s="30"/>
      <c r="AP746" s="14"/>
    </row>
    <row r="747" spans="1:81" s="570" customFormat="1">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1" t="s">
        <v>592</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2">
        <f>VLOOKUP($H$751,$AO$680:$AP$682,2,FALSE)</f>
        <v>0</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2" t="s">
        <v>1446</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1409</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2" t="s">
        <v>1447</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1426</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1" t="s">
        <v>688</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2">
        <f>VLOOKUP($H$763,$AO$697:$AP$699,2,FALSE)</f>
        <v>2</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2" t="s">
        <v>1693</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1409</v>
      </c>
      <c r="AG769" s="2437"/>
      <c r="AH769" s="2437"/>
      <c r="AI769" s="2437"/>
      <c r="AJ769" s="2437"/>
      <c r="AK769" s="2437"/>
      <c r="AL769" s="2437"/>
      <c r="AM769" s="613"/>
      <c r="AN769" s="684"/>
      <c r="AO769" s="550" t="s">
        <v>592</v>
      </c>
      <c r="AP769" s="673">
        <v>0</v>
      </c>
    </row>
    <row r="770" spans="1:81" s="570" customFormat="1" ht="13.7"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1353</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1" t="s">
        <v>592</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2">
        <f>VLOOKUP($H$779,$AO$769:$AP$771,2,FALSE)</f>
        <v>0</v>
      </c>
      <c r="AK781" s="247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2" t="s">
        <v>2034</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1353</v>
      </c>
      <c r="AG785" s="2437"/>
      <c r="AH785" s="2437"/>
      <c r="AI785" s="2437"/>
      <c r="AJ785" s="2437"/>
      <c r="AK785" s="2437"/>
      <c r="AL785" s="243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1" t="s">
        <v>592</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1569</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8" t="s">
        <v>1570</v>
      </c>
      <c r="U802" s="2569"/>
      <c r="V802" s="2569"/>
      <c r="W802" s="2569"/>
      <c r="X802" s="2569"/>
      <c r="Y802" s="2570"/>
      <c r="Z802" s="2568" t="s">
        <v>1571</v>
      </c>
      <c r="AA802" s="2569"/>
      <c r="AB802" s="2569"/>
      <c r="AC802" s="2569"/>
      <c r="AD802" s="2569"/>
      <c r="AE802" s="2570"/>
      <c r="AF802" s="2568" t="s">
        <v>1572</v>
      </c>
      <c r="AG802" s="2569"/>
      <c r="AH802" s="2569"/>
      <c r="AI802" s="2569"/>
      <c r="AJ802" s="2569"/>
      <c r="AK802" s="257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c r="A804" s="819" t="s">
        <v>758</v>
      </c>
      <c r="B804" s="2548" t="s">
        <v>1305</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c r="A805" s="819" t="s">
        <v>1542</v>
      </c>
      <c r="B805" s="2548" t="s">
        <v>1314</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c r="A806" s="819" t="s">
        <v>1551</v>
      </c>
      <c r="B806" s="2548" t="s">
        <v>1324</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c r="A807" s="819" t="s">
        <v>1573</v>
      </c>
      <c r="B807" s="2548" t="s">
        <v>1334</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c r="A808" s="820" t="s">
        <v>1574</v>
      </c>
      <c r="B808" s="2548" t="s">
        <v>1575</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c r="A809" s="535"/>
      <c r="B809" s="601"/>
      <c r="C809" s="2575" t="s">
        <v>1576</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c r="A810" s="600"/>
      <c r="B810" s="601"/>
      <c r="C810" s="2575" t="s">
        <v>1577</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c r="A811" s="820" t="s">
        <v>1362</v>
      </c>
      <c r="B811" s="2548" t="s">
        <v>1578</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c r="A812" s="819" t="s">
        <v>1371</v>
      </c>
      <c r="B812" s="2548" t="s">
        <v>1372</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idden="1">
      <c r="A813" s="820" t="s">
        <v>590</v>
      </c>
      <c r="B813" s="2548" t="s">
        <v>1579</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8" t="s">
        <v>1580</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8" t="s">
        <v>1382</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8" t="s">
        <v>846</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8" t="s">
        <v>1560</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48" t="s">
        <v>1582</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8" t="s">
        <v>1583</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1584</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3" t="s">
        <v>1585</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a883663f-5461-4f6d-8af7-4dbfadd3e7f9}" enabled="0" method="" siteId="{a883663f-5461-4f6d-8af7-4dbfadd3e7f9}" removed="1"/>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2024-12-09T20:28:29Z</cp:lastPrinted>
  <dcterms:created xsi:type="dcterms:W3CDTF">2007-12-27T18:26:28Z</dcterms:created>
  <dcterms:modified xsi:type="dcterms:W3CDTF">2025-05-19T03:03:20Z</dcterms:modified>
</cp:coreProperties>
</file>