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ared drives\Development\Block A\Financing\CTCAC\Round 3 2025\"/>
    </mc:Choice>
  </mc:AlternateContent>
  <xr:revisionPtr revIDLastSave="0" documentId="13_ncr:1_{56D3D6EF-EA23-4E9F-AA05-C18A046BD3E7}" xr6:coauthVersionLast="47" xr6:coauthVersionMax="47" xr10:uidLastSave="{00000000-0000-0000-0000-000000000000}"/>
  <bookViews>
    <workbookView xWindow="-120" yWindow="-120" windowWidth="29040" windowHeight="1572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9" i="4" l="1"/>
  <c r="AA919" i="3"/>
  <c r="AA918" i="3"/>
  <c r="H92" i="4"/>
  <c r="H91" i="4"/>
  <c r="H89" i="4"/>
  <c r="G43" i="4"/>
  <c r="H43" i="4" s="1"/>
  <c r="G41" i="4"/>
  <c r="C69" i="4"/>
  <c r="H69" i="4" s="1"/>
  <c r="F37" i="4"/>
  <c r="H51" i="4"/>
  <c r="H50" i="4"/>
  <c r="H48" i="4"/>
  <c r="H47" i="4"/>
  <c r="H46" i="4"/>
  <c r="H88" i="4"/>
  <c r="H85" i="4"/>
  <c r="H83" i="4"/>
  <c r="H80" i="4"/>
  <c r="H79" i="4"/>
  <c r="H75" i="4"/>
  <c r="H66" i="4"/>
  <c r="H65" i="4"/>
  <c r="H58" i="4"/>
  <c r="H56" i="4"/>
  <c r="F35" i="4"/>
  <c r="F33" i="4"/>
  <c r="F32" i="4"/>
  <c r="F31"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6" i="13"/>
  <c r="E84" i="13"/>
  <c r="E65" i="13"/>
  <c r="E52" i="13"/>
  <c r="E49" i="13"/>
  <c r="E48" i="13"/>
  <c r="E45" i="13"/>
  <c r="E43" i="13"/>
  <c r="E41"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8" i="4"/>
  <c r="R87" i="4"/>
  <c r="R86" i="4"/>
  <c r="R85" i="4"/>
  <c r="S85" i="4" s="1"/>
  <c r="E85" i="13" s="1"/>
  <c r="R83" i="4"/>
  <c r="R76" i="4"/>
  <c r="R75" i="4"/>
  <c r="R72" i="4"/>
  <c r="R73" i="4"/>
  <c r="R74" i="4"/>
  <c r="R69" i="4"/>
  <c r="R65" i="4"/>
  <c r="R61" i="4"/>
  <c r="R60" i="4"/>
  <c r="R59" i="4"/>
  <c r="R58" i="4"/>
  <c r="R57" i="4"/>
  <c r="R56" i="4"/>
  <c r="R52" i="4"/>
  <c r="R51" i="4"/>
  <c r="S51" i="4" s="1"/>
  <c r="E51" i="13" s="1"/>
  <c r="R50" i="4"/>
  <c r="S50" i="4" s="1"/>
  <c r="E50" i="13" s="1"/>
  <c r="R49" i="4"/>
  <c r="R48" i="4"/>
  <c r="R47" i="4"/>
  <c r="S47" i="4" s="1"/>
  <c r="E47" i="13" s="1"/>
  <c r="R46" i="4"/>
  <c r="S46" i="4" s="1"/>
  <c r="E46" i="13" s="1"/>
  <c r="R43" i="4"/>
  <c r="S43" i="4" s="1"/>
  <c r="R41" i="4"/>
  <c r="R37" i="4"/>
  <c r="S37" i="4" s="1"/>
  <c r="E37" i="13" s="1"/>
  <c r="R35" i="4"/>
  <c r="S35" i="4" s="1"/>
  <c r="E35" i="13" s="1"/>
  <c r="R34" i="4"/>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H42" i="4"/>
  <c r="K42" i="4"/>
  <c r="L42" i="4"/>
  <c r="O42" i="4"/>
  <c r="Q42" i="4"/>
  <c r="B43" i="4"/>
  <c r="B45" i="4"/>
  <c r="B46" i="4"/>
  <c r="B47" i="4"/>
  <c r="B48" i="4"/>
  <c r="B49" i="4"/>
  <c r="B50" i="4"/>
  <c r="B51" i="4"/>
  <c r="B52" i="4"/>
  <c r="B53" i="4"/>
  <c r="E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K96" i="4"/>
  <c r="L96" i="4"/>
  <c r="Q96" i="4"/>
  <c r="B101" i="4"/>
  <c r="B102" i="4"/>
  <c r="B103" i="4"/>
  <c r="E104" i="4"/>
  <c r="F104" i="4"/>
  <c r="G104" i="4"/>
  <c r="K104" i="4"/>
  <c r="L104" i="4"/>
  <c r="Q104" i="4"/>
  <c r="E108" i="4"/>
  <c r="F108" i="4"/>
  <c r="G108" i="4"/>
  <c r="G45" i="4" s="1"/>
  <c r="G54" i="4" s="1"/>
  <c r="H108" i="4"/>
  <c r="H99" i="4" s="1"/>
  <c r="I108" i="4"/>
  <c r="I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I96" i="4"/>
  <c r="H104" i="4"/>
  <c r="F40" i="4"/>
  <c r="G40" i="4" s="1"/>
  <c r="E30" i="4"/>
  <c r="F30" i="4" s="1"/>
  <c r="F38" i="4" s="1"/>
  <c r="H96" i="4"/>
  <c r="R89" i="4"/>
  <c r="S89" i="4" s="1"/>
  <c r="E89" i="13" s="1"/>
  <c r="I104" i="4"/>
  <c r="H45" i="4"/>
  <c r="R45" i="4" s="1"/>
  <c r="R99" i="4"/>
  <c r="S99" i="4" s="1"/>
  <c r="S104" i="4" s="1"/>
  <c r="S81" i="4"/>
  <c r="E81" i="13" s="1"/>
  <c r="R30" i="4"/>
  <c r="S30" i="4" s="1"/>
  <c r="E30" i="13" s="1"/>
  <c r="D35" i="11"/>
  <c r="H53" i="4"/>
  <c r="R53" i="4" s="1"/>
  <c r="S53" i="4" s="1"/>
  <c r="E53" i="13" s="1"/>
  <c r="F54"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42" i="4" l="1"/>
  <c r="G42" i="4"/>
  <c r="G63" i="4" s="1"/>
  <c r="G97" i="4" s="1"/>
  <c r="G105" i="4" s="1"/>
  <c r="R40" i="4"/>
  <c r="S96" i="4"/>
  <c r="E96" i="13" s="1"/>
  <c r="S38" i="4"/>
  <c r="E38" i="13" s="1"/>
  <c r="E38" i="4"/>
  <c r="E63" i="4" s="1"/>
  <c r="E97" i="4" s="1"/>
  <c r="E105" i="4" s="1"/>
  <c r="H54" i="4"/>
  <c r="H63" i="4" s="1"/>
  <c r="H97" i="4" s="1"/>
  <c r="H105" i="4" s="1"/>
  <c r="R38" i="4"/>
  <c r="F63" i="4"/>
  <c r="F97" i="4" s="1"/>
  <c r="F105" i="4" s="1"/>
  <c r="I105" i="4"/>
  <c r="R104" i="4"/>
  <c r="E99" i="13"/>
  <c r="E104" i="13"/>
  <c r="BA1058" i="3"/>
  <c r="S54" i="4"/>
  <c r="R54" i="4"/>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42" i="4" l="1"/>
  <c r="R63" i="4" s="1"/>
  <c r="R97" i="4" s="1"/>
  <c r="R105" i="4" s="1"/>
  <c r="S40" i="4"/>
  <c r="E54" i="13"/>
  <c r="O20" i="21"/>
  <c r="P20" i="21" s="1" a="1"/>
  <c r="P20" i="21" s="1"/>
  <c r="S20" i="21" s="1"/>
  <c r="O21" i="21"/>
  <c r="P21" i="21" s="1" a="1"/>
  <c r="P21" i="21" s="1"/>
  <c r="S21" i="21" s="1"/>
  <c r="O25" i="21"/>
  <c r="P25" i="21" s="1" a="1"/>
  <c r="P25" i="21" s="1"/>
  <c r="S25" i="21" s="1"/>
  <c r="O27" i="21"/>
  <c r="P27" i="21" s="1" a="1"/>
  <c r="P27" i="21" s="1"/>
  <c r="S27" i="21" s="1"/>
  <c r="O29" i="21"/>
  <c r="O30" i="21"/>
  <c r="O28" i="21"/>
  <c r="P28" i="21" s="1" a="1"/>
  <c r="P28" i="21" s="1"/>
  <c r="S28" i="21" s="1"/>
  <c r="O23" i="21"/>
  <c r="P23" i="21" s="1" a="1"/>
  <c r="P23" i="21" s="1"/>
  <c r="S23" i="21" s="1"/>
  <c r="O31" i="21"/>
  <c r="P31" i="21" s="1" a="1"/>
  <c r="P31" i="21" s="1"/>
  <c r="S31" i="21" s="1"/>
  <c r="O22" i="21"/>
  <c r="P22" i="21" s="1" a="1"/>
  <c r="P22" i="21" s="1"/>
  <c r="S22" i="21" s="1"/>
  <c r="O26" i="21"/>
  <c r="P26" i="21" s="1" a="1"/>
  <c r="P26" i="21" s="1"/>
  <c r="S26" i="21" s="1"/>
  <c r="D64" i="11"/>
  <c r="B105" i="4"/>
  <c r="BE101" i="3"/>
  <c r="AK84" i="20"/>
  <c r="AK191" i="20" s="1"/>
  <c r="T811" i="20" s="1"/>
  <c r="AF811" i="20" s="1"/>
  <c r="BE76" i="3" s="1"/>
  <c r="D13" i="11"/>
  <c r="B97" i="13"/>
  <c r="B97" i="4"/>
  <c r="B105" i="13"/>
  <c r="AG269" i="20"/>
  <c r="O58" i="7"/>
  <c r="Q53" i="7"/>
  <c r="T105" i="4"/>
  <c r="H97" i="13"/>
  <c r="P29" i="21" a="1"/>
  <c r="P29" i="21" s="1"/>
  <c r="S29" i="21" s="1"/>
  <c r="P30" i="21" a="1"/>
  <c r="P30" i="21" s="1"/>
  <c r="S30" i="21" s="1"/>
  <c r="P24" i="21" a="1"/>
  <c r="P24" i="21" s="1"/>
  <c r="S24"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40" i="13" l="1"/>
  <c r="S42"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42" i="13" l="1"/>
  <c r="S63" i="4"/>
  <c r="AJ1007" i="3"/>
  <c r="AJ1029" i="3"/>
  <c r="AJ1036" i="3"/>
  <c r="I15" i="21" s="1"/>
  <c r="BE44" i="3"/>
  <c r="F457"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E63" i="13" l="1"/>
  <c r="S97" i="4"/>
  <c r="U58" i="7"/>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97" i="13" l="1"/>
  <c r="AZ1046" i="3"/>
  <c r="S105"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Z1051" i="3" l="1"/>
  <c r="BA1055" i="3" s="1"/>
  <c r="BA1059" i="3" s="1"/>
  <c r="BA1056" i="3"/>
  <c r="E105" i="13"/>
  <c r="S107" i="4"/>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1056" i="3" l="1"/>
  <c r="AA1057" i="3" s="1"/>
  <c r="G1058" i="3" s="1"/>
  <c r="E107" i="13"/>
  <c r="T11" i="15" s="1"/>
  <c r="T23" i="15" s="1"/>
  <c r="AC456" i="3"/>
  <c r="AF551" i="20"/>
  <c r="AF553" i="20" s="1"/>
  <c r="AK559" i="20" s="1"/>
  <c r="T818" i="20" s="1"/>
  <c r="AF818" i="20" s="1"/>
  <c r="BE81" i="3" s="1"/>
  <c r="AC53" i="7"/>
  <c r="AA58" i="7"/>
  <c r="U4" i="7"/>
  <c r="S5" i="7"/>
  <c r="M48" i="7"/>
  <c r="M47" i="7"/>
  <c r="M60" i="7"/>
  <c r="O45" i="7"/>
  <c r="O49" i="7"/>
  <c r="K66" i="7"/>
  <c r="K67" i="7"/>
  <c r="K62" i="7"/>
  <c r="Q7" i="7"/>
  <c r="Q11" i="7" s="1"/>
  <c r="Q37" i="7" s="1"/>
  <c r="S6" i="7"/>
  <c r="I70" i="7"/>
  <c r="I72" i="7" s="1"/>
  <c r="W22" i="7"/>
  <c r="W35" i="7" s="1"/>
  <c r="Y15" i="7"/>
  <c r="W9" i="7"/>
  <c r="Y8" i="7"/>
  <c r="T26" i="15" l="1"/>
  <c r="T28" i="15" s="1"/>
  <c r="T29" i="15" s="1"/>
  <c r="AD38" i="15"/>
  <c r="AD40" i="15" s="1"/>
  <c r="AE53" i="7"/>
  <c r="AC58" i="7"/>
  <c r="U5" i="7"/>
  <c r="W4" i="7"/>
  <c r="Q49" i="7"/>
  <c r="Q45" i="7"/>
  <c r="M62" i="7"/>
  <c r="M67" i="7"/>
  <c r="M66" i="7"/>
  <c r="O47" i="7"/>
  <c r="O48" i="7"/>
  <c r="O60" i="7"/>
  <c r="K70" i="7"/>
  <c r="K72" i="7" s="1"/>
  <c r="S7" i="7"/>
  <c r="S11" i="7" s="1"/>
  <c r="S37" i="7" s="1"/>
  <c r="U6" i="7"/>
  <c r="Y22" i="7"/>
  <c r="Y35" i="7" s="1"/>
  <c r="AA15" i="7"/>
  <c r="Y9" i="7"/>
  <c r="AA8" i="7"/>
  <c r="Y38" i="15" l="1"/>
  <c r="Y40" i="15" s="1"/>
  <c r="Y41" i="15" s="1"/>
  <c r="AB56" i="15" s="1"/>
  <c r="M26" i="3" s="1"/>
  <c r="BE19" i="3" s="1"/>
  <c r="AG53" i="7"/>
  <c r="AG58" i="7" s="1"/>
  <c r="AE58" i="7"/>
  <c r="M70" i="7"/>
  <c r="M72" i="7" s="1"/>
  <c r="W5" i="7"/>
  <c r="Y4" i="7"/>
  <c r="U7" i="7"/>
  <c r="U11" i="7" s="1"/>
  <c r="U37" i="7" s="1"/>
  <c r="W6" i="7"/>
  <c r="O67" i="7"/>
  <c r="O66" i="7"/>
  <c r="O62" i="7"/>
  <c r="Q60" i="7"/>
  <c r="Q48" i="7"/>
  <c r="Q47" i="7"/>
  <c r="S49" i="7"/>
  <c r="S45" i="7"/>
  <c r="AC15" i="7"/>
  <c r="AA22" i="7"/>
  <c r="AA35" i="7" s="1"/>
  <c r="AC8" i="7"/>
  <c r="AA9" i="7"/>
  <c r="P204" i="3" l="1"/>
  <c r="AB57" i="15"/>
  <c r="AB59" i="15" s="1"/>
  <c r="AB77" i="15" s="1"/>
  <c r="AB78" i="15" s="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7232A53E-1B01-4487-AAF6-A95BD1D030F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587F9DA-6F11-47C4-9CF4-94BFAB6D7CE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<sst xmlns="http://schemas.openxmlformats.org/spreadsheetml/2006/main" count="5010" uniqueCount="2727">
  <si>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</si>
  <si>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</si>
  <si>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</si>
  <si>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</si>
  <si>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</si>
  <si>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</si>
  <si>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</si>
  <si>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</si>
  <si>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</si>
  <si>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</si>
  <si>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</si>
  <si>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</si>
  <si>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</si>
  <si>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</si>
  <si>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</si>
  <si>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</si>
  <si>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</si>
  <si>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</si>
  <si>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</si>
  <si>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</si>
  <si>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</si>
  <si>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</si>
  <si>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</si>
  <si>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</si>
  <si>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</si>
  <si>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</si>
  <si>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</si>
  <si>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</si>
  <si>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</si>
  <si>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</si>
  <si>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</si>
  <si>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</si>
  <si>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</si>
  <si>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</si>
  <si>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</si>
  <si>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</si>
  <si>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</si>
  <si>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</si>
  <si>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</si>
  <si>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</si>
  <si>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</si>
  <si>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</si>
  <si>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</si>
  <si>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</si>
  <si>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</si>
  <si>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</si>
  <si>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</si>
  <si>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</si>
  <si>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</si>
  <si>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</si>
  <si>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</si>
  <si>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</si>
  <si>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</si>
  <si>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</si>
  <si>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</si>
  <si>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</si>
  <si>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</si>
  <si>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</si>
  <si>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</si>
  <si>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</si>
  <si>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</si>
  <si>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</si>
  <si>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</si>
  <si>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</si>
  <si>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</si>
  <si>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</si>
  <si>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</si>
  <si>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</si>
  <si>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</si>
  <si>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</si>
  <si>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</si>
  <si>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</si>
  <si>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</si>
  <si>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</si>
  <si>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</si>
  <si>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</si>
  <si>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</si>
  <si>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</si>
  <si>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</si>
  <si>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</si>
  <si>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</si>
  <si>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</si>
  <si>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</si>
  <si>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</si>
  <si>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</si>
  <si>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</si>
  <si>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</si>
  <si>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</si>
  <si>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</si>
  <si>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</si>
  <si>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</si>
  <si>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</si>
  <si>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</si>
  <si>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</si>
  <si>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</si>
  <si>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</si>
  <si>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</si>
  <si>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</si>
  <si>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</si>
  <si>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</si>
  <si>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</si>
  <si>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</si>
  <si>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</si>
  <si>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</si>
  <si>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</si>
  <si>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</si>
  <si>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</si>
  <si>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</si>
  <si>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</si>
  <si>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</si>
  <si>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</si>
  <si>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</si>
  <si>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</si>
  <si>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</si>
  <si>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</si>
  <si>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</si>
  <si>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</si>
  <si>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</si>
  <si>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</si>
  <si>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</si>
  <si>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</si>
  <si>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</si>
  <si>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</si>
  <si>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</si>
  <si>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</si>
  <si>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</si>
  <si>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</si>
  <si>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</si>
  <si>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</si>
  <si>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</si>
  <si>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</si>
  <si>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</si>
  <si>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</si>
  <si>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</si>
  <si>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</si>
  <si>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</si>
  <si>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</si>
  <si>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</si>
  <si>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</si>
  <si>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</si>
  <si>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</si>
  <si>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</si>
  <si>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</si>
  <si>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</si>
  <si>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</si>
  <si>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</si>
  <si>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</si>
  <si>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</si>
  <si>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</si>
  <si>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</si>
  <si>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</si>
  <si>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</si>
  <si>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</si>
  <si>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</si>
  <si>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</si>
  <si>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</si>
  <si>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</si>
  <si>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</si>
  <si>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</si>
  <si>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</si>
  <si>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</si>
  <si>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</si>
  <si>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</si>
  <si>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</si>
  <si>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</si>
  <si>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</si>
  <si>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</si>
  <si>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</si>
  <si>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</si>
  <si>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</si>
  <si>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</si>
  <si>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</si>
  <si>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</si>
  <si>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</si>
  <si>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</si>
  <si>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</si>
  <si>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</si>
  <si>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</si>
  <si>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</si>
  <si>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</si>
  <si>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</si>
  <si>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</si>
  <si>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</si>
  <si>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</si>
  <si>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</si>
  <si>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</si>
  <si>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</si>
  <si>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</si>
  <si>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</si>
  <si>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</si>
  <si>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</si>
  <si>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</si>
  <si>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</si>
  <si>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</si>
  <si>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</si>
  <si>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</si>
  <si>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</si>
  <si>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</si>
  <si>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</si>
  <si>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</si>
  <si>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</si>
  <si>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</si>
  <si>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</si>
  <si>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</si>
  <si>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</si>
  <si>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</si>
  <si>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</si>
  <si>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</si>
  <si>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</si>
  <si>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</si>
  <si>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</si>
  <si>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</si>
  <si>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</si>
  <si>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</si>
  <si>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</si>
  <si>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</si>
  <si>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</si>
  <si>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</si>
  <si>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</si>
  <si>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</si>
  <si>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</si>
  <si>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</si>
  <si>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</si>
  <si>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</si>
  <si>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</si>
  <si>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</si>
  <si>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</si>
  <si>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</si>
  <si>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</si>
  <si>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</si>
  <si>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</si>
  <si>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</si>
  <si>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</si>
  <si>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</si>
  <si>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</si>
  <si>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</si>
  <si>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</si>
  <si>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</si>
  <si>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</si>
  <si>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</si>
  <si>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</si>
  <si>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</si>
  <si>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</si>
  <si>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</si>
  <si>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</si>
  <si>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</si>
  <si>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</si>
  <si>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</si>
  <si>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</si>
  <si>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</si>
  <si>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</si>
  <si>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</si>
  <si>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</si>
  <si>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</si>
  <si>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</si>
  <si>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</si>
  <si>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</si>
  <si>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</si>
  <si>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</si>
  <si>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</si>
  <si>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</si>
  <si>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</si>
  <si>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</si>
  <si>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</si>
  <si>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</si>
  <si>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</si>
  <si>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</si>
  <si>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</si>
  <si>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</si>
  <si>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</si>
  <si>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</si>
  <si>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</si>
  <si>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</si>
  <si>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</si>
  <si>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</si>
  <si>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</si>
  <si>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</si>
  <si>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</si>
  <si>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</si>
  <si>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</si>
  <si>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</si>
  <si>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</si>
  <si>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</si>
  <si>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</si>
  <si>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</si>
  <si>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</si>
  <si>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</si>
  <si>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</si>
  <si>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</si>
  <si>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</si>
  <si>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</si>
  <si>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</si>
  <si>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</si>
  <si>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</si>
  <si>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</si>
  <si>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</si>
  <si>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</si>
  <si>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</si>
  <si>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</si>
  <si>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</si>
  <si>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</si>
  <si>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</si>
  <si>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</si>
  <si>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</si>
  <si>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</si>
  <si>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</si>
  <si>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</si>
  <si>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</si>
  <si>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</si>
  <si>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</si>
  <si>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</si>
  <si>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</si>
  <si>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</si>
  <si>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</si>
  <si>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</si>
  <si>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</si>
  <si>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</si>
  <si>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</si>
  <si>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</si>
  <si>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</si>
  <si>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</si>
  <si>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</si>
  <si>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</si>
  <si>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</si>
  <si>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</si>
  <si>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</si>
  <si>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</si>
  <si>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</si>
  <si>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</si>
  <si>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</si>
  <si>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</si>
  <si>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</si>
  <si>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</si>
  <si>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</si>
  <si>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</si>
  <si>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</si>
  <si>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</si>
  <si>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</si>
  <si>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</si>
  <si>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</si>
  <si>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</si>
  <si>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</si>
  <si>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</si>
  <si>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</si>
  <si>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</si>
  <si>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</si>
  <si>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</si>
  <si>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</si>
  <si>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</si>
  <si>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</si>
  <si>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</si>
  <si>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</si>
  <si>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</si>
  <si>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</si>
  <si>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</si>
  <si>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</si>
  <si>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</si>
  <si>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</si>
  <si>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</si>
  <si>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</si>
  <si>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</si>
  <si>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</si>
  <si>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</si>
  <si>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</si>
  <si>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</si>
  <si>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</si>
  <si>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</si>
  <si>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</si>
  <si>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</si>
  <si>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</si>
  <si>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</si>
  <si>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</si>
  <si>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</si>
  <si>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</si>
  <si>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</si>
  <si>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</si>
  <si>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</si>
  <si>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</si>
  <si>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</si>
  <si>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</si>
  <si>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</si>
  <si>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</si>
  <si>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</si>
  <si>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</si>
  <si>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</si>
  <si>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</si>
  <si>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</si>
  <si>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</si>
  <si>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</si>
  <si>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</si>
  <si>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</si>
  <si>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</si>
  <si>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</si>
  <si>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</si>
  <si>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</si>
  <si>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</si>
  <si>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</si>
  <si>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</si>
  <si>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</si>
  <si>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</si>
  <si>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</si>
  <si>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</si>
  <si>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</si>
  <si>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</si>
  <si>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</si>
  <si>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</si>
  <si>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</si>
  <si>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</si>
  <si>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</si>
  <si>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</si>
  <si>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</si>
  <si>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</si>
  <si>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</si>
  <si>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</si>
  <si>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</si>
  <si>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</si>
  <si>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</si>
  <si>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</si>
  <si>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</si>
  <si>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</si>
  <si>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</si>
  <si>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</si>
  <si>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</si>
  <si>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</si>
  <si>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</si>
  <si>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</si>
  <si>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</si>
  <si>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</si>
  <si>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</si>
  <si>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</si>
  <si>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</si>
  <si>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</si>
  <si>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</si>
  <si>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</si>
  <si>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</si>
  <si>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</si>
  <si>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</si>
  <si>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</si>
  <si>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</si>
  <si>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</si>
  <si>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</si>
  <si>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</si>
  <si>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</si>
  <si>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</si>
  <si>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</si>
  <si>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</si>
  <si>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</si>
  <si>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</si>
  <si>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</si>
  <si>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</si>
  <si>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</si>
  <si>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</si>
  <si>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</si>
  <si>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</si>
  <si>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</si>
  <si>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</si>
  <si>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</si>
  <si>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</si>
  <si>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</si>
  <si>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</si>
  <si>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</si>
  <si>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</si>
  <si>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</si>
  <si>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</si>
  <si>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</si>
  <si>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</si>
  <si>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</si>
  <si>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</si>
  <si>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</si>
  <si>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</si>
  <si>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</si>
  <si>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</si>
  <si>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</si>
  <si>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</si>
  <si>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</si>
  <si>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</si>
  <si>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</si>
  <si>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</si>
  <si>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</si>
  <si>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</si>
  <si>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</si>
  <si>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</si>
  <si>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</si>
  <si>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</si>
  <si>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</si>
  <si>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</si>
  <si>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</si>
  <si>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</si>
  <si>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</si>
  <si>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</si>
  <si>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</si>
  <si>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</si>
  <si>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</si>
  <si>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</si>
  <si>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</si>
  <si>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</si>
  <si>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</si>
  <si>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</si>
  <si>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</si>
  <si>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</si>
  <si>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</si>
  <si>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</si>
  <si>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</si>
  <si>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</si>
  <si>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</si>
  <si>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</si>
  <si>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</si>
  <si>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</si>
  <si>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</si>
  <si>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</si>
  <si>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</si>
  <si>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</si>
  <si>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</si>
  <si>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</si>
  <si>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</si>
  <si>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</si>
  <si>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</si>
  <si>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</si>
  <si>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</si>
  <si>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</si>
  <si>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</si>
  <si>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</si>
  <si>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</si>
  <si>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</si>
  <si>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</si>
  <si>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</si>
  <si>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</si>
  <si>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</si>
  <si>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</si>
  <si>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</si>
  <si>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</si>
  <si>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</si>
  <si>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</si>
  <si>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</si>
  <si>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</si>
  <si>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</si>
  <si>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</si>
  <si>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</si>
  <si>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</si>
  <si>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</si>
  <si>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</si>
  <si>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</si>
  <si>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</si>
  <si>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</si>
  <si>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</si>
  <si>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</si>
  <si>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</si>
  <si>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</si>
  <si>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</si>
  <si>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</si>
  <si>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</si>
  <si>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</si>
  <si>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</si>
  <si>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</si>
  <si>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</si>
  <si>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</si>
  <si>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</si>
  <si>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</si>
  <si>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</si>
  <si>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</si>
  <si>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</si>
  <si>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</si>
  <si>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</si>
  <si>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</si>
  <si>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</si>
  <si>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</si>
  <si>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</si>
  <si>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</si>
  <si>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</si>
  <si>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</si>
  <si>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</si>
  <si>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</si>
  <si>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</si>
  <si>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</si>
  <si>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</si>
  <si>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</si>
  <si>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</si>
  <si>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</si>
  <si>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</si>
  <si>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</si>
  <si>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</si>
  <si>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</si>
  <si>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</si>
  <si>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</si>
  <si>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</si>
  <si>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</si>
  <si>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</si>
  <si>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</si>
  <si>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</si>
  <si>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</si>
  <si>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</si>
  <si>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</si>
  <si>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</si>
  <si>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</si>
  <si>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</si>
  <si>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</si>
  <si>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</si>
  <si>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</si>
  <si>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</si>
  <si>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</si>
  <si>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</si>
  <si>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</si>
  <si>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</si>
  <si>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</si>
  <si>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</si>
  <si>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</si>
  <si>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</si>
  <si>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</si>
  <si>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</si>
  <si>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</si>
  <si>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</si>
  <si>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</si>
  <si>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</si>
  <si>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</si>
  <si>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</si>
  <si>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</si>
  <si>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</si>
  <si>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</si>
  <si>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</si>
  <si>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</si>
  <si>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</si>
  <si>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</si>
  <si>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</si>
  <si>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</si>
  <si>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</si>
  <si>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</si>
  <si>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</si>
  <si>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</si>
  <si>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</si>
  <si>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</si>
  <si>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</si>
  <si>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</si>
  <si>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</si>
  <si>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</si>
  <si>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</si>
  <si>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</si>
  <si>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</si>
  <si>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</si>
  <si>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</si>
  <si>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</si>
  <si>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</si>
  <si>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</si>
  <si>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</si>
  <si>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</si>
  <si>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</si>
  <si>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</si>
  <si>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</si>
  <si>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</si>
  <si>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</si>
  <si>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</si>
  <si>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</si>
  <si>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</si>
  <si>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</si>
  <si>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</si>
  <si>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</si>
  <si>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</si>
  <si>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</si>
  <si>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</si>
  <si>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</si>
  <si>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</si>
  <si>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</si>
  <si>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</si>
  <si>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</si>
  <si>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</si>
  <si>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</si>
  <si>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</si>
  <si>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</si>
  <si>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</si>
  <si>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</si>
  <si>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</si>
  <si>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</si>
  <si>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</si>
  <si>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</si>
  <si>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</si>
  <si>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</si>
  <si>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</si>
  <si>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</si>
  <si>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</si>
  <si>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</si>
  <si>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</si>
  <si>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</si>
  <si>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</si>
  <si>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</si>
  <si>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</si>
  <si>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</si>
  <si>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</si>
  <si>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</si>
  <si>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</si>
  <si>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</si>
  <si>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</si>
  <si>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</si>
  <si>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</si>
  <si>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</si>
  <si>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</si>
  <si>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</si>
  <si>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</si>
  <si>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</si>
  <si>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</si>
  <si>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</si>
  <si>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</si>
  <si>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</si>
  <si>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</si>
  <si>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</si>
  <si>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</si>
  <si>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</si>
  <si>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</si>
  <si>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</si>
  <si>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</si>
  <si>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</si>
  <si>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</si>
  <si>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</si>
  <si>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</si>
  <si>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</si>
  <si>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</si>
  <si>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</si>
  <si>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</si>
  <si>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</si>
  <si>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</si>
  <si>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</si>
  <si>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</si>
  <si>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</si>
  <si>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</si>
  <si>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</si>
  <si>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</si>
  <si>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</si>
  <si>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</si>
  <si>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</si>
  <si>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</si>
  <si>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</si>
  <si>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</si>
  <si>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</si>
  <si>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</si>
  <si>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</si>
  <si>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</si>
  <si>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</si>
  <si>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</si>
  <si>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</si>
  <si>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</si>
  <si>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</si>
  <si>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</si>
  <si>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</si>
  <si>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</si>
  <si>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</si>
  <si>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</si>
  <si>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</si>
  <si>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</si>
  <si>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</si>
  <si>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</si>
  <si>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</si>
  <si>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</si>
  <si>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</si>
  <si>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</si>
  <si>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</si>
  <si>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</si>
  <si>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</si>
  <si>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</si>
  <si>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</si>
  <si>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</si>
  <si>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</si>
  <si>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</si>
  <si>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</si>
  <si>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</si>
  <si>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</si>
  <si>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</si>
  <si>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</si>
  <si>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</si>
  <si>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</si>
  <si>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</si>
  <si>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</si>
  <si>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</si>
  <si>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</si>
  <si>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</si>
  <si>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</si>
  <si>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</si>
  <si>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</si>
  <si>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</si>
  <si>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</si>
  <si>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</si>
  <si>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</si>
  <si>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</si>
  <si>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</si>
  <si>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</si>
  <si>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</si>
  <si>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</si>
  <si>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</si>
  <si>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</si>
  <si>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</si>
  <si>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</si>
  <si>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</si>
  <si>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</si>
  <si>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</si>
  <si>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</si>
  <si>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</si>
  <si>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</si>
  <si>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</si>
  <si>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</si>
  <si>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</si>
  <si>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</si>
  <si>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</si>
  <si>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</si>
  <si>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</si>
  <si>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</si>
  <si>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</si>
  <si>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</si>
  <si>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</si>
  <si>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</si>
  <si>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</si>
  <si>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</si>
  <si>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</si>
  <si>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</si>
  <si>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</si>
  <si>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</si>
  <si>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</si>
  <si>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</si>
  <si>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</si>
  <si>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</si>
  <si>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</si>
  <si>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</si>
  <si>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</si>
  <si>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</si>
  <si>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</si>
  <si>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</si>
  <si>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</si>
  <si>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</si>
  <si>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</si>
  <si>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</si>
  <si>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</si>
  <si>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</si>
  <si>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</si>
  <si>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</si>
  <si>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</si>
  <si>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</si>
  <si>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</si>
  <si>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</si>
  <si>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</si>
  <si>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</si>
  <si>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</si>
  <si>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</si>
  <si>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</si>
  <si>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</si>
  <si>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</si>
  <si>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</si>
  <si>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</si>
  <si>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</si>
  <si>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</si>
  <si>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</si>
  <si>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</si>
  <si>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</si>
  <si>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</si>
  <si>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</si>
  <si>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</si>
  <si>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</si>
  <si>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</si>
  <si>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</si>
  <si>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</si>
  <si>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</si>
  <si>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</si>
  <si>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</si>
  <si>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</si>
  <si>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</si>
  <si>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</si>
  <si>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</si>
  <si>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</si>
  <si>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</si>
  <si>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</si>
  <si>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</si>
  <si>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</si>
  <si>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</si>
  <si>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</si>
  <si>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</si>
  <si>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</si>
  <si>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</si>
  <si>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</si>
  <si>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</si>
  <si>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</si>
  <si>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</si>
  <si>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</si>
  <si>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</si>
  <si>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</si>
  <si>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</si>
  <si>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</si>
  <si>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</si>
  <si>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</si>
  <si>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</si>
  <si>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</si>
  <si>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</si>
  <si>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</si>
  <si>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</si>
  <si>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</si>
  <si>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</si>
  <si>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</si>
  <si>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</si>
  <si>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</si>
  <si>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</si>
  <si>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</si>
  <si>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</si>
  <si>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</si>
  <si>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</si>
  <si>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</si>
  <si>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</si>
  <si>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</si>
  <si>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</si>
  <si>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</si>
  <si>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</si>
  <si>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</si>
  <si>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</si>
  <si>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</si>
  <si>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</si>
  <si>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</si>
  <si>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</si>
  <si>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</si>
  <si>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</si>
  <si>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</si>
  <si>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</si>
  <si>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</si>
  <si>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</si>
  <si>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</si>
  <si>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</si>
  <si>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</si>
  <si>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</si>
  <si>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</si>
  <si>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</si>
  <si>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</si>
  <si>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</si>
  <si>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</si>
  <si>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</si>
  <si>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</si>
  <si>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</si>
  <si>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</si>
  <si>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</si>
  <si>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</si>
  <si>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</si>
  <si>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</si>
  <si>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</si>
  <si>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</si>
  <si>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</si>
  <si>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</si>
  <si>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</si>
  <si>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</si>
  <si>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</si>
  <si>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</si>
  <si>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</si>
  <si>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</si>
  <si>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</si>
  <si>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</si>
  <si>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</si>
  <si>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</si>
  <si>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</si>
  <si>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</si>
  <si>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</si>
  <si>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</si>
  <si>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</si>
  <si>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</si>
  <si>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</si>
  <si>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</si>
  <si>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</si>
  <si>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</si>
  <si>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</si>
  <si>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</si>
  <si>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</si>
  <si>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</si>
  <si>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</si>
  <si>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</si>
  <si>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</si>
  <si>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</si>
  <si>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</si>
  <si>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</si>
  <si>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</si>
  <si>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</si>
  <si>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</si>
  <si>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</si>
  <si>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</si>
  <si>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</si>
  <si>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</si>
  <si>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</si>
  <si>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</si>
  <si>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</si>
  <si>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</si>
  <si>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</si>
  <si>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</si>
  <si>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</si>
  <si>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</si>
  <si>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</si>
  <si>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</si>
  <si>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</si>
  <si>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</si>
  <si>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</si>
  <si>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</si>
  <si>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</si>
  <si>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</si>
  <si>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</si>
  <si>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</si>
  <si>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</si>
  <si>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</si>
  <si>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</si>
  <si>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</si>
  <si>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</si>
  <si>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</si>
  <si>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</si>
  <si>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</si>
  <si>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</si>
  <si>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</si>
  <si>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</si>
  <si>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</si>
  <si>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</si>
  <si>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</si>
  <si>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</si>
  <si>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</si>
  <si>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</si>
  <si>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</si>
  <si>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</si>
  <si>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</si>
  <si>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</si>
  <si>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</si>
  <si>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</si>
  <si>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</si>
  <si>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</si>
  <si>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</si>
  <si>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</si>
  <si>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</si>
  <si>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</si>
  <si>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</si>
  <si>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</si>
  <si>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</si>
  <si>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</si>
  <si>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</si>
  <si>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</si>
  <si>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</si>
  <si>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</si>
  <si>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</si>
  <si>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</si>
  <si>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</si>
  <si>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</si>
  <si>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</si>
  <si>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</si>
  <si>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</si>
  <si>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</si>
  <si>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</si>
  <si>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</si>
  <si>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</si>
  <si>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</si>
  <si>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</si>
  <si>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</si>
  <si>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</si>
  <si>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</si>
  <si>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</si>
  <si>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</si>
  <si>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</si>
  <si>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</si>
  <si>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</si>
  <si>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</si>
  <si>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</si>
  <si>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</si>
  <si>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</si>
  <si>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</si>
  <si>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</si>
  <si>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</si>
  <si>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</si>
  <si>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</si>
  <si>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</si>
  <si>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</si>
  <si>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</si>
  <si>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</si>
  <si>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</si>
  <si>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</si>
  <si>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</si>
  <si>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</si>
  <si>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</si>
  <si>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</si>
  <si>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</si>
  <si>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</si>
  <si>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</si>
  <si>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</si>
  <si>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</si>
  <si>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</si>
  <si>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</si>
  <si>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</si>
  <si>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</si>
  <si>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</si>
  <si>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</si>
  <si>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</si>
  <si>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</si>
  <si>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</si>
  <si>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</si>
  <si>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</si>
  <si>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</si>
  <si>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</si>
  <si>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</si>
  <si>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</si>
  <si>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</si>
  <si>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</si>
  <si>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</si>
  <si>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</si>
  <si>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</si>
  <si>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</si>
  <si>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</si>
  <si>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</si>
  <si>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</si>
  <si>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</si>
  <si>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</si>
  <si>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</si>
  <si>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</si>
  <si>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</si>
  <si>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</si>
  <si>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</si>
  <si>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</si>
  <si>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</si>
  <si>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</si>
  <si>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</si>
  <si>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</si>
  <si>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</si>
  <si>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</si>
  <si>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</si>
  <si>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</si>
  <si>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</si>
  <si>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</si>
  <si>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</si>
  <si>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</si>
  <si>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</si>
  <si>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</si>
  <si>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</si>
  <si>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</si>
  <si>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</si>
  <si>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</si>
  <si>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</si>
  <si>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</si>
  <si>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</si>
  <si>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</si>
  <si>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</si>
  <si>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</si>
  <si>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</si>
  <si>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</si>
  <si>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</si>
  <si>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</si>
  <si>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</si>
  <si>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</si>
  <si>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</si>
  <si>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</si>
  <si>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</si>
  <si>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</si>
  <si>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</si>
  <si>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</si>
  <si>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</si>
  <si>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</si>
  <si>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</si>
  <si>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</si>
  <si>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</si>
  <si>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</si>
  <si>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</si>
  <si>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</si>
  <si>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</si>
  <si>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</si>
  <si>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</si>
  <si>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</si>
  <si>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</si>
  <si>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</si>
  <si>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</si>
  <si>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</si>
  <si>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</si>
  <si>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</si>
  <si>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</si>
  <si>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</si>
  <si>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</si>
  <si>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</si>
  <si>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</si>
  <si>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</si>
  <si>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</si>
  <si>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</si>
  <si>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</si>
  <si>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</si>
  <si>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</si>
  <si>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</si>
  <si>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</si>
  <si>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</si>
  <si>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</si>
  <si>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</si>
  <si>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</si>
  <si>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</si>
  <si>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</si>
  <si>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</si>
  <si>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</si>
  <si>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</si>
  <si>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</si>
  <si>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</si>
  <si>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</si>
  <si>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</si>
  <si>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</si>
  <si>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</si>
  <si>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</si>
  <si>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</si>
  <si>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</si>
  <si>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</si>
  <si>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</si>
  <si>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</si>
  <si>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</si>
  <si>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</si>
  <si>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</si>
  <si>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</si>
  <si>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</si>
  <si>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</si>
  <si>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</si>
  <si>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</si>
  <si>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</si>
  <si>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</si>
  <si>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</si>
  <si>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</si>
  <si>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</si>
  <si>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</si>
  <si>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</si>
  <si>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</si>
  <si>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</si>
  <si>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</si>
  <si>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</si>
  <si>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</si>
  <si>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</si>
  <si>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</si>
  <si>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</si>
  <si>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</si>
  <si>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</si>
  <si>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</si>
  <si>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</si>
  <si>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</si>
  <si>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</si>
  <si>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</si>
  <si>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</si>
  <si>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</si>
  <si>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</si>
  <si>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</si>
  <si>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</si>
  <si>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</si>
  <si>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</si>
  <si>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</si>
  <si>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</si>
  <si>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</si>
  <si>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</si>
  <si>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</si>
  <si>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</si>
  <si>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</si>
  <si>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</si>
  <si>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</si>
  <si>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</si>
  <si>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</si>
  <si>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</si>
  <si>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</si>
  <si>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</si>
  <si>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</si>
  <si>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</si>
  <si>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</si>
  <si>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</si>
  <si>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</si>
  <si>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</si>
  <si>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</si>
  <si>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</si>
  <si>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</si>
  <si>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</si>
  <si>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</si>
  <si>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</si>
  <si>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</si>
  <si>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</si>
  <si>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</si>
  <si>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</si>
  <si>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</si>
  <si>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</si>
  <si>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</si>
  <si>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</si>
  <si>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</si>
  <si>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</si>
  <si>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</si>
  <si>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</si>
  <si>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</si>
  <si>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</si>
  <si>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</si>
  <si>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</si>
  <si>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</si>
  <si>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</si>
  <si>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</si>
  <si>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</si>
  <si>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</si>
  <si>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</si>
  <si>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</si>
  <si>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</si>
  <si>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</si>
  <si>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</si>
  <si>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</si>
  <si>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</si>
  <si>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</si>
  <si>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</si>
  <si>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</si>
  <si>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</si>
  <si>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</si>
  <si>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</si>
  <si>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</si>
  <si>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</si>
  <si>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</si>
  <si>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</si>
  <si>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</si>
  <si>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</si>
  <si>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</si>
  <si>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</si>
  <si>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</si>
  <si>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</si>
  <si>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</si>
  <si>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</si>
  <si>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</si>
  <si>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</si>
  <si>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</si>
  <si>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</si>
  <si>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</si>
  <si>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</si>
  <si>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</si>
  <si>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</si>
  <si>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</si>
  <si>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</si>
  <si>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</si>
  <si>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</si>
  <si>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</si>
  <si>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</si>
  <si>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</si>
  <si>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</si>
  <si>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</si>
  <si>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</si>
  <si>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</si>
  <si>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</si>
  <si>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</si>
  <si>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</si>
  <si>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</si>
  <si>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</si>
  <si>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</si>
  <si>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</si>
  <si>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</si>
  <si>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</si>
  <si>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</si>
  <si>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</si>
  <si>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</si>
  <si>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</si>
  <si>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</si>
  <si>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</si>
  <si>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</si>
  <si>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</si>
  <si>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</si>
  <si>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</si>
  <si>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</si>
  <si>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</si>
  <si>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</si>
  <si>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</si>
  <si>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</si>
  <si>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</si>
  <si>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</si>
  <si>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</si>
  <si>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</si>
  <si>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</si>
  <si>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</si>
  <si>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</si>
  <si>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</si>
  <si>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</si>
  <si>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</si>
  <si>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</si>
  <si>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</si>
  <si>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</si>
  <si>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</si>
  <si>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</si>
  <si>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</si>
  <si>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</si>
  <si>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</si>
  <si>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</si>
  <si>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</si>
  <si>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</si>
  <si>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</si>
  <si>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</si>
  <si>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</si>
  <si>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</si>
  <si>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</si>
  <si>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</si>
  <si>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</si>
  <si>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</si>
  <si>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</si>
  <si>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</si>
  <si>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</si>
  <si>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</si>
  <si>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</si>
  <si>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</si>
  <si>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</si>
  <si>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</si>
  <si>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</si>
  <si>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</si>
  <si>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</si>
  <si>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</si>
  <si>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</si>
  <si>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</si>
  <si>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</si>
  <si>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</si>
  <si>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</si>
  <si>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</si>
  <si>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</si>
  <si>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</si>
  <si>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</si>
  <si>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</si>
  <si>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</si>
  <si>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</si>
  <si>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</si>
  <si>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</si>
  <si>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</si>
  <si>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</si>
  <si>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</si>
  <si>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</si>
  <si>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</si>
  <si>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</si>
  <si>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</si>
  <si>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</si>
  <si>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</si>
  <si>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</si>
  <si>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</si>
  <si>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</si>
  <si>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</si>
  <si>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</si>
  <si>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</si>
  <si>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</si>
  <si>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</si>
  <si>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</si>
  <si>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</si>
  <si>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</si>
  <si>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</si>
  <si>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</si>
  <si>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</si>
  <si>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</si>
  <si>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</si>
  <si>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</si>
  <si>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</si>
  <si>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</si>
  <si>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</si>
  <si>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</si>
  <si>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</si>
  <si>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</si>
  <si>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</si>
  <si>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</si>
  <si>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</si>
  <si>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</si>
  <si>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</si>
  <si>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</si>
  <si>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</si>
  <si>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</si>
  <si>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</si>
  <si>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</si>
  <si>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</si>
  <si>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</si>
  <si>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</si>
  <si>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</si>
  <si>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</si>
  <si>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</si>
  <si>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</si>
  <si>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</si>
  <si>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</si>
  <si>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</si>
  <si>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</si>
  <si>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</si>
  <si>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</si>
  <si>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</si>
  <si>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</si>
  <si>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</si>
  <si>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</si>
  <si>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</si>
  <si>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</si>
  <si>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</si>
  <si>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</si>
  <si>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</si>
  <si>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</si>
  <si>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</si>
  <si>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</si>
  <si>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</si>
  <si>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</si>
  <si>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</si>
  <si>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</si>
  <si>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</si>
  <si>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</si>
  <si>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</si>
  <si>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</si>
  <si>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</si>
  <si>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</si>
  <si>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</si>
  <si>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</si>
  <si>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</si>
  <si>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</si>
  <si>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</si>
  <si>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</si>
  <si>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</si>
  <si>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</si>
  <si>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</si>
  <si>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</si>
  <si>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</si>
  <si>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</si>
  <si>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</si>
  <si>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</si>
  <si>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</si>
  <si>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</si>
  <si>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</si>
  <si>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</si>
  <si>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</si>
  <si>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</si>
  <si>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</si>
  <si>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</si>
  <si>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</si>
  <si>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</si>
  <si>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</si>
  <si>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</si>
  <si>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</si>
  <si>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</si>
  <si>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</si>
  <si>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</si>
  <si>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</si>
  <si>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</si>
  <si>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</si>
  <si>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</si>
  <si>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</si>
  <si>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</si>
  <si>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</si>
  <si>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</si>
  <si>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</si>
  <si>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</si>
  <si>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</si>
  <si>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</si>
  <si>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</si>
  <si>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</si>
  <si>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</si>
  <si>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</si>
  <si>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</si>
  <si>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</si>
  <si>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</si>
  <si>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</si>
  <si>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</si>
  <si>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</si>
  <si>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</si>
  <si>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</si>
  <si>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</si>
  <si>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</si>
  <si>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</si>
  <si>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</si>
  <si>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</si>
  <si>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</si>
  <si>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</si>
  <si>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</si>
  <si>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</si>
  <si>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</si>
  <si>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</si>
  <si>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</si>
  <si>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</si>
  <si>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</si>
  <si>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</si>
  <si>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</si>
  <si>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</si>
  <si>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</si>
  <si>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</si>
  <si>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</si>
  <si>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</si>
  <si>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</si>
  <si>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</si>
  <si>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</si>
  <si>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</si>
  <si>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</si>
  <si>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</si>
  <si>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</si>
  <si>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</si>
  <si>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</si>
  <si>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</si>
  <si>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</si>
  <si>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</si>
  <si>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</si>
  <si>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</si>
  <si>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</si>
  <si>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</si>
  <si>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</si>
  <si>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</si>
  <si>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</si>
  <si>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</si>
  <si>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</si>
  <si>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</si>
  <si>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</si>
  <si>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</si>
  <si>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</si>
  <si>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</si>
  <si>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</si>
  <si>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</si>
  <si>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</si>
  <si>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</si>
  <si>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</si>
  <si>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</si>
  <si>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</si>
  <si>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</si>
  <si>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</si>
  <si>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</si>
  <si>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</si>
  <si>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</si>
  <si>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</si>
  <si>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</si>
  <si>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</si>
  <si>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</si>
  <si>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</si>
  <si>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</si>
  <si>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</si>
  <si>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</si>
  <si>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</si>
  <si>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</si>
  <si>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</si>
  <si>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</si>
  <si>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</si>
  <si>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</si>
  <si>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</si>
  <si>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</si>
  <si>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</si>
  <si>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</si>
  <si>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</si>
  <si>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</si>
  <si>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</si>
  <si>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</si>
  <si>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</si>
  <si>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</si>
  <si>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</si>
  <si>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</si>
  <si>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</si>
  <si>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</si>
  <si>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</si>
  <si>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</si>
  <si>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</si>
  <si>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</si>
  <si>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</si>
  <si>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</si>
  <si>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</si>
  <si>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</si>
  <si>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</si>
  <si>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</si>
  <si>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</si>
  <si>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</si>
  <si>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</si>
  <si>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</si>
  <si>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</si>
  <si>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</si>
  <si>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</si>
  <si>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</si>
  <si>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</si>
  <si>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</si>
  <si>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</si>
  <si>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</si>
  <si>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</si>
  <si>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</si>
  <si>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</si>
  <si>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</si>
  <si>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</si>
  <si>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</si>
  <si>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</si>
  <si>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</si>
  <si>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</si>
  <si>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</si>
  <si>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</si>
  <si>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</si>
  <si>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</si>
  <si>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</si>
  <si>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</si>
  <si>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</si>
  <si>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</si>
  <si>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</si>
  <si>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</si>
  <si>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</si>
  <si>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</si>
  <si>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</si>
  <si>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</si>
  <si>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</si>
  <si>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</si>
  <si>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</si>
  <si>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</si>
  <si>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</si>
  <si>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</si>
  <si>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</si>
  <si>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</si>
  <si>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</si>
  <si>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</si>
  <si>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</si>
  <si>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</si>
  <si>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</si>
  <si>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</si>
  <si>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</si>
  <si>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</si>
  <si>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</si>
  <si>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</si>
  <si>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</si>
  <si>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</si>
  <si>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</si>
  <si>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</si>
  <si>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</si>
  <si>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</si>
  <si>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</si>
  <si>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</si>
  <si>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</si>
  <si>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</si>
  <si>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</si>
  <si>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</si>
  <si>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</si>
  <si>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</si>
  <si>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</si>
  <si>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</si>
  <si>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</si>
  <si>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</si>
  <si>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</si>
  <si>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</si>
  <si>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</si>
  <si>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</si>
  <si>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</si>
  <si>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</si>
  <si>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</si>
  <si>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</si>
  <si>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</si>
  <si>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</si>
  <si>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</si>
  <si>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</si>
  <si>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</si>
  <si>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</si>
  <si>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</si>
  <si>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</si>
  <si>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</si>
  <si>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</si>
  <si>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</si>
  <si>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</si>
  <si>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</si>
  <si>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</si>
  <si>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</si>
  <si>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</si>
  <si>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</si>
  <si>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</si>
  <si>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</si>
  <si>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</si>
  <si>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</si>
  <si>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</si>
  <si>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</si>
  <si>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</si>
  <si>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</si>
  <si>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</si>
  <si>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</si>
  <si>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</si>
  <si>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</si>
  <si>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</si>
  <si>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</si>
  <si>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</si>
  <si>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</si>
  <si>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</si>
  <si>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</si>
  <si>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</si>
  <si>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</si>
  <si>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</si>
  <si>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</si>
  <si>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</si>
  <si>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</si>
  <si>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</si>
  <si>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</si>
  <si>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</si>
  <si>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</si>
  <si>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</si>
  <si>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</si>
  <si>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</si>
  <si>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</si>
  <si>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</si>
  <si>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</si>
  <si>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</si>
  <si>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</si>
  <si>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</si>
  <si>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</si>
  <si>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</si>
  <si>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</si>
  <si>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</si>
  <si>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</si>
  <si>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</si>
  <si>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</si>
  <si>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</si>
  <si>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</si>
  <si>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</si>
  <si>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</si>
  <si>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</si>
  <si>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</si>
  <si>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</si>
  <si>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</si>
  <si>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</si>
  <si>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</si>
  <si>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</si>
  <si>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</si>
  <si>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</si>
  <si>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</si>
  <si>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</si>
  <si>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</si>
  <si>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</si>
  <si>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</si>
  <si>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</si>
  <si>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</si>
  <si>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</si>
  <si>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</si>
  <si>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</si>
  <si>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</si>
  <si>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</si>
  <si>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</si>
  <si>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</si>
  <si>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</si>
  <si>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</si>
  <si>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</si>
  <si>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</si>
  <si>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</si>
  <si>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</si>
  <si>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</si>
  <si>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</si>
  <si>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</si>
  <si>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</si>
  <si>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</si>
  <si>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</si>
  <si>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</si>
  <si>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</si>
  <si>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</si>
  <si>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</si>
  <si>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</si>
  <si>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</si>
  <si>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</si>
  <si>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</si>
  <si>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</si>
  <si>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</si>
  <si>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</si>
  <si>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</si>
  <si>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</si>
  <si>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</si>
  <si>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</si>
  <si>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</si>
  <si>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</si>
  <si>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</si>
  <si>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</si>
  <si>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</si>
  <si>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</si>
  <si>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</si>
  <si>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</si>
  <si>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</si>
  <si>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</si>
  <si>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</si>
  <si>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</si>
  <si>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</si>
  <si>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</si>
  <si>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</si>
  <si>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</si>
  <si>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</si>
  <si>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</si>
  <si>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</si>
  <si>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</si>
  <si>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</si>
  <si>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</si>
  <si>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</si>
  <si>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</si>
  <si>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</si>
  <si>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</si>
  <si>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</si>
  <si>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</si>
  <si>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</si>
  <si>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</si>
  <si>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</si>
  <si>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</si>
  <si>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</si>
  <si>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</si>
  <si>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</si>
  <si>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</si>
  <si>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</si>
  <si>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</si>
  <si>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</si>
  <si>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</si>
  <si>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</si>
  <si>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</si>
  <si>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</si>
  <si>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</si>
  <si>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</si>
  <si>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</si>
  <si>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</si>
  <si>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</si>
  <si>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</si>
  <si>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</si>
  <si>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</si>
  <si>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</si>
  <si>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</si>
  <si>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</si>
  <si>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</si>
  <si>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</si>
  <si>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</si>
  <si>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</si>
  <si>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</si>
  <si>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</si>
  <si>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</si>
  <si>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</si>
  <si>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</si>
  <si>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</si>
  <si>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</si>
  <si>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</si>
  <si>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</si>
  <si>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</si>
  <si>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</si>
  <si>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</si>
  <si>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</si>
  <si>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</si>
  <si>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</si>
  <si>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</si>
  <si>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</si>
  <si>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</si>
  <si>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</si>
  <si>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</si>
  <si>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</si>
  <si>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</si>
  <si>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</si>
  <si>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</si>
  <si>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</si>
  <si>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</si>
  <si>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</si>
  <si>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</si>
  <si>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</si>
  <si>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</si>
  <si>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</si>
  <si>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</si>
  <si>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</si>
  <si>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</si>
  <si>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</si>
  <si>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</si>
  <si>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</si>
  <si>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</si>
  <si>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</si>
  <si>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</si>
  <si>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</si>
  <si>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</si>
  <si>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</si>
  <si>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</si>
  <si>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</si>
  <si>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</si>
  <si>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</si>
  <si>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</si>
  <si>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</si>
  <si>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</si>
  <si>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</si>
  <si>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</si>
  <si>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</si>
  <si>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</si>
  <si>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</si>
  <si>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</si>
  <si>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</si>
  <si>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</si>
  <si>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</si>
  <si>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</si>
  <si>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</si>
  <si>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</si>
  <si>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</si>
  <si>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</si>
  <si>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</si>
  <si>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</si>
  <si>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</si>
  <si>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</si>
  <si>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</si>
  <si>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</si>
  <si>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</si>
  <si>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</si>
  <si>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</si>
  <si>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</si>
  <si>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</si>
  <si>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</si>
  <si>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</si>
  <si>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</si>
  <si>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</si>
  <si>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</si>
  <si>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</si>
  <si>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</si>
  <si>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</si>
  <si>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</si>
  <si>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</si>
  <si>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</si>
  <si>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</si>
  <si>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</si>
  <si>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</si>
  <si>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</si>
  <si>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</si>
  <si>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</si>
  <si>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</si>
  <si>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</si>
  <si>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</si>
  <si>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</si>
  <si>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</si>
  <si>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</si>
  <si>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</si>
  <si>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</si>
  <si>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</si>
  <si>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</si>
  <si>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</si>
  <si>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</si>
  <si>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</si>
  <si>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</si>
  <si>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</si>
  <si>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</si>
  <si>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</si>
  <si>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</si>
  <si>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</si>
  <si>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</si>
  <si>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</si>
  <si>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</si>
  <si>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</si>
  <si>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</si>
  <si>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</si>
  <si>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</si>
  <si>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</si>
  <si>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</si>
  <si>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</si>
  <si>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</si>
  <si>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</si>
  <si>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</si>
  <si>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</si>
  <si>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</si>
  <si>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</si>
  <si>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</si>
  <si>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</si>
  <si>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</si>
  <si>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</si>
  <si>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</si>
  <si>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</si>
  <si>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</si>
  <si>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</si>
  <si>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</si>
  <si>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</si>
  <si>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</si>
  <si>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</si>
  <si>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</si>
  <si>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</si>
  <si>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</si>
  <si>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</si>
  <si>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</si>
  <si>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</si>
  <si>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</si>
  <si>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</si>
  <si>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</si>
  <si>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</si>
  <si>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</si>
  <si>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</si>
  <si>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</si>
  <si>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</si>
  <si>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</si>
  <si>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</si>
  <si>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</si>
  <si>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</si>
  <si>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</si>
  <si>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</si>
  <si>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</si>
  <si>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</si>
  <si>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</si>
  <si>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</si>
  <si>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</si>
  <si>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</si>
  <si>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</si>
  <si>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</si>
  <si>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</si>
  <si>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</si>
  <si>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</si>
  <si>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</si>
  <si>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</si>
  <si>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</si>
  <si>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</si>
  <si>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</si>
  <si>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</si>
  <si>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</si>
  <si>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</si>
  <si>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</si>
  <si>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</si>
  <si>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</si>
  <si>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</si>
  <si>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</si>
  <si>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</si>
  <si>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</si>
  <si>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</si>
  <si>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</si>
  <si>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</si>
  <si>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</si>
  <si>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</si>
  <si>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</si>
  <si>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</si>
  <si>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</si>
  <si>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</si>
  <si>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</si>
  <si>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</si>
  <si>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</si>
  <si>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</si>
  <si>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</si>
  <si>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</si>
  <si>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</si>
  <si>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</si>
  <si>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</si>
  <si>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</si>
  <si>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</si>
  <si>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</si>
  <si>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</si>
  <si>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</si>
  <si>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</si>
  <si>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</si>
  <si>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</si>
  <si>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</si>
  <si>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</si>
  <si>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</si>
  <si>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</si>
  <si>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</si>
  <si>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</si>
  <si>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</si>
  <si>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</si>
  <si>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</si>
  <si>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</si>
  <si>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</si>
  <si>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</si>
  <si>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</si>
  <si>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</si>
  <si>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</si>
  <si>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</si>
  <si>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</si>
  <si>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</si>
  <si>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</si>
  <si>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</si>
  <si>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</si>
  <si>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</si>
  <si>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</si>
  <si>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</si>
  <si>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</si>
  <si>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</si>
  <si>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</si>
  <si>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</si>
  <si>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</si>
  <si>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</si>
  <si>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</si>
  <si>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</si>
  <si>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</si>
  <si>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</si>
  <si>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</si>
  <si>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</si>
  <si>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</si>
  <si>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</si>
  <si>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</si>
  <si>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</si>
  <si>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</si>
  <si>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</si>
  <si>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</si>
  <si>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</si>
  <si>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</si>
  <si>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</si>
  <si>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</si>
  <si>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</si>
  <si>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</si>
  <si>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</si>
  <si>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</si>
  <si>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</si>
  <si>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</si>
  <si>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</si>
  <si>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</si>
  <si>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</si>
  <si>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</si>
  <si>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</si>
  <si>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</si>
  <si>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</si>
  <si>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</si>
  <si>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</si>
  <si>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</si>
  <si>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</si>
  <si>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</si>
  <si>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</si>
  <si>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</si>
  <si>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</si>
  <si>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</si>
  <si>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</si>
  <si>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</si>
  <si>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</si>
  <si>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</si>
  <si>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</si>
  <si>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</si>
  <si>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</si>
  <si>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</si>
  <si>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</si>
  <si>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</si>
  <si>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</si>
  <si>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</si>
  <si>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</si>
  <si>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</si>
  <si>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</si>
  <si>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</si>
  <si>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</si>
  <si>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</si>
  <si>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</si>
  <si>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</si>
  <si>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</si>
  <si>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</si>
  <si>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</si>
  <si>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</si>
  <si>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</si>
  <si>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</si>
  <si>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</si>
  <si>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</si>
  <si>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</si>
  <si>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</si>
  <si>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</si>
  <si>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</si>
  <si>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</si>
  <si>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</si>
  <si>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</si>
  <si>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</si>
  <si>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</si>
  <si>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</si>
  <si>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</si>
  <si>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</si>
  <si>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</si>
  <si>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</si>
  <si>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</si>
  <si>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</si>
  <si>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</si>
  <si>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</si>
  <si>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</si>
  <si>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</si>
  <si>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</si>
  <si>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</si>
  <si>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</si>
  <si>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</si>
  <si>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</si>
  <si>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</si>
  <si>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</si>
  <si>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</si>
  <si>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</si>
  <si>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</si>
  <si>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</si>
  <si>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</si>
  <si>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</si>
  <si>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</si>
  <si>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</si>
  <si>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</si>
  <si>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</si>
  <si>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</si>
  <si>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</si>
  <si>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</si>
  <si>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</si>
  <si>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</si>
  <si>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</si>
  <si>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</si>
  <si>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</si>
  <si>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</si>
  <si>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</si>
  <si>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</si>
  <si>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</si>
  <si>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</si>
  <si>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</si>
  <si>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</si>
  <si>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</si>
  <si>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</si>
  <si>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</si>
  <si>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</si>
  <si>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</si>
  <si>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</si>
  <si>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</si>
  <si>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</si>
  <si>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</si>
  <si>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</si>
  <si>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</si>
  <si>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</si>
  <si>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</si>
  <si>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</si>
  <si>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</si>
  <si>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</si>
  <si>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</si>
  <si>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</si>
  <si>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</si>
  <si>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</si>
  <si>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</si>
  <si>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</si>
  <si>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</si>
  <si>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</si>
  <si>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</si>
  <si>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</si>
  <si>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</si>
  <si>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</si>
  <si>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</si>
  <si>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</si>
  <si>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</si>
  <si>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</si>
  <si>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</si>
  <si>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</si>
  <si>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</si>
  <si>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</si>
  <si>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</si>
  <si>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</si>
  <si>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</si>
  <si>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</si>
  <si>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</si>
  <si>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</si>
  <si>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</si>
  <si>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</si>
  <si>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</si>
  <si>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</si>
  <si>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</si>
  <si>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</si>
  <si>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</si>
  <si>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</si>
  <si>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</si>
  <si>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</si>
  <si>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</si>
  <si>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</si>
  <si>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</si>
  <si>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</si>
  <si>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</si>
  <si>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</si>
  <si>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</si>
  <si>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</si>
  <si>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</si>
  <si>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</si>
  <si>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</si>
  <si>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</si>
  <si>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</si>
  <si>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</si>
  <si>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</si>
  <si>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</si>
  <si>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</si>
  <si>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</si>
  <si>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</si>
  <si>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</si>
  <si>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</si>
  <si>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</si>
  <si>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</si>
  <si>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</si>
  <si>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</si>
  <si>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</si>
  <si>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</si>
  <si>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</si>
  <si>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</si>
  <si>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</si>
  <si>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</si>
  <si>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</si>
  <si>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</si>
  <si>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</si>
  <si>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</si>
  <si>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</si>
  <si>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</si>
  <si>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</si>
  <si>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</si>
  <si>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</si>
  <si>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</si>
  <si>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</si>
  <si>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</si>
  <si>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</si>
  <si>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</si>
  <si>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</si>
  <si>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</si>
  <si>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</si>
  <si>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</si>
  <si>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</si>
  <si>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</si>
  <si>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</si>
  <si>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</si>
  <si>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</si>
  <si>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</si>
  <si>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</si>
  <si>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</si>
  <si>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</si>
  <si>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</si>
  <si>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</si>
  <si>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</si>
  <si>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</si>
  <si>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</si>
  <si>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</si>
  <si>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</si>
  <si>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</si>
  <si>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</si>
  <si>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</si>
  <si>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</si>
  <si>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</si>
  <si>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</si>
  <si>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</si>
  <si>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</si>
  <si>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</si>
  <si>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</si>
  <si>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</si>
  <si>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</si>
  <si>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</si>
  <si>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</si>
  <si>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</si>
  <si>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</si>
  <si>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</si>
  <si>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</si>
  <si>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</si>
  <si>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</si>
  <si>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</si>
  <si>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</si>
  <si>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</si>
  <si>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</si>
  <si>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</si>
  <si>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</si>
  <si>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</si>
  <si>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</si>
  <si>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</si>
  <si>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</si>
  <si>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</si>
  <si>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</si>
  <si>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</si>
  <si>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</si>
  <si>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</si>
  <si>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</si>
  <si>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</si>
  <si>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</si>
  <si>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</si>
  <si>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</si>
  <si>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</si>
  <si>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</si>
  <si>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</si>
  <si>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</si>
  <si>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</si>
  <si>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</si>
  <si>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</si>
  <si>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</si>
  <si>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</si>
  <si>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</si>
  <si>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</si>
  <si>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</si>
  <si>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</si>
  <si>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</si>
  <si>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</si>
  <si>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</si>
  <si>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</si>
  <si>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</si>
  <si>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</si>
  <si>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</si>
  <si>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</si>
  <si>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</si>
  <si>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</si>
  <si>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</si>
  <si>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</si>
  <si>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</si>
  <si>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</si>
  <si>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</si>
  <si>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</si>
  <si>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</si>
  <si>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</si>
  <si>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</si>
  <si>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</si>
  <si>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</si>
  <si>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</si>
  <si>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</si>
  <si>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</si>
  <si>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</si>
  <si>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</si>
  <si>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</si>
  <si>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</si>
  <si>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</si>
  <si>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</si>
  <si>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</si>
  <si>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</si>
  <si>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</si>
  <si>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</si>
  <si>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</si>
  <si>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</si>
  <si>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</si>
  <si>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</si>
  <si>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</si>
  <si>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</si>
  <si>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</si>
  <si>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</si>
  <si>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</si>
  <si>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</si>
  <si>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</si>
  <si>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</si>
  <si>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</si>
  <si>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</si>
  <si>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</si>
  <si>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</si>
  <si>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</si>
  <si>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</si>
  <si>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</si>
  <si>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</si>
  <si>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</si>
  <si>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</si>
  <si>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</si>
  <si>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</si>
  <si>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</si>
  <si>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</si>
  <si>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</si>
  <si>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</si>
  <si>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</si>
  <si>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</si>
  <si>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</si>
  <si>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</si>
  <si>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</si>
  <si>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</si>
  <si>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</si>
  <si>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</si>
  <si>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</si>
  <si>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</si>
  <si>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</si>
  <si>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</si>
  <si>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</si>
  <si>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</si>
  <si>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</si>
  <si>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</si>
  <si>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</si>
  <si>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</si>
  <si>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</si>
  <si>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</si>
  <si>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</si>
  <si>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</si>
  <si>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</si>
  <si>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</si>
  <si>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</si>
  <si>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</si>
  <si>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</si>
  <si>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</si>
  <si>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</si>
  <si>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</si>
  <si>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</si>
  <si>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</si>
  <si>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</si>
  <si>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</si>
  <si>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</si>
  <si>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</si>
  <si>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</si>
  <si>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</si>
  <si>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</si>
  <si>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</si>
  <si>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</si>
  <si>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</si>
  <si>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</si>
  <si>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</si>
  <si>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</si>
  <si>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</si>
  <si>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</si>
  <si>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</si>
  <si>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</si>
  <si>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</si>
  <si>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</si>
  <si>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</si>
  <si>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</si>
  <si>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</si>
  <si>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</si>
  <si>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</si>
  <si>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</si>
  <si>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</si>
  <si>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</si>
  <si>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</si>
  <si>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</si>
  <si>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</si>
  <si>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</si>
  <si>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</si>
  <si>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</si>
  <si>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</si>
  <si>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</si>
  <si>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</si>
  <si>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</si>
  <si>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</si>
  <si>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</si>
  <si>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</si>
  <si>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</si>
  <si>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</si>
  <si>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</si>
  <si>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</si>
  <si>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</si>
  <si>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</si>
  <si>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</si>
  <si>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</si>
  <si>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</si>
  <si>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</si>
  <si>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</si>
  <si>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</si>
  <si>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</si>
  <si>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</si>
  <si>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</si>
  <si>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</si>
  <si>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</si>
  <si>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</si>
  <si>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</si>
  <si>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</si>
  <si>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</si>
  <si>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</si>
  <si>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</si>
  <si>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</si>
  <si>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</si>
  <si>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</si>
  <si>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</si>
  <si>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</si>
  <si>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</si>
  <si>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</si>
  <si>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</si>
  <si>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</si>
  <si>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</si>
  <si>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</si>
  <si>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</si>
  <si>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</si>
  <si>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</si>
  <si>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</si>
  <si>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</si>
  <si>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</si>
  <si>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</si>
  <si>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</si>
  <si>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</si>
  <si>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</si>
  <si>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</si>
  <si>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</si>
  <si>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</si>
  <si>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</si>
  <si>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</si>
  <si>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</si>
  <si>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</si>
  <si>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</si>
  <si>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</si>
  <si>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</si>
  <si>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</si>
  <si>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</si>
  <si>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</si>
  <si>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</si>
  <si>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</si>
  <si>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</si>
  <si>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</si>
  <si>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</si>
  <si>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</si>
  <si>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</si>
  <si>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</si>
  <si>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</si>
  <si>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</si>
  <si>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</si>
  <si>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PacH San Jose Holdings, LLC</t>
  </si>
  <si>
    <t>Block A Family Apartments</t>
  </si>
  <si>
    <t>Mark Weise</t>
  </si>
  <si>
    <t>President, Pacific Housing, Inc.(its manager)</t>
  </si>
  <si>
    <t>City of San Jose</t>
  </si>
  <si>
    <t>Jennifer Maguire  (Executive Assistant is Sandra Cranford)</t>
  </si>
  <si>
    <t>200 East Santa Clara Street</t>
  </si>
  <si>
    <t>San Jose</t>
  </si>
  <si>
    <t>408-535-8111</t>
  </si>
  <si>
    <t>sandra.cranford@sanjoseca.gov</t>
  </si>
  <si>
    <t>860 W. San Carlos Street</t>
  </si>
  <si>
    <t>264-14-132</t>
  </si>
  <si>
    <t>2115 J Street</t>
  </si>
  <si>
    <t>CA</t>
  </si>
  <si>
    <t>Mat Eland</t>
  </si>
  <si>
    <t>916-638-5200</t>
  </si>
  <si>
    <t>meland@pacifichousing.org</t>
  </si>
  <si>
    <t>Pacific Housing, Inc.</t>
  </si>
  <si>
    <t>Green Valley Corporation</t>
  </si>
  <si>
    <t>Managing GP</t>
  </si>
  <si>
    <t>777 N. First Street, 5th Floor</t>
  </si>
  <si>
    <t>Mark Pilarczyk</t>
  </si>
  <si>
    <t>408-335-5997</t>
  </si>
  <si>
    <t>mark@swenson.com</t>
  </si>
  <si>
    <t>Green Valle Corp. dba Swenson</t>
  </si>
  <si>
    <t>Administrative GP</t>
  </si>
  <si>
    <t xml:space="preserve">Mat Eland </t>
  </si>
  <si>
    <t>Green Valley Corp. dba Swenson</t>
  </si>
  <si>
    <t>Developer, GP</t>
  </si>
  <si>
    <t>San Jose, CA 95112</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</si>
  <si>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</si>
  <si>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</si>
  <si>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</si>
  <si>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</si>
  <si>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</si>
  <si>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</si>
  <si>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</si>
  <si>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</si>
  <si>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</si>
  <si>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</si>
  <si>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</si>
  <si>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</si>
  <si>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</si>
  <si>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</si>
  <si>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</si>
  <si>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</si>
  <si>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</si>
  <si>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</si>
  <si>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</si>
  <si>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</si>
  <si>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</si>
  <si>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</si>
  <si>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</si>
  <si>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</si>
  <si>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</si>
  <si>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</si>
  <si>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</si>
  <si>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</si>
  <si>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</si>
  <si>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FPI Management</t>
  </si>
  <si>
    <t>800 Iron Point Road</t>
  </si>
  <si>
    <t>Folsom, CA 95630</t>
  </si>
  <si>
    <t>Cynthia Wray</t>
  </si>
  <si>
    <t>916-850-4484</t>
  </si>
  <si>
    <t>cynthia.wray@fpimgt.com</t>
  </si>
  <si>
    <t>760-930-1266</t>
  </si>
  <si>
    <t>bbarker@cmfa-ca.com</t>
  </si>
  <si>
    <t>GR Block A LLC</t>
  </si>
  <si>
    <t>Case Swenson</t>
  </si>
  <si>
    <t xml:space="preserve">President </t>
  </si>
  <si>
    <t>Secured by Leasehold Interest</t>
  </si>
  <si>
    <t>Inner City Infill Site</t>
  </si>
  <si>
    <t>Planned Development - Transit Residential</t>
  </si>
  <si>
    <t>Planned Development - 272 units</t>
  </si>
  <si>
    <t>Planned Development Minor Modification - 272 units</t>
  </si>
  <si>
    <t>Yes / In-lieu fee option available</t>
  </si>
  <si>
    <t>12 stories allowed</t>
  </si>
  <si>
    <t>Berkadia - TEB</t>
  </si>
  <si>
    <t>Fixed</t>
  </si>
  <si>
    <t>Berkadia - Recycled Bonds</t>
  </si>
  <si>
    <t>Berkadia - Taxable Tail</t>
  </si>
  <si>
    <t>CREA - Tax Credit Equity</t>
  </si>
  <si>
    <t>Deferred Reserve Funding</t>
  </si>
  <si>
    <t>Ground Lease TI Contribution</t>
  </si>
  <si>
    <t>11111 Santa Monica Blvd, Suite 400</t>
  </si>
  <si>
    <t>Jay Abeywardena</t>
  </si>
  <si>
    <t>310-209-3244</t>
  </si>
  <si>
    <t>Loan, Tax Exempt</t>
  </si>
  <si>
    <t>Loan, Recycled Bonds</t>
  </si>
  <si>
    <t>LIHTC</t>
  </si>
  <si>
    <t>(408) 335-5997</t>
  </si>
  <si>
    <t>Deferred Developer Funding</t>
  </si>
  <si>
    <t>New York</t>
  </si>
  <si>
    <t>Lease Up Income</t>
  </si>
  <si>
    <t>Perm Loan</t>
  </si>
  <si>
    <t>777 N. First Street</t>
  </si>
  <si>
    <t>Deferred Contractor Fee</t>
  </si>
  <si>
    <t>App fees, laundry, misc., etc.</t>
  </si>
  <si>
    <t>Misc.</t>
  </si>
  <si>
    <t>Ground Lease Payments During Construction</t>
  </si>
  <si>
    <t xml:space="preserve">Legal Borrower &amp; Consultant and Ground Lease Expenses - legal </t>
  </si>
  <si>
    <t>PacH San Jose Holdings, LLC - Pacific Housing, Inc.</t>
  </si>
  <si>
    <t>Recycled Bonds</t>
  </si>
  <si>
    <t>Lender Inspections</t>
  </si>
  <si>
    <t>40%/60% Average Income</t>
  </si>
  <si>
    <t>Haven Capital</t>
  </si>
  <si>
    <t>Berkadia/Private Placement</t>
  </si>
  <si>
    <t>230 Park Avenue, Suite 3300</t>
  </si>
  <si>
    <t>Tye Palonen</t>
  </si>
  <si>
    <t>310-256-2247</t>
  </si>
  <si>
    <t>Below residual receipts line for cash flow</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</si>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</sst>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29" sqref="H2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3" t="s">
        <v>1586</v>
      </c>
      <c r="B1" s="2653"/>
      <c r="C1" s="2653"/>
      <c r="D1" s="2653"/>
      <c r="E1" s="2653"/>
      <c r="F1" s="2653"/>
      <c r="G1" s="2653"/>
      <c r="H1" s="2653"/>
      <c r="I1" s="2653"/>
      <c r="J1" s="2653"/>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89383386</v>
      </c>
      <c r="I3" s="1105"/>
    </row>
    <row r="4" spans="1:13" s="1051" customFormat="1" ht="20.100000000000001" customHeight="1">
      <c r="B4" s="1094"/>
      <c r="D4" s="1108"/>
      <c r="F4" s="1092" t="s">
        <v>1992</v>
      </c>
      <c r="G4" s="1091" t="s">
        <v>1991</v>
      </c>
      <c r="H4" s="1093">
        <f>I18</f>
        <v>31241339.869281046</v>
      </c>
      <c r="I4" s="1095"/>
      <c r="K4" s="1055"/>
    </row>
    <row r="5" spans="1:13" s="1051" customFormat="1" ht="20.100000000000001" customHeight="1" thickBot="1">
      <c r="B5" s="1096"/>
      <c r="C5" s="1097"/>
      <c r="D5" s="1109"/>
      <c r="E5" s="1098"/>
      <c r="F5" s="1109" t="s">
        <v>1942</v>
      </c>
      <c r="G5" s="1110"/>
      <c r="H5" s="1106">
        <f>IFERROR(H3/H4,0)</f>
        <v>2.8610612212534714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1940</v>
      </c>
      <c r="C8" s="2657"/>
      <c r="D8" s="2657"/>
      <c r="E8" s="2658"/>
      <c r="G8" s="2659" t="s">
        <v>1941</v>
      </c>
      <c r="H8" s="2660"/>
      <c r="I8" s="2661"/>
      <c r="K8" s="1057"/>
    </row>
    <row r="9" spans="1:13" ht="15" customHeight="1">
      <c r="A9" s="1046"/>
      <c r="B9" s="2654" t="s">
        <v>1974</v>
      </c>
      <c r="C9" s="2654"/>
      <c r="D9" s="2654"/>
      <c r="E9" s="1059">
        <f>G33</f>
        <v>16337500</v>
      </c>
      <c r="G9" s="2662" t="s">
        <v>1972</v>
      </c>
      <c r="H9" s="2662"/>
      <c r="I9" s="1060">
        <f>SUMIF(Application!M554:M565,"Loan, Tax-Exempt",Application!AM554:AM565)</f>
        <v>38000000</v>
      </c>
      <c r="K9" s="1061"/>
      <c r="M9" s="1062"/>
    </row>
    <row r="10" spans="1:13" ht="15" customHeight="1" thickBot="1">
      <c r="A10" s="1046"/>
      <c r="B10" s="2654" t="s">
        <v>1975</v>
      </c>
      <c r="C10" s="2654"/>
      <c r="D10" s="2654"/>
      <c r="E10" s="1060">
        <f>G47</f>
        <v>42771636.000000007</v>
      </c>
      <c r="G10" s="2666" t="s">
        <v>1943</v>
      </c>
      <c r="H10" s="2666"/>
      <c r="I10" s="1140">
        <f>'Basis &amp; Credits'!AB78</f>
        <v>0</v>
      </c>
      <c r="M10" s="1062"/>
    </row>
    <row r="11" spans="1:13" ht="15" customHeight="1">
      <c r="A11" s="1046"/>
      <c r="B11" s="2670" t="s">
        <v>2263</v>
      </c>
      <c r="C11" s="2671"/>
      <c r="D11" s="2672"/>
      <c r="E11" s="1060">
        <f>SUM(E12,E13)</f>
        <v>540000</v>
      </c>
      <c r="G11" s="2669" t="s">
        <v>1983</v>
      </c>
      <c r="H11" s="2669"/>
      <c r="I11" s="1139">
        <f>I9+I10</f>
        <v>38000000</v>
      </c>
      <c r="M11" s="1062"/>
    </row>
    <row r="12" spans="1:13" ht="15" customHeight="1">
      <c r="A12" s="1063"/>
      <c r="B12" s="2655" t="s">
        <v>2265</v>
      </c>
      <c r="C12" s="2655"/>
      <c r="D12" s="2655"/>
      <c r="E12" s="1165">
        <f>G56</f>
        <v>0</v>
      </c>
      <c r="M12" s="1062"/>
    </row>
    <row r="13" spans="1:13" ht="15" customHeight="1">
      <c r="A13" s="1049"/>
      <c r="B13" s="2655" t="s">
        <v>2266</v>
      </c>
      <c r="C13" s="2655"/>
      <c r="D13" s="2655"/>
      <c r="E13" s="1165">
        <f>G65</f>
        <v>540000</v>
      </c>
      <c r="G13" s="2659" t="s">
        <v>2006</v>
      </c>
      <c r="H13" s="2660"/>
      <c r="I13" s="2661"/>
      <c r="M13" s="1062"/>
    </row>
    <row r="14" spans="1:13" ht="15" customHeight="1">
      <c r="A14" s="1049"/>
      <c r="B14" s="2670" t="s">
        <v>2264</v>
      </c>
      <c r="C14" s="2671"/>
      <c r="D14" s="2672"/>
      <c r="E14" s="1167">
        <f>MAX(E15,E16)+E17</f>
        <v>29734250</v>
      </c>
      <c r="G14" s="2662" t="s">
        <v>139</v>
      </c>
      <c r="H14" s="2662"/>
      <c r="I14" s="1064">
        <f>15%*(AND(G120="Yes",G122&lt;&gt;""))</f>
        <v>0</v>
      </c>
      <c r="M14" s="1062"/>
    </row>
    <row r="15" spans="1:13" ht="15" customHeight="1">
      <c r="A15" s="1049"/>
      <c r="B15" s="2673" t="s">
        <v>2270</v>
      </c>
      <c r="C15" s="2674"/>
      <c r="D15" s="2675"/>
      <c r="E15" s="1165">
        <f>G80</f>
        <v>9802500</v>
      </c>
      <c r="G15" s="1137" t="s">
        <v>1984</v>
      </c>
      <c r="H15" s="1137"/>
      <c r="I15" s="1064">
        <f>IF(Application!AJ1032&gt;0,10%,IF(Application!AJ1036&gt;0,5%,0))</f>
        <v>0.05</v>
      </c>
      <c r="M15" s="1062"/>
    </row>
    <row r="16" spans="1:13" ht="15" customHeight="1">
      <c r="A16" s="1049"/>
      <c r="B16" s="2673" t="s">
        <v>2269</v>
      </c>
      <c r="C16" s="2674"/>
      <c r="D16" s="2675"/>
      <c r="E16" s="1165">
        <f>G90</f>
        <v>0</v>
      </c>
      <c r="G16" s="2662" t="s">
        <v>1985</v>
      </c>
      <c r="H16" s="2662"/>
      <c r="I16" s="1064">
        <f>G132</f>
        <v>0.127859477124183</v>
      </c>
    </row>
    <row r="17" spans="1:21" ht="15" customHeight="1" thickBot="1">
      <c r="A17" s="1049"/>
      <c r="B17" s="2673" t="s">
        <v>2268</v>
      </c>
      <c r="C17" s="2674"/>
      <c r="D17" s="2675"/>
      <c r="E17" s="1165">
        <f>G115</f>
        <v>19931750</v>
      </c>
      <c r="G17" s="2662" t="s">
        <v>2278</v>
      </c>
      <c r="H17" s="2662"/>
      <c r="I17" s="1064">
        <f>IF(AND(G139="Yes",OR(G136,G137)),IF(G143&gt;15%,15%,G143),0)</f>
        <v>0</v>
      </c>
    </row>
    <row r="18" spans="1:21" ht="15" customHeight="1">
      <c r="A18" s="1046"/>
      <c r="B18" s="2665" t="s">
        <v>1939</v>
      </c>
      <c r="C18" s="2665"/>
      <c r="D18" s="2665"/>
      <c r="E18" s="1111">
        <f>SUM(E9:E11,E14)</f>
        <v>89383386</v>
      </c>
      <c r="G18" s="1138" t="s">
        <v>1973</v>
      </c>
      <c r="H18" s="1138"/>
      <c r="I18" s="1112">
        <f>I11-((I11*I14)+(I11*I15)+(I11*I16)+(I11*I17))</f>
        <v>31241339.869281046</v>
      </c>
      <c r="M18" s="1065">
        <f>SUM(Cdlac[Quantity])</f>
        <v>269</v>
      </c>
      <c r="O18" s="1084" t="s">
        <v>583</v>
      </c>
      <c r="P18" s="1044">
        <f>MATCH(Application!T189,Application!CB160:CB217,0)</f>
        <v>43</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0.7</v>
      </c>
      <c r="O20" s="1071">
        <f>IF(Cdlac[[#This Row],[Quantity]]&gt;0,IF(Cdlac[[#This Row],[Federal]],30%,IF(AND(OR(NOT($G$38),$G$38=""),$G$43),40%,Cdlac[[#This Row],[iAMI]])),"")</f>
        <v>0.7</v>
      </c>
      <c r="P20" s="1065" cm="1">
        <f t="array" ref="P20">IF(Cdlac[[#This Row],[Quantity]]&gt;0,INDEX(TcacRents,$P$18,Cdlac[[#This Row],[Bedrooms]]+1)*Cdlac[[#This Row],[AMI]],"")</f>
        <v>2637.6</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337.40000000000009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44</v>
      </c>
      <c r="N21" s="1071">
        <f>Application!AC719</f>
        <v>0.6</v>
      </c>
      <c r="O21" s="1071">
        <f>IF(Cdlac[[#This Row],[Quantity]]&gt;0,IF(Cdlac[[#This Row],[Federal]],30%,IF(AND(OR(NOT($G$38),$G$38=""),$G$43),40%,Cdlac[[#This Row],[iAMI]])),"")</f>
        <v>0.6</v>
      </c>
      <c r="P21" s="1065" cm="1">
        <f t="array" ref="P21">IF(Cdlac[[#This Row],[Quantity]]&gt;0,INDEX(TcacRents,$P$18,Cdlac[[#This Row],[Bedrooms]]+1)*Cdlac[[#This Row],[AMI]],"")</f>
        <v>2260.7999999999997</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714.20000000000027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1987</v>
      </c>
      <c r="D22" s="2663" t="s">
        <v>1988</v>
      </c>
      <c r="E22" s="2663" t="s">
        <v>1989</v>
      </c>
      <c r="F22" s="2663" t="s">
        <v>2609</v>
      </c>
      <c r="G22" s="2663" t="s">
        <v>1986</v>
      </c>
      <c r="H22" s="1070"/>
      <c r="I22" s="1069"/>
      <c r="L22" s="1044">
        <f>IFERROR(MIN(4,MATCH(Application!B720,UnitSizes,0)-1),"")</f>
        <v>1</v>
      </c>
      <c r="M22" s="1065">
        <f>Application!G720</f>
        <v>11</v>
      </c>
      <c r="N22" s="1071">
        <f>Application!AC720</f>
        <v>0.5</v>
      </c>
      <c r="O22" s="1071">
        <f>IF(Cdlac[[#This Row],[Quantity]]&gt;0,IF(Cdlac[[#This Row],[Federal]],30%,IF(AND(OR(NOT($G$38),$G$38=""),$G$43),40%,Cdlac[[#This Row],[iAMI]])),"")</f>
        <v>0.5</v>
      </c>
      <c r="P22" s="1065" cm="1">
        <f t="array" ref="P22">IF(Cdlac[[#This Row],[Quantity]]&gt;0,INDEX(TcacRents,$P$18,Cdlac[[#This Row],[Bedrooms]]+1)*Cdlac[[#This Row],[AMI]],"")</f>
        <v>1884</v>
      </c>
      <c r="Q22" s="1164"/>
      <c r="R22" s="1065" cm="1">
        <f t="array" ref="R22">IF(Cdlac[[#This Row],[Quantity]]&gt;0,INDEX(HudFmrs,$P$18,Cdlac[[#This Row],[Bedrooms]]+1),"")</f>
        <v>2975</v>
      </c>
      <c r="S22" s="1065">
        <f>IF(Cdlac[[#This Row],[Quantity]]&gt;0,MAX(0,Cdlac[[#This Row],[Fair Market Rent]]-IF(AND($G$37,$G$38,$G$38&lt;&gt;"",NOT(Cdlac[[#This Row],[Federal]]),Cdlac[[#This Row],[Preservation Rent]]&lt;&gt;""),Cdlac[[#This Row],[Preservation Rent]],Cdlac[[#This Row],[Restricted Rent]])),"")</f>
        <v>1091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1</v>
      </c>
      <c r="M23" s="1065">
        <f>Application!G721</f>
        <v>11</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36</v>
      </c>
      <c r="N24" s="1071">
        <f>Application!AC722</f>
        <v>0.7</v>
      </c>
      <c r="O24" s="1071">
        <f>IF(Cdlac[[#This Row],[Quantity]]&gt;0,IF(Cdlac[[#This Row],[Federal]],30%,IF(AND(OR(NOT($G$38),$G$38=""),$G$43),40%,Cdlac[[#This Row],[iAMI]])),"")</f>
        <v>0.7</v>
      </c>
      <c r="P24" s="1065" cm="1">
        <f t="array" ref="P24">IF(Cdlac[[#This Row],[Quantity]]&gt;0,INDEX(TcacRents,$P$18,Cdlac[[#This Row],[Bedrooms]]+1)*Cdlac[[#This Row],[AMI]],"")</f>
        <v>3165.3999999999996</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280.60000000000036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107</v>
      </c>
      <c r="F25" s="1072">
        <f>E25</f>
        <v>107</v>
      </c>
      <c r="G25" s="1072">
        <f>D25*F25</f>
        <v>107</v>
      </c>
      <c r="L25" s="1044">
        <f>IFERROR(MIN(4,MATCH(Application!B723,UnitSizes,0)-1),"")</f>
        <v>2</v>
      </c>
      <c r="M25" s="1065">
        <f>Application!G723</f>
        <v>37</v>
      </c>
      <c r="N25" s="1071">
        <f>Application!AC723</f>
        <v>0.6</v>
      </c>
      <c r="O25" s="1071">
        <f>IF(Cdlac[[#This Row],[Quantity]]&gt;0,IF(Cdlac[[#This Row],[Federal]],30%,IF(AND(OR(NOT($G$38),$G$38=""),$G$43),40%,Cdlac[[#This Row],[iAMI]])),"")</f>
        <v>0.6</v>
      </c>
      <c r="P25" s="1065" cm="1">
        <f t="array" ref="P25">IF(Cdlac[[#This Row],[Quantity]]&gt;0,INDEX(TcacRents,$P$18,Cdlac[[#This Row],[Bedrooms]]+1)*Cdlac[[#This Row],[AMI]],"")</f>
        <v>2713.2</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732.80000000000018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93</v>
      </c>
      <c r="F26" s="1075">
        <f>SUM(E26:E28)-SUM(F27:F28)</f>
        <v>93</v>
      </c>
      <c r="G26" s="1072">
        <f>D26*F26</f>
        <v>116.25</v>
      </c>
      <c r="H26" s="1074"/>
      <c r="I26" s="1074"/>
      <c r="L26" s="1044">
        <f>IFERROR(MIN(4,MATCH(Application!B724,UnitSizes,0)-1),"")</f>
        <v>2</v>
      </c>
      <c r="M26" s="1065">
        <f>Application!G724</f>
        <v>10</v>
      </c>
      <c r="N26" s="1071">
        <f>Application!AC724</f>
        <v>0.5</v>
      </c>
      <c r="O26" s="1071">
        <f>IF(Cdlac[[#This Row],[Quantity]]&gt;0,IF(Cdlac[[#This Row],[Federal]],30%,IF(AND(OR(NOT($G$38),$G$38=""),$G$43),40%,Cdlac[[#This Row],[iAMI]])),"")</f>
        <v>0.5</v>
      </c>
      <c r="P26" s="1065" cm="1">
        <f t="array" ref="P26">IF(Cdlac[[#This Row],[Quantity]]&gt;0,INDEX(TcacRents,$P$18,Cdlac[[#This Row],[Bedrooms]]+1)*Cdlac[[#This Row],[AMI]],"")</f>
        <v>2261</v>
      </c>
      <c r="Q26" s="1164"/>
      <c r="R26" s="1065" cm="1">
        <f t="array" ref="R26">IF(Cdlac[[#This Row],[Quantity]]&gt;0,INDEX(HudFmrs,$P$18,Cdlac[[#This Row],[Bedrooms]]+1),"")</f>
        <v>3446</v>
      </c>
      <c r="S26" s="1065">
        <f>IF(Cdlac[[#This Row],[Quantity]]&gt;0,MAX(0,Cdlac[[#This Row],[Fair Market Rent]]-IF(AND($G$37,$G$38,$G$38&lt;&gt;"",NOT(Cdlac[[#This Row],[Federal]]),Cdlac[[#This Row],[Preservation Rent]]&lt;&gt;""),Cdlac[[#This Row],[Preservation Rent]],Cdlac[[#This Row],[Restricted Rent]])),"")</f>
        <v>1185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69</v>
      </c>
      <c r="F27" s="1075">
        <f>MIN(E27,ROUNDDOWN(E29*30%,0))</f>
        <v>69</v>
      </c>
      <c r="G27" s="1072">
        <f>D27*F27</f>
        <v>103.5</v>
      </c>
      <c r="H27" s="1074"/>
      <c r="I27" s="1074"/>
      <c r="L27" s="1044">
        <f>IFERROR(MIN(4,MATCH(Application!B725,UnitSizes,0)-1),"")</f>
        <v>2</v>
      </c>
      <c r="M27" s="1065">
        <f>Application!G725</f>
        <v>10</v>
      </c>
      <c r="N27" s="1071">
        <f>Application!AC725</f>
        <v>0.3</v>
      </c>
      <c r="O27" s="1071">
        <f>IF(Cdlac[[#This Row],[Quantity]]&gt;0,IF(Cdlac[[#This Row],[Federal]],30%,IF(AND(OR(NOT($G$38),$G$38=""),$G$43),40%,Cdlac[[#This Row],[iAMI]])),"")</f>
        <v>0.3</v>
      </c>
      <c r="P27" s="1065" cm="1">
        <f t="array" ref="P27">IF(Cdlac[[#This Row],[Quantity]]&gt;0,INDEX(TcacRents,$P$18,Cdlac[[#This Row],[Bedrooms]]+1)*Cdlac[[#This Row],[AMI]],"")</f>
        <v>1356.6</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2089.4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29</v>
      </c>
      <c r="N28" s="1071">
        <f>Application!AC726</f>
        <v>0.7</v>
      </c>
      <c r="O28" s="1071">
        <f>IF(Cdlac[[#This Row],[Quantity]]&gt;0,IF(Cdlac[[#This Row],[Federal]],30%,IF(AND(OR(NOT($G$38),$G$38=""),$G$43),40%,Cdlac[[#This Row],[iAMI]])),"")</f>
        <v>0.7</v>
      </c>
      <c r="P28" s="1065" cm="1">
        <f t="array" ref="P28">IF(Cdlac[[#This Row],[Quantity]]&gt;0,INDEX(TcacRents,$P$18,Cdlac[[#This Row],[Bedrooms]]+1)*Cdlac[[#This Row],[AMI]],"")</f>
        <v>3655.3999999999996</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821.60000000000036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7" t="s">
        <v>1587</v>
      </c>
      <c r="D29" s="2678"/>
      <c r="E29" s="1089">
        <f>SUM(E24:E28)</f>
        <v>269</v>
      </c>
      <c r="F29" s="1089">
        <f>SUM(F24:F28)</f>
        <v>269</v>
      </c>
      <c r="G29" s="1090">
        <f>SUMPRODUCT(D24:D28,F24:F28)</f>
        <v>326.75</v>
      </c>
      <c r="H29" s="1074"/>
      <c r="I29" s="1074"/>
      <c r="L29" s="1044">
        <f>IFERROR(MIN(4,MATCH(Application!B727,UnitSizes,0)-1),"")</f>
        <v>3</v>
      </c>
      <c r="M29" s="1065">
        <f>Application!G727</f>
        <v>28</v>
      </c>
      <c r="N29" s="1071">
        <f>Application!AC727</f>
        <v>0.6</v>
      </c>
      <c r="O29" s="1071">
        <f>IF(Cdlac[[#This Row],[Quantity]]&gt;0,IF(Cdlac[[#This Row],[Federal]],30%,IF(AND(OR(NOT($G$38),$G$38=""),$G$43),40%,Cdlac[[#This Row],[iAMI]])),"")</f>
        <v>0.6</v>
      </c>
      <c r="P29" s="1065" cm="1">
        <f t="array" ref="P29">IF(Cdlac[[#This Row],[Quantity]]&gt;0,INDEX(TcacRents,$P$18,Cdlac[[#This Row],[Bedrooms]]+1)*Cdlac[[#This Row],[AMI]],"")</f>
        <v>3133.2</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1343.8000000000002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6</v>
      </c>
      <c r="N30" s="1071">
        <f>Application!AC728</f>
        <v>0.5</v>
      </c>
      <c r="O30" s="1071">
        <f>IF(Cdlac[[#This Row],[Quantity]]&gt;0,IF(Cdlac[[#This Row],[Federal]],30%,IF(AND(OR(NOT($G$38),$G$38=""),$G$43),40%,Cdlac[[#This Row],[iAMI]])),"")</f>
        <v>0.5</v>
      </c>
      <c r="P30" s="1065" cm="1">
        <f t="array" ref="P30">IF(Cdlac[[#This Row],[Quantity]]&gt;0,INDEX(TcacRents,$P$18,Cdlac[[#This Row],[Bedrooms]]+1)*Cdlac[[#This Row],[AMI]],"")</f>
        <v>2611</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1866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326.75</v>
      </c>
      <c r="H31" s="1074"/>
      <c r="I31" s="1074"/>
      <c r="L31" s="1044">
        <f>IFERROR(MIN(4,MATCH(Application!B729,UnitSizes,0)-1),"")</f>
        <v>3</v>
      </c>
      <c r="M31" s="1065">
        <f>Application!G729</f>
        <v>6</v>
      </c>
      <c r="N31" s="1071">
        <f>Application!AC729</f>
        <v>0.3</v>
      </c>
      <c r="O31" s="1071">
        <f>IF(Cdlac[[#This Row],[Quantity]]&gt;0,IF(Cdlac[[#This Row],[Federal]],30%,IF(AND(OR(NOT($G$38),$G$38=""),$G$43),40%,Cdlac[[#This Row],[iAMI]])),"")</f>
        <v>0.3</v>
      </c>
      <c r="P31" s="1065" cm="1">
        <f t="array" ref="P31">IF(Cdlac[[#This Row],[Quantity]]&gt;0,INDEX(TcacRents,$P$18,Cdlac[[#This Row],[Bedrooms]]+1)*Cdlac[[#This Row],[AMI]],"")</f>
        <v>1566.6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2910.4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16337500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0.59925650557620824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237620.20000000004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42771636.000000007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27</v>
      </c>
    </row>
    <row r="61" spans="2:21" ht="15" customHeight="1">
      <c r="E61" s="1117" t="s">
        <v>1995</v>
      </c>
      <c r="G61" s="1079">
        <f>ROUNDDOWN(E29*50%,0)</f>
        <v>134</v>
      </c>
    </row>
    <row r="62" spans="2:21" ht="15" customHeight="1">
      <c r="E62" s="1117"/>
      <c r="G62" s="1079"/>
    </row>
    <row r="63" spans="2:21" ht="15" customHeight="1">
      <c r="E63" s="1117" t="s">
        <v>1955</v>
      </c>
      <c r="G63" s="1114">
        <f>MIN(G60:G61)</f>
        <v>27</v>
      </c>
    </row>
    <row r="64" spans="2:21" ht="15" customHeight="1">
      <c r="E64" s="1117" t="s">
        <v>1945</v>
      </c>
      <c r="F64" s="1113" t="s">
        <v>1993</v>
      </c>
      <c r="G64" s="1124">
        <v>20000</v>
      </c>
    </row>
    <row r="65" spans="2:14" ht="15" customHeight="1">
      <c r="E65" s="1118" t="s">
        <v>1977</v>
      </c>
      <c r="F65" s="1046"/>
      <c r="G65" s="1123">
        <f>G63*G64</f>
        <v>540000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Moderate Resource</v>
      </c>
      <c r="L72" s="2650" t="s">
        <v>1970</v>
      </c>
      <c r="M72" s="2651"/>
      <c r="N72" s="1131">
        <v>30000</v>
      </c>
    </row>
    <row r="73" spans="2:14" ht="15" customHeight="1">
      <c r="C73" s="2652" t="s">
        <v>2262</v>
      </c>
      <c r="D73" s="2652"/>
      <c r="E73" s="2652"/>
      <c r="F73" s="2652"/>
      <c r="G73" s="1043" t="s">
        <v>546</v>
      </c>
      <c r="L73" s="2667" t="s">
        <v>1938</v>
      </c>
      <c r="M73" s="2668"/>
      <c r="N73" s="1132">
        <v>20000</v>
      </c>
    </row>
    <row r="74" spans="2:14" ht="15" customHeight="1" thickBot="1">
      <c r="C74" s="2652"/>
      <c r="D74" s="2652"/>
      <c r="E74" s="2652"/>
      <c r="F74" s="2652"/>
      <c r="L74" s="2642" t="s">
        <v>1971</v>
      </c>
      <c r="M74" s="2643"/>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326.75</v>
      </c>
    </row>
    <row r="80" spans="2:14" ht="15" customHeight="1">
      <c r="D80" s="1046"/>
      <c r="E80" s="1118" t="s">
        <v>2267</v>
      </c>
      <c r="F80" s="1046"/>
      <c r="G80" s="1123">
        <f>G79*G78*G76</f>
        <v>9802500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326.75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326.75</v>
      </c>
    </row>
    <row r="97" spans="2:14" ht="15" customHeight="1">
      <c r="E97" s="1118" t="s">
        <v>1962</v>
      </c>
      <c r="F97" s="1046"/>
      <c r="G97" s="1123">
        <f>G94*G95*G96</f>
        <v>9149000</v>
      </c>
      <c r="L97" s="1127" t="str">
        <f>'Points System'!H638</f>
        <v>(i)</v>
      </c>
      <c r="M97" s="2648" t="s">
        <v>1406</v>
      </c>
      <c r="N97" s="2649"/>
    </row>
    <row r="98" spans="2:14" ht="15" customHeight="1">
      <c r="C98" s="1077"/>
      <c r="G98" s="1114"/>
      <c r="L98" s="1128" t="str">
        <f>'Points System'!H650</f>
        <v>N/A</v>
      </c>
      <c r="M98" s="2644" t="s">
        <v>1957</v>
      </c>
      <c r="N98" s="2645"/>
    </row>
    <row r="99" spans="2:14" ht="15" customHeight="1">
      <c r="E99" s="1084" t="s">
        <v>1998</v>
      </c>
      <c r="G99" s="1126">
        <f>COUNTIFS(L97:L104,"(i)")</f>
        <v>2</v>
      </c>
      <c r="L99" s="1128" t="str">
        <f>'Points System'!H685</f>
        <v>(i)</v>
      </c>
      <c r="M99" s="2644" t="s">
        <v>1958</v>
      </c>
      <c r="N99" s="2645"/>
    </row>
    <row r="100" spans="2:14" ht="15" customHeight="1">
      <c r="E100" s="1084" t="s">
        <v>1945</v>
      </c>
      <c r="F100" s="1113" t="s">
        <v>1993</v>
      </c>
      <c r="G100" s="1124">
        <v>4000</v>
      </c>
      <c r="L100" s="1128" t="str">
        <f>IF(OR('Points System'!H709="(ii)",'Points System'!H709="(i)"),"(i)","N/A")</f>
        <v>N/A</v>
      </c>
      <c r="M100" s="2644" t="s">
        <v>1959</v>
      </c>
      <c r="N100" s="2645"/>
    </row>
    <row r="101" spans="2:14" ht="15" customHeight="1">
      <c r="E101" s="1118" t="s">
        <v>1963</v>
      </c>
      <c r="F101" s="1046"/>
      <c r="G101" s="1123">
        <f>G96*G99*G100</f>
        <v>2614000</v>
      </c>
      <c r="L101" s="1129" t="str">
        <f>'Points System'!H723</f>
        <v>N/A</v>
      </c>
      <c r="M101" s="2644" t="s">
        <v>1432</v>
      </c>
      <c r="N101" s="2645"/>
    </row>
    <row r="102" spans="2:14" ht="15" customHeight="1">
      <c r="L102" s="1128" t="str">
        <f>'Points System'!H735</f>
        <v>N/A</v>
      </c>
      <c r="M102" s="2644" t="s">
        <v>1960</v>
      </c>
      <c r="N102" s="2645"/>
    </row>
    <row r="103" spans="2:14" ht="15" customHeight="1">
      <c r="C103" s="1080" t="s">
        <v>1965</v>
      </c>
      <c r="L103" s="1128" t="str">
        <f>'Points System'!H751</f>
        <v>(ii)</v>
      </c>
      <c r="M103" s="2644" t="s">
        <v>1961</v>
      </c>
      <c r="N103" s="2645"/>
    </row>
    <row r="104" spans="2:14" ht="15" customHeight="1" thickBot="1">
      <c r="C104" s="1077" t="s">
        <v>1966</v>
      </c>
      <c r="G104" s="1043"/>
      <c r="L104" s="1130" t="str">
        <f>'Points System'!H763</f>
        <v>(ii)</v>
      </c>
      <c r="M104" s="2646" t="s">
        <v>1435</v>
      </c>
      <c r="N104" s="2647"/>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326.75</v>
      </c>
    </row>
    <row r="112" spans="2:14" ht="15" customHeight="1">
      <c r="E112" s="1084" t="s">
        <v>1945</v>
      </c>
      <c r="F112" s="1113" t="s">
        <v>1993</v>
      </c>
      <c r="G112" s="1124">
        <v>25000</v>
      </c>
    </row>
    <row r="113" spans="2:9" ht="15" customHeight="1">
      <c r="E113" s="1118" t="s">
        <v>1964</v>
      </c>
      <c r="F113" s="1046"/>
      <c r="G113" s="1123">
        <f>G109*G112*G96</f>
        <v>8168750</v>
      </c>
    </row>
    <row r="114" spans="2:9" ht="15" customHeight="1">
      <c r="C114" s="1077"/>
      <c r="E114" s="1077"/>
    </row>
    <row r="115" spans="2:9" ht="15" customHeight="1">
      <c r="E115" s="1118" t="s">
        <v>2272</v>
      </c>
      <c r="G115" s="1123">
        <f>G113+G101+G97</f>
        <v>19931750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2227</v>
      </c>
      <c r="D119" s="2679"/>
      <c r="E119" s="2679"/>
      <c r="F119" s="2679"/>
    </row>
    <row r="120" spans="2:9" ht="15" customHeight="1">
      <c r="C120" s="2679"/>
      <c r="D120" s="2679"/>
      <c r="E120" s="2679"/>
      <c r="F120" s="2679"/>
      <c r="G120" s="1043"/>
    </row>
    <row r="121" spans="2:9" ht="15" customHeight="1"/>
    <row r="122" spans="2:9" ht="15" customHeight="1">
      <c r="C122" s="1044" t="s">
        <v>2229</v>
      </c>
      <c r="G122" s="2681"/>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ht="15">
      <c r="D132" s="1046"/>
      <c r="E132" s="1118" t="s">
        <v>2003</v>
      </c>
      <c r="F132" s="1134"/>
      <c r="G132" s="1135">
        <f>((G130-G131)/G131)*0.25</f>
        <v>0.127859477124183</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6" t="s">
        <v>2275</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5700000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41</v>
      </c>
      <c r="C4" s="1162"/>
      <c r="D4" s="428">
        <f>Application!O718</f>
        <v>2579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44</v>
      </c>
      <c r="C5" s="1162"/>
      <c r="D5" s="428">
        <f>Application!O719</f>
        <v>2202</v>
      </c>
      <c r="E5" s="429"/>
      <c r="F5" s="1083"/>
      <c r="G5" s="428">
        <f t="shared" ref="G5:G38" si="2">F5*B5</f>
        <v>0</v>
      </c>
      <c r="H5" s="429"/>
      <c r="I5" s="428" t="str">
        <f t="shared" si="0"/>
        <v/>
      </c>
      <c r="J5" s="428" t="str">
        <f t="shared" si="1"/>
        <v/>
      </c>
      <c r="K5" s="204"/>
      <c r="L5" s="305"/>
    </row>
    <row r="6" spans="1:12">
      <c r="A6" s="428" t="str">
        <f>Application!B720</f>
        <v>1 Bedroom</v>
      </c>
      <c r="B6" s="1082">
        <f>Application!G720</f>
        <v>11</v>
      </c>
      <c r="C6" s="1162"/>
      <c r="D6" s="428">
        <f>Application!O720</f>
        <v>1825</v>
      </c>
      <c r="E6" s="429"/>
      <c r="F6" s="1083"/>
      <c r="G6" s="428">
        <f t="shared" si="2"/>
        <v>0</v>
      </c>
      <c r="H6" s="429"/>
      <c r="I6" s="428" t="str">
        <f t="shared" si="0"/>
        <v/>
      </c>
      <c r="J6" s="428" t="str">
        <f t="shared" si="1"/>
        <v/>
      </c>
      <c r="K6" s="204"/>
      <c r="L6" s="305"/>
    </row>
    <row r="7" spans="1:12">
      <c r="A7" s="428" t="str">
        <f>Application!B721</f>
        <v>1 Bedroom</v>
      </c>
      <c r="B7" s="1082">
        <f>Application!G721</f>
        <v>11</v>
      </c>
      <c r="C7" s="1162"/>
      <c r="D7" s="428">
        <f>Application!O721</f>
        <v>1071</v>
      </c>
      <c r="E7" s="429"/>
      <c r="F7" s="1083"/>
      <c r="G7" s="428">
        <f t="shared" si="2"/>
        <v>0</v>
      </c>
      <c r="H7" s="429"/>
      <c r="I7" s="428" t="str">
        <f t="shared" si="0"/>
        <v/>
      </c>
      <c r="J7" s="428" t="str">
        <f t="shared" si="1"/>
        <v/>
      </c>
      <c r="K7" s="204"/>
      <c r="L7" s="305"/>
    </row>
    <row r="8" spans="1:12">
      <c r="A8" s="428" t="str">
        <f>Application!B722</f>
        <v>2 Bedrooms</v>
      </c>
      <c r="B8" s="1082">
        <f>Application!G722</f>
        <v>36</v>
      </c>
      <c r="C8" s="1162"/>
      <c r="D8" s="428">
        <f>Application!O722</f>
        <v>3085</v>
      </c>
      <c r="E8" s="429"/>
      <c r="F8" s="1083"/>
      <c r="G8" s="428">
        <f t="shared" si="2"/>
        <v>0</v>
      </c>
      <c r="H8" s="429"/>
      <c r="I8" s="428" t="str">
        <f t="shared" si="0"/>
        <v/>
      </c>
      <c r="J8" s="428" t="str">
        <f t="shared" si="1"/>
        <v/>
      </c>
      <c r="K8" s="204"/>
      <c r="L8" s="305"/>
    </row>
    <row r="9" spans="1:12">
      <c r="A9" s="428" t="str">
        <f>Application!B723</f>
        <v>2 Bedrooms</v>
      </c>
      <c r="B9" s="1082">
        <f>Application!G723</f>
        <v>37</v>
      </c>
      <c r="C9" s="1162"/>
      <c r="D9" s="428">
        <f>Application!O723</f>
        <v>2633</v>
      </c>
      <c r="E9" s="429"/>
      <c r="F9" s="1083"/>
      <c r="G9" s="428">
        <f t="shared" si="2"/>
        <v>0</v>
      </c>
      <c r="H9" s="429"/>
      <c r="I9" s="428" t="str">
        <f t="shared" si="0"/>
        <v/>
      </c>
      <c r="J9" s="428" t="str">
        <f t="shared" si="1"/>
        <v/>
      </c>
      <c r="K9" s="204"/>
      <c r="L9" s="305"/>
    </row>
    <row r="10" spans="1:12">
      <c r="A10" s="428" t="str">
        <f>Application!B724</f>
        <v>2 Bedrooms</v>
      </c>
      <c r="B10" s="1082">
        <f>Application!G724</f>
        <v>10</v>
      </c>
      <c r="C10" s="1162"/>
      <c r="D10" s="428">
        <f>Application!O724</f>
        <v>2181</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c r="D11" s="428">
        <f>Application!O725</f>
        <v>1276</v>
      </c>
      <c r="E11" s="429"/>
      <c r="F11" s="1083"/>
      <c r="G11" s="428">
        <f t="shared" si="2"/>
        <v>0</v>
      </c>
      <c r="H11" s="429"/>
      <c r="I11" s="428" t="str">
        <f t="shared" si="0"/>
        <v/>
      </c>
      <c r="J11" s="428" t="str">
        <f t="shared" si="1"/>
        <v/>
      </c>
      <c r="K11" s="204"/>
      <c r="L11" s="305"/>
    </row>
    <row r="12" spans="1:12">
      <c r="A12" s="428" t="str">
        <f>Application!B726</f>
        <v>3 Bedrooms</v>
      </c>
      <c r="B12" s="1082">
        <f>Application!G726</f>
        <v>29</v>
      </c>
      <c r="C12" s="1162"/>
      <c r="D12" s="428">
        <f>Application!O726</f>
        <v>3553</v>
      </c>
      <c r="E12" s="429"/>
      <c r="F12" s="1083"/>
      <c r="G12" s="428">
        <f t="shared" si="2"/>
        <v>0</v>
      </c>
      <c r="H12" s="429"/>
      <c r="I12" s="428" t="str">
        <f t="shared" si="0"/>
        <v/>
      </c>
      <c r="J12" s="428" t="str">
        <f t="shared" si="1"/>
        <v/>
      </c>
      <c r="K12" s="204"/>
      <c r="L12" s="305"/>
    </row>
    <row r="13" spans="1:12">
      <c r="A13" s="428" t="str">
        <f>Application!B727</f>
        <v>3 Bedrooms</v>
      </c>
      <c r="B13" s="1082">
        <f>Application!G727</f>
        <v>28</v>
      </c>
      <c r="C13" s="1162"/>
      <c r="D13" s="428">
        <f>Application!O727</f>
        <v>3031</v>
      </c>
      <c r="E13" s="429"/>
      <c r="F13" s="1083"/>
      <c r="G13" s="428">
        <f t="shared" si="2"/>
        <v>0</v>
      </c>
      <c r="H13" s="429"/>
      <c r="I13" s="428" t="str">
        <f t="shared" si="0"/>
        <v/>
      </c>
      <c r="J13" s="428" t="str">
        <f t="shared" si="1"/>
        <v/>
      </c>
      <c r="K13" s="204"/>
      <c r="L13" s="305"/>
    </row>
    <row r="14" spans="1:12">
      <c r="A14" s="428" t="str">
        <f>Application!B728</f>
        <v>3 Bedrooms</v>
      </c>
      <c r="B14" s="1082">
        <f>Application!G728</f>
        <v>6</v>
      </c>
      <c r="C14" s="1162"/>
      <c r="D14" s="428">
        <f>Application!O728</f>
        <v>2508</v>
      </c>
      <c r="E14" s="429"/>
      <c r="F14" s="1083"/>
      <c r="G14" s="428">
        <f t="shared" si="2"/>
        <v>0</v>
      </c>
      <c r="H14" s="429"/>
      <c r="I14" s="428" t="str">
        <f t="shared" si="0"/>
        <v/>
      </c>
      <c r="J14" s="428" t="str">
        <f t="shared" si="1"/>
        <v/>
      </c>
      <c r="K14" s="204"/>
      <c r="L14" s="305"/>
    </row>
    <row r="15" spans="1:12">
      <c r="A15" s="428" t="str">
        <f>Application!B729</f>
        <v>3 Bedrooms</v>
      </c>
      <c r="B15" s="1082">
        <f>Application!G729</f>
        <v>6</v>
      </c>
      <c r="C15" s="1162"/>
      <c r="D15" s="428">
        <f>Application!O729</f>
        <v>1464</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689271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4" t="s">
        <v>2496</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D66" sqref="D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8271252</v>
      </c>
      <c r="G4" s="219">
        <f>E4*$C$4</f>
        <v>8478033.2999999989</v>
      </c>
      <c r="I4" s="219">
        <f>G4*$C$4</f>
        <v>8689984.1324999984</v>
      </c>
      <c r="K4" s="219">
        <f>I4*$C$4</f>
        <v>8907233.7358124983</v>
      </c>
      <c r="M4" s="219">
        <f>K4*$C$4</f>
        <v>9129914.5792078096</v>
      </c>
      <c r="O4" s="219">
        <f>M4*$C$4</f>
        <v>9358162.4436880033</v>
      </c>
      <c r="Q4" s="219">
        <f>O4*$C$4</f>
        <v>9592116.5047802031</v>
      </c>
      <c r="S4" s="219">
        <f>Q4*$C$4</f>
        <v>9831919.4173997082</v>
      </c>
      <c r="U4" s="219">
        <f>S4*$C$4</f>
        <v>10077717.4028347</v>
      </c>
      <c r="W4" s="219">
        <f>U4*$C$4</f>
        <v>10329660.337905567</v>
      </c>
      <c r="Y4" s="219">
        <f>W4*$C$4</f>
        <v>10587901.846353205</v>
      </c>
      <c r="AA4" s="219">
        <f>Y4*$C$4</f>
        <v>10852599.392512035</v>
      </c>
      <c r="AC4" s="219">
        <f>AA4*$C$4</f>
        <v>11123914.377324834</v>
      </c>
      <c r="AE4" s="219">
        <f>AC4*$C$4</f>
        <v>11402012.236757955</v>
      </c>
      <c r="AG4" s="219">
        <f>AE4*$C$4</f>
        <v>11687062.542676903</v>
      </c>
    </row>
    <row r="5" spans="1:34" s="210" customFormat="1" ht="14.25">
      <c r="B5" s="210" t="s">
        <v>839</v>
      </c>
      <c r="C5" s="238">
        <f>IF(Application!$D$211="Special Needs",(((0.1*Application!$T$212)+(0.05*(1-Application!$T$212)))),0.05)</f>
        <v>0.05</v>
      </c>
      <c r="E5" s="221">
        <f>-E4*$C$5</f>
        <v>-413562.60000000003</v>
      </c>
      <c r="F5" s="221"/>
      <c r="G5" s="221">
        <f>-G4*$C$5</f>
        <v>-423901.66499999998</v>
      </c>
      <c r="H5" s="221"/>
      <c r="I5" s="221">
        <f>-I4*$C$5</f>
        <v>-434499.20662499993</v>
      </c>
      <c r="J5" s="221"/>
      <c r="K5" s="221">
        <f>-K4*$C$5</f>
        <v>-445361.68679062492</v>
      </c>
      <c r="L5" s="221"/>
      <c r="M5" s="221">
        <f>-M4*$C$5</f>
        <v>-456495.72896039049</v>
      </c>
      <c r="N5" s="221"/>
      <c r="O5" s="221">
        <f>-O4*$C$5</f>
        <v>-467908.12218440021</v>
      </c>
      <c r="P5" s="221"/>
      <c r="Q5" s="221">
        <f>-Q4*$C$5</f>
        <v>-479605.82523901016</v>
      </c>
      <c r="R5" s="221"/>
      <c r="S5" s="221">
        <f>-S4*$C$5</f>
        <v>-491595.97086998541</v>
      </c>
      <c r="T5" s="221"/>
      <c r="U5" s="221">
        <f>-U4*$C$5</f>
        <v>-503885.87014173507</v>
      </c>
      <c r="V5" s="221"/>
      <c r="W5" s="221">
        <f>-W4*$C$5</f>
        <v>-516483.01689527836</v>
      </c>
      <c r="X5" s="221"/>
      <c r="Y5" s="221">
        <f>-Y4*$C$5</f>
        <v>-529395.09231766022</v>
      </c>
      <c r="Z5" s="221"/>
      <c r="AA5" s="221">
        <f>-AA4*$C$5</f>
        <v>-542629.96962560178</v>
      </c>
      <c r="AB5" s="221"/>
      <c r="AC5" s="221">
        <f>-AC4*$C$5</f>
        <v>-556195.71886624175</v>
      </c>
      <c r="AD5" s="221"/>
      <c r="AE5" s="221">
        <f>-AE4*$C$5</f>
        <v>-570100.6118378978</v>
      </c>
      <c r="AF5" s="221"/>
      <c r="AG5" s="221">
        <f>-AG4*$C$5</f>
        <v>-584353.12713384524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40800</v>
      </c>
      <c r="F8" s="222"/>
      <c r="G8" s="222">
        <f>E8*$C$8</f>
        <v>41820</v>
      </c>
      <c r="H8" s="222"/>
      <c r="I8" s="222">
        <f>G8*$C$8</f>
        <v>42865.499999999993</v>
      </c>
      <c r="J8" s="222"/>
      <c r="K8" s="222">
        <f>I8*$C$8</f>
        <v>43937.13749999999</v>
      </c>
      <c r="L8" s="222"/>
      <c r="M8" s="222">
        <f>K8*$C$8</f>
        <v>45035.565937499989</v>
      </c>
      <c r="N8" s="222"/>
      <c r="O8" s="222">
        <f>M8*$C$8</f>
        <v>46161.455085937487</v>
      </c>
      <c r="P8" s="222"/>
      <c r="Q8" s="222">
        <f>O8*$C$8</f>
        <v>47315.49146308592</v>
      </c>
      <c r="R8" s="222"/>
      <c r="S8" s="222">
        <f>Q8*$C$8</f>
        <v>48498.378749663061</v>
      </c>
      <c r="T8" s="222"/>
      <c r="U8" s="222">
        <f>S8*$C$8</f>
        <v>49710.838218404635</v>
      </c>
      <c r="V8" s="222"/>
      <c r="W8" s="222">
        <f>U8*$C$8</f>
        <v>50953.609173864745</v>
      </c>
      <c r="X8" s="222"/>
      <c r="Y8" s="222">
        <f>W8*$C$8</f>
        <v>52227.449403211358</v>
      </c>
      <c r="Z8" s="222"/>
      <c r="AA8" s="222">
        <f>Y8*$C$8</f>
        <v>53533.135638291635</v>
      </c>
      <c r="AB8" s="222"/>
      <c r="AC8" s="222">
        <f>AA8*$C$8</f>
        <v>54871.46402924892</v>
      </c>
      <c r="AD8" s="222"/>
      <c r="AE8" s="222">
        <f>AC8*$C$8</f>
        <v>56243.250629980139</v>
      </c>
      <c r="AF8" s="222"/>
      <c r="AG8" s="222">
        <f>AE8*$C$8</f>
        <v>57649.331895729636</v>
      </c>
    </row>
    <row r="9" spans="1:34" s="210" customFormat="1" ht="14.25">
      <c r="B9" s="210" t="s">
        <v>839</v>
      </c>
      <c r="C9" s="238">
        <f>IF(Application!$D$211="Special Needs",(((0.1*Application!$T$212)+(0.05*(1-Application!$T$212)))),0.05)</f>
        <v>0.05</v>
      </c>
      <c r="E9" s="221">
        <f>-E8*$C$9</f>
        <v>-2040</v>
      </c>
      <c r="F9" s="221"/>
      <c r="G9" s="221">
        <f>-G8*$C$9</f>
        <v>-2091</v>
      </c>
      <c r="H9" s="221"/>
      <c r="I9" s="221">
        <f>-I8*$C$9</f>
        <v>-2143.2749999999996</v>
      </c>
      <c r="J9" s="221"/>
      <c r="K9" s="221">
        <f>-K8*$C$9</f>
        <v>-2196.8568749999995</v>
      </c>
      <c r="L9" s="221"/>
      <c r="M9" s="221">
        <f>-M8*$C$9</f>
        <v>-2251.7782968749993</v>
      </c>
      <c r="N9" s="221"/>
      <c r="O9" s="221">
        <f>-O8*$C$9</f>
        <v>-2308.0727542968743</v>
      </c>
      <c r="P9" s="221"/>
      <c r="Q9" s="221">
        <f>-Q8*$C$9</f>
        <v>-2365.7745731542959</v>
      </c>
      <c r="R9" s="221"/>
      <c r="S9" s="221">
        <f>-S8*$C$9</f>
        <v>-2424.9189374831531</v>
      </c>
      <c r="T9" s="221"/>
      <c r="U9" s="221">
        <f>-U8*$C$9</f>
        <v>-2485.5419109202321</v>
      </c>
      <c r="V9" s="221"/>
      <c r="W9" s="221">
        <f>-W8*$C$9</f>
        <v>-2547.6804586932376</v>
      </c>
      <c r="X9" s="221"/>
      <c r="Y9" s="221">
        <f>-Y8*$C$9</f>
        <v>-2611.3724701605679</v>
      </c>
      <c r="Z9" s="221"/>
      <c r="AA9" s="221">
        <f>-AA8*$C$9</f>
        <v>-2676.6567819145821</v>
      </c>
      <c r="AB9" s="221"/>
      <c r="AC9" s="221">
        <f>-AC8*$C$9</f>
        <v>-2743.5732014624464</v>
      </c>
      <c r="AD9" s="221"/>
      <c r="AE9" s="221">
        <f>-AE8*$C$9</f>
        <v>-2812.1625314990069</v>
      </c>
      <c r="AF9" s="221"/>
      <c r="AG9" s="221">
        <f>-AG8*$C$9</f>
        <v>-2882.4665947864819</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7896449.4000000004</v>
      </c>
      <c r="G11" s="223">
        <f>SUM(G4:G10)</f>
        <v>8093860.6349999988</v>
      </c>
      <c r="I11" s="223">
        <f>SUM(I4:I10)</f>
        <v>8296207.1508749984</v>
      </c>
      <c r="K11" s="223">
        <f>SUM(K4:K10)</f>
        <v>8503612.3296468724</v>
      </c>
      <c r="M11" s="223">
        <f>SUM(M4:M10)</f>
        <v>8716202.6378880441</v>
      </c>
      <c r="O11" s="223">
        <f>SUM(O4:O10)</f>
        <v>8934107.7038352434</v>
      </c>
      <c r="Q11" s="223">
        <f>SUM(Q4:Q10)</f>
        <v>9157460.3964311238</v>
      </c>
      <c r="S11" s="223">
        <f>SUM(S4:S10)</f>
        <v>9386396.9063419029</v>
      </c>
      <c r="U11" s="223">
        <f>SUM(U4:U10)</f>
        <v>9621056.8290004488</v>
      </c>
      <c r="W11" s="223">
        <f>SUM(W4:W10)</f>
        <v>9861583.2497254591</v>
      </c>
      <c r="Y11" s="223">
        <f>SUM(Y4:Y10)</f>
        <v>10108122.830968596</v>
      </c>
      <c r="AA11" s="223">
        <f>SUM(AA4:AA10)</f>
        <v>10360825.90174281</v>
      </c>
      <c r="AC11" s="223">
        <f>SUM(AC4:AC10)</f>
        <v>10619846.549286379</v>
      </c>
      <c r="AE11" s="223">
        <f>SUM(AE4:AE10)</f>
        <v>10885342.713018538</v>
      </c>
      <c r="AG11" s="223">
        <f>SUM(AG4:AG10)</f>
        <v>11157476.280844001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45000</v>
      </c>
      <c r="G15" s="219">
        <f>E15*$C$14</f>
        <v>46575</v>
      </c>
      <c r="I15" s="219">
        <f>G15*$C$14</f>
        <v>48205.124999999993</v>
      </c>
      <c r="K15" s="219">
        <f>I15*$C$14</f>
        <v>49892.304374999985</v>
      </c>
      <c r="M15" s="219">
        <f>K15*$C$14</f>
        <v>51638.535028124978</v>
      </c>
      <c r="O15" s="219">
        <f>M15*$C$14</f>
        <v>53445.883754109345</v>
      </c>
      <c r="Q15" s="219">
        <f>O15*$C$14</f>
        <v>55316.489685503169</v>
      </c>
      <c r="S15" s="219">
        <f>Q15*$C$14</f>
        <v>57252.566824495778</v>
      </c>
      <c r="U15" s="219">
        <f>S15*$C$14</f>
        <v>59256.406663353126</v>
      </c>
      <c r="W15" s="219">
        <f>U15*$C$14</f>
        <v>61330.380896570481</v>
      </c>
      <c r="Y15" s="219">
        <f>W15*$C$14</f>
        <v>63476.944227950444</v>
      </c>
      <c r="AA15" s="219">
        <f>Y15*$C$14</f>
        <v>65698.637275928704</v>
      </c>
      <c r="AC15" s="219">
        <f>AA15*$C$14</f>
        <v>67998.089580586209</v>
      </c>
      <c r="AE15" s="219">
        <f>AC15*$C$14</f>
        <v>70378.022715906714</v>
      </c>
      <c r="AG15" s="219">
        <f>AE15*$C$14</f>
        <v>72841.253510963448</v>
      </c>
    </row>
    <row r="16" spans="1:34" s="210" customFormat="1" ht="14.25">
      <c r="A16" s="210" t="s">
        <v>344</v>
      </c>
      <c r="C16" s="233"/>
      <c r="E16" s="222">
        <f>Application!W849</f>
        <v>225000</v>
      </c>
      <c r="F16" s="222"/>
      <c r="G16" s="222">
        <f t="shared" ref="G16:AG21" si="0">E16*$C$14</f>
        <v>232874.99999999997</v>
      </c>
      <c r="H16" s="222"/>
      <c r="I16" s="222">
        <f t="shared" si="0"/>
        <v>241025.62499999994</v>
      </c>
      <c r="J16" s="222"/>
      <c r="K16" s="222">
        <f t="shared" si="0"/>
        <v>249461.52187499992</v>
      </c>
      <c r="L16" s="222"/>
      <c r="M16" s="222">
        <f t="shared" si="0"/>
        <v>258192.67514062489</v>
      </c>
      <c r="N16" s="222"/>
      <c r="O16" s="222">
        <f t="shared" si="0"/>
        <v>267229.41877054673</v>
      </c>
      <c r="P16" s="222"/>
      <c r="Q16" s="222">
        <f t="shared" si="0"/>
        <v>276582.44842751586</v>
      </c>
      <c r="R16" s="222"/>
      <c r="S16" s="222">
        <f t="shared" si="0"/>
        <v>286262.8341224789</v>
      </c>
      <c r="T16" s="222"/>
      <c r="U16" s="222">
        <f t="shared" si="0"/>
        <v>296282.03331676562</v>
      </c>
      <c r="V16" s="222"/>
      <c r="W16" s="222">
        <f t="shared" si="0"/>
        <v>306651.90448285238</v>
      </c>
      <c r="X16" s="222"/>
      <c r="Y16" s="222">
        <f t="shared" si="0"/>
        <v>317384.72113975219</v>
      </c>
      <c r="Z16" s="222"/>
      <c r="AA16" s="222">
        <f t="shared" si="0"/>
        <v>328493.18637964351</v>
      </c>
      <c r="AB16" s="222"/>
      <c r="AC16" s="222">
        <f t="shared" si="0"/>
        <v>339990.44790293102</v>
      </c>
      <c r="AD16" s="222"/>
      <c r="AE16" s="222">
        <f t="shared" si="0"/>
        <v>351890.11357953359</v>
      </c>
      <c r="AF16" s="222"/>
      <c r="AG16" s="222">
        <f t="shared" si="0"/>
        <v>364206.26755481726</v>
      </c>
    </row>
    <row r="17" spans="1:33" s="210" customFormat="1" ht="14.25">
      <c r="A17" s="210" t="s">
        <v>562</v>
      </c>
      <c r="C17" s="233"/>
      <c r="E17" s="222">
        <f>Application!W855</f>
        <v>350000</v>
      </c>
      <c r="F17" s="222"/>
      <c r="G17" s="222">
        <f t="shared" si="0"/>
        <v>362250</v>
      </c>
      <c r="H17" s="222"/>
      <c r="I17" s="222">
        <f t="shared" si="0"/>
        <v>374928.75</v>
      </c>
      <c r="J17" s="222"/>
      <c r="K17" s="222">
        <f t="shared" si="0"/>
        <v>388051.25624999998</v>
      </c>
      <c r="L17" s="222"/>
      <c r="M17" s="222">
        <f t="shared" si="0"/>
        <v>401633.05021874997</v>
      </c>
      <c r="N17" s="222"/>
      <c r="O17" s="222">
        <f t="shared" si="0"/>
        <v>415690.20697640616</v>
      </c>
      <c r="P17" s="222"/>
      <c r="Q17" s="222">
        <f t="shared" si="0"/>
        <v>430239.36422058032</v>
      </c>
      <c r="R17" s="222"/>
      <c r="S17" s="222">
        <f t="shared" si="0"/>
        <v>445297.7419683006</v>
      </c>
      <c r="T17" s="222"/>
      <c r="U17" s="222">
        <f t="shared" si="0"/>
        <v>460883.16293719108</v>
      </c>
      <c r="V17" s="222"/>
      <c r="W17" s="222">
        <f t="shared" si="0"/>
        <v>477014.07363999274</v>
      </c>
      <c r="X17" s="222"/>
      <c r="Y17" s="222">
        <f t="shared" si="0"/>
        <v>493709.56621739245</v>
      </c>
      <c r="Z17" s="222"/>
      <c r="AA17" s="222">
        <f t="shared" si="0"/>
        <v>510989.40103500115</v>
      </c>
      <c r="AB17" s="222"/>
      <c r="AC17" s="222">
        <f t="shared" si="0"/>
        <v>528874.03007122618</v>
      </c>
      <c r="AD17" s="222"/>
      <c r="AE17" s="222">
        <f t="shared" si="0"/>
        <v>547384.62112371903</v>
      </c>
      <c r="AF17" s="222"/>
      <c r="AG17" s="222">
        <f t="shared" si="0"/>
        <v>566543.08286304912</v>
      </c>
    </row>
    <row r="18" spans="1:33" s="210" customFormat="1" ht="14.25">
      <c r="A18" s="210" t="s">
        <v>843</v>
      </c>
      <c r="C18" s="233"/>
      <c r="E18" s="222">
        <f>Application!W862</f>
        <v>275000</v>
      </c>
      <c r="F18" s="222"/>
      <c r="G18" s="222">
        <f t="shared" si="0"/>
        <v>284625</v>
      </c>
      <c r="H18" s="222"/>
      <c r="I18" s="222">
        <f t="shared" si="0"/>
        <v>294586.875</v>
      </c>
      <c r="J18" s="222"/>
      <c r="K18" s="222">
        <f t="shared" si="0"/>
        <v>304897.41562499997</v>
      </c>
      <c r="L18" s="222"/>
      <c r="M18" s="222">
        <f t="shared" si="0"/>
        <v>315568.82517187495</v>
      </c>
      <c r="N18" s="222"/>
      <c r="O18" s="222">
        <f t="shared" si="0"/>
        <v>326613.73405289056</v>
      </c>
      <c r="P18" s="222"/>
      <c r="Q18" s="222">
        <f t="shared" si="0"/>
        <v>338045.21474474168</v>
      </c>
      <c r="R18" s="222"/>
      <c r="S18" s="222">
        <f t="shared" si="0"/>
        <v>349876.79726080759</v>
      </c>
      <c r="T18" s="222"/>
      <c r="U18" s="222">
        <f t="shared" si="0"/>
        <v>362122.48516493582</v>
      </c>
      <c r="V18" s="222"/>
      <c r="W18" s="222">
        <f t="shared" si="0"/>
        <v>374796.77214570856</v>
      </c>
      <c r="X18" s="222"/>
      <c r="Y18" s="222">
        <f t="shared" si="0"/>
        <v>387914.65917080833</v>
      </c>
      <c r="Z18" s="222"/>
      <c r="AA18" s="222">
        <f t="shared" si="0"/>
        <v>401491.67224178661</v>
      </c>
      <c r="AB18" s="222"/>
      <c r="AC18" s="222">
        <f t="shared" si="0"/>
        <v>415543.88077024912</v>
      </c>
      <c r="AD18" s="222"/>
      <c r="AE18" s="222">
        <f t="shared" si="0"/>
        <v>430087.91659720778</v>
      </c>
      <c r="AF18" s="222"/>
      <c r="AG18" s="222">
        <f t="shared" si="0"/>
        <v>445140.99367811001</v>
      </c>
    </row>
    <row r="19" spans="1:33" s="210" customFormat="1" ht="14.25">
      <c r="A19" s="210" t="s">
        <v>155</v>
      </c>
      <c r="C19" s="233"/>
      <c r="E19" s="222">
        <f>Application!W863</f>
        <v>75000</v>
      </c>
      <c r="F19" s="222"/>
      <c r="G19" s="222">
        <f t="shared" si="0"/>
        <v>77625</v>
      </c>
      <c r="H19" s="222"/>
      <c r="I19" s="222">
        <f t="shared" si="0"/>
        <v>80341.875</v>
      </c>
      <c r="J19" s="222"/>
      <c r="K19" s="222">
        <f t="shared" si="0"/>
        <v>83153.840624999997</v>
      </c>
      <c r="L19" s="222"/>
      <c r="M19" s="222">
        <f t="shared" si="0"/>
        <v>86064.225046874984</v>
      </c>
      <c r="N19" s="222"/>
      <c r="O19" s="222">
        <f t="shared" si="0"/>
        <v>89076.472923515597</v>
      </c>
      <c r="P19" s="222"/>
      <c r="Q19" s="222">
        <f t="shared" si="0"/>
        <v>92194.14947583864</v>
      </c>
      <c r="R19" s="222"/>
      <c r="S19" s="222">
        <f t="shared" si="0"/>
        <v>95420.944707492978</v>
      </c>
      <c r="T19" s="222"/>
      <c r="U19" s="222">
        <f t="shared" si="0"/>
        <v>98760.677772255221</v>
      </c>
      <c r="V19" s="222"/>
      <c r="W19" s="222">
        <f t="shared" si="0"/>
        <v>102217.30149428414</v>
      </c>
      <c r="X19" s="222"/>
      <c r="Y19" s="222">
        <f t="shared" si="0"/>
        <v>105794.90704658408</v>
      </c>
      <c r="Z19" s="222"/>
      <c r="AA19" s="222">
        <f t="shared" si="0"/>
        <v>109497.72879321451</v>
      </c>
      <c r="AB19" s="222"/>
      <c r="AC19" s="222">
        <f t="shared" si="0"/>
        <v>113330.14930097701</v>
      </c>
      <c r="AD19" s="222"/>
      <c r="AE19" s="222">
        <f t="shared" si="0"/>
        <v>117296.7045265112</v>
      </c>
      <c r="AF19" s="222"/>
      <c r="AG19" s="222">
        <f t="shared" si="0"/>
        <v>121402.08918493908</v>
      </c>
    </row>
    <row r="20" spans="1:33" s="210" customFormat="1" ht="14.25">
      <c r="A20" s="210" t="s">
        <v>390</v>
      </c>
      <c r="C20" s="233"/>
      <c r="E20" s="222">
        <f>Application!W872</f>
        <v>577160</v>
      </c>
      <c r="F20" s="222"/>
      <c r="G20" s="222">
        <f t="shared" si="0"/>
        <v>597360.6</v>
      </c>
      <c r="H20" s="222"/>
      <c r="I20" s="222">
        <f t="shared" si="0"/>
        <v>618268.2209999999</v>
      </c>
      <c r="J20" s="222"/>
      <c r="K20" s="222">
        <f t="shared" si="0"/>
        <v>639907.6087349999</v>
      </c>
      <c r="L20" s="222"/>
      <c r="M20" s="222">
        <f t="shared" si="0"/>
        <v>662304.37504072487</v>
      </c>
      <c r="N20" s="222"/>
      <c r="O20" s="222">
        <f t="shared" si="0"/>
        <v>685485.02816715022</v>
      </c>
      <c r="P20" s="222"/>
      <c r="Q20" s="222">
        <f t="shared" si="0"/>
        <v>709477.00415300042</v>
      </c>
      <c r="R20" s="222"/>
      <c r="S20" s="222">
        <f t="shared" si="0"/>
        <v>734308.69929835538</v>
      </c>
      <c r="T20" s="222"/>
      <c r="U20" s="222">
        <f t="shared" si="0"/>
        <v>760009.50377379777</v>
      </c>
      <c r="V20" s="222"/>
      <c r="W20" s="222">
        <f t="shared" si="0"/>
        <v>786609.83640588063</v>
      </c>
      <c r="X20" s="222"/>
      <c r="Y20" s="222">
        <f t="shared" si="0"/>
        <v>814141.18068008637</v>
      </c>
      <c r="Z20" s="222"/>
      <c r="AA20" s="222">
        <f t="shared" si="0"/>
        <v>842636.12200388929</v>
      </c>
      <c r="AB20" s="222"/>
      <c r="AC20" s="222">
        <f t="shared" si="0"/>
        <v>872128.38627402531</v>
      </c>
      <c r="AD20" s="222"/>
      <c r="AE20" s="222">
        <f t="shared" si="0"/>
        <v>902652.87979361613</v>
      </c>
      <c r="AF20" s="222"/>
      <c r="AG20" s="222">
        <f t="shared" si="0"/>
        <v>934245.73058639257</v>
      </c>
    </row>
    <row r="21" spans="1:33" s="210" customFormat="1" ht="14.25">
      <c r="A21" s="226" t="s">
        <v>963</v>
      </c>
      <c r="B21" s="226"/>
      <c r="C21" s="233"/>
      <c r="E21" s="232">
        <f>Application!W879</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844</v>
      </c>
      <c r="C22" s="233"/>
      <c r="E22" s="223">
        <f>SUM(E15:E21)</f>
        <v>1572160</v>
      </c>
      <c r="G22" s="223">
        <f>SUM(G15:G21)</f>
        <v>1627185.6</v>
      </c>
      <c r="I22" s="223">
        <f>SUM(I15:I21)</f>
        <v>1684137.0959999999</v>
      </c>
      <c r="K22" s="223">
        <f>SUM(K15:K21)</f>
        <v>1743081.8943599998</v>
      </c>
      <c r="M22" s="223">
        <f>SUM(M15:M21)</f>
        <v>1804089.7606625997</v>
      </c>
      <c r="O22" s="223">
        <f>SUM(O15:O21)</f>
        <v>1867232.9022857905</v>
      </c>
      <c r="Q22" s="223">
        <f>SUM(Q15:Q21)</f>
        <v>1932586.0538657927</v>
      </c>
      <c r="S22" s="223">
        <f>SUM(S15:S21)</f>
        <v>2000226.5657510958</v>
      </c>
      <c r="U22" s="223">
        <f>SUM(U15:U21)</f>
        <v>2070234.4955523836</v>
      </c>
      <c r="W22" s="223">
        <f>SUM(W15:W21)</f>
        <v>2142692.702896717</v>
      </c>
      <c r="Y22" s="223">
        <f>SUM(Y15:Y21)</f>
        <v>2217686.9474981022</v>
      </c>
      <c r="AA22" s="223">
        <f>SUM(AA15:AA21)</f>
        <v>2295305.9906605352</v>
      </c>
      <c r="AC22" s="223">
        <f>SUM(AC15:AC21)</f>
        <v>2375641.7003336539</v>
      </c>
      <c r="AE22" s="223">
        <f>SUM(AE15:AE21)</f>
        <v>2458789.1598453317</v>
      </c>
      <c r="AG22" s="223">
        <f>SUM(AG15:AG21)</f>
        <v>2544846.7804399179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1.02</v>
      </c>
      <c r="E24" s="910">
        <v>2331000</v>
      </c>
      <c r="F24" s="222"/>
      <c r="G24" s="222">
        <f>E24*$C$24</f>
        <v>2377620</v>
      </c>
      <c r="H24" s="222"/>
      <c r="I24" s="222">
        <f>G24*$C$24</f>
        <v>2425172.4</v>
      </c>
      <c r="J24" s="222"/>
      <c r="K24" s="222">
        <f>I24*$C$24</f>
        <v>2473675.8479999998</v>
      </c>
      <c r="L24" s="222"/>
      <c r="M24" s="222">
        <f>K24*$C$24</f>
        <v>2523149.3649599999</v>
      </c>
      <c r="N24" s="222"/>
      <c r="O24" s="222">
        <f>M24*$C$24</f>
        <v>2573612.3522592001</v>
      </c>
      <c r="P24" s="222"/>
      <c r="Q24" s="222">
        <f>O24*$C$24</f>
        <v>2625084.5993043841</v>
      </c>
      <c r="R24" s="222"/>
      <c r="S24" s="222">
        <f>Q24*$C$24</f>
        <v>2677586.2912904718</v>
      </c>
      <c r="T24" s="222"/>
      <c r="U24" s="222">
        <f>S24*$C$24</f>
        <v>2731138.0171162812</v>
      </c>
      <c r="V24" s="222"/>
      <c r="W24" s="222">
        <f>U24*$C$24</f>
        <v>2785760.7774586068</v>
      </c>
      <c r="X24" s="222"/>
      <c r="Y24" s="222">
        <f>W24*$C$24</f>
        <v>2841475.9930077791</v>
      </c>
      <c r="Z24" s="222"/>
      <c r="AA24" s="222">
        <f>Y24*$C$24</f>
        <v>2898305.5128679345</v>
      </c>
      <c r="AB24" s="222"/>
      <c r="AC24" s="222">
        <f>AA24*$C$24</f>
        <v>2956271.6231252933</v>
      </c>
      <c r="AD24" s="222"/>
      <c r="AE24" s="222">
        <f>AC24*$C$24</f>
        <v>3015397.0555877993</v>
      </c>
      <c r="AF24" s="222"/>
      <c r="AG24" s="222">
        <f>AE24*$C$24</f>
        <v>3075704.9966995553</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68000</v>
      </c>
      <c r="F28" s="222"/>
      <c r="G28" s="222">
        <f>$E$28</f>
        <v>68000</v>
      </c>
      <c r="H28" s="222"/>
      <c r="I28" s="222">
        <f>$E$28</f>
        <v>68000</v>
      </c>
      <c r="J28" s="222"/>
      <c r="K28" s="222">
        <f>$E$28</f>
        <v>68000</v>
      </c>
      <c r="L28" s="222"/>
      <c r="M28" s="222">
        <f>$E$28</f>
        <v>68000</v>
      </c>
      <c r="N28" s="222"/>
      <c r="O28" s="222">
        <f>$E$28</f>
        <v>68000</v>
      </c>
      <c r="P28" s="222"/>
      <c r="Q28" s="222">
        <f>$E$28</f>
        <v>68000</v>
      </c>
      <c r="R28" s="222"/>
      <c r="S28" s="222">
        <f>$E$28</f>
        <v>68000</v>
      </c>
      <c r="T28" s="222"/>
      <c r="U28" s="222">
        <f>$E$28</f>
        <v>68000</v>
      </c>
      <c r="V28" s="222"/>
      <c r="W28" s="222">
        <f>$E$28</f>
        <v>68000</v>
      </c>
      <c r="X28" s="222"/>
      <c r="Y28" s="222">
        <f>$E$28</f>
        <v>68000</v>
      </c>
      <c r="Z28" s="222"/>
      <c r="AA28" s="222">
        <f>$E$28</f>
        <v>68000</v>
      </c>
      <c r="AB28" s="222"/>
      <c r="AC28" s="222">
        <f>$E$28</f>
        <v>68000</v>
      </c>
      <c r="AD28" s="222"/>
      <c r="AE28" s="222">
        <f>$E$28</f>
        <v>68000</v>
      </c>
      <c r="AF28" s="222"/>
      <c r="AG28" s="222">
        <f>$E$28</f>
        <v>68000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3996160</v>
      </c>
      <c r="G35" s="223">
        <f>SUM(G22:G33)</f>
        <v>4098680.6</v>
      </c>
      <c r="I35" s="223">
        <f>SUM(I22:I33)</f>
        <v>4204090.1209999993</v>
      </c>
      <c r="K35" s="223">
        <f>SUM(K22:K33)</f>
        <v>4312475.6892349999</v>
      </c>
      <c r="M35" s="223">
        <f>SUM(M22:M33)</f>
        <v>4423927.2006382244</v>
      </c>
      <c r="O35" s="223">
        <f>SUM(O22:O33)</f>
        <v>4538537.4121861616</v>
      </c>
      <c r="Q35" s="223">
        <f>SUM(Q22:Q33)</f>
        <v>4656402.0363287898</v>
      </c>
      <c r="S35" s="223">
        <f>SUM(S22:S33)</f>
        <v>4777619.838610732</v>
      </c>
      <c r="U35" s="223">
        <f>SUM(U22:U33)</f>
        <v>4902292.7385927495</v>
      </c>
      <c r="W35" s="223">
        <f>SUM(W22:W33)</f>
        <v>5030525.9141867524</v>
      </c>
      <c r="Y35" s="223">
        <f>SUM(Y22:Y33)</f>
        <v>5162427.9095214093</v>
      </c>
      <c r="AA35" s="223">
        <f>SUM(AA22:AA33)</f>
        <v>5298110.7464595418</v>
      </c>
      <c r="AC35" s="223">
        <f>SUM(AC22:AC33)</f>
        <v>5437690.0398926064</v>
      </c>
      <c r="AE35" s="223">
        <f>SUM(AE22:AE33)</f>
        <v>5581285.116941968</v>
      </c>
      <c r="AG35" s="223">
        <f>SUM(AG22:AG33)</f>
        <v>5729019.1402011197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3900289.4000000004</v>
      </c>
      <c r="G37" s="223">
        <f>G11-G35</f>
        <v>3995180.0349999988</v>
      </c>
      <c r="I37" s="223">
        <f>I11-I35</f>
        <v>4092117.0298749991</v>
      </c>
      <c r="K37" s="223">
        <f>K11-K35</f>
        <v>4191136.6404118724</v>
      </c>
      <c r="M37" s="223">
        <f>M11-M35</f>
        <v>4292275.4372498197</v>
      </c>
      <c r="O37" s="223">
        <f>O11-O35</f>
        <v>4395570.2916490817</v>
      </c>
      <c r="Q37" s="223">
        <f>Q11-Q35</f>
        <v>4501058.3601023341</v>
      </c>
      <c r="S37" s="223">
        <f>S11-S35</f>
        <v>4608777.0677311709</v>
      </c>
      <c r="U37" s="223">
        <f>U11-U35</f>
        <v>4718764.0904076993</v>
      </c>
      <c r="W37" s="223">
        <f>W11-W35</f>
        <v>4831057.3355387067</v>
      </c>
      <c r="Y37" s="223">
        <f>Y11-Y35</f>
        <v>4945694.9214471867</v>
      </c>
      <c r="AA37" s="223">
        <f>AA11-AA35</f>
        <v>5062715.1552832685</v>
      </c>
      <c r="AC37" s="223">
        <f>AC11-AC35</f>
        <v>5182156.5093937721</v>
      </c>
      <c r="AE37" s="223">
        <f>AE11-AE35</f>
        <v>5304057.5960765705</v>
      </c>
      <c r="AG37" s="223">
        <f>AG11-AG35</f>
        <v>5428457.1406428814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Berkadia/Private Placement</v>
      </c>
      <c r="B40" s="226"/>
      <c r="C40" s="220"/>
      <c r="E40" s="222">
        <f>Application!AF627</f>
        <v>3391517</v>
      </c>
      <c r="F40" s="222"/>
      <c r="G40" s="222">
        <f>$E$40</f>
        <v>3391517</v>
      </c>
      <c r="H40" s="222"/>
      <c r="I40" s="222">
        <f>$E$40</f>
        <v>3391517</v>
      </c>
      <c r="J40" s="222"/>
      <c r="K40" s="222">
        <f>$E$40</f>
        <v>3391517</v>
      </c>
      <c r="L40" s="222"/>
      <c r="M40" s="222">
        <f>$E$40</f>
        <v>3391517</v>
      </c>
      <c r="N40" s="222"/>
      <c r="O40" s="222">
        <f>$E$40</f>
        <v>3391517</v>
      </c>
      <c r="P40" s="222"/>
      <c r="Q40" s="222">
        <f>$E$40</f>
        <v>3391517</v>
      </c>
      <c r="R40" s="222"/>
      <c r="S40" s="222">
        <f>$E$40</f>
        <v>3391517</v>
      </c>
      <c r="T40" s="222"/>
      <c r="U40" s="222">
        <f>$E$40</f>
        <v>3391517</v>
      </c>
      <c r="V40" s="222"/>
      <c r="W40" s="222">
        <f>$E$40</f>
        <v>3391517</v>
      </c>
      <c r="X40" s="222"/>
      <c r="Y40" s="222">
        <f>$E$40</f>
        <v>3391517</v>
      </c>
      <c r="Z40" s="222"/>
      <c r="AA40" s="222">
        <f>$E$40</f>
        <v>3391517</v>
      </c>
      <c r="AB40" s="222"/>
      <c r="AC40" s="222">
        <f>$E$40</f>
        <v>3391517</v>
      </c>
      <c r="AD40" s="222"/>
      <c r="AE40" s="222">
        <f>$E$40</f>
        <v>3391517</v>
      </c>
      <c r="AF40" s="222"/>
      <c r="AG40" s="222">
        <f>$E$40</f>
        <v>3391517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3391517</v>
      </c>
      <c r="G43" s="223">
        <f>SUM(G40:G42)</f>
        <v>3391517</v>
      </c>
      <c r="I43" s="223">
        <f>SUM(I40:I42)</f>
        <v>3391517</v>
      </c>
      <c r="K43" s="223">
        <f>SUM(K40:K42)</f>
        <v>3391517</v>
      </c>
      <c r="M43" s="223">
        <f>SUM(M40:M42)</f>
        <v>3391517</v>
      </c>
      <c r="O43" s="223">
        <f>SUM(O40:O42)</f>
        <v>3391517</v>
      </c>
      <c r="Q43" s="223">
        <f>SUM(Q40:Q42)</f>
        <v>3391517</v>
      </c>
      <c r="S43" s="223">
        <f>SUM(S40:S42)</f>
        <v>3391517</v>
      </c>
      <c r="U43" s="223">
        <f>SUM(U40:U42)</f>
        <v>3391517</v>
      </c>
      <c r="W43" s="223">
        <f>SUM(W40:W42)</f>
        <v>3391517</v>
      </c>
      <c r="Y43" s="223">
        <f>SUM(Y40:Y42)</f>
        <v>3391517</v>
      </c>
      <c r="AA43" s="223">
        <f>SUM(AA40:AA42)</f>
        <v>3391517</v>
      </c>
      <c r="AC43" s="223">
        <f>SUM(AC40:AC42)</f>
        <v>3391517</v>
      </c>
      <c r="AE43" s="223">
        <f>SUM(AE40:AE42)</f>
        <v>3391517</v>
      </c>
      <c r="AG43" s="223">
        <f>SUM(AG40:AG42)</f>
        <v>3391517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508772.40000000037</v>
      </c>
      <c r="G45" s="223">
        <f>G37-G43</f>
        <v>603663.03499999875</v>
      </c>
      <c r="I45" s="223">
        <f>I37-I43</f>
        <v>700600.02987499908</v>
      </c>
      <c r="K45" s="223">
        <f>K37-K43</f>
        <v>799619.64041187242</v>
      </c>
      <c r="M45" s="223">
        <f>M37-M43</f>
        <v>900758.43724981975</v>
      </c>
      <c r="O45" s="223">
        <f>O37-O43</f>
        <v>1004053.2916490817</v>
      </c>
      <c r="Q45" s="223">
        <f>Q37-Q43</f>
        <v>1109541.3601023341</v>
      </c>
      <c r="S45" s="223">
        <f>S37-S43</f>
        <v>1217260.0677311709</v>
      </c>
      <c r="U45" s="223">
        <f>U37-U43</f>
        <v>1327247.0904076993</v>
      </c>
      <c r="W45" s="223">
        <f>W37-W43</f>
        <v>1439540.3355387067</v>
      </c>
      <c r="Y45" s="223">
        <f>Y37-Y43</f>
        <v>1554177.9214471867</v>
      </c>
      <c r="AA45" s="223">
        <f>AA37-AA43</f>
        <v>1671198.1552832685</v>
      </c>
      <c r="AC45" s="223">
        <f>AC37-AC43</f>
        <v>1790639.5093937721</v>
      </c>
      <c r="AE45" s="223">
        <f>AE37-AE43</f>
        <v>1912540.5960765705</v>
      </c>
      <c r="AG45" s="223">
        <f>AG37-AG43</f>
        <v>2036940.1406428814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6.1209001098645723E-2</v>
      </c>
      <c r="G47" s="227">
        <f>G45/(G4+G6+G8)</f>
        <v>7.0853688877483237E-2</v>
      </c>
      <c r="I47" s="227">
        <f>I45/(I4+I6+I8)</f>
        <v>8.0225820821150984E-2</v>
      </c>
      <c r="K47" s="227">
        <f>K45/(K4+K6+K8)</f>
        <v>8.933128992050654E-2</v>
      </c>
      <c r="M47" s="227">
        <f>M45/(M4+M6+M8)</f>
        <v>9.8175839977335796E-2</v>
      </c>
      <c r="O47" s="227">
        <f>O45/(O4+O6+O8)</f>
        <v>0.10676506918056938</v>
      </c>
      <c r="Q47" s="227">
        <f>Q45/(Q4+Q6+Q8)</f>
        <v>0.11510443359471266</v>
      </c>
      <c r="S47" s="227">
        <f>S45/(S4+S6+S8)</f>
        <v>0.12319925056261948</v>
      </c>
      <c r="U47" s="227">
        <f>U45/(U4+U6+U8)</f>
        <v>0.13105470202469538</v>
      </c>
      <c r="W47" s="227">
        <f>W45/(W4+W6+W8)</f>
        <v>0.13867583775656342</v>
      </c>
      <c r="Y47" s="227">
        <f>Y45/(Y4+Y6+Y8)</f>
        <v>0.14606757852717417</v>
      </c>
      <c r="AA47" s="227">
        <f>AA45/(AA4+AA6+AA8)</f>
        <v>0.15323471917929304</v>
      </c>
      <c r="AC47" s="227">
        <f>AC45/(AC4+AC6+AC8)</f>
        <v>0.16018193163425631</v>
      </c>
      <c r="AE47" s="227">
        <f>AE45/(AE4+AE6+AE8)</f>
        <v>0.16691376782283288</v>
      </c>
      <c r="AG47" s="227">
        <f>AG45/(AG4+AG6+AG8)</f>
        <v>0.17343466254398868</v>
      </c>
    </row>
    <row r="48" spans="1:33" s="227" customFormat="1" ht="14.25">
      <c r="A48" s="227" t="s">
        <v>853</v>
      </c>
      <c r="C48" s="220"/>
      <c r="E48" s="227">
        <f>E45/E43</f>
        <v>0.15001322417077678</v>
      </c>
      <c r="G48" s="227">
        <f>G45/G43</f>
        <v>0.17799204161441584</v>
      </c>
      <c r="I48" s="227">
        <f>I45/I43</f>
        <v>0.20657423503258249</v>
      </c>
      <c r="K48" s="227">
        <f>K45/K43</f>
        <v>0.2357704945638994</v>
      </c>
      <c r="M48" s="227">
        <f>M45/M43</f>
        <v>0.26559160318223962</v>
      </c>
      <c r="O48" s="227">
        <f>O45/O43</f>
        <v>0.2960484325005836</v>
      </c>
      <c r="Q48" s="227">
        <f>Q45/Q43</f>
        <v>0.32715193823363825</v>
      </c>
      <c r="S48" s="227">
        <f>S45/S43</f>
        <v>0.35891315530223522</v>
      </c>
      <c r="U48" s="227">
        <f>U45/U43</f>
        <v>0.39134319256182393</v>
      </c>
      <c r="W48" s="227">
        <f>W45/W43</f>
        <v>0.42445322713661959</v>
      </c>
      <c r="Y48" s="227">
        <f>Y45/Y43</f>
        <v>0.4582544983401784</v>
      </c>
      <c r="AA48" s="227">
        <f>AA45/AA43</f>
        <v>0.49275830116236141</v>
      </c>
      <c r="AC48" s="227">
        <f>AC45/AC43</f>
        <v>0.52797597930182039</v>
      </c>
      <c r="AE48" s="227">
        <f>AE45/AE43</f>
        <v>0.56391891772223768</v>
      </c>
      <c r="AG48" s="227">
        <f>AG45/AG43</f>
        <v>0.60059853470965396</v>
      </c>
    </row>
    <row r="49" spans="1:34" s="228" customFormat="1" ht="14.25">
      <c r="A49" s="228" t="s">
        <v>851</v>
      </c>
      <c r="C49" s="229"/>
      <c r="E49" s="228">
        <f>E37/E43</f>
        <v>1.1500132241707768</v>
      </c>
      <c r="G49" s="228">
        <f>G37/G43</f>
        <v>1.1779920416144158</v>
      </c>
      <c r="I49" s="228">
        <f>I37/I43</f>
        <v>1.2065742350325825</v>
      </c>
      <c r="K49" s="228">
        <f>K37/K43</f>
        <v>1.2357704945638994</v>
      </c>
      <c r="M49" s="228">
        <f>M37/M43</f>
        <v>1.2655916031822396</v>
      </c>
      <c r="O49" s="228">
        <f>O37/O43</f>
        <v>1.2960484325005837</v>
      </c>
      <c r="Q49" s="228">
        <f>Q37/Q43</f>
        <v>1.3271519382336383</v>
      </c>
      <c r="S49" s="228">
        <f>S37/S43</f>
        <v>1.3589131553022353</v>
      </c>
      <c r="U49" s="228">
        <f>U37/U43</f>
        <v>1.3913431925618238</v>
      </c>
      <c r="W49" s="228">
        <f>W37/W43</f>
        <v>1.4244532271366197</v>
      </c>
      <c r="Y49" s="228">
        <f>Y37/Y43</f>
        <v>1.4582544983401784</v>
      </c>
      <c r="AA49" s="228">
        <f>AA37/AA43</f>
        <v>1.4927583011623615</v>
      </c>
      <c r="AC49" s="228">
        <f>AC37/AC43</f>
        <v>1.5279759793018204</v>
      </c>
      <c r="AE49" s="228">
        <f>AE37/AE43</f>
        <v>1.5639189177222377</v>
      </c>
      <c r="AG49" s="228">
        <f>AG37/AG43</f>
        <v>1.6005985347096539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2723</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1.02</v>
      </c>
      <c r="E53" s="964">
        <v>31560</v>
      </c>
      <c r="G53" s="960">
        <f>E53*$C$53</f>
        <v>32191.200000000001</v>
      </c>
      <c r="I53" s="960">
        <f>G53*$C$53</f>
        <v>32835.024000000005</v>
      </c>
      <c r="K53" s="960">
        <f>I53*$C$53</f>
        <v>33491.724480000004</v>
      </c>
      <c r="M53" s="960">
        <f>K53*$C$53</f>
        <v>34161.558969600002</v>
      </c>
      <c r="O53" s="960">
        <f>M53*$C$53</f>
        <v>34844.790148992004</v>
      </c>
      <c r="Q53" s="960">
        <f>O53*$C$53</f>
        <v>35541.685951971842</v>
      </c>
      <c r="S53" s="960">
        <f>Q53*$C$53</f>
        <v>36252.51967101128</v>
      </c>
      <c r="U53" s="960">
        <f>S53*$C$53</f>
        <v>36977.570064431507</v>
      </c>
      <c r="W53" s="960">
        <f>U53*$C$53</f>
        <v>37717.121465720142</v>
      </c>
      <c r="Y53" s="960">
        <f>W53*$C$53</f>
        <v>38471.463895034547</v>
      </c>
      <c r="AA53" s="960">
        <f>Y53*$C$53</f>
        <v>39240.893172935241</v>
      </c>
      <c r="AC53" s="960">
        <f>AA53*$C$53</f>
        <v>40025.711036393943</v>
      </c>
      <c r="AE53" s="960">
        <f>AC53*$C$53</f>
        <v>40826.22525712182</v>
      </c>
      <c r="AG53" s="960">
        <f>AE53*$C$53</f>
        <v>41642.749762264255</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31560</v>
      </c>
      <c r="F58" s="960"/>
      <c r="G58" s="960">
        <f>SUM(G53:G57)</f>
        <v>32191.200000000001</v>
      </c>
      <c r="H58" s="960"/>
      <c r="I58" s="960">
        <f>SUM(I53:I57)</f>
        <v>32835.024000000005</v>
      </c>
      <c r="J58" s="960"/>
      <c r="K58" s="960">
        <f>SUM(K53:K57)</f>
        <v>33491.724480000004</v>
      </c>
      <c r="L58" s="960"/>
      <c r="M58" s="960">
        <f>SUM(M53:M57)</f>
        <v>34161.558969600002</v>
      </c>
      <c r="N58" s="960"/>
      <c r="O58" s="960">
        <f>SUM(O53:O57)</f>
        <v>34844.790148992004</v>
      </c>
      <c r="P58" s="960"/>
      <c r="Q58" s="960">
        <f>SUM(Q53:Q57)</f>
        <v>35541.685951971842</v>
      </c>
      <c r="R58" s="960"/>
      <c r="S58" s="960">
        <f>SUM(S53:S57)</f>
        <v>36252.51967101128</v>
      </c>
      <c r="T58" s="960"/>
      <c r="U58" s="960">
        <f>SUM(U53:U57)</f>
        <v>36977.570064431507</v>
      </c>
      <c r="V58" s="960"/>
      <c r="W58" s="960">
        <f>SUM(W53:W57)</f>
        <v>37717.121465720142</v>
      </c>
      <c r="X58" s="960"/>
      <c r="Y58" s="960">
        <f>SUM(Y53:Y57)</f>
        <v>38471.463895034547</v>
      </c>
      <c r="Z58" s="960"/>
      <c r="AA58" s="960">
        <f>SUM(AA53:AA57)</f>
        <v>39240.893172935241</v>
      </c>
      <c r="AB58" s="960"/>
      <c r="AC58" s="960">
        <f>SUM(AC53:AC57)</f>
        <v>40025.711036393943</v>
      </c>
      <c r="AD58" s="960"/>
      <c r="AE58" s="960">
        <f>SUM(AE53:AE57)</f>
        <v>40826.22525712182</v>
      </c>
      <c r="AF58" s="960"/>
      <c r="AG58" s="960">
        <f>SUM(AG53:AG57)</f>
        <v>41642.749762264255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477212.40000000037</v>
      </c>
      <c r="G60" s="962">
        <f>G45-G58</f>
        <v>571471.8349999988</v>
      </c>
      <c r="I60" s="962">
        <f>I45-I58</f>
        <v>667765.0058749991</v>
      </c>
      <c r="K60" s="962">
        <f>K45-K58</f>
        <v>766127.91593187244</v>
      </c>
      <c r="M60" s="962">
        <f>M45-M58</f>
        <v>866596.87828021974</v>
      </c>
      <c r="O60" s="962">
        <f>O45-O58</f>
        <v>969208.50150008977</v>
      </c>
      <c r="Q60" s="962">
        <f>Q45-Q58</f>
        <v>1073999.6741503621</v>
      </c>
      <c r="S60" s="962">
        <f>S45-S58</f>
        <v>1181007.5480601597</v>
      </c>
      <c r="U60" s="962">
        <f>U45-U58</f>
        <v>1290269.5203432678</v>
      </c>
      <c r="W60" s="962">
        <f>W45-W58</f>
        <v>1401823.2140729865</v>
      </c>
      <c r="Y60" s="962">
        <f>Y45-Y58</f>
        <v>1515706.4575521522</v>
      </c>
      <c r="AA60" s="962">
        <f>AA45-AA58</f>
        <v>1631957.2621103332</v>
      </c>
      <c r="AC60" s="962">
        <f>AC45-AC58</f>
        <v>1750613.7983573782</v>
      </c>
      <c r="AE60" s="962">
        <f>AE45-AE58</f>
        <v>1871714.3708194487</v>
      </c>
      <c r="AG60" s="962">
        <f>AG45-AG58</f>
        <v>1995297.3908806171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477212.40000000037</v>
      </c>
      <c r="G62" s="962">
        <f>G60*$C$62</f>
        <v>571471.8349999988</v>
      </c>
      <c r="I62" s="962">
        <f>I60*$C$62</f>
        <v>667765.0058749991</v>
      </c>
      <c r="K62" s="962">
        <f>K60*$C$62</f>
        <v>766127.91593187244</v>
      </c>
      <c r="M62" s="962">
        <f>M60*$C$62</f>
        <v>866596.87828021974</v>
      </c>
      <c r="O62" s="962">
        <f>O60*$C$62</f>
        <v>969208.50150008977</v>
      </c>
      <c r="Q62" s="962">
        <f>Q60*$C$62</f>
        <v>1073999.6741503621</v>
      </c>
      <c r="S62" s="962">
        <f>S60*$C$62</f>
        <v>1181007.5480601597</v>
      </c>
      <c r="U62" s="962">
        <f>U60*$C$62</f>
        <v>1290269.5203432678</v>
      </c>
      <c r="W62" s="962">
        <f>W60*$C$62</f>
        <v>1401823.2140729865</v>
      </c>
      <c r="Y62" s="962">
        <f>Y60*$C$62</f>
        <v>1515706.4575521522</v>
      </c>
      <c r="AA62" s="962">
        <f>AA60*$C$62</f>
        <v>1631957.2621103332</v>
      </c>
      <c r="AC62" s="962">
        <f>AC60*$C$62</f>
        <v>1750613.7983573782</v>
      </c>
      <c r="AE62" s="962">
        <f>AE60*$C$62</f>
        <v>1871714.3708194487</v>
      </c>
      <c r="AG62" s="962">
        <f>AG60*$C$62</f>
        <v>1995297.3908806171</v>
      </c>
    </row>
    <row r="63" spans="1:34" s="962" customFormat="1">
      <c r="A63" s="2687" t="s">
        <v>2724</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100</v>
      </c>
      <c r="C5" s="266">
        <f>'Sources and Uses Budget'!$C4</f>
        <v>100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100</v>
      </c>
      <c r="C9" s="270">
        <f>SUM(C5:C8)</f>
        <v>100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100</v>
      </c>
      <c r="C13" s="270">
        <f>SUM(C9+C12)</f>
        <v>100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79848320</v>
      </c>
      <c r="C31" s="266">
        <f>'Sources and Uses Budget'!$C30</f>
        <v>79848320</v>
      </c>
      <c r="D31" s="270">
        <f t="shared" si="0"/>
        <v>0</v>
      </c>
      <c r="E31" s="268"/>
      <c r="F31" s="267"/>
    </row>
    <row r="32" spans="1:6" s="352" customFormat="1">
      <c r="A32" s="145" t="s">
        <v>601</v>
      </c>
      <c r="B32" s="266">
        <f>'Sources and Uses Budget'!$C31</f>
        <v>6387866</v>
      </c>
      <c r="C32" s="266">
        <f>'Sources and Uses Budget'!$C31</f>
        <v>6387866</v>
      </c>
      <c r="D32" s="270">
        <f t="shared" si="0"/>
        <v>0</v>
      </c>
      <c r="E32" s="268"/>
      <c r="F32" s="267"/>
    </row>
    <row r="33" spans="1:6" s="352" customFormat="1">
      <c r="A33" s="145" t="s">
        <v>137</v>
      </c>
      <c r="B33" s="266">
        <f>'Sources and Uses Budget'!$C32</f>
        <v>3449447</v>
      </c>
      <c r="C33" s="266">
        <f>'Sources and Uses Budget'!$C32</f>
        <v>3449447</v>
      </c>
      <c r="D33" s="270">
        <f t="shared" si="0"/>
        <v>0</v>
      </c>
      <c r="E33" s="268"/>
      <c r="F33" s="267"/>
    </row>
    <row r="34" spans="1:6" s="352" customFormat="1">
      <c r="A34" s="145" t="s">
        <v>138</v>
      </c>
      <c r="B34" s="266">
        <f>'Sources and Uses Budget'!$C33</f>
        <v>1724724</v>
      </c>
      <c r="C34" s="266">
        <f>'Sources and Uses Budget'!$C33</f>
        <v>1724724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1439713</v>
      </c>
      <c r="C36" s="266">
        <f>'Sources and Uses Budget'!$C35</f>
        <v>1439713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Lender Inspections</v>
      </c>
      <c r="B38" s="266">
        <f>'Sources and Uses Budget'!$C37</f>
        <v>50000</v>
      </c>
      <c r="C38" s="266">
        <f>'Sources and Uses Budget'!$C37</f>
        <v>50000</v>
      </c>
      <c r="D38" s="270">
        <f t="shared" si="0"/>
        <v>0</v>
      </c>
      <c r="E38" s="268"/>
      <c r="F38" s="267"/>
    </row>
    <row r="39" spans="1:6" s="352" customFormat="1">
      <c r="A39" s="271" t="s">
        <v>143</v>
      </c>
      <c r="B39" s="270">
        <f>SUM(B30:B38)</f>
        <v>92900070</v>
      </c>
      <c r="C39" s="270">
        <f>SUM(C30:C38)</f>
        <v>92900070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3500000</v>
      </c>
      <c r="C41" s="266">
        <f>'Sources and Uses Budget'!$C40</f>
        <v>3500000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4000000</v>
      </c>
      <c r="C43" s="270">
        <f>SUM(C41:C42)</f>
        <v>4000000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7848647</v>
      </c>
      <c r="C46" s="266">
        <f>'Sources and Uses Budget'!$C45</f>
        <v>7848647</v>
      </c>
      <c r="D46" s="270">
        <f t="shared" si="0"/>
        <v>0</v>
      </c>
      <c r="E46" s="268"/>
      <c r="F46" s="267"/>
    </row>
    <row r="47" spans="1:6" s="352" customFormat="1">
      <c r="A47" s="145" t="s">
        <v>151</v>
      </c>
      <c r="B47" s="266">
        <f>'Sources and Uses Budget'!$C46</f>
        <v>632948</v>
      </c>
      <c r="C47" s="266">
        <f>'Sources and Uses Budget'!$C46</f>
        <v>632948</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421965</v>
      </c>
      <c r="C49" s="266">
        <f>'Sources and Uses Budget'!$C48</f>
        <v>421965</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350000</v>
      </c>
      <c r="C52" s="266">
        <f>'Sources and Uses Budget'!$C51</f>
        <v>350000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Ground Lease Payments During Construction</v>
      </c>
      <c r="B54" s="266">
        <f>'Sources and Uses Budget'!$C53</f>
        <v>5827500</v>
      </c>
      <c r="C54" s="266">
        <f>'Sources and Uses Budget'!$C53</f>
        <v>5827500</v>
      </c>
      <c r="D54" s="270">
        <f t="shared" si="0"/>
        <v>0</v>
      </c>
      <c r="E54" s="268"/>
      <c r="F54" s="267"/>
    </row>
    <row r="55" spans="1:6" s="353" customFormat="1">
      <c r="A55" s="271" t="s">
        <v>157</v>
      </c>
      <c r="B55" s="273">
        <f>SUM(B46:B54)</f>
        <v>15181060</v>
      </c>
      <c r="C55" s="273">
        <f>SUM(C46:C54)</f>
        <v>15181060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497810</v>
      </c>
      <c r="C57" s="266">
        <f>'Sources and Uses Budget'!$C56</f>
        <v>497810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522810</v>
      </c>
      <c r="C63" s="270">
        <f>SUM(C57:C62)</f>
        <v>522810</v>
      </c>
      <c r="D63" s="270">
        <f t="shared" si="0"/>
        <v>0</v>
      </c>
      <c r="E63" s="268"/>
      <c r="F63" s="267"/>
    </row>
    <row r="64" spans="1:6" s="352" customFormat="1">
      <c r="A64" s="274" t="s">
        <v>302</v>
      </c>
      <c r="B64" s="270">
        <f>SUM(B9+B12+B14+B15+B17+B26+B28+B39+B43+B44+B55+B63)</f>
        <v>113604040</v>
      </c>
      <c r="C64" s="270">
        <f>SUM(C9+C12+C14+C15+C17+C26+C28+C39+C43+C44+C55+C63)</f>
        <v>113604040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4">
      <c r="A67" s="283" t="s">
        <v>1642</v>
      </c>
      <c r="B67" s="266">
        <f>'Sources and Uses Budget'!$C66</f>
        <v>200000</v>
      </c>
      <c r="C67" s="266">
        <f>'Sources and Uses Budget'!$C66</f>
        <v>200000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ht="24">
      <c r="A70" s="155" t="str">
        <f>'Sources and Uses Budget'!A69</f>
        <v xml:space="preserve">Legal Borrower &amp; Consultant and Ground Lease Expenses - legal </v>
      </c>
      <c r="B70" s="266">
        <f>'Sources and Uses Budget'!$C69</f>
        <v>485000</v>
      </c>
      <c r="C70" s="266">
        <f>'Sources and Uses Budget'!$C69</f>
        <v>485000</v>
      </c>
      <c r="D70" s="270">
        <f t="shared" si="0"/>
        <v>0</v>
      </c>
      <c r="E70" s="268"/>
      <c r="F70" s="267"/>
    </row>
    <row r="71" spans="1:6" s="352" customFormat="1">
      <c r="A71" s="149" t="s">
        <v>1646</v>
      </c>
      <c r="B71" s="270">
        <f>SUM(B66:B70)</f>
        <v>775000</v>
      </c>
      <c r="C71" s="270">
        <f>SUM(C66:C70)</f>
        <v>775000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1240919</v>
      </c>
      <c r="C76" s="266">
        <f>'Sources and Uses Budget'!$C75</f>
        <v>1240919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1240919</v>
      </c>
      <c r="C78" s="270">
        <f>SUM(C73:C77)</f>
        <v>1240919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4570518</v>
      </c>
      <c r="C80" s="266">
        <f>'Sources and Uses Budget'!$C79</f>
        <v>4570518</v>
      </c>
      <c r="D80" s="270">
        <f t="shared" si="1"/>
        <v>0</v>
      </c>
      <c r="E80" s="268"/>
      <c r="F80" s="267"/>
    </row>
    <row r="81" spans="1:6" s="352" customFormat="1">
      <c r="A81" s="510" t="s">
        <v>58</v>
      </c>
      <c r="B81" s="266">
        <f>'Sources and Uses Budget'!$C80</f>
        <v>667616</v>
      </c>
      <c r="C81" s="266">
        <f>'Sources and Uses Budget'!$C80</f>
        <v>667616</v>
      </c>
      <c r="D81" s="270">
        <f>C81-B81</f>
        <v>0</v>
      </c>
      <c r="E81" s="268"/>
      <c r="F81" s="267"/>
    </row>
    <row r="82" spans="1:6" s="352" customFormat="1">
      <c r="A82" s="271" t="s">
        <v>1210</v>
      </c>
      <c r="B82" s="270">
        <f>SUM(B80:B81)</f>
        <v>5238134</v>
      </c>
      <c r="C82" s="270">
        <f>SUM(C80:C81)</f>
        <v>5238134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606094</v>
      </c>
      <c r="C84" s="266">
        <f>'Sources and Uses Budget'!$C83</f>
        <v>606094</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8976000</v>
      </c>
      <c r="C86" s="266">
        <f>'Sources and Uses Budget'!$C85</f>
        <v>8976000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125000</v>
      </c>
      <c r="C89" s="266">
        <f>'Sources and Uses Budget'!$C88</f>
        <v>125000</v>
      </c>
      <c r="D89" s="270">
        <f t="shared" si="1"/>
        <v>0</v>
      </c>
      <c r="E89" s="268"/>
      <c r="F89" s="267"/>
    </row>
    <row r="90" spans="1:6" s="352" customFormat="1">
      <c r="A90" s="269" t="s">
        <v>773</v>
      </c>
      <c r="B90" s="266">
        <f>'Sources and Uses Budget'!$C89</f>
        <v>550000</v>
      </c>
      <c r="C90" s="266">
        <f>'Sources and Uses Budget'!$C89</f>
        <v>550000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40000</v>
      </c>
      <c r="C93" s="266">
        <f>'Sources and Uses Budget'!$C92</f>
        <v>40000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10347094</v>
      </c>
      <c r="C97" s="270">
        <f>SUM(C84:C96)</f>
        <v>10347094</v>
      </c>
      <c r="D97" s="270">
        <f t="shared" si="1"/>
        <v>0</v>
      </c>
      <c r="E97" s="268"/>
      <c r="F97" s="267"/>
    </row>
    <row r="98" spans="1:6" s="352" customFormat="1">
      <c r="A98" s="271" t="s">
        <v>776</v>
      </c>
      <c r="B98" s="270">
        <f>SUM(B64+B71+B78+B82+B97)</f>
        <v>131205187</v>
      </c>
      <c r="C98" s="270">
        <f>SUM(C64+C71+C78+C82+C97)</f>
        <v>131205187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18635034</v>
      </c>
      <c r="C100" s="266">
        <f>'Sources and Uses Budget'!$C99</f>
        <v>18635034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18635034</v>
      </c>
      <c r="C105" s="270">
        <f>SUM(C100:C104)</f>
        <v>18635034</v>
      </c>
      <c r="D105" s="270">
        <f t="shared" si="1"/>
        <v>0</v>
      </c>
      <c r="E105" s="268"/>
      <c r="F105" s="267"/>
    </row>
    <row r="106" spans="1:6" s="352" customFormat="1">
      <c r="A106" s="271" t="s">
        <v>781</v>
      </c>
      <c r="B106" s="273">
        <f>SUM(B98+B105)</f>
        <v>149840221</v>
      </c>
      <c r="C106" s="273">
        <f>SUM(C98+C105)</f>
        <v>149840221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8" sqref="B112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2725</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2725</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2725</v>
      </c>
      <c r="D24" s="1301" t="s">
        <v>1092</v>
      </c>
      <c r="E24" s="1301"/>
      <c r="F24" s="1301"/>
      <c r="I24" s="490"/>
    </row>
    <row r="25" spans="1:9" ht="14.25">
      <c r="A25" s="484"/>
      <c r="B25" s="484"/>
      <c r="D25" s="1301"/>
      <c r="E25" s="1301"/>
      <c r="F25" s="1301"/>
      <c r="I25" s="490"/>
    </row>
    <row r="26" spans="1:9">
      <c r="I26" s="490"/>
    </row>
    <row r="27" spans="1:9" ht="14.25">
      <c r="A27" s="484"/>
      <c r="B27" s="485" t="s">
        <v>2725</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2725</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2726</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2726</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2725</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2726</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2725</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2725</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2726</v>
      </c>
      <c r="D65" s="1301" t="s">
        <v>1098</v>
      </c>
      <c r="E65" s="1301"/>
      <c r="F65" s="1301"/>
      <c r="I65" s="490"/>
    </row>
    <row r="66" spans="1:9">
      <c r="D66" s="1301"/>
      <c r="E66" s="1301"/>
      <c r="F66" s="1301"/>
      <c r="I66" s="490"/>
    </row>
    <row r="67" spans="1:9">
      <c r="I67" s="490"/>
    </row>
    <row r="68" spans="1:9" ht="14.25">
      <c r="A68" s="484"/>
      <c r="B68" s="485" t="s">
        <v>2725</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2725</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2725</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2725</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2725</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2725</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2726</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2726</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2726</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2725</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2725</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2725</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2726</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2726</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2725</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2725</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2725</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2726</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2726</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2726</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2726</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2726</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2725</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2725</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2725</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2726</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2725</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2725</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2725</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2726</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2726</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2726</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2726</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2726</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2726</v>
      </c>
      <c r="D305" s="1299" t="s">
        <v>1130</v>
      </c>
      <c r="E305" s="1299"/>
      <c r="F305" s="1299"/>
      <c r="I305" s="490"/>
    </row>
    <row r="306" spans="1:9" ht="14.25">
      <c r="A306" s="484"/>
      <c r="B306" s="484"/>
      <c r="D306" s="494"/>
      <c r="E306" s="495"/>
      <c r="F306" s="495"/>
      <c r="I306" s="490"/>
    </row>
    <row r="307" spans="1:9" ht="13.7" customHeight="1">
      <c r="B307" s="485" t="s">
        <v>2726</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2726</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2726</v>
      </c>
      <c r="D316" s="1299" t="s">
        <v>1132</v>
      </c>
      <c r="E316" s="1299"/>
      <c r="F316" s="1299"/>
      <c r="I316" s="490"/>
    </row>
    <row r="317" spans="1:9">
      <c r="E317" s="446"/>
      <c r="F317" s="446"/>
      <c r="I317" s="490"/>
    </row>
    <row r="318" spans="1:9" ht="14.25">
      <c r="A318" s="484"/>
      <c r="B318" s="485" t="s">
        <v>2726</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2726</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2726</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2726</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2726</v>
      </c>
      <c r="C360" s="476"/>
      <c r="D360" s="1318" t="s">
        <v>2057</v>
      </c>
      <c r="E360" s="1318"/>
      <c r="F360" s="1318"/>
      <c r="I360" s="480"/>
    </row>
    <row r="361" spans="1:9">
      <c r="A361" s="476"/>
      <c r="B361" s="476"/>
      <c r="C361" s="476"/>
      <c r="D361" s="447"/>
      <c r="E361" s="447"/>
      <c r="F361" s="446"/>
      <c r="I361" s="490"/>
    </row>
    <row r="362" spans="1:9">
      <c r="A362" s="476"/>
      <c r="B362" s="485" t="s">
        <v>2726</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2726</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2726</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2726</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2726</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2726</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2726</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2726</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2726</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2726</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2726</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2726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2726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2726</v>
      </c>
      <c r="C486" s="402"/>
      <c r="D486" s="1301"/>
      <c r="E486" s="1301"/>
      <c r="F486" s="1301"/>
      <c r="I486" s="490"/>
    </row>
    <row r="487" spans="1:9">
      <c r="A487" s="402"/>
      <c r="C487" s="402"/>
      <c r="D487" s="1301"/>
      <c r="E487" s="1301"/>
      <c r="F487" s="1301"/>
      <c r="I487" s="490"/>
    </row>
    <row r="488" spans="1:9">
      <c r="A488" s="402"/>
      <c r="B488" s="485" t="s">
        <v>2726</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2726</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2726</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2726</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2726</v>
      </c>
      <c r="D509" s="1299" t="s">
        <v>1144</v>
      </c>
      <c r="E509" s="1299"/>
      <c r="F509" s="1299"/>
      <c r="I509" s="490"/>
    </row>
    <row r="510" spans="1:9" ht="14.25">
      <c r="A510" s="484"/>
      <c r="B510" s="484"/>
      <c r="D510" s="446"/>
      <c r="I510" s="490"/>
    </row>
    <row r="511" spans="1:9" ht="14.25">
      <c r="A511" s="484"/>
      <c r="B511" s="485" t="s">
        <v>2726</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2726</v>
      </c>
      <c r="D514" s="1299" t="s">
        <v>1146</v>
      </c>
      <c r="E514" s="1299"/>
      <c r="F514" s="1299"/>
      <c r="I514" s="490"/>
    </row>
    <row r="515" spans="1:9">
      <c r="D515" s="446"/>
      <c r="E515" s="446"/>
      <c r="F515" s="446"/>
      <c r="I515" s="490"/>
    </row>
    <row r="516" spans="1:9">
      <c r="B516" s="485" t="s">
        <v>2726</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2725</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2725</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2725</v>
      </c>
      <c r="C548" s="487"/>
      <c r="D548" s="1299" t="s">
        <v>885</v>
      </c>
      <c r="E548" s="1299"/>
      <c r="F548" s="1299"/>
      <c r="I548" s="490"/>
    </row>
    <row r="549" spans="1:9" ht="13.7" customHeight="1">
      <c r="A549" s="487"/>
      <c r="B549" s="487"/>
      <c r="C549" s="487"/>
      <c r="D549" s="446"/>
      <c r="I549" s="490"/>
    </row>
    <row r="550" spans="1:9" ht="14.25">
      <c r="A550" s="484"/>
      <c r="B550" s="485" t="s">
        <v>2725</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2725</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2725</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2725</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2726</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2726</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2725</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2725</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2725</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2725</v>
      </c>
      <c r="D588" s="1313" t="s">
        <v>889</v>
      </c>
      <c r="E588" s="1313"/>
      <c r="F588" s="1313"/>
      <c r="I588" s="490"/>
    </row>
    <row r="589" spans="1:9">
      <c r="A589" s="490"/>
      <c r="B589" s="490"/>
      <c r="D589" s="476"/>
      <c r="I589" s="490"/>
    </row>
    <row r="590" spans="1:9">
      <c r="A590" s="490"/>
      <c r="B590" s="485" t="s">
        <v>2725</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2726</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2725</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2726</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2725</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2725</v>
      </c>
      <c r="D620" s="1307" t="s">
        <v>1112</v>
      </c>
      <c r="E620" s="1307"/>
      <c r="F620" s="1307"/>
      <c r="I620" s="490"/>
    </row>
    <row r="621" spans="1:9">
      <c r="D621" s="1307"/>
      <c r="E621" s="1307"/>
      <c r="F621" s="1307"/>
      <c r="I621" s="490"/>
    </row>
    <row r="622" spans="1:9">
      <c r="I622" s="490"/>
    </row>
    <row r="623" spans="1:9">
      <c r="B623" s="485" t="s">
        <v>2725</v>
      </c>
      <c r="D623" s="1307" t="s">
        <v>1113</v>
      </c>
      <c r="E623" s="1307"/>
      <c r="F623" s="1307"/>
      <c r="I623" s="490"/>
    </row>
    <row r="624" spans="1:9">
      <c r="C624" s="500"/>
      <c r="D624" s="1307"/>
      <c r="E624" s="1307"/>
      <c r="F624" s="1307"/>
      <c r="I624" s="490"/>
    </row>
    <row r="625" spans="1:9">
      <c r="C625" s="500"/>
      <c r="I625" s="490"/>
    </row>
    <row r="626" spans="1:9">
      <c r="B626" s="485" t="s">
        <v>2726</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2725</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2726</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2726</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2726</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2726</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2726</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2726</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2726</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2725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2726</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2725</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2726</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2726</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2726</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2726</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2726</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2726</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2726</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2726</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2726</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2725</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2726</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2726</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2726</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2726</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2726</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2726</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2726</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2726</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2726</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2726</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2726</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2725</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2725</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2726</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2726</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2726</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2725</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2725</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2726</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2726</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2726</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2725</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2725</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2725</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2726</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2726</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2726</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2726</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2725</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2725</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2726</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2726</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2726</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2726</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2725</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2725</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2726</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2726</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2726</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2726</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2725</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2725</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2726</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2725</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2726</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2726</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2725</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2726</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2726</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2725</v>
      </c>
      <c r="C1062" s="402"/>
      <c r="D1062" s="402" t="s">
        <v>1813</v>
      </c>
      <c r="I1062" s="490"/>
    </row>
    <row r="1063" spans="1:9">
      <c r="A1063" s="402"/>
      <c r="B1063" s="402"/>
      <c r="C1063" s="402"/>
      <c r="I1063" s="490"/>
    </row>
    <row r="1064" spans="1:9">
      <c r="A1064" s="402"/>
      <c r="B1064" s="485" t="s">
        <v>2726</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2725</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2726</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2726</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2726</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2726</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2726</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2726</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2726</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2726</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2725</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2726</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AH542" sqref="AH542:AK54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27</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2.95"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0</v>
      </c>
    </row>
    <row r="11" spans="1:58" ht="12.95"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27</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109</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106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Block A Family Apartments</v>
      </c>
    </row>
    <row r="17" spans="1:58" ht="12.95" customHeight="1">
      <c r="BD17" s="1247" t="s">
        <v>2519</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2.95" customHeight="1">
      <c r="BD19" s="1247" t="s">
        <v>2521</v>
      </c>
      <c r="BE19" s="1249">
        <f>Application!M26</f>
        <v>5714173</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38000000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149840221</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100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330567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18">
        <f>'Basis &amp; Credits'!AB56</f>
        <v>5714173</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South and West Bay Region: San Mateo and Santa Clara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860 W. San Carlos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San Jose</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Santa Clara</v>
      </c>
    </row>
    <row r="38" spans="1:57" ht="12.95" customHeight="1">
      <c r="A38" s="3"/>
      <c r="AZ38" s="20"/>
      <c r="BD38" s="1248" t="s">
        <v>2535</v>
      </c>
      <c r="BE38" s="1249">
        <f>Application!I190</f>
        <v>95126</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272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269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0.59925650557620813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0.59928421428456891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550883.1654411765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Green Valley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Mark Pilarczyk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Green Valle Corp. dba Swenson</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PacH San Jose Holdings,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 xml:space="preserve">Mat Eland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Pacific Housing, Inc.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Green Valley Corp. dba Swenson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777 N. First Street, 5th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Jose, CA 95112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Mark Pilarczyk</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mark@swenson.com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CMFA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2568</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2569</v>
      </c>
      <c r="BE76" s="1249">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2.8610612212534714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Jennifer Maguire  (Executive Assistant is Sandra Cranford)</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200 East Santa Clara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Jose</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2582</v>
      </c>
      <c r="BE89" s="1249">
        <f>Application!O158</f>
        <v>95113</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2583</v>
      </c>
      <c r="BE90" s="1249" t="str">
        <f>Application!H16</f>
        <v>PacH San Jose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2115 J Street</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2585</v>
      </c>
      <c r="BE92" s="1249" t="str">
        <f>Application!M234</f>
        <v>Sacramento</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2586</v>
      </c>
      <c r="BE93" s="1249"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2587</v>
      </c>
      <c r="BE94" s="1249">
        <f>Application!AC234</f>
        <v>95816</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2588</v>
      </c>
      <c r="BE95" s="1249" t="str">
        <f>Application!M235</f>
        <v>Mat Eland</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2589</v>
      </c>
      <c r="BE96" s="1249" t="str">
        <f>Application!M237</f>
        <v>meland@pacifichousing.org</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2590</v>
      </c>
      <c r="BE97" s="1249" t="str">
        <f>Application!M248</f>
        <v>mark@swenson.com</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2591</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2593</v>
      </c>
      <c r="BE100" s="1249" t="str">
        <f>Application!L279</f>
        <v>mark@swenson.com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2598</v>
      </c>
      <c r="BE101">
        <f>'Sources and Uses Budget'!C105</f>
        <v>149840221</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2599</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c r="H113" s="1787"/>
      <c r="I113" s="3" t="s">
        <v>182</v>
      </c>
      <c r="L113" s="1787"/>
      <c r="M113" s="1787"/>
      <c r="N113" s="1787"/>
      <c r="O113" s="1787"/>
      <c r="P113" s="1793" t="s">
        <v>2240</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2615</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Santa Clara</v>
      </c>
      <c r="DH122" s="1654"/>
      <c r="DI122" s="1654"/>
      <c r="DJ122" s="1654"/>
      <c r="DK122" s="1654"/>
      <c r="DL122" s="1654"/>
      <c r="DM122" s="1655"/>
    </row>
    <row r="123" spans="1:117" ht="12.95" customHeight="1">
      <c r="A123" s="3"/>
      <c r="B123" s="3"/>
      <c r="T123" s="3"/>
      <c r="U123" s="3"/>
      <c r="V123" s="3"/>
      <c r="W123" s="3"/>
      <c r="X123" s="3"/>
      <c r="Y123" s="1787" t="s">
        <v>2616</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7" t="s">
        <v>2617</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6" t="s">
        <v>2618</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2619</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2620</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0">
        <v>95113</v>
      </c>
      <c r="P158" s="1790"/>
      <c r="Q158" s="1790"/>
      <c r="R158" s="179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t="s">
        <v>2621</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3" t="s">
        <v>2622</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5">
        <v>24</v>
      </c>
      <c r="V176" s="1425"/>
      <c r="W176" s="1" t="s">
        <v>306</v>
      </c>
      <c r="X176" s="1782">
        <v>458</v>
      </c>
      <c r="Y176" s="1782"/>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1"/>
      <c r="AG178" s="1781"/>
      <c r="AH178" s="1" t="s">
        <v>306</v>
      </c>
      <c r="AI178" s="1802"/>
      <c r="AJ178" s="1802"/>
      <c r="AK178" s="1802"/>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Block A Family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2620</v>
      </c>
      <c r="J189" s="1371"/>
      <c r="K189" s="1371"/>
      <c r="L189" s="1371"/>
      <c r="M189" s="1371"/>
      <c r="N189" s="1371"/>
      <c r="O189" s="1371"/>
      <c r="P189" s="1371"/>
      <c r="Q189" t="s">
        <v>583</v>
      </c>
      <c r="T189" s="1371" t="s">
        <v>192</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95126</v>
      </c>
      <c r="J190" s="1348"/>
      <c r="K190" s="1348"/>
      <c r="L190" s="1348"/>
      <c r="M190" s="1348"/>
      <c r="N190" s="1348"/>
      <c r="O190" t="s">
        <v>586</v>
      </c>
      <c r="T190" s="1788">
        <v>5019.01</v>
      </c>
      <c r="U190" s="1788"/>
      <c r="V190" s="1788"/>
      <c r="W190" s="1788"/>
      <c r="X190" s="1788"/>
      <c r="Y190" s="1788"/>
      <c r="Z190" s="1788"/>
      <c r="AA190" s="1788"/>
      <c r="AB190" s="1788"/>
      <c r="AC190" s="1788"/>
      <c r="AD190" s="1788"/>
      <c r="AE190" s="178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1" t="s">
        <v>2624</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2" t="s">
        <v>1971</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18</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26</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15</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0">
        <f>M26</f>
        <v>5714173</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9" t="s">
        <v>1248</v>
      </c>
      <c r="E205" s="1358"/>
      <c r="F205" s="1358"/>
      <c r="G205" s="1358"/>
      <c r="H205" s="1358"/>
      <c r="I205" s="1358"/>
      <c r="J205" s="1358"/>
      <c r="K205" s="1358"/>
      <c r="L205" s="1358"/>
      <c r="M205" s="1358"/>
      <c r="P205" s="1780">
        <f>M27</f>
        <v>0</v>
      </c>
      <c r="Q205" s="1780"/>
      <c r="R205" s="1780"/>
      <c r="S205" s="1780"/>
      <c r="T205" s="1780"/>
      <c r="U205" s="1780"/>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2717</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c r="R212" s="1332"/>
      <c r="T212" s="1794">
        <f>IFERROR(Q212/AG440,0)</f>
        <v>0</v>
      </c>
      <c r="U212" s="179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7" t="s">
        <v>1027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2466</v>
      </c>
      <c r="AD220" s="1808"/>
      <c r="AE220" s="1808"/>
      <c r="AF220" s="1808"/>
      <c r="AG220" s="1808"/>
      <c r="AH220" s="1808"/>
      <c r="AI220" s="1808"/>
      <c r="AJ220" s="1808"/>
      <c r="AK220" s="1808"/>
      <c r="AL220" s="1808"/>
      <c r="AM220" s="1808"/>
      <c r="AN220" s="1808"/>
      <c r="AO220" s="1808"/>
      <c r="AP220" s="1808"/>
      <c r="AQ220" s="1808"/>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9" t="str">
        <f>H16</f>
        <v>PacH San Jose Holdings, LLC</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2625</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68</v>
      </c>
      <c r="N234" s="1417"/>
      <c r="O234" s="1417"/>
      <c r="P234" s="1417"/>
      <c r="Q234" s="1417"/>
      <c r="R234" s="1417"/>
      <c r="S234" s="1417"/>
      <c r="T234" s="1417"/>
      <c r="V234" s="33" t="s">
        <v>86</v>
      </c>
      <c r="W234" s="1545" t="s">
        <v>2626</v>
      </c>
      <c r="X234" s="1436"/>
      <c r="Y234" s="4" t="s">
        <v>584</v>
      </c>
      <c r="AC234" s="1417">
        <v>95816</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2627</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2628</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3" t="s">
        <v>2629</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5" t="s">
        <v>2630</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2633</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2620</v>
      </c>
      <c r="N245" s="1417"/>
      <c r="O245" s="1417"/>
      <c r="P245" s="1417"/>
      <c r="Q245" s="1417"/>
      <c r="R245" s="1417"/>
      <c r="S245" s="1417"/>
      <c r="T245" s="1417"/>
      <c r="V245" s="33" t="s">
        <v>86</v>
      </c>
      <c r="W245" s="1545" t="s">
        <v>2626</v>
      </c>
      <c r="X245" s="1436"/>
      <c r="Y245" s="4" t="s">
        <v>584</v>
      </c>
      <c r="AC245" s="1417">
        <v>95112</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2634</v>
      </c>
      <c r="N246" s="1417"/>
      <c r="O246" s="1417"/>
      <c r="P246" s="1417"/>
      <c r="Q246" s="1417"/>
      <c r="R246" s="1417"/>
      <c r="S246" s="1417"/>
      <c r="T246" s="1417"/>
      <c r="U246" s="1417"/>
      <c r="V246" s="1417"/>
      <c r="W246" s="1417"/>
      <c r="X246" s="1417"/>
      <c r="Y246" s="1417"/>
      <c r="Z246" s="1417"/>
      <c r="AA246" s="1417"/>
      <c r="AB246" s="1417"/>
      <c r="AC246" s="1417"/>
      <c r="AD246" s="1417"/>
      <c r="AE246" s="1417"/>
      <c r="AH246" s="1777">
        <v>8.9999999999999993E-3</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94" t="s">
        <v>2635</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2636</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75" t="s">
        <v>2637</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2613</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2638</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2625</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t="s">
        <v>68</v>
      </c>
      <c r="N253" s="1417"/>
      <c r="O253" s="1417"/>
      <c r="P253" s="1417"/>
      <c r="Q253" s="1417"/>
      <c r="R253" s="1417"/>
      <c r="S253" s="1417"/>
      <c r="T253" s="1417"/>
      <c r="V253" s="33" t="s">
        <v>86</v>
      </c>
      <c r="W253" s="1436"/>
      <c r="X253" s="1436"/>
      <c r="Y253" s="4" t="s">
        <v>584</v>
      </c>
      <c r="AC253" s="1417"/>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2639</v>
      </c>
      <c r="N254" s="1417"/>
      <c r="O254" s="1417"/>
      <c r="P254" s="1417"/>
      <c r="Q254" s="1417"/>
      <c r="R254" s="1417"/>
      <c r="S254" s="1417"/>
      <c r="T254" s="1417"/>
      <c r="U254" s="1417"/>
      <c r="V254" s="1417"/>
      <c r="W254" s="1417"/>
      <c r="X254" s="1417"/>
      <c r="Y254" s="1417"/>
      <c r="Z254" s="1417"/>
      <c r="AA254" s="1417"/>
      <c r="AB254" s="1417"/>
      <c r="AC254" s="1417"/>
      <c r="AD254" s="1417"/>
      <c r="AE254" s="1417"/>
      <c r="AH254" s="1777">
        <v>1E-3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t="s">
        <v>2628</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2629</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5" t="s">
        <v>2630</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90">
        <v>46160</v>
      </c>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2640</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2620</v>
      </c>
      <c r="M276" s="1417"/>
      <c r="N276" s="1417"/>
      <c r="O276" s="1417"/>
      <c r="P276" s="1417"/>
      <c r="Q276" s="1417"/>
      <c r="R276" s="1417"/>
      <c r="S276" s="1417"/>
      <c r="U276" s="33" t="s">
        <v>86</v>
      </c>
      <c r="V276" s="1545" t="s">
        <v>2626</v>
      </c>
      <c r="W276" s="1436"/>
      <c r="X276" s="4" t="s">
        <v>584</v>
      </c>
      <c r="AB276" s="1417">
        <v>95112</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2635</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3" t="s">
        <v>2636</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5" t="s">
        <v>2641</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2640</v>
      </c>
      <c r="I287" s="1371"/>
      <c r="J287" s="1371"/>
      <c r="K287" s="1371"/>
      <c r="L287" s="1371"/>
      <c r="M287" s="1371"/>
      <c r="N287" s="1371"/>
      <c r="O287" s="1371"/>
      <c r="P287" s="1371"/>
      <c r="Q287" s="1371"/>
      <c r="R287" s="1371"/>
      <c r="T287" s="3" t="s">
        <v>568</v>
      </c>
      <c r="V287" s="3"/>
      <c r="W287" s="3"/>
      <c r="X287" s="3"/>
      <c r="Y287" s="3"/>
      <c r="AA287" s="1371" t="s">
        <v>2643</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2633</v>
      </c>
      <c r="I288" s="1348"/>
      <c r="J288" s="1348"/>
      <c r="K288" s="1348"/>
      <c r="L288" s="1348"/>
      <c r="M288" s="1348"/>
      <c r="N288" s="1348"/>
      <c r="O288" s="1348"/>
      <c r="P288" s="1348"/>
      <c r="Q288" s="1348"/>
      <c r="R288" s="1348"/>
      <c r="T288" s="3" t="s">
        <v>472</v>
      </c>
      <c r="V288" s="3"/>
      <c r="W288" s="3"/>
      <c r="X288" s="3"/>
      <c r="Y288" s="3"/>
      <c r="AA288" s="1348" t="s">
        <v>2633</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2642</v>
      </c>
      <c r="I289" s="1348"/>
      <c r="J289" s="1348"/>
      <c r="K289" s="1348"/>
      <c r="L289" s="1348"/>
      <c r="M289" s="1348"/>
      <c r="N289" s="1348"/>
      <c r="O289" s="1348"/>
      <c r="P289" s="1348"/>
      <c r="Q289" s="1348"/>
      <c r="R289" s="1348"/>
      <c r="T289" s="3" t="s">
        <v>75</v>
      </c>
      <c r="V289" s="3"/>
      <c r="W289" s="3"/>
      <c r="X289" s="3"/>
      <c r="Y289" s="3"/>
      <c r="AA289" s="1348" t="s">
        <v>2642</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2634</v>
      </c>
      <c r="I290" s="1348"/>
      <c r="J290" s="1348"/>
      <c r="K290" s="1348"/>
      <c r="L290" s="1348"/>
      <c r="M290" s="1348"/>
      <c r="N290" s="1348"/>
      <c r="O290" s="1348"/>
      <c r="P290" s="1348"/>
      <c r="Q290" s="1348"/>
      <c r="R290" s="1348"/>
      <c r="T290" s="3" t="s">
        <v>87</v>
      </c>
      <c r="V290" s="3"/>
      <c r="W290" s="3"/>
      <c r="X290" s="3"/>
      <c r="Y290" s="3"/>
      <c r="AA290" s="1348" t="s">
        <v>2644</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2635</v>
      </c>
      <c r="I291" s="1423"/>
      <c r="J291" s="1423"/>
      <c r="K291" s="1423"/>
      <c r="L291" s="1423"/>
      <c r="M291" s="1423"/>
      <c r="N291" s="4" t="s">
        <v>206</v>
      </c>
      <c r="O291" s="4"/>
      <c r="P291" s="1417"/>
      <c r="Q291" s="1417"/>
      <c r="R291" s="1417"/>
      <c r="S291" s="3"/>
      <c r="T291" s="3" t="s">
        <v>88</v>
      </c>
      <c r="V291" s="3"/>
      <c r="W291" s="3"/>
      <c r="X291" s="3"/>
      <c r="Y291" s="3"/>
      <c r="AA291" s="1423" t="s">
        <v>2645</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2636</v>
      </c>
      <c r="I293" s="1348"/>
      <c r="J293" s="1348"/>
      <c r="K293" s="1348"/>
      <c r="L293" s="1348"/>
      <c r="M293" s="1348"/>
      <c r="N293" s="1371"/>
      <c r="O293" s="1371"/>
      <c r="P293" s="1371"/>
      <c r="Q293" s="1371"/>
      <c r="R293" s="1371"/>
      <c r="S293" s="3"/>
      <c r="T293" s="3" t="s">
        <v>76</v>
      </c>
      <c r="V293" s="3"/>
      <c r="W293" s="3"/>
      <c r="X293" s="3"/>
      <c r="Y293" s="3"/>
      <c r="AA293" s="1348" t="s">
        <v>2646</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c r="I295" s="1371"/>
      <c r="J295" s="1371"/>
      <c r="K295" s="1371"/>
      <c r="L295" s="1371"/>
      <c r="M295" s="1371"/>
      <c r="N295" s="1371"/>
      <c r="O295" s="1371"/>
      <c r="P295" s="1371"/>
      <c r="Q295" s="1371"/>
      <c r="R295" s="1371"/>
      <c r="T295" s="3" t="s">
        <v>364</v>
      </c>
      <c r="V295" s="3"/>
      <c r="W295" s="3"/>
      <c r="X295" s="3"/>
      <c r="Y295" s="3"/>
      <c r="AA295" s="1371" t="s">
        <v>2643</v>
      </c>
      <c r="AB295" s="1371"/>
      <c r="AC295" s="1371"/>
      <c r="AD295" s="1371"/>
      <c r="AE295" s="1371"/>
      <c r="AF295" s="1371"/>
      <c r="AG295" s="1371"/>
      <c r="AH295" s="1371"/>
      <c r="AI295" s="1371"/>
      <c r="AJ295" s="1371"/>
      <c r="AK295" s="1371"/>
    </row>
    <row r="296" spans="2:37" ht="12.95" customHeight="1">
      <c r="B296" s="3" t="s">
        <v>472</v>
      </c>
      <c r="C296" s="3"/>
      <c r="D296" s="3"/>
      <c r="E296" s="3"/>
      <c r="F296" s="3"/>
      <c r="H296" s="1348"/>
      <c r="I296" s="1348"/>
      <c r="J296" s="1348"/>
      <c r="K296" s="1348"/>
      <c r="L296" s="1348"/>
      <c r="M296" s="1348"/>
      <c r="N296" s="1348"/>
      <c r="O296" s="1348"/>
      <c r="P296" s="1348"/>
      <c r="Q296" s="1348"/>
      <c r="R296" s="1348"/>
      <c r="T296" s="3" t="s">
        <v>472</v>
      </c>
      <c r="V296" s="3"/>
      <c r="W296" s="3"/>
      <c r="X296" s="3"/>
      <c r="Y296" s="3"/>
      <c r="AA296" s="1348" t="s">
        <v>2633</v>
      </c>
      <c r="AB296" s="1348"/>
      <c r="AC296" s="1348"/>
      <c r="AD296" s="1348"/>
      <c r="AE296" s="1348"/>
      <c r="AF296" s="1348"/>
      <c r="AG296" s="1348"/>
      <c r="AH296" s="1348"/>
      <c r="AI296" s="1348"/>
      <c r="AJ296" s="1348"/>
      <c r="AK296" s="1348"/>
    </row>
    <row r="297" spans="2:37" ht="12.95" customHeight="1">
      <c r="B297" s="3" t="s">
        <v>473</v>
      </c>
      <c r="C297" s="3"/>
      <c r="D297" s="3"/>
      <c r="E297" s="3"/>
      <c r="F297" s="3"/>
      <c r="H297" s="1348"/>
      <c r="I297" s="1348"/>
      <c r="J297" s="1348"/>
      <c r="K297" s="1348"/>
      <c r="L297" s="1348"/>
      <c r="M297" s="1348"/>
      <c r="N297" s="1348"/>
      <c r="O297" s="1348"/>
      <c r="P297" s="1348"/>
      <c r="Q297" s="1348"/>
      <c r="R297" s="1348"/>
      <c r="T297" s="3" t="s">
        <v>75</v>
      </c>
      <c r="V297" s="3"/>
      <c r="W297" s="3"/>
      <c r="X297" s="3"/>
      <c r="Y297" s="3"/>
      <c r="AA297" s="1348" t="s">
        <v>2642</v>
      </c>
      <c r="AB297" s="1348"/>
      <c r="AC297" s="1348"/>
      <c r="AD297" s="1348"/>
      <c r="AE297" s="1348"/>
      <c r="AF297" s="1348"/>
      <c r="AG297" s="1348"/>
      <c r="AH297" s="1348"/>
      <c r="AI297" s="1348"/>
      <c r="AJ297" s="1348"/>
      <c r="AK297" s="1348"/>
    </row>
    <row r="298" spans="2:37" ht="12.95" customHeight="1">
      <c r="B298" s="3" t="s">
        <v>87</v>
      </c>
      <c r="C298" s="3"/>
      <c r="D298" s="3"/>
      <c r="E298" s="3"/>
      <c r="F298" s="3"/>
      <c r="H298" s="1348"/>
      <c r="I298" s="1348"/>
      <c r="J298" s="1348"/>
      <c r="K298" s="1348"/>
      <c r="L298" s="1348"/>
      <c r="M298" s="1348"/>
      <c r="N298" s="1348"/>
      <c r="O298" s="1348"/>
      <c r="P298" s="1348"/>
      <c r="Q298" s="1348"/>
      <c r="R298" s="1348"/>
      <c r="T298" s="3" t="s">
        <v>87</v>
      </c>
      <c r="V298" s="3"/>
      <c r="W298" s="3"/>
      <c r="X298" s="3"/>
      <c r="Y298" s="3"/>
      <c r="AA298" s="1348" t="s">
        <v>2647</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c r="I299" s="1423"/>
      <c r="J299" s="1423"/>
      <c r="K299" s="1423"/>
      <c r="L299" s="1423"/>
      <c r="M299" s="1423"/>
      <c r="N299" s="4" t="s">
        <v>206</v>
      </c>
      <c r="O299" s="4"/>
      <c r="P299" s="1417"/>
      <c r="Q299" s="1417"/>
      <c r="R299" s="1417"/>
      <c r="S299" s="3"/>
      <c r="T299" s="3" t="s">
        <v>88</v>
      </c>
      <c r="V299" s="3"/>
      <c r="W299" s="3"/>
      <c r="X299" s="3"/>
      <c r="Y299" s="3"/>
      <c r="AA299" s="1423" t="s">
        <v>2648</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c r="I301" s="1348"/>
      <c r="J301" s="1348"/>
      <c r="K301" s="1348"/>
      <c r="L301" s="1348"/>
      <c r="M301" s="1348"/>
      <c r="N301" s="1371"/>
      <c r="O301" s="1371"/>
      <c r="P301" s="1371"/>
      <c r="Q301" s="1371"/>
      <c r="R301" s="1371"/>
      <c r="S301" s="3"/>
      <c r="T301" s="3" t="s">
        <v>76</v>
      </c>
      <c r="V301" s="3"/>
      <c r="W301" s="3"/>
      <c r="X301" s="3"/>
      <c r="Y301" s="3"/>
      <c r="AA301" s="1348" t="s">
        <v>2649</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2650</v>
      </c>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2651</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2652</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2653</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2654</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2655</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2650</v>
      </c>
      <c r="I311" s="1371"/>
      <c r="J311" s="1371"/>
      <c r="K311" s="1371"/>
      <c r="L311" s="1371"/>
      <c r="M311" s="1371"/>
      <c r="N311" s="1371"/>
      <c r="O311" s="1371"/>
      <c r="P311" s="1371"/>
      <c r="Q311" s="1371"/>
      <c r="R311" s="1371"/>
      <c r="S311" s="3"/>
      <c r="T311" s="3" t="s">
        <v>365</v>
      </c>
      <c r="V311" s="3"/>
      <c r="W311" s="3"/>
      <c r="X311" s="3"/>
      <c r="Y311" s="3"/>
      <c r="AA311" s="1371" t="s">
        <v>2656</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2651</v>
      </c>
      <c r="I312" s="1348"/>
      <c r="J312" s="1348"/>
      <c r="K312" s="1348"/>
      <c r="L312" s="1348"/>
      <c r="M312" s="1348"/>
      <c r="N312" s="1348"/>
      <c r="O312" s="1348"/>
      <c r="P312" s="1348"/>
      <c r="Q312" s="1348"/>
      <c r="R312" s="1348"/>
      <c r="S312" s="3"/>
      <c r="T312" s="3" t="s">
        <v>472</v>
      </c>
      <c r="V312" s="3"/>
      <c r="W312" s="3"/>
      <c r="X312" s="3"/>
      <c r="Y312" s="3"/>
      <c r="AA312" s="1348" t="s">
        <v>2657</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2652</v>
      </c>
      <c r="I313" s="1348"/>
      <c r="J313" s="1348"/>
      <c r="K313" s="1348"/>
      <c r="L313" s="1348"/>
      <c r="M313" s="1348"/>
      <c r="N313" s="1348"/>
      <c r="O313" s="1348"/>
      <c r="P313" s="1348"/>
      <c r="Q313" s="1348"/>
      <c r="R313" s="1348"/>
      <c r="S313" s="3"/>
      <c r="T313" s="3" t="s">
        <v>75</v>
      </c>
      <c r="V313" s="3"/>
      <c r="W313" s="3"/>
      <c r="X313" s="3"/>
      <c r="Y313" s="3"/>
      <c r="AA313" s="1348" t="s">
        <v>2658</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2653</v>
      </c>
      <c r="I314" s="1348"/>
      <c r="J314" s="1348"/>
      <c r="K314" s="1348"/>
      <c r="L314" s="1348"/>
      <c r="M314" s="1348"/>
      <c r="N314" s="1348"/>
      <c r="O314" s="1348"/>
      <c r="P314" s="1348"/>
      <c r="Q314" s="1348"/>
      <c r="R314" s="1348"/>
      <c r="S314" s="3"/>
      <c r="T314" s="3" t="s">
        <v>87</v>
      </c>
      <c r="V314" s="3"/>
      <c r="W314" s="3"/>
      <c r="X314" s="3"/>
      <c r="Y314" s="3"/>
      <c r="AA314" s="1348" t="s">
        <v>2659</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2654</v>
      </c>
      <c r="I315" s="1423"/>
      <c r="J315" s="1423"/>
      <c r="K315" s="1423"/>
      <c r="L315" s="1423"/>
      <c r="M315" s="1423"/>
      <c r="N315" s="4" t="s">
        <v>206</v>
      </c>
      <c r="O315" s="4"/>
      <c r="P315" s="1417"/>
      <c r="Q315" s="1417"/>
      <c r="R315" s="1417"/>
      <c r="S315" s="3"/>
      <c r="T315" s="3" t="s">
        <v>88</v>
      </c>
      <c r="V315" s="3"/>
      <c r="W315" s="3"/>
      <c r="X315" s="3"/>
      <c r="Y315" s="3"/>
      <c r="AA315" s="1423" t="s">
        <v>2660</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2655</v>
      </c>
      <c r="I317" s="1348"/>
      <c r="J317" s="1348"/>
      <c r="K317" s="1348"/>
      <c r="L317" s="1348"/>
      <c r="M317" s="1348"/>
      <c r="N317" s="1371"/>
      <c r="O317" s="1371"/>
      <c r="P317" s="1371"/>
      <c r="Q317" s="1371"/>
      <c r="R317" s="1371"/>
      <c r="S317" s="3"/>
      <c r="T317" s="3" t="s">
        <v>76</v>
      </c>
      <c r="V317" s="3"/>
      <c r="W317" s="3"/>
      <c r="X317" s="3"/>
      <c r="Y317" s="3"/>
      <c r="AA317" s="1348" t="s">
        <v>2661</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2662</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2663</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2664</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2665</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2666</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2667</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2662</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2663</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2664</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2665</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t="s">
        <v>2666</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2667</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2668</v>
      </c>
      <c r="I335" s="1371"/>
      <c r="J335" s="1371"/>
      <c r="K335" s="1371"/>
      <c r="L335" s="1371"/>
      <c r="M335" s="1371"/>
      <c r="N335" s="1371"/>
      <c r="O335" s="1371"/>
      <c r="P335" s="1371"/>
      <c r="Q335" s="1371"/>
      <c r="R335" s="1371"/>
      <c r="T335" s="204" t="s">
        <v>887</v>
      </c>
      <c r="V335" s="3"/>
      <c r="W335" s="3"/>
      <c r="X335" s="3"/>
      <c r="Y335" s="3"/>
      <c r="AA335" s="1371" t="s">
        <v>2672</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2669</v>
      </c>
      <c r="I336" s="1348"/>
      <c r="J336" s="1348"/>
      <c r="K336" s="1348"/>
      <c r="L336" s="1348"/>
      <c r="M336" s="1348"/>
      <c r="N336" s="1348"/>
      <c r="O336" s="1348"/>
      <c r="P336" s="1348"/>
      <c r="Q336" s="1348"/>
      <c r="R336" s="1348"/>
      <c r="T336" s="3" t="s">
        <v>472</v>
      </c>
      <c r="V336" s="3"/>
      <c r="W336" s="3"/>
      <c r="X336" s="3"/>
      <c r="Y336" s="3"/>
      <c r="AA336" s="1348" t="s">
        <v>2673</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2670</v>
      </c>
      <c r="I337" s="1348"/>
      <c r="J337" s="1348"/>
      <c r="K337" s="1348"/>
      <c r="L337" s="1348"/>
      <c r="M337" s="1348"/>
      <c r="N337" s="1348"/>
      <c r="O337" s="1348"/>
      <c r="P337" s="1348"/>
      <c r="Q337" s="1348"/>
      <c r="R337" s="1348"/>
      <c r="T337" s="3" t="s">
        <v>75</v>
      </c>
      <c r="V337" s="3"/>
      <c r="W337" s="3"/>
      <c r="X337" s="3"/>
      <c r="Y337" s="3"/>
      <c r="AA337" s="1348" t="s">
        <v>2674</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2671</v>
      </c>
      <c r="I338" s="1348"/>
      <c r="J338" s="1348"/>
      <c r="K338" s="1348"/>
      <c r="L338" s="1348"/>
      <c r="M338" s="1348"/>
      <c r="N338" s="1348"/>
      <c r="O338" s="1348"/>
      <c r="P338" s="1348"/>
      <c r="Q338" s="1348"/>
      <c r="R338" s="1348"/>
      <c r="T338" s="3" t="s">
        <v>87</v>
      </c>
      <c r="V338" s="3"/>
      <c r="W338" s="3"/>
      <c r="X338" s="3"/>
      <c r="Y338" s="3"/>
      <c r="AA338" s="1348" t="s">
        <v>2675</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2678</v>
      </c>
      <c r="I339" s="1423"/>
      <c r="J339" s="1423"/>
      <c r="K339" s="1423"/>
      <c r="L339" s="1423"/>
      <c r="M339" s="1423"/>
      <c r="N339" s="4" t="s">
        <v>206</v>
      </c>
      <c r="O339" s="4"/>
      <c r="P339" s="1417"/>
      <c r="Q339" s="1417"/>
      <c r="R339" s="1417"/>
      <c r="S339" s="3"/>
      <c r="T339" s="3" t="s">
        <v>88</v>
      </c>
      <c r="V339" s="3"/>
      <c r="W339" s="3"/>
      <c r="X339" s="3"/>
      <c r="Y339" s="3"/>
      <c r="AA339" s="1423" t="s">
        <v>2676</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2679</v>
      </c>
      <c r="I341" s="1348"/>
      <c r="J341" s="1348"/>
      <c r="K341" s="1348"/>
      <c r="L341" s="1348"/>
      <c r="M341" s="1348"/>
      <c r="N341" s="1371"/>
      <c r="O341" s="1371"/>
      <c r="P341" s="1371"/>
      <c r="Q341" s="1371"/>
      <c r="R341" s="1371"/>
      <c r="S341" s="3"/>
      <c r="T341" s="3" t="s">
        <v>76</v>
      </c>
      <c r="V341" s="3"/>
      <c r="W341" s="3"/>
      <c r="X341" s="3"/>
      <c r="Y341" s="3"/>
      <c r="AA341" s="1348" t="s">
        <v>2677</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670</v>
      </c>
      <c r="AK355" s="1332"/>
    </row>
    <row r="356" spans="1:46" ht="12.95" customHeight="1">
      <c r="D356" s="3" t="s">
        <v>1640</v>
      </c>
      <c r="M356" s="1332" t="s">
        <v>592</v>
      </c>
      <c r="N356" s="1332"/>
      <c r="P356" s="3" t="s">
        <v>1720</v>
      </c>
      <c r="AJ356" s="1446"/>
      <c r="AK356" s="1446"/>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3"/>
      <c r="T377" s="1813"/>
      <c r="U377" s="1" t="s">
        <v>306</v>
      </c>
      <c r="V377" s="1813"/>
      <c r="W377" s="1813"/>
      <c r="Y377" t="s">
        <v>2080</v>
      </c>
      <c r="AC377" s="27" t="s">
        <v>305</v>
      </c>
      <c r="AD377" s="1813"/>
      <c r="AE377" s="1813"/>
      <c r="AF377" s="1" t="s">
        <v>306</v>
      </c>
      <c r="AG377" s="1813"/>
      <c r="AH377" s="1813"/>
    </row>
    <row r="378" spans="1:34" ht="12.95" customHeight="1">
      <c r="E378" s="4" t="s">
        <v>988</v>
      </c>
      <c r="F378" s="4"/>
      <c r="G378" s="4"/>
      <c r="H378" s="4"/>
      <c r="I378" s="4"/>
      <c r="J378" s="4"/>
      <c r="K378" s="4"/>
      <c r="L378" s="4"/>
      <c r="N378" s="1813"/>
      <c r="O378" s="1813"/>
      <c r="P378" s="1813"/>
    </row>
    <row r="379" spans="1:34" ht="12.95" customHeight="1">
      <c r="E379" s="204" t="s">
        <v>2086</v>
      </c>
      <c r="F379" s="4"/>
      <c r="G379" s="4"/>
      <c r="H379" s="4"/>
      <c r="I379" s="4"/>
      <c r="J379" s="4"/>
      <c r="K379" s="4"/>
      <c r="L379" s="4"/>
      <c r="AG379" s="1802" t="s">
        <v>592</v>
      </c>
      <c r="AH379" s="1802"/>
    </row>
    <row r="380" spans="1:34" ht="12.95" customHeight="1">
      <c r="E380" s="4"/>
      <c r="F380" s="4"/>
      <c r="G380" s="4" t="s">
        <v>2087</v>
      </c>
      <c r="H380" s="4"/>
      <c r="I380" s="4"/>
      <c r="J380" s="4"/>
      <c r="K380" s="4"/>
      <c r="L380" s="4"/>
      <c r="AG380" s="1802" t="s">
        <v>592</v>
      </c>
      <c r="AH380" s="1802"/>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2680</v>
      </c>
      <c r="K385" s="1371"/>
      <c r="L385" s="1371"/>
      <c r="M385" s="1371"/>
      <c r="N385" s="1371"/>
      <c r="O385" s="1371"/>
      <c r="P385" s="1371"/>
      <c r="Q385" s="1371"/>
      <c r="R385" s="1371"/>
      <c r="S385" s="1371"/>
      <c r="T385" s="1371"/>
      <c r="U385" s="1371"/>
      <c r="V385" s="8" t="s">
        <v>83</v>
      </c>
      <c r="W385" s="8"/>
      <c r="X385" s="8"/>
      <c r="Y385" s="8"/>
      <c r="Z385" s="8"/>
      <c r="AA385" s="8"/>
      <c r="AB385" s="8"/>
      <c r="AC385" s="1371" t="s">
        <v>2681</v>
      </c>
      <c r="AD385" s="1371"/>
      <c r="AE385" s="1371"/>
      <c r="AF385" s="1371"/>
      <c r="AG385" s="1371"/>
      <c r="AH385" s="1371"/>
      <c r="AI385" s="1371"/>
      <c r="AJ385" s="1371"/>
    </row>
    <row r="386" spans="4:36" ht="12.95" customHeight="1">
      <c r="D386" s="3" t="s">
        <v>1183</v>
      </c>
      <c r="J386" s="1348" t="s">
        <v>2681</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t="s">
        <v>2682</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t="s">
        <v>2633</v>
      </c>
      <c r="K388" s="1402"/>
      <c r="L388" s="1402"/>
      <c r="M388" s="1402"/>
      <c r="N388" s="1402"/>
      <c r="O388" s="1402"/>
      <c r="P388" s="1402"/>
      <c r="Q388" s="1402"/>
      <c r="R388" s="1402"/>
      <c r="S388" s="1402"/>
      <c r="T388" s="1402"/>
      <c r="U388" s="1402"/>
      <c r="V388" s="1371" t="s">
        <v>2642</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45393</v>
      </c>
      <c r="R389" s="1751"/>
      <c r="S389" s="1751"/>
      <c r="T389" s="1751"/>
      <c r="U389" s="1751"/>
      <c r="V389" t="s">
        <v>309</v>
      </c>
      <c r="AI389" s="1332" t="s">
        <v>670</v>
      </c>
      <c r="AJ389" s="1332"/>
    </row>
    <row r="390" spans="4:36" ht="12.95" customHeight="1">
      <c r="D390" t="s">
        <v>5</v>
      </c>
      <c r="Q390" s="1533">
        <v>46022</v>
      </c>
      <c r="R390" s="1817"/>
      <c r="S390" s="1817"/>
      <c r="T390" s="1817"/>
      <c r="U390" s="1817"/>
      <c r="W390" s="21" t="s">
        <v>74</v>
      </c>
      <c r="AG390" s="1815"/>
      <c r="AH390" s="1815"/>
      <c r="AI390" s="1815"/>
      <c r="AJ390" s="1815"/>
    </row>
    <row r="391" spans="4:36" ht="12.95" customHeight="1">
      <c r="D391" t="s">
        <v>427</v>
      </c>
      <c r="Q391" s="1826">
        <v>8000000</v>
      </c>
      <c r="R391" s="1826"/>
      <c r="S391" s="1826"/>
      <c r="T391" s="1826"/>
      <c r="U391" s="1826"/>
      <c r="V391" s="3" t="s">
        <v>1182</v>
      </c>
      <c r="AG391" s="1816">
        <v>46160</v>
      </c>
      <c r="AH391" s="1816"/>
      <c r="AI391" s="1816"/>
      <c r="AJ391" s="1816"/>
    </row>
    <row r="392" spans="4:36" ht="12.95" customHeight="1">
      <c r="D392" t="s">
        <v>88</v>
      </c>
      <c r="I392" s="1423" t="s">
        <v>2648</v>
      </c>
      <c r="J392" s="1423"/>
      <c r="K392" s="1423"/>
      <c r="L392" s="1423"/>
      <c r="M392" s="1423"/>
      <c r="N392" s="1423"/>
      <c r="Q392" s="4" t="s">
        <v>206</v>
      </c>
      <c r="S392" s="1825"/>
      <c r="T392" s="1825"/>
      <c r="U392" s="1825"/>
      <c r="V392" t="s">
        <v>73</v>
      </c>
      <c r="AI392" s="1332" t="s">
        <v>670</v>
      </c>
      <c r="AJ392" s="1332"/>
    </row>
    <row r="393" spans="4:36" ht="12.95" customHeight="1">
      <c r="D393" t="s">
        <v>310</v>
      </c>
      <c r="Q393" s="1408"/>
      <c r="R393" s="1408"/>
      <c r="S393" s="1408"/>
      <c r="T393" s="1408"/>
      <c r="U393" s="1408"/>
      <c r="V393" t="s">
        <v>311</v>
      </c>
      <c r="AG393" s="1815"/>
      <c r="AH393" s="1815"/>
      <c r="AI393" s="1815"/>
      <c r="AJ393" s="1815"/>
    </row>
    <row r="394" spans="4:36" ht="12.95" customHeight="1">
      <c r="D394" t="s">
        <v>312</v>
      </c>
      <c r="Q394" s="1755"/>
      <c r="R394" s="1755"/>
      <c r="S394" s="1755"/>
      <c r="T394" s="1755"/>
      <c r="U394" s="1755"/>
      <c r="V394" t="s">
        <v>1164</v>
      </c>
      <c r="AG394" s="1815"/>
      <c r="AH394" s="1815"/>
      <c r="AI394" s="1815"/>
      <c r="AJ394" s="1815"/>
    </row>
    <row r="395" spans="4:36" ht="12.95" customHeight="1">
      <c r="D395" t="s">
        <v>1163</v>
      </c>
      <c r="AG395" s="1815"/>
      <c r="AH395" s="1815"/>
      <c r="AI395" s="1815"/>
      <c r="AJ395" s="1815"/>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546</v>
      </c>
      <c r="T401" s="1750"/>
      <c r="U401" s="1750"/>
      <c r="V401" t="s">
        <v>1662</v>
      </c>
      <c r="AG401" s="1819">
        <v>99</v>
      </c>
      <c r="AH401" s="1819"/>
      <c r="AI401" s="1819"/>
      <c r="AJ401" s="1819"/>
    </row>
    <row r="402" spans="1:36" ht="12.95" customHeight="1">
      <c r="D402" s="3" t="s">
        <v>1659</v>
      </c>
      <c r="S402" s="1750" t="s">
        <v>546</v>
      </c>
      <c r="T402" s="1750"/>
      <c r="U402" s="1750"/>
      <c r="V402" t="s">
        <v>1664</v>
      </c>
      <c r="AE402" s="1814">
        <v>2331000</v>
      </c>
      <c r="AF402" s="1814"/>
      <c r="AG402" s="1814"/>
      <c r="AH402" s="1814"/>
      <c r="AI402" s="1814"/>
      <c r="AJ402" s="1814"/>
    </row>
    <row r="403" spans="1:36" ht="12.95"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1663</v>
      </c>
      <c r="K404" s="1796" t="s">
        <v>2718</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1666</v>
      </c>
      <c r="E405" s="477"/>
      <c r="F405" s="477"/>
      <c r="G405" s="477"/>
      <c r="H405" s="477"/>
      <c r="I405" s="477"/>
      <c r="J405" s="477"/>
      <c r="K405" s="477"/>
      <c r="L405" s="477"/>
      <c r="M405" s="477"/>
      <c r="N405" s="477"/>
      <c r="O405" s="477"/>
      <c r="P405" s="477"/>
      <c r="Q405" s="477"/>
      <c r="R405" s="477"/>
      <c r="S405" s="1824" t="s">
        <v>2683</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2">
        <v>7</v>
      </c>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3"/>
      <c r="F418" s="1813"/>
      <c r="G418" s="1813"/>
      <c r="H418" s="13" t="s">
        <v>115</v>
      </c>
      <c r="I418" s="1813"/>
      <c r="J418" s="1813"/>
      <c r="K418" s="1813"/>
      <c r="L418" t="s">
        <v>116</v>
      </c>
      <c r="N418" s="27" t="s">
        <v>576</v>
      </c>
      <c r="P418" s="1759">
        <v>2.17</v>
      </c>
      <c r="Q418" s="1759"/>
      <c r="R418" s="1759"/>
      <c r="S418" t="s">
        <v>117</v>
      </c>
      <c r="W418" s="1823">
        <f>IF(E418&gt;0,(E418*I418),(P418*43560))</f>
        <v>94525.2</v>
      </c>
      <c r="X418" s="1823"/>
      <c r="Y418" s="1823"/>
      <c r="Z418" t="s">
        <v>118</v>
      </c>
      <c r="AF418" s="1760">
        <f>IFERROR(IF(P418&gt;0,(AG437/P418),(AG437/(W418/43560))),0)</f>
        <v>125.34562211981567</v>
      </c>
      <c r="AG418" s="1760"/>
      <c r="AH418" s="1760"/>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1737</v>
      </c>
      <c r="F421" s="1013"/>
      <c r="G421" s="1013"/>
      <c r="H421" s="1013"/>
      <c r="I421" s="1758">
        <v>2.17</v>
      </c>
      <c r="J421" s="1758"/>
      <c r="K421" s="1758"/>
      <c r="L421" s="1013"/>
      <c r="M421" s="118"/>
      <c r="N421" s="1013"/>
      <c r="O421" s="1013"/>
      <c r="P421" s="1440">
        <f>(DU755+DU778+DU800)/I421</f>
        <v>233.17972350230414</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670</v>
      </c>
      <c r="R429" s="1332"/>
    </row>
    <row r="430" spans="1:39" ht="12.95" customHeight="1">
      <c r="F430" t="s">
        <v>610</v>
      </c>
      <c r="P430" s="1"/>
      <c r="Q430" s="1"/>
      <c r="AF430" s="1332" t="s">
        <v>592</v>
      </c>
      <c r="AG430" s="1821"/>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18">
        <v>272</v>
      </c>
      <c r="AH437" s="1818"/>
      <c r="AI437" s="1818"/>
      <c r="AJ437" s="1818"/>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2">
        <v>0</v>
      </c>
      <c r="AH438" s="1612"/>
      <c r="AI438" s="1612"/>
      <c r="AJ438" s="1612"/>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8">
        <v>269</v>
      </c>
      <c r="AH439" s="1818"/>
      <c r="AI439" s="1818"/>
      <c r="AJ439" s="1818"/>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8">
        <v>269</v>
      </c>
      <c r="AH440" s="1818"/>
      <c r="AI440" s="1818"/>
      <c r="AJ440" s="1818"/>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232067</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232067</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3500</v>
      </c>
      <c r="AH446" s="1695"/>
      <c r="AI446" s="1695"/>
      <c r="AJ446" s="1695"/>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15000</v>
      </c>
      <c r="AH448" s="1695"/>
      <c r="AI448" s="1695"/>
      <c r="AJ448" s="1695"/>
      <c r="AZ448" s="3"/>
      <c r="BA448" s="3"/>
      <c r="BB448" s="3"/>
      <c r="BC448" s="3"/>
    </row>
    <row r="449" spans="1:55" ht="12.95" customHeight="1">
      <c r="D449" s="1742"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80000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330567</v>
      </c>
      <c r="AH450" s="1842"/>
      <c r="AI450" s="1842"/>
      <c r="AJ450" s="1842"/>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550883.1654411765</v>
      </c>
      <c r="AD454" s="1810"/>
      <c r="AE454" s="1810"/>
      <c r="AF454" s="1810"/>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550883.1654411765</v>
      </c>
      <c r="AD455" s="1810"/>
      <c r="AE455" s="1810"/>
      <c r="AF455" s="1810"/>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525252.2169117647</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6" t="s">
        <v>2685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2686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2687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397</v>
      </c>
      <c r="C489" s="1831"/>
      <c r="D489" s="1831"/>
      <c r="E489" s="1831"/>
      <c r="F489" s="1831"/>
      <c r="G489" s="1831"/>
      <c r="H489" s="1831"/>
      <c r="I489" s="1831"/>
      <c r="J489" s="1831"/>
      <c r="K489" s="1831"/>
      <c r="L489" s="1831"/>
      <c r="M489" s="1831"/>
      <c r="N489" s="1831"/>
      <c r="O489" s="1831"/>
      <c r="P489" s="1832"/>
      <c r="Q489" s="1836" t="s">
        <v>670</v>
      </c>
      <c r="R489" s="1837"/>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3" t="s">
        <v>2688</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2689</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0.5</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257</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257</v>
      </c>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1</v>
      </c>
      <c r="AD501" s="1662"/>
      <c r="AE501" s="1662"/>
      <c r="AF501" s="1662"/>
      <c r="AG501" s="13" t="s">
        <v>403</v>
      </c>
      <c r="AH501" s="1402">
        <v>2016</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v>
      </c>
      <c r="AD502" s="1662"/>
      <c r="AE502" s="1662"/>
      <c r="AF502" s="1662"/>
      <c r="AG502" s="38" t="s">
        <v>403</v>
      </c>
      <c r="AH502" s="1402">
        <v>2015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v>1</v>
      </c>
      <c r="AD505" s="1662"/>
      <c r="AE505" s="1662"/>
      <c r="AF505" s="1662"/>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v>5</v>
      </c>
      <c r="AD506" s="1662"/>
      <c r="AE506" s="1662"/>
      <c r="AF506" s="1662"/>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v>5</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1"/>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8" t="s">
        <v>670</v>
      </c>
      <c r="AD509" s="1818"/>
      <c r="AE509" s="1818"/>
      <c r="AF509" s="1818"/>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7">
        <v>0.5</v>
      </c>
      <c r="AD512" s="1828"/>
      <c r="AE512" s="1828"/>
      <c r="AF512" s="1829"/>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0"/>
      <c r="AZ513" s="3"/>
      <c r="BA513" s="3"/>
      <c r="BB513" s="3"/>
      <c r="BC513" s="3"/>
      <c r="BD513" s="3"/>
      <c r="BE513" s="3"/>
      <c r="BF513" s="3"/>
      <c r="BG513" s="3"/>
      <c r="BH513" s="3"/>
      <c r="BI513" s="3"/>
      <c r="BJ513" s="3"/>
      <c r="BK513" s="3"/>
      <c r="BL513" s="3"/>
      <c r="BM513" s="3"/>
      <c r="BN513" s="3" t="s">
        <v>2105</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9</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2"/>
      <c r="C515" s="1432"/>
      <c r="D515" s="1432"/>
      <c r="E515" s="1432"/>
      <c r="F515" s="1432"/>
      <c r="G515" s="1432"/>
      <c r="H515" s="1433"/>
      <c r="I515" t="s">
        <v>416</v>
      </c>
      <c r="AC515" s="1661">
        <v>9</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5</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2"/>
      <c r="C518" s="1432"/>
      <c r="D518" s="1432"/>
      <c r="E518" s="1432"/>
      <c r="F518" s="1432"/>
      <c r="G518" s="1432"/>
      <c r="H518" s="1433"/>
      <c r="I518" t="s">
        <v>416</v>
      </c>
      <c r="AC518" s="1661">
        <v>9</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5</v>
      </c>
      <c r="AD519" s="1662"/>
      <c r="AE519" s="1662"/>
      <c r="AF519" s="1662"/>
      <c r="AG519" s="38" t="s">
        <v>403</v>
      </c>
      <c r="AH519" s="1402">
        <v>2026</v>
      </c>
      <c r="AI519" s="1402"/>
      <c r="AJ519" s="1402"/>
      <c r="AK519" s="1403"/>
      <c r="BB519" s="3"/>
      <c r="BC519" s="3"/>
      <c r="BD519" s="3"/>
      <c r="BE519" s="3"/>
      <c r="BF519" s="3"/>
      <c r="BG519" s="3"/>
      <c r="BH519" s="3"/>
      <c r="BI519" s="3"/>
      <c r="BJ519" s="3"/>
      <c r="BK519" s="3"/>
      <c r="BL519" s="3"/>
      <c r="BM519" s="3"/>
      <c r="BN519" s="3" t="s">
        <v>2111</v>
      </c>
    </row>
    <row r="520" spans="2:66" ht="12.95" customHeight="1">
      <c r="B520" s="1671" t="s">
        <v>419</v>
      </c>
      <c r="C520" s="1430"/>
      <c r="D520" s="1430"/>
      <c r="E520" s="1430"/>
      <c r="F520" s="1430"/>
      <c r="G520" s="1430"/>
      <c r="H520" s="1431"/>
      <c r="I520" s="41" t="s">
        <v>420</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2"/>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2"/>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9</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5</v>
      </c>
      <c r="AD539" s="1662"/>
      <c r="AE539" s="1662"/>
      <c r="AF539" s="1662"/>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7</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9</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3</v>
      </c>
      <c r="AD542" s="1662"/>
      <c r="AE542" s="1662"/>
      <c r="AF542" s="1662"/>
      <c r="AG542" s="38" t="s">
        <v>403</v>
      </c>
      <c r="AH542" s="1402">
        <v>2029</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2103</v>
      </c>
      <c r="C551" s="1430"/>
      <c r="D551" s="1430"/>
      <c r="E551" s="1430"/>
      <c r="F551" s="1430"/>
      <c r="G551" s="1430"/>
      <c r="H551" s="1430"/>
      <c r="I551" s="1430"/>
      <c r="J551" s="1430"/>
      <c r="K551" s="1430"/>
      <c r="L551" s="1431"/>
      <c r="M551" s="1671" t="s">
        <v>2104</v>
      </c>
      <c r="N551" s="1430"/>
      <c r="O551" s="1430"/>
      <c r="P551" s="1431"/>
      <c r="Q551" s="1671" t="s">
        <v>2130</v>
      </c>
      <c r="R551" s="1430"/>
      <c r="S551" s="1431"/>
      <c r="T551" s="1671" t="s">
        <v>2131</v>
      </c>
      <c r="U551" s="1430"/>
      <c r="V551" s="1431"/>
      <c r="W551" s="1671" t="s">
        <v>454</v>
      </c>
      <c r="X551" s="1430"/>
      <c r="Y551" s="1431"/>
      <c r="Z551" s="1671" t="s">
        <v>1852</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2690</v>
      </c>
      <c r="D554" s="1692"/>
      <c r="E554" s="1692"/>
      <c r="F554" s="1692"/>
      <c r="G554" s="1692"/>
      <c r="H554" s="1692"/>
      <c r="I554" s="1692"/>
      <c r="J554" s="1692"/>
      <c r="K554" s="1692"/>
      <c r="L554" s="1692"/>
      <c r="M554" s="1692" t="s">
        <v>2120</v>
      </c>
      <c r="N554" s="1692"/>
      <c r="O554" s="1692"/>
      <c r="P554" s="1692"/>
      <c r="Q554" s="1452">
        <v>42</v>
      </c>
      <c r="R554" s="1452"/>
      <c r="S554" s="1453"/>
      <c r="T554" s="1451"/>
      <c r="U554" s="1452"/>
      <c r="V554" s="1453"/>
      <c r="W554" s="1454">
        <v>6.5000000000000002E-2</v>
      </c>
      <c r="X554" s="1455"/>
      <c r="Y554" s="1456"/>
      <c r="Z554" s="1693" t="s">
        <v>2691</v>
      </c>
      <c r="AA554" s="1693"/>
      <c r="AB554" s="1693"/>
      <c r="AC554" s="1693"/>
      <c r="AD554" s="1693"/>
      <c r="AE554" s="1674">
        <v>1</v>
      </c>
      <c r="AF554" s="1675"/>
      <c r="AG554" s="1675"/>
      <c r="AH554" s="1676"/>
      <c r="AI554" s="1677"/>
      <c r="AJ554" s="1678"/>
      <c r="AK554" s="1678"/>
      <c r="AL554" s="1679"/>
      <c r="AM554" s="1667">
        <v>38000000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2692</v>
      </c>
      <c r="D555" s="1680"/>
      <c r="E555" s="1680"/>
      <c r="F555" s="1680"/>
      <c r="G555" s="1680"/>
      <c r="H555" s="1680"/>
      <c r="I555" s="1680"/>
      <c r="J555" s="1680"/>
      <c r="K555" s="1680"/>
      <c r="L555" s="1680"/>
      <c r="M555" s="1692" t="s">
        <v>2121</v>
      </c>
      <c r="N555" s="1692"/>
      <c r="O555" s="1692"/>
      <c r="P555" s="1692"/>
      <c r="Q555" s="1451">
        <v>42</v>
      </c>
      <c r="R555" s="1452"/>
      <c r="S555" s="1453"/>
      <c r="T555" s="1451"/>
      <c r="U555" s="1452"/>
      <c r="V555" s="1453"/>
      <c r="W555" s="1454">
        <v>6.5000000000000002E-2</v>
      </c>
      <c r="X555" s="1455"/>
      <c r="Y555" s="1456"/>
      <c r="Z555" s="1693" t="s">
        <v>2691</v>
      </c>
      <c r="AA555" s="1693"/>
      <c r="AB555" s="1693"/>
      <c r="AC555" s="1693"/>
      <c r="AD555" s="1693"/>
      <c r="AE555" s="1674"/>
      <c r="AF555" s="1675"/>
      <c r="AG555" s="1675"/>
      <c r="AH555" s="1676"/>
      <c r="AI555" s="1677"/>
      <c r="AJ555" s="1678"/>
      <c r="AK555" s="1678"/>
      <c r="AL555" s="1679"/>
      <c r="AM555" s="1667">
        <v>13000000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2693</v>
      </c>
      <c r="D556" s="1680"/>
      <c r="E556" s="1680"/>
      <c r="F556" s="1680"/>
      <c r="G556" s="1680"/>
      <c r="H556" s="1680"/>
      <c r="I556" s="1680"/>
      <c r="J556" s="1680"/>
      <c r="K556" s="1680"/>
      <c r="L556" s="1680"/>
      <c r="M556" s="1692" t="s">
        <v>2119</v>
      </c>
      <c r="N556" s="1692"/>
      <c r="O556" s="1692"/>
      <c r="P556" s="1692"/>
      <c r="Q556" s="1451">
        <v>42</v>
      </c>
      <c r="R556" s="1452"/>
      <c r="S556" s="1453"/>
      <c r="T556" s="1451"/>
      <c r="U556" s="1452"/>
      <c r="V556" s="1453"/>
      <c r="W556" s="1454">
        <v>6.5000000000000002E-2</v>
      </c>
      <c r="X556" s="1455"/>
      <c r="Y556" s="1456"/>
      <c r="Z556" s="1693" t="s">
        <v>2691</v>
      </c>
      <c r="AA556" s="1693"/>
      <c r="AB556" s="1693"/>
      <c r="AC556" s="1693"/>
      <c r="AD556" s="1693"/>
      <c r="AE556" s="1674"/>
      <c r="AF556" s="1675"/>
      <c r="AG556" s="1675"/>
      <c r="AH556" s="1676"/>
      <c r="AI556" s="1677"/>
      <c r="AJ556" s="1678"/>
      <c r="AK556" s="1678"/>
      <c r="AL556" s="1679"/>
      <c r="AM556" s="1667">
        <v>33393069</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80" t="s">
        <v>2694</v>
      </c>
      <c r="D557" s="1680"/>
      <c r="E557" s="1680"/>
      <c r="F557" s="1680"/>
      <c r="G557" s="1680"/>
      <c r="H557" s="1680"/>
      <c r="I557" s="1680"/>
      <c r="J557" s="1680"/>
      <c r="K557" s="1680"/>
      <c r="L557" s="1680"/>
      <c r="M557" s="1692" t="s">
        <v>2111</v>
      </c>
      <c r="N557" s="1692"/>
      <c r="O557" s="1692"/>
      <c r="P557" s="1692"/>
      <c r="Q557" s="1451"/>
      <c r="R557" s="1452"/>
      <c r="S557" s="1453"/>
      <c r="T557" s="1451"/>
      <c r="U557" s="1452"/>
      <c r="V557" s="1453"/>
      <c r="W557" s="1454"/>
      <c r="X557" s="1455"/>
      <c r="Y557" s="1456"/>
      <c r="Z557" s="1693" t="s">
        <v>592</v>
      </c>
      <c r="AA557" s="1693"/>
      <c r="AB557" s="1693"/>
      <c r="AC557" s="1693"/>
      <c r="AD557" s="1693"/>
      <c r="AE557" s="1674"/>
      <c r="AF557" s="1675"/>
      <c r="AG557" s="1675"/>
      <c r="AH557" s="1676"/>
      <c r="AI557" s="1677"/>
      <c r="AJ557" s="1678"/>
      <c r="AK557" s="1678"/>
      <c r="AL557" s="1679"/>
      <c r="AM557" s="1667">
        <v>11571199</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80" t="s">
        <v>2321</v>
      </c>
      <c r="D558" s="1680"/>
      <c r="E558" s="1680"/>
      <c r="F558" s="1680"/>
      <c r="G558" s="1680"/>
      <c r="H558" s="1680"/>
      <c r="I558" s="1680"/>
      <c r="J558" s="1680"/>
      <c r="K558" s="1680"/>
      <c r="L558" s="1680"/>
      <c r="M558" s="1692" t="s">
        <v>2107</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18635034</v>
      </c>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0" t="s">
        <v>2695</v>
      </c>
      <c r="D559" s="1680"/>
      <c r="E559" s="1680"/>
      <c r="F559" s="1680"/>
      <c r="G559" s="1680"/>
      <c r="H559" s="1680"/>
      <c r="I559" s="1680"/>
      <c r="J559" s="1680"/>
      <c r="K559" s="1680"/>
      <c r="L559" s="1680"/>
      <c r="M559" s="1692" t="s">
        <v>2122</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v>1240919</v>
      </c>
      <c r="AN559" s="1668"/>
      <c r="AO559" s="1668"/>
      <c r="AP559" s="1668"/>
      <c r="AQ559" s="1668"/>
      <c r="AR559" s="1668"/>
      <c r="AS559" s="1669"/>
      <c r="AT559" s="1148" t="str">
        <f t="shared" si="0"/>
        <v/>
      </c>
      <c r="AU559" s="1147"/>
      <c r="BB559" s="3"/>
      <c r="BC559" s="3"/>
      <c r="BD559" s="3"/>
      <c r="BE559" s="3"/>
      <c r="BF559" s="3"/>
      <c r="BG559" s="3"/>
      <c r="BH559" s="3" t="s">
        <v>585</v>
      </c>
      <c r="BI559" s="3" t="str">
        <f>AG665</f>
        <v>No</v>
      </c>
    </row>
    <row r="560" spans="1:61" ht="12.95" customHeight="1">
      <c r="B560" s="52" t="s">
        <v>456</v>
      </c>
      <c r="C560" s="1680" t="s">
        <v>2696</v>
      </c>
      <c r="D560" s="1680"/>
      <c r="E560" s="1680"/>
      <c r="F560" s="1680"/>
      <c r="G560" s="1680"/>
      <c r="H560" s="1680"/>
      <c r="I560" s="1680"/>
      <c r="J560" s="1680"/>
      <c r="K560" s="1680"/>
      <c r="L560" s="1680"/>
      <c r="M560" s="1692" t="s">
        <v>2112</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34000000</v>
      </c>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680"/>
      <c r="D561" s="1680"/>
      <c r="E561" s="1680"/>
      <c r="F561" s="1680"/>
      <c r="G561" s="1680"/>
      <c r="H561" s="1680"/>
      <c r="I561" s="1680"/>
      <c r="J561" s="1680"/>
      <c r="K561" s="1680"/>
      <c r="L561" s="1680"/>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149840221</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Berkadia - TEB</v>
      </c>
      <c r="H568" s="1358"/>
      <c r="I568" s="1358"/>
      <c r="J568" s="1358"/>
      <c r="K568" s="1358"/>
      <c r="L568" s="1358"/>
      <c r="M568" s="1358"/>
      <c r="N568" s="1358"/>
      <c r="O568" s="1358"/>
      <c r="P568" s="1358"/>
      <c r="Q568" s="1358"/>
      <c r="R568" s="1358"/>
      <c r="S568" s="8"/>
      <c r="T568" s="55" t="s">
        <v>113</v>
      </c>
      <c r="U568" t="s">
        <v>464</v>
      </c>
      <c r="Z568" s="1358" t="str">
        <f>C555</f>
        <v>Berkadia -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2697</v>
      </c>
      <c r="H569" s="1371"/>
      <c r="I569" s="1371"/>
      <c r="J569" s="1371"/>
      <c r="K569" s="1371"/>
      <c r="L569" s="1371"/>
      <c r="M569" s="1371"/>
      <c r="N569" s="1371"/>
      <c r="O569" s="1371"/>
      <c r="P569" s="1371"/>
      <c r="Q569" s="1371"/>
      <c r="R569" s="1371"/>
      <c r="S569" s="8"/>
      <c r="T569" s="22"/>
      <c r="U569" t="s">
        <v>85</v>
      </c>
      <c r="Z569" s="1371" t="s">
        <v>2697</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495</v>
      </c>
      <c r="H570" s="1371"/>
      <c r="I570" s="1371"/>
      <c r="J570" s="1371"/>
      <c r="K570" s="1371"/>
      <c r="L570" s="1371"/>
      <c r="M570" s="1371"/>
      <c r="N570" s="1371"/>
      <c r="O570" s="1371"/>
      <c r="P570" s="1371"/>
      <c r="Q570" s="1371"/>
      <c r="R570" s="1371"/>
      <c r="T570" s="22"/>
      <c r="U570" t="s">
        <v>581</v>
      </c>
      <c r="Z570" s="1348" t="s">
        <v>495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2698</v>
      </c>
      <c r="H571" s="1371"/>
      <c r="I571" s="1371"/>
      <c r="J571" s="1371"/>
      <c r="K571" s="1371"/>
      <c r="L571" s="1371"/>
      <c r="M571" s="1371"/>
      <c r="N571" s="1371"/>
      <c r="O571" s="1371"/>
      <c r="P571" s="1371"/>
      <c r="Q571" s="1371"/>
      <c r="R571" s="1371"/>
      <c r="S571" s="8"/>
      <c r="T571" s="22"/>
      <c r="U571" t="s">
        <v>17</v>
      </c>
      <c r="Z571" s="1348" t="s">
        <v>2698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2699</v>
      </c>
      <c r="H572" s="1346"/>
      <c r="I572" s="1346"/>
      <c r="J572" s="1346"/>
      <c r="K572" s="1346"/>
      <c r="L572" s="1346"/>
      <c r="O572" s="33" t="s">
        <v>206</v>
      </c>
      <c r="P572" s="1436"/>
      <c r="Q572" s="1436"/>
      <c r="R572" s="1436"/>
      <c r="S572" s="10"/>
      <c r="T572" s="22"/>
      <c r="U572" t="s">
        <v>316</v>
      </c>
      <c r="Z572" s="1346" t="s">
        <v>2699</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2700</v>
      </c>
      <c r="I573" s="1371"/>
      <c r="J573" s="1371"/>
      <c r="K573" s="1371"/>
      <c r="L573" s="1371"/>
      <c r="M573" s="1371"/>
      <c r="N573" s="1371"/>
      <c r="O573" s="1371"/>
      <c r="P573" s="1371"/>
      <c r="Q573" s="1371"/>
      <c r="R573" s="1371"/>
      <c r="S573" s="8"/>
      <c r="T573" s="22"/>
      <c r="U573" t="s">
        <v>18</v>
      </c>
      <c r="AA573" s="1371" t="s">
        <v>2701</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Berkadia - Taxable Tail</v>
      </c>
      <c r="H577" s="1358"/>
      <c r="I577" s="1358"/>
      <c r="J577" s="1358"/>
      <c r="K577" s="1358"/>
      <c r="L577" s="1358"/>
      <c r="M577" s="1358"/>
      <c r="N577" s="1358"/>
      <c r="O577" s="1358"/>
      <c r="P577" s="1358"/>
      <c r="Q577" s="1358"/>
      <c r="R577" s="1358"/>
      <c r="T577" s="55" t="s">
        <v>582</v>
      </c>
      <c r="U577" t="s">
        <v>464</v>
      </c>
      <c r="Z577" s="1358" t="str">
        <f>C557</f>
        <v>CREA - Tax Credit Equity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2697</v>
      </c>
      <c r="H578" s="1371"/>
      <c r="I578" s="1371"/>
      <c r="J578" s="1371"/>
      <c r="K578" s="1371"/>
      <c r="L578" s="1371"/>
      <c r="M578" s="1371"/>
      <c r="N578" s="1371"/>
      <c r="O578" s="1371"/>
      <c r="P578" s="1371"/>
      <c r="Q578" s="1371"/>
      <c r="R578" s="1371"/>
      <c r="T578" s="22"/>
      <c r="U578" t="s">
        <v>85</v>
      </c>
      <c r="Z578" s="1371" t="s">
        <v>2657</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495</v>
      </c>
      <c r="H579" s="1348"/>
      <c r="I579" s="1348"/>
      <c r="J579" s="1348"/>
      <c r="K579" s="1348"/>
      <c r="L579" s="1348"/>
      <c r="M579" s="1348"/>
      <c r="N579" s="1348"/>
      <c r="O579" s="1348"/>
      <c r="P579" s="1348"/>
      <c r="Q579" s="1348"/>
      <c r="R579" s="1348"/>
      <c r="T579" s="22"/>
      <c r="U579" t="s">
        <v>581</v>
      </c>
      <c r="Z579" s="1348" t="s">
        <v>730</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2698</v>
      </c>
      <c r="H580" s="1348"/>
      <c r="I580" s="1348"/>
      <c r="J580" s="1348"/>
      <c r="K580" s="1348"/>
      <c r="L580" s="1348"/>
      <c r="M580" s="1348"/>
      <c r="N580" s="1348"/>
      <c r="O580" s="1348"/>
      <c r="P580" s="1348"/>
      <c r="Q580" s="1348"/>
      <c r="R580" s="1348"/>
      <c r="T580" s="22"/>
      <c r="U580" t="s">
        <v>17</v>
      </c>
      <c r="Z580" s="1348" t="s">
        <v>2659</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2699</v>
      </c>
      <c r="H581" s="1346"/>
      <c r="I581" s="1346"/>
      <c r="J581" s="1346"/>
      <c r="K581" s="1346"/>
      <c r="L581" s="1346"/>
      <c r="O581" s="33" t="s">
        <v>206</v>
      </c>
      <c r="P581" s="1436"/>
      <c r="Q581" s="1436"/>
      <c r="R581" s="1436"/>
      <c r="T581" s="22"/>
      <c r="U581" t="s">
        <v>316</v>
      </c>
      <c r="Z581" s="1346" t="s">
        <v>2660</v>
      </c>
      <c r="AA581" s="1346"/>
      <c r="AB581" s="1346"/>
      <c r="AC581" s="1346"/>
      <c r="AD581" s="1346"/>
      <c r="AE581" s="1346"/>
      <c r="AH581" s="33" t="s">
        <v>206</v>
      </c>
      <c r="AI581" s="1436"/>
      <c r="AJ581" s="1436"/>
      <c r="AK581" s="1436"/>
      <c r="BB581" s="3"/>
      <c r="BC581" s="3"/>
    </row>
    <row r="582" spans="1:55" ht="12.95" customHeight="1">
      <c r="A582" s="22"/>
      <c r="B582" t="s">
        <v>18</v>
      </c>
      <c r="H582" s="1371" t="s">
        <v>2119</v>
      </c>
      <c r="I582" s="1371"/>
      <c r="J582" s="1371"/>
      <c r="K582" s="1371"/>
      <c r="L582" s="1371"/>
      <c r="M582" s="1371"/>
      <c r="N582" s="1371"/>
      <c r="O582" s="1371"/>
      <c r="P582" s="1371"/>
      <c r="Q582" s="1371"/>
      <c r="R582" s="1371"/>
      <c r="T582" s="22"/>
      <c r="U582" t="s">
        <v>18</v>
      </c>
      <c r="AA582" s="1371" t="s">
        <v>2702</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Deferred Developer Fee</v>
      </c>
      <c r="H585" s="1358"/>
      <c r="I585" s="1358"/>
      <c r="J585" s="1358"/>
      <c r="K585" s="1358"/>
      <c r="L585" s="1358"/>
      <c r="M585" s="1358"/>
      <c r="N585" s="1358"/>
      <c r="O585" s="1358"/>
      <c r="P585" s="1358"/>
      <c r="Q585" s="1358"/>
      <c r="R585" s="1358"/>
      <c r="T585" s="55" t="s">
        <v>585</v>
      </c>
      <c r="U585" t="s">
        <v>464</v>
      </c>
      <c r="Z585" s="1358" t="str">
        <f>C559</f>
        <v>Deferred Reserve Funding</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2633</v>
      </c>
      <c r="H586" s="1371"/>
      <c r="I586" s="1371"/>
      <c r="J586" s="1371"/>
      <c r="K586" s="1371"/>
      <c r="L586" s="1371"/>
      <c r="M586" s="1371"/>
      <c r="N586" s="1371"/>
      <c r="O586" s="1371"/>
      <c r="P586" s="1371"/>
      <c r="Q586" s="1371"/>
      <c r="R586" s="1371"/>
      <c r="T586" s="22"/>
      <c r="U586" t="s">
        <v>85</v>
      </c>
      <c r="Z586" s="1371" t="s">
        <v>2633</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2620</v>
      </c>
      <c r="H587" s="1371"/>
      <c r="I587" s="1371"/>
      <c r="J587" s="1371"/>
      <c r="K587" s="1371"/>
      <c r="L587" s="1371"/>
      <c r="M587" s="1371"/>
      <c r="N587" s="1371"/>
      <c r="O587" s="1371"/>
      <c r="P587" s="1371"/>
      <c r="Q587" s="1371"/>
      <c r="R587" s="1371"/>
      <c r="T587" s="22"/>
      <c r="U587" t="s">
        <v>581</v>
      </c>
      <c r="Z587" s="1348" t="s">
        <v>2620</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2634</v>
      </c>
      <c r="H588" s="1371"/>
      <c r="I588" s="1371"/>
      <c r="J588" s="1371"/>
      <c r="K588" s="1371"/>
      <c r="L588" s="1371"/>
      <c r="M588" s="1371"/>
      <c r="N588" s="1371"/>
      <c r="O588" s="1371"/>
      <c r="P588" s="1371"/>
      <c r="Q588" s="1371"/>
      <c r="R588" s="1371"/>
      <c r="T588" s="22"/>
      <c r="U588" t="s">
        <v>17</v>
      </c>
      <c r="Z588" s="1348" t="s">
        <v>2634</v>
      </c>
      <c r="AA588" s="1348"/>
      <c r="AB588" s="1348"/>
      <c r="AC588" s="1348"/>
      <c r="AD588" s="1348"/>
      <c r="AE588" s="1348"/>
      <c r="AF588" s="1348"/>
      <c r="AG588" s="1348"/>
      <c r="AH588" s="1348"/>
      <c r="AI588" s="1348"/>
      <c r="AJ588" s="1348"/>
      <c r="AK588" s="1348"/>
    </row>
    <row r="589" spans="1:55" ht="12.95" customHeight="1">
      <c r="A589" s="22"/>
      <c r="B589" t="s">
        <v>316</v>
      </c>
      <c r="G589" s="1346" t="s">
        <v>2703</v>
      </c>
      <c r="H589" s="1346"/>
      <c r="I589" s="1346"/>
      <c r="J589" s="1346"/>
      <c r="K589" s="1346"/>
      <c r="L589" s="1346"/>
      <c r="O589" s="33" t="s">
        <v>206</v>
      </c>
      <c r="P589" s="1436"/>
      <c r="Q589" s="1436"/>
      <c r="R589" s="1436"/>
      <c r="T589" s="22"/>
      <c r="U589" t="s">
        <v>316</v>
      </c>
      <c r="Z589" s="1346" t="s">
        <v>2703</v>
      </c>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2321</v>
      </c>
      <c r="I590" s="1371"/>
      <c r="J590" s="1371"/>
      <c r="K590" s="1371"/>
      <c r="L590" s="1371"/>
      <c r="M590" s="1371"/>
      <c r="N590" s="1371"/>
      <c r="O590" s="1371"/>
      <c r="P590" s="1371"/>
      <c r="Q590" s="1371"/>
      <c r="R590" s="1371"/>
      <c r="T590" s="22"/>
      <c r="U590" t="s">
        <v>18</v>
      </c>
      <c r="AA590" s="1371" t="s">
        <v>2704</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Ground Lease TI Contribution</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2720</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
        <v>2705</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2721</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694" t="s">
        <v>2722</v>
      </c>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2696</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1" t="s">
        <v>2104</v>
      </c>
      <c r="N624" s="1441"/>
      <c r="O624" s="1441"/>
      <c r="P624" s="1441"/>
      <c r="Q624" s="1441" t="s">
        <v>1853</v>
      </c>
      <c r="R624" s="1441"/>
      <c r="S624" s="1441"/>
      <c r="T624" s="1441" t="s">
        <v>1851</v>
      </c>
      <c r="U624" s="1441"/>
      <c r="V624" s="1441"/>
      <c r="W624" s="1701" t="s">
        <v>454</v>
      </c>
      <c r="X624" s="1701"/>
      <c r="Y624" s="1701"/>
      <c r="Z624" s="1430" t="s">
        <v>2133</v>
      </c>
      <c r="AA624" s="1430"/>
      <c r="AB624" s="1431"/>
      <c r="AC624" s="1681" t="s">
        <v>1677</v>
      </c>
      <c r="AD624" s="1682"/>
      <c r="AE624" s="1683"/>
      <c r="AF624" s="1671" t="s">
        <v>1931</v>
      </c>
      <c r="AG624" s="1430"/>
      <c r="AH624" s="1430"/>
      <c r="AI624" s="1430"/>
      <c r="AJ624" s="1431"/>
      <c r="AK624" s="1733" t="s">
        <v>1932</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1" t="s">
        <v>2719</v>
      </c>
      <c r="D627" s="1691"/>
      <c r="E627" s="1691"/>
      <c r="F627" s="1691"/>
      <c r="G627" s="1691"/>
      <c r="H627" s="1691"/>
      <c r="I627" s="1691"/>
      <c r="J627" s="1691"/>
      <c r="K627" s="1691"/>
      <c r="L627" s="1691"/>
      <c r="M627" s="1617" t="s">
        <v>2114</v>
      </c>
      <c r="N627" s="1617"/>
      <c r="O627" s="1617"/>
      <c r="P627" s="1617"/>
      <c r="Q627" s="1425">
        <v>180</v>
      </c>
      <c r="R627" s="1425"/>
      <c r="S627" s="1426"/>
      <c r="T627" s="1424">
        <v>480</v>
      </c>
      <c r="U627" s="1425"/>
      <c r="V627" s="1426"/>
      <c r="W627" s="1437">
        <v>6.25E-2</v>
      </c>
      <c r="X627" s="1438"/>
      <c r="Y627" s="1439"/>
      <c r="Z627" s="1477" t="s">
        <v>2132</v>
      </c>
      <c r="AA627" s="1478"/>
      <c r="AB627" s="1479"/>
      <c r="AC627" s="1445"/>
      <c r="AD627" s="1446"/>
      <c r="AE627" s="1447"/>
      <c r="AF627" s="1474">
        <v>3391517</v>
      </c>
      <c r="AG627" s="1475"/>
      <c r="AH627" s="1475"/>
      <c r="AI627" s="1475"/>
      <c r="AJ627" s="1476"/>
      <c r="AK627" s="1427"/>
      <c r="AL627" s="1428"/>
      <c r="AM627" s="1428"/>
      <c r="AN627" s="1429"/>
      <c r="AO627" s="1480">
        <v>49781000</v>
      </c>
      <c r="AP627" s="1480"/>
      <c r="AQ627" s="1480"/>
      <c r="AR627" s="1480"/>
      <c r="AS627" s="1480"/>
      <c r="AT627" s="3"/>
      <c r="AU627" s="3"/>
      <c r="AZ627" s="3"/>
      <c r="BA627" s="3"/>
      <c r="BB627" s="3"/>
      <c r="BC627" s="3"/>
      <c r="BD627" s="3"/>
    </row>
    <row r="628" spans="2:157" ht="12.95" customHeight="1">
      <c r="B628" s="52" t="s">
        <v>113</v>
      </c>
      <c r="C628" s="1691" t="s">
        <v>2706</v>
      </c>
      <c r="D628" s="1691"/>
      <c r="E628" s="1691"/>
      <c r="F628" s="1691"/>
      <c r="G628" s="1691"/>
      <c r="H628" s="1691"/>
      <c r="I628" s="1691"/>
      <c r="J628" s="1691"/>
      <c r="K628" s="1691"/>
      <c r="L628" s="1691"/>
      <c r="M628" s="1617" t="s">
        <v>2122</v>
      </c>
      <c r="N628" s="1617"/>
      <c r="O628" s="1617"/>
      <c r="P628" s="1617"/>
      <c r="Q628" s="1424"/>
      <c r="R628" s="1425"/>
      <c r="S628" s="1426"/>
      <c r="T628" s="1424"/>
      <c r="U628" s="1425"/>
      <c r="V628" s="1426"/>
      <c r="W628" s="1437"/>
      <c r="X628" s="1438"/>
      <c r="Y628" s="1439"/>
      <c r="Z628" s="1477" t="s">
        <v>459</v>
      </c>
      <c r="AA628" s="1478"/>
      <c r="AB628" s="1479"/>
      <c r="AC628" s="1445"/>
      <c r="AD628" s="1446"/>
      <c r="AE628" s="1447"/>
      <c r="AF628" s="1474"/>
      <c r="AG628" s="1475"/>
      <c r="AH628" s="1475"/>
      <c r="AI628" s="1475"/>
      <c r="AJ628" s="1476"/>
      <c r="AK628" s="1427"/>
      <c r="AL628" s="1428"/>
      <c r="AM628" s="1428"/>
      <c r="AN628" s="1429"/>
      <c r="AO628" s="1465">
        <v>2915163</v>
      </c>
      <c r="AP628" s="1466"/>
      <c r="AQ628" s="1466"/>
      <c r="AR628" s="1466"/>
      <c r="AS628" s="1467"/>
      <c r="AT628" s="1148" t="str">
        <f>IF(AND(NOT(C627=""),C628="",NOT(C629="")),"!","")</f>
        <v/>
      </c>
      <c r="AU628" s="3"/>
      <c r="AZ628" s="3"/>
      <c r="BA628" s="3"/>
      <c r="BB628" s="3"/>
      <c r="BC628" s="3"/>
      <c r="BD628" s="3"/>
    </row>
    <row r="629" spans="2:157" ht="12.95" customHeight="1">
      <c r="B629" s="52" t="s">
        <v>119</v>
      </c>
      <c r="C629" s="1691" t="s">
        <v>2696</v>
      </c>
      <c r="D629" s="1691"/>
      <c r="E629" s="1691"/>
      <c r="F629" s="1691"/>
      <c r="G629" s="1691"/>
      <c r="H629" s="1691"/>
      <c r="I629" s="1691"/>
      <c r="J629" s="1691"/>
      <c r="K629" s="1691"/>
      <c r="L629" s="1691"/>
      <c r="M629" s="1617" t="s">
        <v>2112</v>
      </c>
      <c r="N629" s="1617"/>
      <c r="O629" s="1617"/>
      <c r="P629" s="1617"/>
      <c r="Q629" s="1424"/>
      <c r="R629" s="1425"/>
      <c r="S629" s="1426"/>
      <c r="T629" s="1424"/>
      <c r="U629" s="1425"/>
      <c r="V629" s="1426"/>
      <c r="W629" s="1437"/>
      <c r="X629" s="1438"/>
      <c r="Y629" s="1439"/>
      <c r="Z629" s="1477" t="s">
        <v>300</v>
      </c>
      <c r="AA629" s="1478"/>
      <c r="AB629" s="1479"/>
      <c r="AC629" s="1445"/>
      <c r="AD629" s="1446"/>
      <c r="AE629" s="1447"/>
      <c r="AF629" s="1474"/>
      <c r="AG629" s="1475"/>
      <c r="AH629" s="1475"/>
      <c r="AI629" s="1475"/>
      <c r="AJ629" s="1476"/>
      <c r="AK629" s="1427"/>
      <c r="AL629" s="1428"/>
      <c r="AM629" s="1428"/>
      <c r="AN629" s="1429"/>
      <c r="AO629" s="1465">
        <v>34000000</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t="s">
        <v>2321</v>
      </c>
      <c r="D630" s="1347"/>
      <c r="E630" s="1347"/>
      <c r="F630" s="1347"/>
      <c r="G630" s="1347"/>
      <c r="H630" s="1347"/>
      <c r="I630" s="1347"/>
      <c r="J630" s="1347"/>
      <c r="K630" s="1347"/>
      <c r="L630" s="1347"/>
      <c r="M630" s="1617" t="s">
        <v>2107</v>
      </c>
      <c r="N630" s="1617"/>
      <c r="O630" s="1617"/>
      <c r="P630" s="1617"/>
      <c r="Q630" s="1424"/>
      <c r="R630" s="1425"/>
      <c r="S630" s="1426"/>
      <c r="T630" s="1424"/>
      <c r="U630" s="1425"/>
      <c r="V630" s="1426"/>
      <c r="W630" s="1437"/>
      <c r="X630" s="1438"/>
      <c r="Y630" s="1439"/>
      <c r="Z630" s="1477" t="s">
        <v>459</v>
      </c>
      <c r="AA630" s="1478"/>
      <c r="AB630" s="1479"/>
      <c r="AC630" s="1445"/>
      <c r="AD630" s="1446"/>
      <c r="AE630" s="1447"/>
      <c r="AF630" s="1474"/>
      <c r="AG630" s="1475"/>
      <c r="AH630" s="1475"/>
      <c r="AI630" s="1475"/>
      <c r="AJ630" s="1476"/>
      <c r="AK630" s="1427"/>
      <c r="AL630" s="1428"/>
      <c r="AM630" s="1428"/>
      <c r="AN630" s="1429"/>
      <c r="AO630" s="1465">
        <v>16859260</v>
      </c>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988.21495327102798</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905.49532710280369</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187.61682242990653</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110.10280373831776</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103555423</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1194.1935483870968</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46284798</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1047.5376344086021</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149840221</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234.51612903225808</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137.20430107526883</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Berkadia/Private Placement</v>
      </c>
      <c r="H643" s="1358"/>
      <c r="I643" s="1358"/>
      <c r="J643" s="1358"/>
      <c r="K643" s="1358"/>
      <c r="L643" s="1358"/>
      <c r="M643" s="1358"/>
      <c r="N643" s="1358"/>
      <c r="O643" s="1358"/>
      <c r="P643" s="1358"/>
      <c r="Q643" s="1358"/>
      <c r="R643" s="1358"/>
      <c r="S643" s="8"/>
      <c r="T643" s="55" t="s">
        <v>113</v>
      </c>
      <c r="U643" t="s">
        <v>464</v>
      </c>
      <c r="Z643" s="1358" t="str">
        <f>C628</f>
        <v>Lease Up Income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1493.2898550724638</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2697</v>
      </c>
      <c r="H644" s="1371"/>
      <c r="I644" s="1371"/>
      <c r="J644" s="1371"/>
      <c r="K644" s="1371"/>
      <c r="L644" s="1371"/>
      <c r="M644" s="1371"/>
      <c r="N644" s="1371"/>
      <c r="O644" s="1371"/>
      <c r="P644" s="1371"/>
      <c r="Q644" s="1371"/>
      <c r="R644" s="1371"/>
      <c r="S644" s="8"/>
      <c r="T644" s="22"/>
      <c r="U644" t="s">
        <v>85</v>
      </c>
      <c r="Z644" s="1371" t="s">
        <v>2708</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1229.9710144927537</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495</v>
      </c>
      <c r="H645" s="1371"/>
      <c r="I645" s="1371"/>
      <c r="J645" s="1371"/>
      <c r="K645" s="1371"/>
      <c r="L645" s="1371"/>
      <c r="M645" s="1371"/>
      <c r="N645" s="1371"/>
      <c r="O645" s="1371"/>
      <c r="P645" s="1371"/>
      <c r="Q645" s="1371"/>
      <c r="R645" s="1371"/>
      <c r="T645" s="22"/>
      <c r="U645" t="s">
        <v>581</v>
      </c>
      <c r="Z645" s="1348" t="s">
        <v>2620</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f t="shared" si="5"/>
        <v>218.08695652173913</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2698</v>
      </c>
      <c r="H646" s="1371"/>
      <c r="I646" s="1371"/>
      <c r="J646" s="1371"/>
      <c r="K646" s="1371"/>
      <c r="L646" s="1371"/>
      <c r="M646" s="1371"/>
      <c r="N646" s="1371"/>
      <c r="O646" s="1371"/>
      <c r="P646" s="1371"/>
      <c r="Q646" s="1371"/>
      <c r="R646" s="1371"/>
      <c r="S646" s="8"/>
      <c r="T646" s="22"/>
      <c r="U646" t="s">
        <v>17</v>
      </c>
      <c r="Z646" s="1348" t="s">
        <v>2634</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f t="shared" si="5"/>
        <v>127.30434782608695</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2699</v>
      </c>
      <c r="H647" s="1346"/>
      <c r="I647" s="1346"/>
      <c r="J647" s="1346"/>
      <c r="K647" s="1346"/>
      <c r="L647" s="1346"/>
      <c r="O647" s="33" t="s">
        <v>206</v>
      </c>
      <c r="P647" s="1436"/>
      <c r="Q647" s="1436"/>
      <c r="R647" s="1436"/>
      <c r="S647" s="10"/>
      <c r="T647" s="22"/>
      <c r="U647" t="s">
        <v>316</v>
      </c>
      <c r="Z647" s="1346" t="s">
        <v>2635</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2707</v>
      </c>
      <c r="I648" s="1371"/>
      <c r="J648" s="1371"/>
      <c r="K648" s="1371"/>
      <c r="L648" s="1371"/>
      <c r="M648" s="1371"/>
      <c r="N648" s="1371"/>
      <c r="O648" s="1371"/>
      <c r="P648" s="1371"/>
      <c r="Q648" s="1371"/>
      <c r="R648" s="1371"/>
      <c r="S648" s="8"/>
      <c r="T648" s="22"/>
      <c r="U648" t="s">
        <v>18</v>
      </c>
      <c r="AA648" s="1371" t="s">
        <v>2706</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Ground Lease TI Contribution</v>
      </c>
      <c r="H651" s="1358"/>
      <c r="I651" s="1358"/>
      <c r="J651" s="1358"/>
      <c r="K651" s="1358"/>
      <c r="L651" s="1358"/>
      <c r="M651" s="1358"/>
      <c r="N651" s="1358"/>
      <c r="O651" s="1358"/>
      <c r="P651" s="1358"/>
      <c r="Q651" s="1358"/>
      <c r="R651" s="1358"/>
      <c r="T651" s="55" t="s">
        <v>582</v>
      </c>
      <c r="U651" t="s">
        <v>464</v>
      </c>
      <c r="Z651" s="1358" t="str">
        <f>C630</f>
        <v>Deferred Developer Fee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2720</v>
      </c>
      <c r="H652" s="1371"/>
      <c r="I652" s="1371"/>
      <c r="J652" s="1371"/>
      <c r="K652" s="1371"/>
      <c r="L652" s="1371"/>
      <c r="M652" s="1371"/>
      <c r="N652" s="1371"/>
      <c r="O652" s="1371"/>
      <c r="P652" s="1371"/>
      <c r="Q652" s="1371"/>
      <c r="R652" s="1371"/>
      <c r="T652" s="22"/>
      <c r="U652" t="s">
        <v>85</v>
      </c>
      <c r="Z652" s="1371" t="s">
        <v>2708</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2705</v>
      </c>
      <c r="H653" s="1348"/>
      <c r="I653" s="1348"/>
      <c r="J653" s="1348"/>
      <c r="K653" s="1348"/>
      <c r="L653" s="1348"/>
      <c r="M653" s="1348"/>
      <c r="N653" s="1348"/>
      <c r="O653" s="1348"/>
      <c r="P653" s="1348"/>
      <c r="Q653" s="1348"/>
      <c r="R653" s="1348"/>
      <c r="T653" s="22"/>
      <c r="U653" t="s">
        <v>581</v>
      </c>
      <c r="Z653" s="1348" t="s">
        <v>2620</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2721</v>
      </c>
      <c r="H654" s="1348"/>
      <c r="I654" s="1348"/>
      <c r="J654" s="1348"/>
      <c r="K654" s="1348"/>
      <c r="L654" s="1348"/>
      <c r="M654" s="1348"/>
      <c r="N654" s="1348"/>
      <c r="O654" s="1348"/>
      <c r="P654" s="1348"/>
      <c r="Q654" s="1348"/>
      <c r="R654" s="1348"/>
      <c r="T654" s="22"/>
      <c r="U654" t="s">
        <v>17</v>
      </c>
      <c r="Z654" s="1348" t="s">
        <v>2634</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t="s">
        <v>2722</v>
      </c>
      <c r="H655" s="1346"/>
      <c r="I655" s="1346"/>
      <c r="J655" s="1346"/>
      <c r="K655" s="1346"/>
      <c r="L655" s="1346"/>
      <c r="O655" s="33" t="s">
        <v>206</v>
      </c>
      <c r="P655" s="1436"/>
      <c r="Q655" s="1436"/>
      <c r="R655" s="1436"/>
      <c r="T655" s="22"/>
      <c r="U655" t="s">
        <v>316</v>
      </c>
      <c r="Z655" s="1346" t="s">
        <v>2635</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2696</v>
      </c>
      <c r="I656" s="1371"/>
      <c r="J656" s="1371"/>
      <c r="K656" s="1371"/>
      <c r="L656" s="1371"/>
      <c r="M656" s="1371"/>
      <c r="N656" s="1371"/>
      <c r="O656" s="1371"/>
      <c r="P656" s="1371"/>
      <c r="Q656" s="1371"/>
      <c r="R656" s="1371"/>
      <c r="T656" s="22"/>
      <c r="U656" t="s">
        <v>18</v>
      </c>
      <c r="AA656" s="1371" t="s">
        <v>2709</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2191.429906542056</v>
      </c>
      <c r="ED670" s="1444"/>
      <c r="EE670" s="1444"/>
      <c r="EF670" s="1444"/>
      <c r="EG670" s="1444"/>
      <c r="EH670" s="1444">
        <f>SUMIF(EH635:EL669,"&gt;0")</f>
        <v>2613.4516129032259</v>
      </c>
      <c r="EI670" s="1444"/>
      <c r="EJ670" s="1444"/>
      <c r="EK670" s="1444"/>
      <c r="EL670" s="1444"/>
      <c r="EM670" s="1444">
        <f>SUMIF(EM635:EQ669,"&gt;0")</f>
        <v>3068.6521739130435</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0"/>
      <c r="AF695" s="1690"/>
      <c r="AG695" s="1690"/>
      <c r="AH695" s="1690"/>
      <c r="AI695" s="1690"/>
    </row>
    <row r="696" spans="1:67" ht="12.95" customHeight="1">
      <c r="B696" s="135"/>
      <c r="C696" s="135"/>
      <c r="D696" s="317" t="s">
        <v>984</v>
      </c>
      <c r="E696" s="135"/>
      <c r="F696" s="135"/>
      <c r="G696" s="135"/>
      <c r="H696" s="135"/>
      <c r="AE696" s="1702"/>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0"/>
      <c r="AF698" s="1690"/>
      <c r="AG698" s="1690"/>
      <c r="AH698" s="1690"/>
      <c r="AI698" s="1690"/>
    </row>
    <row r="699" spans="1:67" ht="12.95" customHeight="1">
      <c r="B699" s="135"/>
      <c r="C699" s="135"/>
      <c r="D699" s="136" t="s">
        <v>436</v>
      </c>
      <c r="E699" s="135"/>
      <c r="F699" s="135"/>
      <c r="G699" s="135"/>
      <c r="H699" s="135"/>
      <c r="AE699" s="1660"/>
      <c r="AF699" s="1660"/>
      <c r="AG699" s="1660"/>
      <c r="AH699" s="1660"/>
      <c r="AI699" s="1660"/>
    </row>
    <row r="700" spans="1:67" ht="12.95" customHeight="1">
      <c r="B700" s="135"/>
      <c r="C700" s="135"/>
      <c r="D700" s="136" t="s">
        <v>437</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8" t="s">
        <v>1950</v>
      </c>
      <c r="U714" s="1363"/>
      <c r="V714" s="1363"/>
      <c r="W714" s="1364"/>
      <c r="X714" s="1658" t="s">
        <v>1952</v>
      </c>
      <c r="Y714" s="1363"/>
      <c r="Z714" s="1363"/>
      <c r="AA714" s="1363"/>
      <c r="AB714" s="1364"/>
      <c r="AC714" s="1658" t="s">
        <v>1951</v>
      </c>
      <c r="AD714" s="1363"/>
      <c r="AE714" s="1363"/>
      <c r="AF714" s="1363"/>
      <c r="AG714" s="1364"/>
      <c r="AH714" s="1658" t="s">
        <v>1953</v>
      </c>
      <c r="AI714" s="1363"/>
      <c r="AJ714" s="1364"/>
      <c r="AK714" s="1658"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325</v>
      </c>
      <c r="C718" s="1338"/>
      <c r="D718" s="1338"/>
      <c r="E718" s="1338"/>
      <c r="F718" s="1339"/>
      <c r="G718" s="1349">
        <v>41</v>
      </c>
      <c r="H718" s="1350"/>
      <c r="I718" s="1350"/>
      <c r="J718" s="1351"/>
      <c r="K718" s="1343">
        <v>628</v>
      </c>
      <c r="L718" s="1344"/>
      <c r="M718" s="1344"/>
      <c r="N718" s="1345"/>
      <c r="O718" s="1340">
        <v>2579</v>
      </c>
      <c r="P718" s="1341"/>
      <c r="Q718" s="1341"/>
      <c r="R718" s="1341"/>
      <c r="S718" s="1342"/>
      <c r="T718" s="1340">
        <v>59</v>
      </c>
      <c r="U718" s="1341"/>
      <c r="V718" s="1341"/>
      <c r="W718" s="1342"/>
      <c r="X718" s="1352">
        <f t="shared" ref="X718:X741" si="8">O718+T718</f>
        <v>2638</v>
      </c>
      <c r="Y718" s="1353"/>
      <c r="Z718" s="1353"/>
      <c r="AA718" s="1353"/>
      <c r="AB718" s="1354"/>
      <c r="AC718" s="1359">
        <v>0.7</v>
      </c>
      <c r="AD718" s="1360"/>
      <c r="AE718" s="1360"/>
      <c r="AF718" s="1360"/>
      <c r="AG718" s="1361"/>
      <c r="AH718" s="1355">
        <f>IF($AC718&gt;0,($X718/$AZ718), "")</f>
        <v>0.70010615711252655</v>
      </c>
      <c r="AI718" s="1356"/>
      <c r="AJ718" s="1357"/>
      <c r="AK718" s="1337" t="s">
        <v>592</v>
      </c>
      <c r="AL718" s="1338"/>
      <c r="AM718" s="1338"/>
      <c r="AN718" s="1338"/>
      <c r="AO718" s="1339"/>
      <c r="AP718" s="3"/>
      <c r="AQ718" s="3"/>
      <c r="AR718" s="3"/>
      <c r="AS718" s="3"/>
      <c r="AZ718" s="118">
        <f t="shared" ref="AZ718:AZ752" si="9">IF($G718=0,"N/A",VLOOKUP($T$189,TC_Rent,(MATCH($B718,bedrooms,FALSE)),FALSE))</f>
        <v>3768</v>
      </c>
      <c r="BA718" s="3"/>
      <c r="BB718" s="3"/>
      <c r="BC718" s="3"/>
      <c r="BD718" s="3"/>
      <c r="BE718" s="204"/>
      <c r="BF718" s="293">
        <f t="shared" ref="BF718:BF752" si="10">G718</f>
        <v>41</v>
      </c>
      <c r="BG718" s="297">
        <f t="shared" ref="BG718:BG752" si="11">IF($BF$753=0,0,BF718/$BF$753)</f>
        <v>0.15241635687732341</v>
      </c>
      <c r="BH718" s="298">
        <f t="shared" ref="BH718:BH752" si="12">IF(BG718=0,"",BG718*AC718)</f>
        <v>0.10669144981412639</v>
      </c>
      <c r="BI718" s="3"/>
      <c r="BJ718" s="3"/>
      <c r="BK718" s="3"/>
      <c r="BL718" s="3"/>
      <c r="BM718" s="3"/>
      <c r="BN718" s="3"/>
      <c r="BS718" s="293">
        <f t="shared" ref="BS718:BS752" si="13">G718</f>
        <v>41</v>
      </c>
      <c r="BT718" s="297">
        <f t="shared" ref="BT718:BT752" si="14">IF($BS$753=0,0,BS718/$BS$753)</f>
        <v>0.15241635687732341</v>
      </c>
      <c r="BU718" s="298">
        <f t="shared" ref="BU718:BU752" si="15">IF(BT718=0,"",BT718*AH718)</f>
        <v>0.1067076298944743</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0</v>
      </c>
      <c r="CQ718" s="1458"/>
      <c r="CR718" s="1458"/>
      <c r="CS718" s="1458"/>
      <c r="CT718" s="1459"/>
      <c r="CU718" s="1442">
        <f t="shared" ref="CU718:CU752" si="19">IF(B718="1 Bedroom",G718,0)</f>
        <v>41</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2579</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325</v>
      </c>
      <c r="C719" s="1338"/>
      <c r="D719" s="1338"/>
      <c r="E719" s="1338"/>
      <c r="F719" s="1339"/>
      <c r="G719" s="1349">
        <v>44</v>
      </c>
      <c r="H719" s="1350"/>
      <c r="I719" s="1350"/>
      <c r="J719" s="1351"/>
      <c r="K719" s="1343">
        <v>628</v>
      </c>
      <c r="L719" s="1344"/>
      <c r="M719" s="1344"/>
      <c r="N719" s="1345"/>
      <c r="O719" s="1340">
        <v>2202</v>
      </c>
      <c r="P719" s="1341"/>
      <c r="Q719" s="1341"/>
      <c r="R719" s="1341"/>
      <c r="S719" s="1342"/>
      <c r="T719" s="1340">
        <v>59</v>
      </c>
      <c r="U719" s="1341"/>
      <c r="V719" s="1341"/>
      <c r="W719" s="1342"/>
      <c r="X719" s="1352">
        <f t="shared" si="8"/>
        <v>2261</v>
      </c>
      <c r="Y719" s="1353"/>
      <c r="Z719" s="1353"/>
      <c r="AA719" s="1353"/>
      <c r="AB719" s="1354"/>
      <c r="AC719" s="1359">
        <v>0.6</v>
      </c>
      <c r="AD719" s="1360"/>
      <c r="AE719" s="1360"/>
      <c r="AF719" s="1360"/>
      <c r="AG719" s="1361"/>
      <c r="AH719" s="1355">
        <f t="shared" ref="AH719:AH752" si="36">IF($AC719&gt;0,($X719/$AZ719), "")</f>
        <v>0.60005307855626322</v>
      </c>
      <c r="AI719" s="1356"/>
      <c r="AJ719" s="1357"/>
      <c r="AK719" s="1337" t="s">
        <v>592</v>
      </c>
      <c r="AL719" s="1338"/>
      <c r="AM719" s="1338"/>
      <c r="AN719" s="1338"/>
      <c r="AO719" s="1339"/>
      <c r="AP719" s="3"/>
      <c r="AQ719" s="3"/>
      <c r="AR719" s="3"/>
      <c r="AS719" s="3"/>
      <c r="AZ719" s="118">
        <f t="shared" si="9"/>
        <v>3768</v>
      </c>
      <c r="BA719" s="3"/>
      <c r="BB719" s="3"/>
      <c r="BC719" s="3"/>
      <c r="BD719" s="3"/>
      <c r="BE719" s="204"/>
      <c r="BF719" s="294">
        <f t="shared" si="10"/>
        <v>44</v>
      </c>
      <c r="BG719" s="297">
        <f t="shared" si="11"/>
        <v>0.16356877323420074</v>
      </c>
      <c r="BH719" s="298">
        <f t="shared" si="12"/>
        <v>9.8141263940520446E-2</v>
      </c>
      <c r="BI719" s="3"/>
      <c r="BJ719" s="3"/>
      <c r="BK719" s="3"/>
      <c r="BL719" s="3"/>
      <c r="BM719" s="3"/>
      <c r="BN719" s="3"/>
      <c r="BS719" s="294">
        <f t="shared" si="13"/>
        <v>44</v>
      </c>
      <c r="BT719" s="297">
        <f t="shared" si="14"/>
        <v>0.16356877323420074</v>
      </c>
      <c r="BU719" s="298">
        <f t="shared" si="15"/>
        <v>9.8149945934853461E-2</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0</v>
      </c>
      <c r="CQ719" s="1458"/>
      <c r="CR719" s="1458"/>
      <c r="CS719" s="1458"/>
      <c r="CT719" s="1459"/>
      <c r="CU719" s="1442">
        <f t="shared" si="19"/>
        <v>44</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2202</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11</v>
      </c>
      <c r="H720" s="1350"/>
      <c r="I720" s="1350"/>
      <c r="J720" s="1351"/>
      <c r="K720" s="1343">
        <v>628</v>
      </c>
      <c r="L720" s="1344"/>
      <c r="M720" s="1344"/>
      <c r="N720" s="1345"/>
      <c r="O720" s="1340">
        <v>1825</v>
      </c>
      <c r="P720" s="1341"/>
      <c r="Q720" s="1341"/>
      <c r="R720" s="1341"/>
      <c r="S720" s="1342"/>
      <c r="T720" s="1340">
        <v>59</v>
      </c>
      <c r="U720" s="1341"/>
      <c r="V720" s="1341"/>
      <c r="W720" s="1342"/>
      <c r="X720" s="1352">
        <f t="shared" si="8"/>
        <v>1884</v>
      </c>
      <c r="Y720" s="1353"/>
      <c r="Z720" s="1353"/>
      <c r="AA720" s="1353"/>
      <c r="AB720" s="1354"/>
      <c r="AC720" s="1359">
        <v>0.5</v>
      </c>
      <c r="AD720" s="1360"/>
      <c r="AE720" s="1360"/>
      <c r="AF720" s="1360"/>
      <c r="AG720" s="1361"/>
      <c r="AH720" s="1355">
        <f t="shared" si="36"/>
        <v>0.5</v>
      </c>
      <c r="AI720" s="1356"/>
      <c r="AJ720" s="1357"/>
      <c r="AK720" s="1337" t="s">
        <v>592</v>
      </c>
      <c r="AL720" s="1338"/>
      <c r="AM720" s="1338"/>
      <c r="AN720" s="1338"/>
      <c r="AO720" s="1339"/>
      <c r="AP720" s="3"/>
      <c r="AQ720" s="3"/>
      <c r="AR720" s="3"/>
      <c r="AS720" s="3"/>
      <c r="AZ720" s="118">
        <f t="shared" si="9"/>
        <v>3768</v>
      </c>
      <c r="BA720" s="3"/>
      <c r="BB720" s="3"/>
      <c r="BC720" s="3"/>
      <c r="BD720" s="3"/>
      <c r="BE720" s="204"/>
      <c r="BF720" s="294">
        <f t="shared" si="10"/>
        <v>11</v>
      </c>
      <c r="BG720" s="297">
        <f t="shared" si="11"/>
        <v>4.0892193308550186E-2</v>
      </c>
      <c r="BH720" s="298">
        <f t="shared" si="12"/>
        <v>2.0446096654275093E-2</v>
      </c>
      <c r="BI720" s="3"/>
      <c r="BJ720" s="3"/>
      <c r="BK720" s="3"/>
      <c r="BL720" s="3"/>
      <c r="BM720" s="3"/>
      <c r="BN720" s="3"/>
      <c r="BS720" s="294">
        <f t="shared" si="13"/>
        <v>11</v>
      </c>
      <c r="BT720" s="297">
        <f t="shared" si="14"/>
        <v>4.0892193308550186E-2</v>
      </c>
      <c r="BU720" s="298">
        <f t="shared" si="15"/>
        <v>2.0446096654275093E-2</v>
      </c>
      <c r="CC720" s="3"/>
      <c r="CD720" s="3"/>
      <c r="CE720" s="3"/>
      <c r="CF720" s="3"/>
      <c r="CG720" s="1462">
        <f t="shared" si="37"/>
        <v>1</v>
      </c>
      <c r="CH720" s="1463"/>
      <c r="CI720" s="1468">
        <f t="shared" si="38"/>
        <v>11</v>
      </c>
      <c r="CJ720" s="1469"/>
      <c r="CK720" s="1462">
        <f t="shared" si="16"/>
        <v>0</v>
      </c>
      <c r="CL720" s="1463"/>
      <c r="CM720" s="1468">
        <f t="shared" si="17"/>
        <v>0</v>
      </c>
      <c r="CN720" s="1469"/>
      <c r="CO720" s="3"/>
      <c r="CP720" s="1457">
        <f t="shared" si="18"/>
        <v>0</v>
      </c>
      <c r="CQ720" s="1458"/>
      <c r="CR720" s="1458"/>
      <c r="CS720" s="1458"/>
      <c r="CT720" s="1459"/>
      <c r="CU720" s="1442">
        <f t="shared" si="19"/>
        <v>11</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1825</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325</v>
      </c>
      <c r="C721" s="1338"/>
      <c r="D721" s="1338"/>
      <c r="E721" s="1338"/>
      <c r="F721" s="1339"/>
      <c r="G721" s="1349">
        <v>11</v>
      </c>
      <c r="H721" s="1350"/>
      <c r="I721" s="1350"/>
      <c r="J721" s="1351"/>
      <c r="K721" s="1343">
        <v>628</v>
      </c>
      <c r="L721" s="1344"/>
      <c r="M721" s="1344"/>
      <c r="N721" s="1345"/>
      <c r="O721" s="1340">
        <v>1071</v>
      </c>
      <c r="P721" s="1341"/>
      <c r="Q721" s="1341"/>
      <c r="R721" s="1341"/>
      <c r="S721" s="1342"/>
      <c r="T721" s="1340">
        <v>59</v>
      </c>
      <c r="U721" s="1341"/>
      <c r="V721" s="1341"/>
      <c r="W721" s="1342"/>
      <c r="X721" s="1352">
        <f t="shared" si="8"/>
        <v>1130</v>
      </c>
      <c r="Y721" s="1353"/>
      <c r="Z721" s="1353"/>
      <c r="AA721" s="1353"/>
      <c r="AB721" s="1354"/>
      <c r="AC721" s="1359">
        <v>0.3</v>
      </c>
      <c r="AD721" s="1360"/>
      <c r="AE721" s="1360"/>
      <c r="AF721" s="1360"/>
      <c r="AG721" s="1361"/>
      <c r="AH721" s="1355">
        <f t="shared" si="36"/>
        <v>0.29989384288747345</v>
      </c>
      <c r="AI721" s="1356"/>
      <c r="AJ721" s="1357"/>
      <c r="AK721" s="1337" t="s">
        <v>592</v>
      </c>
      <c r="AL721" s="1338"/>
      <c r="AM721" s="1338"/>
      <c r="AN721" s="1338"/>
      <c r="AO721" s="1339"/>
      <c r="AP721" s="3"/>
      <c r="AQ721" s="3"/>
      <c r="AR721" s="3"/>
      <c r="AS721" s="3"/>
      <c r="AY721" s="116"/>
      <c r="AZ721" s="118">
        <f t="shared" si="9"/>
        <v>3768</v>
      </c>
      <c r="BA721" s="3"/>
      <c r="BB721" s="3"/>
      <c r="BC721" s="3"/>
      <c r="BD721" s="3"/>
      <c r="BE721" s="204"/>
      <c r="BF721" s="294">
        <f t="shared" si="10"/>
        <v>11</v>
      </c>
      <c r="BG721" s="297">
        <f t="shared" si="11"/>
        <v>4.0892193308550186E-2</v>
      </c>
      <c r="BH721" s="298">
        <f t="shared" si="12"/>
        <v>1.2267657992565056E-2</v>
      </c>
      <c r="BI721" s="3"/>
      <c r="BJ721" s="3"/>
      <c r="BK721" s="3"/>
      <c r="BL721" s="3"/>
      <c r="BM721" s="3"/>
      <c r="BN721" s="3"/>
      <c r="BS721" s="294">
        <f t="shared" si="13"/>
        <v>11</v>
      </c>
      <c r="BT721" s="297">
        <f t="shared" si="14"/>
        <v>4.0892193308550186E-2</v>
      </c>
      <c r="BU721" s="298">
        <f t="shared" si="15"/>
        <v>1.2263316995398543E-2</v>
      </c>
      <c r="CC721" s="3"/>
      <c r="CD721" s="3"/>
      <c r="CE721" s="3"/>
      <c r="CF721" s="3"/>
      <c r="CG721" s="1462">
        <f t="shared" si="37"/>
        <v>0</v>
      </c>
      <c r="CH721" s="1463"/>
      <c r="CI721" s="1468">
        <f t="shared" si="38"/>
        <v>0</v>
      </c>
      <c r="CJ721" s="1469"/>
      <c r="CK721" s="1462">
        <f t="shared" si="16"/>
        <v>1</v>
      </c>
      <c r="CL721" s="1463"/>
      <c r="CM721" s="1468">
        <f t="shared" si="17"/>
        <v>11</v>
      </c>
      <c r="CN721" s="1469"/>
      <c r="CO721" s="3"/>
      <c r="CP721" s="1457">
        <f t="shared" si="18"/>
        <v>0</v>
      </c>
      <c r="CQ721" s="1458"/>
      <c r="CR721" s="1458"/>
      <c r="CS721" s="1458"/>
      <c r="CT721" s="1459"/>
      <c r="CU721" s="1442">
        <f t="shared" si="19"/>
        <v>11</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11</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1071</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163</v>
      </c>
      <c r="C722" s="1338"/>
      <c r="D722" s="1338"/>
      <c r="E722" s="1338"/>
      <c r="F722" s="1339"/>
      <c r="G722" s="1349">
        <v>36</v>
      </c>
      <c r="H722" s="1350"/>
      <c r="I722" s="1350"/>
      <c r="J722" s="1351"/>
      <c r="K722" s="1343">
        <v>927</v>
      </c>
      <c r="L722" s="1344"/>
      <c r="M722" s="1344"/>
      <c r="N722" s="1345"/>
      <c r="O722" s="1340">
        <v>3085</v>
      </c>
      <c r="P722" s="1341"/>
      <c r="Q722" s="1341"/>
      <c r="R722" s="1341"/>
      <c r="S722" s="1342"/>
      <c r="T722" s="1340">
        <v>80</v>
      </c>
      <c r="U722" s="1341"/>
      <c r="V722" s="1341"/>
      <c r="W722" s="1342"/>
      <c r="X722" s="1352">
        <f t="shared" si="8"/>
        <v>3165</v>
      </c>
      <c r="Y722" s="1353"/>
      <c r="Z722" s="1353"/>
      <c r="AA722" s="1353"/>
      <c r="AB722" s="1354"/>
      <c r="AC722" s="1359">
        <v>0.7</v>
      </c>
      <c r="AD722" s="1360"/>
      <c r="AE722" s="1360"/>
      <c r="AF722" s="1360"/>
      <c r="AG722" s="1361"/>
      <c r="AH722" s="1355">
        <f t="shared" si="36"/>
        <v>0.69991154356479435</v>
      </c>
      <c r="AI722" s="1356"/>
      <c r="AJ722" s="1357"/>
      <c r="AK722" s="1337" t="s">
        <v>592</v>
      </c>
      <c r="AL722" s="1338"/>
      <c r="AM722" s="1338"/>
      <c r="AN722" s="1338"/>
      <c r="AO722" s="1339"/>
      <c r="AP722" s="3"/>
      <c r="AQ722" s="3"/>
      <c r="AR722" s="3"/>
      <c r="AS722" s="3"/>
      <c r="AY722" s="116"/>
      <c r="AZ722" s="118">
        <f t="shared" si="9"/>
        <v>4522</v>
      </c>
      <c r="BA722" s="3"/>
      <c r="BB722" s="3"/>
      <c r="BC722" s="3"/>
      <c r="BD722" s="3"/>
      <c r="BE722" s="204"/>
      <c r="BF722" s="294">
        <f t="shared" si="10"/>
        <v>36</v>
      </c>
      <c r="BG722" s="297">
        <f t="shared" si="11"/>
        <v>0.13382899628252787</v>
      </c>
      <c r="BH722" s="298">
        <f t="shared" si="12"/>
        <v>9.3680297397769507E-2</v>
      </c>
      <c r="BI722" s="3"/>
      <c r="BJ722" s="3"/>
      <c r="BK722" s="3"/>
      <c r="BL722" s="3"/>
      <c r="BM722" s="3"/>
      <c r="BN722" s="3"/>
      <c r="BS722" s="294">
        <f t="shared" si="13"/>
        <v>36</v>
      </c>
      <c r="BT722" s="297">
        <f t="shared" si="14"/>
        <v>0.13382899628252787</v>
      </c>
      <c r="BU722" s="298">
        <f t="shared" si="15"/>
        <v>9.3668459361831199E-2</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36</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3085</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163</v>
      </c>
      <c r="C723" s="1338"/>
      <c r="D723" s="1338"/>
      <c r="E723" s="1338"/>
      <c r="F723" s="1339"/>
      <c r="G723" s="1349">
        <v>37</v>
      </c>
      <c r="H723" s="1350"/>
      <c r="I723" s="1350"/>
      <c r="J723" s="1351"/>
      <c r="K723" s="1343">
        <v>927</v>
      </c>
      <c r="L723" s="1344"/>
      <c r="M723" s="1344"/>
      <c r="N723" s="1345"/>
      <c r="O723" s="1340">
        <v>2633</v>
      </c>
      <c r="P723" s="1341"/>
      <c r="Q723" s="1341"/>
      <c r="R723" s="1341"/>
      <c r="S723" s="1342"/>
      <c r="T723" s="1340">
        <v>80</v>
      </c>
      <c r="U723" s="1341"/>
      <c r="V723" s="1341"/>
      <c r="W723" s="1342"/>
      <c r="X723" s="1352">
        <f t="shared" si="8"/>
        <v>2713</v>
      </c>
      <c r="Y723" s="1353"/>
      <c r="Z723" s="1353"/>
      <c r="AA723" s="1353"/>
      <c r="AB723" s="1354"/>
      <c r="AC723" s="1359">
        <v>0.6</v>
      </c>
      <c r="AD723" s="1360"/>
      <c r="AE723" s="1360"/>
      <c r="AF723" s="1360"/>
      <c r="AG723" s="1361"/>
      <c r="AH723" s="1355">
        <f t="shared" si="36"/>
        <v>0.59995577178239712</v>
      </c>
      <c r="AI723" s="1356"/>
      <c r="AJ723" s="1357"/>
      <c r="AK723" s="1337" t="s">
        <v>592</v>
      </c>
      <c r="AL723" s="1338"/>
      <c r="AM723" s="1338"/>
      <c r="AN723" s="1338"/>
      <c r="AO723" s="1339"/>
      <c r="AP723" s="3"/>
      <c r="AQ723" s="3"/>
      <c r="AR723" s="3"/>
      <c r="AS723" s="3"/>
      <c r="AY723" s="116"/>
      <c r="AZ723" s="118">
        <f t="shared" si="9"/>
        <v>4522</v>
      </c>
      <c r="BA723" s="3"/>
      <c r="BB723" s="3"/>
      <c r="BC723" s="3"/>
      <c r="BD723" s="3"/>
      <c r="BE723" s="204"/>
      <c r="BF723" s="294">
        <f t="shared" si="10"/>
        <v>37</v>
      </c>
      <c r="BG723" s="297">
        <f t="shared" si="11"/>
        <v>0.13754646840148699</v>
      </c>
      <c r="BH723" s="298">
        <f t="shared" si="12"/>
        <v>8.252788104089219E-2</v>
      </c>
      <c r="BI723" s="3"/>
      <c r="BJ723" s="3"/>
      <c r="BK723" s="3"/>
      <c r="BL723" s="3"/>
      <c r="BM723" s="3"/>
      <c r="BN723" s="3"/>
      <c r="BS723" s="294">
        <f t="shared" si="13"/>
        <v>37</v>
      </c>
      <c r="BT723" s="297">
        <f t="shared" si="14"/>
        <v>0.13754646840148699</v>
      </c>
      <c r="BU723" s="298">
        <f t="shared" si="15"/>
        <v>8.252179760575723E-2</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37</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2633</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163</v>
      </c>
      <c r="C724" s="1338"/>
      <c r="D724" s="1338"/>
      <c r="E724" s="1338"/>
      <c r="F724" s="1339"/>
      <c r="G724" s="1349">
        <v>10</v>
      </c>
      <c r="H724" s="1350"/>
      <c r="I724" s="1350"/>
      <c r="J724" s="1351"/>
      <c r="K724" s="1343">
        <v>927</v>
      </c>
      <c r="L724" s="1344"/>
      <c r="M724" s="1344"/>
      <c r="N724" s="1345"/>
      <c r="O724" s="1340">
        <v>2181</v>
      </c>
      <c r="P724" s="1341"/>
      <c r="Q724" s="1341"/>
      <c r="R724" s="1341"/>
      <c r="S724" s="1342"/>
      <c r="T724" s="1340">
        <v>80</v>
      </c>
      <c r="U724" s="1341"/>
      <c r="V724" s="1341"/>
      <c r="W724" s="1342"/>
      <c r="X724" s="1352">
        <f t="shared" si="8"/>
        <v>2261</v>
      </c>
      <c r="Y724" s="1353"/>
      <c r="Z724" s="1353"/>
      <c r="AA724" s="1353"/>
      <c r="AB724" s="1354"/>
      <c r="AC724" s="1359">
        <v>0.5</v>
      </c>
      <c r="AD724" s="1360"/>
      <c r="AE724" s="1360"/>
      <c r="AF724" s="1360"/>
      <c r="AG724" s="1361"/>
      <c r="AH724" s="1355">
        <f t="shared" si="36"/>
        <v>0.5</v>
      </c>
      <c r="AI724" s="1356"/>
      <c r="AJ724" s="1357"/>
      <c r="AK724" s="1337" t="s">
        <v>592</v>
      </c>
      <c r="AL724" s="1338"/>
      <c r="AM724" s="1338"/>
      <c r="AN724" s="1338"/>
      <c r="AO724" s="1339"/>
      <c r="AP724" s="3"/>
      <c r="AQ724" s="3"/>
      <c r="AR724" s="3"/>
      <c r="AS724" s="3"/>
      <c r="AY724" s="116"/>
      <c r="AZ724" s="118">
        <f t="shared" si="9"/>
        <v>4522</v>
      </c>
      <c r="BA724" s="3"/>
      <c r="BB724" s="3"/>
      <c r="BC724" s="3"/>
      <c r="BD724" s="3"/>
      <c r="BE724" s="204"/>
      <c r="BF724" s="294">
        <f t="shared" si="10"/>
        <v>10</v>
      </c>
      <c r="BG724" s="297">
        <f t="shared" si="11"/>
        <v>3.717472118959108E-2</v>
      </c>
      <c r="BH724" s="298">
        <f t="shared" si="12"/>
        <v>1.858736059479554E-2</v>
      </c>
      <c r="BI724" s="3"/>
      <c r="BJ724" s="3"/>
      <c r="BK724" s="3"/>
      <c r="BL724" s="3"/>
      <c r="BM724" s="3"/>
      <c r="BN724" s="3"/>
      <c r="BS724" s="294">
        <f t="shared" si="13"/>
        <v>10</v>
      </c>
      <c r="BT724" s="297">
        <f t="shared" si="14"/>
        <v>3.717472118959108E-2</v>
      </c>
      <c r="BU724" s="298">
        <f t="shared" si="15"/>
        <v>1.858736059479554E-2</v>
      </c>
      <c r="CC724" s="3"/>
      <c r="CE724" s="3"/>
      <c r="CF724" s="3"/>
      <c r="CG724" s="1462">
        <f t="shared" si="37"/>
        <v>1</v>
      </c>
      <c r="CH724" s="1463"/>
      <c r="CI724" s="1468">
        <f t="shared" si="38"/>
        <v>10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10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f t="shared" si="32"/>
        <v>2181</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163</v>
      </c>
      <c r="C725" s="1338"/>
      <c r="D725" s="1338"/>
      <c r="E725" s="1338"/>
      <c r="F725" s="1339"/>
      <c r="G725" s="1349">
        <v>10</v>
      </c>
      <c r="H725" s="1350"/>
      <c r="I725" s="1350"/>
      <c r="J725" s="1351"/>
      <c r="K725" s="1343">
        <v>927</v>
      </c>
      <c r="L725" s="1344"/>
      <c r="M725" s="1344"/>
      <c r="N725" s="1345"/>
      <c r="O725" s="1340">
        <v>1276</v>
      </c>
      <c r="P725" s="1341"/>
      <c r="Q725" s="1341"/>
      <c r="R725" s="1341"/>
      <c r="S725" s="1342"/>
      <c r="T725" s="1340">
        <v>80</v>
      </c>
      <c r="U725" s="1341"/>
      <c r="V725" s="1341"/>
      <c r="W725" s="1342"/>
      <c r="X725" s="1352">
        <f t="shared" si="8"/>
        <v>1356</v>
      </c>
      <c r="Y725" s="1353"/>
      <c r="Z725" s="1353"/>
      <c r="AA725" s="1353"/>
      <c r="AB725" s="1354"/>
      <c r="AC725" s="1359">
        <v>0.3</v>
      </c>
      <c r="AD725" s="1360"/>
      <c r="AE725" s="1360"/>
      <c r="AF725" s="1360"/>
      <c r="AG725" s="1361"/>
      <c r="AH725" s="1355">
        <f t="shared" si="36"/>
        <v>0.29986731534719152</v>
      </c>
      <c r="AI725" s="1356"/>
      <c r="AJ725" s="1357"/>
      <c r="AK725" s="1337" t="s">
        <v>592</v>
      </c>
      <c r="AL725" s="1338"/>
      <c r="AM725" s="1338"/>
      <c r="AN725" s="1338"/>
      <c r="AO725" s="1339"/>
      <c r="AP725" s="3"/>
      <c r="AQ725" s="3"/>
      <c r="AR725" s="3"/>
      <c r="AS725" s="3"/>
      <c r="AY725" s="1085"/>
      <c r="AZ725" s="118">
        <f t="shared" si="9"/>
        <v>4522</v>
      </c>
      <c r="BA725" s="3"/>
      <c r="BB725" s="3"/>
      <c r="BC725" s="3"/>
      <c r="BD725" s="3"/>
      <c r="BE725" s="204"/>
      <c r="BF725" s="294">
        <f t="shared" si="10"/>
        <v>10</v>
      </c>
      <c r="BG725" s="297">
        <f t="shared" si="11"/>
        <v>3.717472118959108E-2</v>
      </c>
      <c r="BH725" s="298">
        <f t="shared" si="12"/>
        <v>1.1152416356877323E-2</v>
      </c>
      <c r="BI725" s="3"/>
      <c r="BJ725" s="3"/>
      <c r="BK725" s="3"/>
      <c r="BL725" s="3"/>
      <c r="BM725" s="3"/>
      <c r="BN725" s="3"/>
      <c r="BS725" s="294">
        <f t="shared" si="13"/>
        <v>10</v>
      </c>
      <c r="BT725" s="297">
        <f t="shared" si="14"/>
        <v>3.717472118959108E-2</v>
      </c>
      <c r="BU725" s="298">
        <f t="shared" si="15"/>
        <v>1.1147483841903031E-2</v>
      </c>
      <c r="BV725" s="292"/>
      <c r="BW725" s="3"/>
      <c r="BX725" s="3"/>
      <c r="BY725" s="3"/>
      <c r="BZ725" s="3"/>
      <c r="CA725" s="3"/>
      <c r="CB725" s="3"/>
      <c r="CC725" s="3"/>
      <c r="CE725" s="3"/>
      <c r="CF725" s="3"/>
      <c r="CG725" s="1462">
        <f t="shared" si="37"/>
        <v>0</v>
      </c>
      <c r="CH725" s="1463"/>
      <c r="CI725" s="1468">
        <f t="shared" si="38"/>
        <v>0</v>
      </c>
      <c r="CJ725" s="1469"/>
      <c r="CK725" s="1462">
        <f t="shared" si="16"/>
        <v>1</v>
      </c>
      <c r="CL725" s="1463"/>
      <c r="CM725" s="1468">
        <f t="shared" si="17"/>
        <v>10</v>
      </c>
      <c r="CN725" s="1469"/>
      <c r="CO725" s="3"/>
      <c r="CP725" s="1457">
        <f t="shared" si="18"/>
        <v>0</v>
      </c>
      <c r="CQ725" s="1458"/>
      <c r="CR725" s="1458"/>
      <c r="CS725" s="1458"/>
      <c r="CT725" s="1459"/>
      <c r="CU725" s="1442">
        <f t="shared" si="19"/>
        <v>0</v>
      </c>
      <c r="CV725" s="1442"/>
      <c r="CW725" s="1442"/>
      <c r="CX725" s="1442"/>
      <c r="CY725" s="1442"/>
      <c r="CZ725" s="1442">
        <f t="shared" si="20"/>
        <v>10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10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f t="shared" si="32"/>
        <v>1276</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t="s">
        <v>164</v>
      </c>
      <c r="C726" s="1338"/>
      <c r="D726" s="1338"/>
      <c r="E726" s="1338"/>
      <c r="F726" s="1339"/>
      <c r="G726" s="1349">
        <v>29</v>
      </c>
      <c r="H726" s="1350"/>
      <c r="I726" s="1350"/>
      <c r="J726" s="1351"/>
      <c r="K726" s="1343">
        <v>1140</v>
      </c>
      <c r="L726" s="1344"/>
      <c r="M726" s="1344"/>
      <c r="N726" s="1345"/>
      <c r="O726" s="1340">
        <v>3553</v>
      </c>
      <c r="P726" s="1341"/>
      <c r="Q726" s="1341"/>
      <c r="R726" s="1341"/>
      <c r="S726" s="1342"/>
      <c r="T726" s="1340">
        <v>103</v>
      </c>
      <c r="U726" s="1341"/>
      <c r="V726" s="1341"/>
      <c r="W726" s="1342"/>
      <c r="X726" s="1352">
        <f t="shared" si="8"/>
        <v>3656</v>
      </c>
      <c r="Y726" s="1353"/>
      <c r="Z726" s="1353"/>
      <c r="AA726" s="1353"/>
      <c r="AB726" s="1354"/>
      <c r="AC726" s="1359">
        <v>0.7</v>
      </c>
      <c r="AD726" s="1360"/>
      <c r="AE726" s="1360"/>
      <c r="AF726" s="1360"/>
      <c r="AG726" s="1361"/>
      <c r="AH726" s="1355">
        <f t="shared" si="36"/>
        <v>0.70011489850631947</v>
      </c>
      <c r="AI726" s="1356"/>
      <c r="AJ726" s="1357"/>
      <c r="AK726" s="1337" t="s">
        <v>592</v>
      </c>
      <c r="AL726" s="1338"/>
      <c r="AM726" s="1338"/>
      <c r="AN726" s="1338"/>
      <c r="AO726" s="1339"/>
      <c r="AP726" s="3"/>
      <c r="AQ726" s="3"/>
      <c r="AR726" s="3"/>
      <c r="AS726" s="3"/>
      <c r="AY726" s="1085"/>
      <c r="AZ726" s="118">
        <f t="shared" si="9"/>
        <v>5222</v>
      </c>
      <c r="BA726" s="3"/>
      <c r="BB726" s="3"/>
      <c r="BC726" s="3"/>
      <c r="BD726" s="3"/>
      <c r="BE726" s="204"/>
      <c r="BF726" s="294">
        <f t="shared" si="10"/>
        <v>29</v>
      </c>
      <c r="BG726" s="297">
        <f t="shared" si="11"/>
        <v>0.10780669144981413</v>
      </c>
      <c r="BH726" s="298">
        <f t="shared" si="12"/>
        <v>7.5464684014869887E-2</v>
      </c>
      <c r="BI726" s="3"/>
      <c r="BJ726" s="3"/>
      <c r="BK726" s="3"/>
      <c r="BL726" s="3"/>
      <c r="BM726" s="3"/>
      <c r="BN726" s="3"/>
      <c r="BS726" s="294">
        <f t="shared" si="13"/>
        <v>29</v>
      </c>
      <c r="BT726" s="297">
        <f t="shared" si="14"/>
        <v>0.10780669144981413</v>
      </c>
      <c r="BU726" s="298">
        <f t="shared" si="15"/>
        <v>7.5477070842688718E-2</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29</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f t="shared" si="33"/>
        <v>3553</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t="s">
        <v>164</v>
      </c>
      <c r="C727" s="1338"/>
      <c r="D727" s="1338"/>
      <c r="E727" s="1338"/>
      <c r="F727" s="1339"/>
      <c r="G727" s="1349">
        <v>28</v>
      </c>
      <c r="H727" s="1350"/>
      <c r="I727" s="1350"/>
      <c r="J727" s="1351"/>
      <c r="K727" s="1343">
        <v>1140</v>
      </c>
      <c r="L727" s="1344"/>
      <c r="M727" s="1344"/>
      <c r="N727" s="1345"/>
      <c r="O727" s="1340">
        <v>3031</v>
      </c>
      <c r="P727" s="1341"/>
      <c r="Q727" s="1341"/>
      <c r="R727" s="1341"/>
      <c r="S727" s="1342"/>
      <c r="T727" s="1340">
        <v>103</v>
      </c>
      <c r="U727" s="1341"/>
      <c r="V727" s="1341"/>
      <c r="W727" s="1342"/>
      <c r="X727" s="1352">
        <f t="shared" si="8"/>
        <v>3134</v>
      </c>
      <c r="Y727" s="1353"/>
      <c r="Z727" s="1353"/>
      <c r="AA727" s="1353"/>
      <c r="AB727" s="1354"/>
      <c r="AC727" s="1359">
        <v>0.6</v>
      </c>
      <c r="AD727" s="1360"/>
      <c r="AE727" s="1360"/>
      <c r="AF727" s="1360"/>
      <c r="AG727" s="1361"/>
      <c r="AH727" s="1355">
        <f t="shared" si="36"/>
        <v>0.60015319800842593</v>
      </c>
      <c r="AI727" s="1356"/>
      <c r="AJ727" s="1357"/>
      <c r="AK727" s="1337" t="s">
        <v>592</v>
      </c>
      <c r="AL727" s="1338"/>
      <c r="AM727" s="1338"/>
      <c r="AN727" s="1338"/>
      <c r="AO727" s="1339"/>
      <c r="AP727" s="3"/>
      <c r="AQ727" s="3"/>
      <c r="AR727" s="3"/>
      <c r="AS727" s="3"/>
      <c r="AY727" s="1085"/>
      <c r="AZ727" s="118">
        <f t="shared" si="9"/>
        <v>5222</v>
      </c>
      <c r="BA727" s="3"/>
      <c r="BB727" s="3"/>
      <c r="BC727" s="3"/>
      <c r="BD727" s="3"/>
      <c r="BE727" s="204"/>
      <c r="BF727" s="294">
        <f t="shared" si="10"/>
        <v>28</v>
      </c>
      <c r="BG727" s="297">
        <f t="shared" si="11"/>
        <v>0.10408921933085502</v>
      </c>
      <c r="BH727" s="298">
        <f t="shared" si="12"/>
        <v>6.245353159851301E-2</v>
      </c>
      <c r="BI727" s="3"/>
      <c r="BJ727" s="3"/>
      <c r="BK727" s="3"/>
      <c r="BL727" s="3"/>
      <c r="BM727" s="3"/>
      <c r="BN727" s="3"/>
      <c r="BS727" s="294">
        <f t="shared" si="13"/>
        <v>28</v>
      </c>
      <c r="BT727" s="297">
        <f t="shared" si="14"/>
        <v>0.10408921933085502</v>
      </c>
      <c r="BU727" s="298">
        <f t="shared" si="15"/>
        <v>6.2469477859613105E-2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28</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f t="shared" si="33"/>
        <v>3031</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t="s">
        <v>164</v>
      </c>
      <c r="C728" s="1338"/>
      <c r="D728" s="1338"/>
      <c r="E728" s="1338"/>
      <c r="F728" s="1339"/>
      <c r="G728" s="1349">
        <v>6</v>
      </c>
      <c r="H728" s="1350"/>
      <c r="I728" s="1350"/>
      <c r="J728" s="1351"/>
      <c r="K728" s="1343">
        <v>1140</v>
      </c>
      <c r="L728" s="1344"/>
      <c r="M728" s="1344"/>
      <c r="N728" s="1345"/>
      <c r="O728" s="1340">
        <v>2508</v>
      </c>
      <c r="P728" s="1341"/>
      <c r="Q728" s="1341"/>
      <c r="R728" s="1341"/>
      <c r="S728" s="1342"/>
      <c r="T728" s="1340">
        <v>103</v>
      </c>
      <c r="U728" s="1341"/>
      <c r="V728" s="1341"/>
      <c r="W728" s="1342"/>
      <c r="X728" s="1352">
        <f t="shared" si="8"/>
        <v>2611</v>
      </c>
      <c r="Y728" s="1353"/>
      <c r="Z728" s="1353"/>
      <c r="AA728" s="1353"/>
      <c r="AB728" s="1354"/>
      <c r="AC728" s="1359">
        <v>0.5</v>
      </c>
      <c r="AD728" s="1360"/>
      <c r="AE728" s="1360"/>
      <c r="AF728" s="1360"/>
      <c r="AG728" s="1361"/>
      <c r="AH728" s="1355">
        <f t="shared" si="36"/>
        <v>0.5</v>
      </c>
      <c r="AI728" s="1356"/>
      <c r="AJ728" s="1357"/>
      <c r="AK728" s="1337" t="s">
        <v>592</v>
      </c>
      <c r="AL728" s="1338"/>
      <c r="AM728" s="1338"/>
      <c r="AN728" s="1338"/>
      <c r="AO728" s="1339"/>
      <c r="AP728" s="3"/>
      <c r="AQ728" s="3"/>
      <c r="AR728" s="3"/>
      <c r="AS728" s="3"/>
      <c r="AY728" s="1085"/>
      <c r="AZ728" s="118">
        <f t="shared" si="9"/>
        <v>5222</v>
      </c>
      <c r="BA728" s="3"/>
      <c r="BB728" s="3"/>
      <c r="BC728" s="3"/>
      <c r="BD728" s="3"/>
      <c r="BE728" s="204"/>
      <c r="BF728" s="294">
        <f t="shared" si="10"/>
        <v>6</v>
      </c>
      <c r="BG728" s="297">
        <f t="shared" si="11"/>
        <v>2.2304832713754646E-2</v>
      </c>
      <c r="BH728" s="298">
        <f t="shared" si="12"/>
        <v>1.1152416356877323E-2</v>
      </c>
      <c r="BI728" s="3"/>
      <c r="BJ728" s="3"/>
      <c r="BK728" s="3"/>
      <c r="BL728" s="3"/>
      <c r="BM728" s="3"/>
      <c r="BN728" s="3"/>
      <c r="BS728" s="294">
        <f t="shared" si="13"/>
        <v>6</v>
      </c>
      <c r="BT728" s="297">
        <f t="shared" si="14"/>
        <v>2.2304832713754646E-2</v>
      </c>
      <c r="BU728" s="298">
        <f t="shared" si="15"/>
        <v>1.1152416356877323E-2</v>
      </c>
      <c r="BV728" s="3"/>
      <c r="BW728" s="3"/>
      <c r="BX728" s="3"/>
      <c r="BY728" s="3"/>
      <c r="BZ728" s="3"/>
      <c r="CA728" s="3"/>
      <c r="CB728" s="3"/>
      <c r="CC728" s="3"/>
      <c r="CE728" s="3"/>
      <c r="CF728" s="3"/>
      <c r="CG728" s="1462">
        <f t="shared" si="37"/>
        <v>1</v>
      </c>
      <c r="CH728" s="1463"/>
      <c r="CI728" s="1468">
        <f t="shared" si="38"/>
        <v>6</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6</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f t="shared" si="33"/>
        <v>2508</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t="s">
        <v>164</v>
      </c>
      <c r="C729" s="1338"/>
      <c r="D729" s="1338"/>
      <c r="E729" s="1338"/>
      <c r="F729" s="1339"/>
      <c r="G729" s="1349">
        <v>6</v>
      </c>
      <c r="H729" s="1350"/>
      <c r="I729" s="1350"/>
      <c r="J729" s="1351"/>
      <c r="K729" s="1343">
        <v>1140</v>
      </c>
      <c r="L729" s="1344"/>
      <c r="M729" s="1344"/>
      <c r="N729" s="1345"/>
      <c r="O729" s="1340">
        <v>1464</v>
      </c>
      <c r="P729" s="1341"/>
      <c r="Q729" s="1341"/>
      <c r="R729" s="1341"/>
      <c r="S729" s="1342"/>
      <c r="T729" s="1340">
        <v>103</v>
      </c>
      <c r="U729" s="1341"/>
      <c r="V729" s="1341"/>
      <c r="W729" s="1342"/>
      <c r="X729" s="1352">
        <f t="shared" si="8"/>
        <v>1567</v>
      </c>
      <c r="Y729" s="1353"/>
      <c r="Z729" s="1353"/>
      <c r="AA729" s="1353"/>
      <c r="AB729" s="1354"/>
      <c r="AC729" s="1359">
        <v>0.3</v>
      </c>
      <c r="AD729" s="1360"/>
      <c r="AE729" s="1360"/>
      <c r="AF729" s="1360"/>
      <c r="AG729" s="1361"/>
      <c r="AH729" s="1355">
        <f t="shared" si="36"/>
        <v>0.30007659900421296</v>
      </c>
      <c r="AI729" s="1356"/>
      <c r="AJ729" s="1357"/>
      <c r="AK729" s="1337" t="s">
        <v>592</v>
      </c>
      <c r="AL729" s="1338"/>
      <c r="AM729" s="1338"/>
      <c r="AN729" s="1338"/>
      <c r="AO729" s="1339"/>
      <c r="AP729" s="3"/>
      <c r="AQ729" s="3"/>
      <c r="AR729" s="3"/>
      <c r="AS729" s="3"/>
      <c r="AY729" s="1085"/>
      <c r="AZ729" s="118">
        <f t="shared" si="9"/>
        <v>5222</v>
      </c>
      <c r="BA729" s="3"/>
      <c r="BB729" s="3"/>
      <c r="BC729" s="3"/>
      <c r="BD729" s="3"/>
      <c r="BE729" s="204"/>
      <c r="BF729" s="294">
        <f t="shared" si="10"/>
        <v>6</v>
      </c>
      <c r="BG729" s="297">
        <f t="shared" si="11"/>
        <v>2.2304832713754646E-2</v>
      </c>
      <c r="BH729" s="298">
        <f t="shared" si="12"/>
        <v>6.6914498141263934E-3</v>
      </c>
      <c r="BI729" s="3"/>
      <c r="BJ729" s="3"/>
      <c r="BK729" s="3"/>
      <c r="BL729" s="3"/>
      <c r="BM729" s="3"/>
      <c r="BN729" s="3"/>
      <c r="BS729" s="294">
        <f t="shared" si="13"/>
        <v>6</v>
      </c>
      <c r="BT729" s="297">
        <f t="shared" si="14"/>
        <v>2.2304832713754646E-2</v>
      </c>
      <c r="BU729" s="298">
        <f t="shared" si="15"/>
        <v>6.6931583421014039E-3</v>
      </c>
      <c r="BV729" s="3"/>
      <c r="BW729" s="3"/>
      <c r="BX729" s="3"/>
      <c r="BY729" s="3"/>
      <c r="BZ729" s="3"/>
      <c r="CA729" s="3"/>
      <c r="CB729" s="3"/>
      <c r="CC729" s="3"/>
      <c r="CE729" s="3"/>
      <c r="CF729" s="3"/>
      <c r="CG729" s="1462">
        <f t="shared" si="37"/>
        <v>0</v>
      </c>
      <c r="CH729" s="1463"/>
      <c r="CI729" s="1468">
        <f t="shared" si="38"/>
        <v>0</v>
      </c>
      <c r="CJ729" s="1469"/>
      <c r="CK729" s="1462">
        <f t="shared" si="16"/>
        <v>1</v>
      </c>
      <c r="CL729" s="1463"/>
      <c r="CM729" s="1468">
        <f t="shared" si="17"/>
        <v>6</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6</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6</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f t="shared" si="33"/>
        <v>1464</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269</v>
      </c>
      <c r="H753" s="1621"/>
      <c r="I753" s="1621"/>
      <c r="J753" s="1622"/>
      <c r="K753" s="902" t="s">
        <v>124</v>
      </c>
      <c r="L753" s="5"/>
      <c r="M753" s="5"/>
      <c r="N753" s="46"/>
      <c r="O753" s="1352">
        <f>SUMPRODUCT(G718:G752,O718:O752)</f>
        <v>689271</v>
      </c>
      <c r="P753" s="1353"/>
      <c r="Q753" s="1353"/>
      <c r="R753" s="1353"/>
      <c r="S753" s="1354"/>
      <c r="T753"/>
      <c r="U753"/>
      <c r="V753"/>
      <c r="W753"/>
      <c r="X753" s="904" t="s">
        <v>901</v>
      </c>
      <c r="Y753" s="903"/>
      <c r="Z753" s="903"/>
      <c r="AA753" s="903"/>
      <c r="AB753" s="905"/>
      <c r="AC753" s="1603">
        <f>BH753</f>
        <v>0.59925650557620813</v>
      </c>
      <c r="AD753" s="1604"/>
      <c r="AE753" s="1604"/>
      <c r="AF753" s="1604"/>
      <c r="AG753" s="1605"/>
      <c r="AH753" s="1603">
        <f>IFERROR(BU753,"")</f>
        <v>0.59928421428456891</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269</v>
      </c>
      <c r="BG753" s="300">
        <f>SUM(BG718:BG752)</f>
        <v>1</v>
      </c>
      <c r="BH753" s="300">
        <f>SUM(BH718:BH752)</f>
        <v>0.59925650557620813</v>
      </c>
      <c r="BI753"/>
      <c r="BJ753"/>
      <c r="BK753"/>
      <c r="BL753"/>
      <c r="BO753"/>
      <c r="BP753"/>
      <c r="BQ753"/>
      <c r="BR753"/>
      <c r="BS753" s="859">
        <f>SUM(BS718:BS752)</f>
        <v>269</v>
      </c>
      <c r="BT753" s="300">
        <f>SUM(BT718:BT752)</f>
        <v>1</v>
      </c>
      <c r="BU753" s="300">
        <f>SUM(BU718:BU752)</f>
        <v>0.59928421428456891</v>
      </c>
      <c r="CI753" s="1462">
        <f>SUM(CI718:CJ752)</f>
        <v>27</v>
      </c>
      <c r="CJ753" s="1463"/>
      <c r="CM753" s="1462">
        <f>SUM(CM718:CN752)</f>
        <v>27</v>
      </c>
      <c r="CN753" s="1463"/>
      <c r="CP753" s="1462">
        <f>SUM(CP718:CT752)</f>
        <v>0</v>
      </c>
      <c r="CQ753" s="1464"/>
      <c r="CR753" s="1464"/>
      <c r="CS753" s="1464"/>
      <c r="CT753" s="1463"/>
      <c r="CU753" s="1460">
        <f>SUM(CU718:CY752)</f>
        <v>107</v>
      </c>
      <c r="CV753" s="1460"/>
      <c r="CW753" s="1460"/>
      <c r="CX753" s="1460"/>
      <c r="CY753" s="1460"/>
      <c r="CZ753" s="1460">
        <f>SUM(CZ718:DD752)</f>
        <v>93</v>
      </c>
      <c r="DA753" s="1460"/>
      <c r="DB753" s="1460"/>
      <c r="DC753" s="1460"/>
      <c r="DD753" s="1460"/>
      <c r="DE753" s="1460">
        <f>SUM(DE718:DI752)</f>
        <v>69</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11</v>
      </c>
      <c r="EA753" s="1460"/>
      <c r="EB753" s="1460"/>
      <c r="EC753" s="1460"/>
      <c r="ED753" s="1460"/>
      <c r="EE753" s="1460">
        <f>SUM(EE718:EI752)</f>
        <v>10</v>
      </c>
      <c r="EF753" s="1460"/>
      <c r="EG753" s="1460"/>
      <c r="EH753" s="1460"/>
      <c r="EI753" s="1460"/>
      <c r="EJ753" s="1460">
        <f>SUM(EJ718:EN752)</f>
        <v>6</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7677</v>
      </c>
      <c r="FF753" s="1460"/>
      <c r="FG753" s="1460"/>
      <c r="FH753" s="1460"/>
      <c r="FI753" s="1460"/>
      <c r="FJ753" s="1460">
        <f>SUM(FJ718:FN752)</f>
        <v>9175</v>
      </c>
      <c r="FK753" s="1460"/>
      <c r="FL753" s="1460"/>
      <c r="FM753" s="1460"/>
      <c r="FN753" s="1460"/>
      <c r="FO753" s="1460">
        <f>SUM(FO718:FS752)</f>
        <v>10556</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2">
        <f>CP753+CU753+CZ753+DE753+DJ753+DO753</f>
        <v>269</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107</v>
      </c>
      <c r="CZ755" s="3"/>
      <c r="DA755" s="3"/>
      <c r="DB755" s="3"/>
      <c r="DC755" s="3"/>
      <c r="DD755" s="861">
        <f>CZ753*2</f>
        <v>186</v>
      </c>
      <c r="DE755" s="3"/>
      <c r="DF755" s="3"/>
      <c r="DG755" s="3"/>
      <c r="DH755" s="3"/>
      <c r="DI755" s="861">
        <f>DE753*3</f>
        <v>207</v>
      </c>
      <c r="DJ755" s="3"/>
      <c r="DK755" s="3"/>
      <c r="DL755" s="3"/>
      <c r="DM755" s="3"/>
      <c r="DN755" s="861">
        <f>DJ753*4</f>
        <v>0</v>
      </c>
      <c r="DO755" s="3"/>
      <c r="DP755" s="3"/>
      <c r="DQ755" s="3"/>
      <c r="DR755" s="3"/>
      <c r="DS755" s="861">
        <f>DO753*5</f>
        <v>0</v>
      </c>
      <c r="DU755" s="861">
        <f>CT755+CY755+DD755+DI755+DN755+DS755</f>
        <v>500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0">
        <f>DU755</f>
        <v>500</v>
      </c>
      <c r="P756" s="1460"/>
      <c r="Q756" s="1460"/>
      <c r="R756" s="1460"/>
      <c r="S756" s="969"/>
      <c r="T756" s="969"/>
      <c r="U756" s="118" t="s">
        <v>1893</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3</v>
      </c>
      <c r="P773" s="1612"/>
      <c r="Q773" s="1612"/>
      <c r="R773" s="1612"/>
      <c r="S773" s="1612"/>
      <c r="T773" s="1343">
        <v>927</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3</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3</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3</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1862</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689271</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8271252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107</v>
      </c>
      <c r="CV802" s="1472"/>
      <c r="CW802" s="1472"/>
      <c r="CX802" s="1472"/>
      <c r="CY802" s="1473"/>
      <c r="CZ802" s="1471">
        <f>CZ753+CZ777+CZ797</f>
        <v>96</v>
      </c>
      <c r="DA802" s="1472"/>
      <c r="DB802" s="1472"/>
      <c r="DC802" s="1472"/>
      <c r="DD802" s="1473"/>
      <c r="DE802" s="1471">
        <f>DE753+DE777+DE797</f>
        <v>69</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500</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2710</v>
      </c>
      <c r="Q816" s="1593"/>
      <c r="R816" s="1593"/>
      <c r="S816" s="1593"/>
      <c r="T816" s="1593"/>
      <c r="U816" s="1593"/>
      <c r="V816" s="1593"/>
      <c r="W816" s="1593"/>
      <c r="X816" s="1593"/>
      <c r="Y816" s="1594"/>
      <c r="Z816" s="1465">
        <v>40800</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40800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8312052</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v>18</v>
      </c>
      <c r="R825" s="1641"/>
      <c r="S825" s="1641"/>
      <c r="T825" s="1641"/>
      <c r="U825" s="1641">
        <v>22</v>
      </c>
      <c r="V825" s="1641"/>
      <c r="W825" s="1641"/>
      <c r="X825" s="1641"/>
      <c r="Y825" s="1641">
        <v>27</v>
      </c>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v>9</v>
      </c>
      <c r="R827" s="1641"/>
      <c r="S827" s="1641"/>
      <c r="T827" s="1641"/>
      <c r="U827" s="1641">
        <v>13</v>
      </c>
      <c r="V827" s="1641"/>
      <c r="W827" s="1641"/>
      <c r="X827" s="1641"/>
      <c r="Y827" s="1641">
        <v>17</v>
      </c>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v>32</v>
      </c>
      <c r="R829" s="1641"/>
      <c r="S829" s="1641"/>
      <c r="T829" s="1641"/>
      <c r="U829" s="1641">
        <v>45</v>
      </c>
      <c r="V829" s="1641"/>
      <c r="W829" s="1641"/>
      <c r="X829" s="1641"/>
      <c r="Y829" s="1641">
        <v>59</v>
      </c>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59</v>
      </c>
      <c r="R832" s="1635"/>
      <c r="S832" s="1635"/>
      <c r="T832" s="1635"/>
      <c r="U832" s="1635">
        <f>SUM(U825:X831)</f>
        <v>80</v>
      </c>
      <c r="V832" s="1635"/>
      <c r="W832" s="1635"/>
      <c r="X832" s="1635"/>
      <c r="Y832" s="1635">
        <f>SUM(Y825:AB831)</f>
        <v>103</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20000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45000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225000</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v>75000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150000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125000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350000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150000</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09"/>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125000</v>
      </c>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275000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75000</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25000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100000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75000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50000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150000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v>177160</v>
      </c>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577160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2711</v>
      </c>
      <c r="N874" s="1593"/>
      <c r="O874" s="1593"/>
      <c r="P874" s="1593"/>
      <c r="Q874" s="1593"/>
      <c r="R874" s="1593"/>
      <c r="S874" s="1593"/>
      <c r="T874" s="1593"/>
      <c r="U874" s="1593"/>
      <c r="V874" s="1594"/>
      <c r="W874" s="1465">
        <v>25000</v>
      </c>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25000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1572160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272</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5780</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1240919</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68000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2233</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f>AM554+AM555</f>
        <v>51000000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f>AM556</f>
        <v>33393069</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2193</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2194</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2195</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2196</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2197</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2198</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2199</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2200</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2201</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2192</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107</v>
      </c>
      <c r="AC987" s="1390"/>
      <c r="AD987" s="1390"/>
      <c r="AE987" s="1390"/>
      <c r="AF987" s="1390"/>
      <c r="AG987" s="1390"/>
      <c r="AH987" s="1390"/>
      <c r="AI987" s="1391"/>
      <c r="AJ987" s="1487">
        <f>IF(ISERROR((R987*AB987)),0,(R987*AB987))</f>
        <v>65640220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96</v>
      </c>
      <c r="AC988" s="1390"/>
      <c r="AD988" s="1390"/>
      <c r="AE988" s="1390"/>
      <c r="AF988" s="1390"/>
      <c r="AG988" s="1390"/>
      <c r="AH988" s="1390"/>
      <c r="AI988" s="1391"/>
      <c r="AJ988" s="1487">
        <f>IF(ISERROR((R988*AB988)),0,(R988*AB988))</f>
        <v>71040000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69</v>
      </c>
      <c r="AC989" s="1390"/>
      <c r="AD989" s="1390"/>
      <c r="AE989" s="1390"/>
      <c r="AF989" s="1390"/>
      <c r="AG989" s="1390"/>
      <c r="AH989" s="1390"/>
      <c r="AI989" s="1391"/>
      <c r="AJ989" s="1487">
        <f>IF(ISERROR((R989*AB989)),0,(R989*AB989))</f>
        <v>65356800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272</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202037020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2235</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2206</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269</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2">
        <f>ROUND(IF(AG1007="yes",AJ992*0.1,0),0)</f>
        <v>20203702</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3" t="s">
        <v>2236</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546</v>
      </c>
      <c r="AH1025" s="1502"/>
      <c r="AI1025" s="87"/>
      <c r="AJ1025" s="1392">
        <f>ROUND(IF(AG1025="Yes",AF1027,0),0)</f>
        <v>9310897</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v>9310897</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20203702</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20203702</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0.20074349442379183</v>
      </c>
      <c r="BB1039" s="3" t="s">
        <v>2493</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2492</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20203702</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18635035.349999998</v>
      </c>
      <c r="BA1046" s="1182">
        <f>IF(BA1040,20%,15%)</f>
        <v>0.15</v>
      </c>
      <c r="BB1046" s="3" t="s">
        <v>2479</v>
      </c>
      <c r="BC1046" s="3" t="s">
        <v>2480</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69">
        <f>AY1003</f>
        <v>269</v>
      </c>
      <c r="J1048" s="1570"/>
      <c r="K1048" s="7"/>
      <c r="L1048" s="133"/>
      <c r="M1048" s="133"/>
      <c r="N1048" s="133"/>
      <c r="O1048" s="133"/>
      <c r="P1048" s="133"/>
      <c r="Q1048" s="133"/>
      <c r="R1048" s="133"/>
      <c r="S1048" s="133"/>
      <c r="T1048" s="133"/>
      <c r="U1048" s="133"/>
      <c r="V1048" s="134" t="s">
        <v>974</v>
      </c>
      <c r="W1048" s="48"/>
      <c r="X1048" s="1567">
        <f>CI753</f>
        <v>27</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40407404</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269</v>
      </c>
      <c r="J1052" s="1570"/>
      <c r="K1052" s="14"/>
      <c r="L1052" s="133"/>
      <c r="M1052" s="133"/>
      <c r="N1052" s="133"/>
      <c r="O1052" s="133"/>
      <c r="P1052" s="133"/>
      <c r="Q1052" s="133"/>
      <c r="R1052" s="133"/>
      <c r="S1052" s="133"/>
      <c r="T1052" s="133"/>
      <c r="U1052" s="133"/>
      <c r="V1052" s="134" t="s">
        <v>975</v>
      </c>
      <c r="X1052" s="1567">
        <f>CM753</f>
        <v>27</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332570129</v>
      </c>
      <c r="AK1053" s="1579"/>
      <c r="AL1053" s="1579"/>
      <c r="AM1053" s="1579"/>
      <c r="AN1053" s="1579"/>
      <c r="AO1053" s="1579"/>
      <c r="AP1053" s="1579"/>
      <c r="AQ1053" s="1580"/>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142868603</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18635035.349999998</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0.46600244258121193</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18635034</v>
      </c>
      <c r="BB1058" s="3" t="s">
        <v>2494</v>
      </c>
    </row>
    <row r="1059" spans="1:54" ht="12.95"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16135034</v>
      </c>
      <c r="BB1059" s="3" t="s">
        <v>2495</v>
      </c>
    </row>
    <row r="1060" spans="1:54" ht="12.95"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H99" sqref="H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6" t="s">
        <v>622</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374</v>
      </c>
      <c r="D2" s="138" t="s">
        <v>373</v>
      </c>
      <c r="E2" s="138" t="s">
        <v>24</v>
      </c>
      <c r="F2" s="139" t="str">
        <f>Application!B627&amp;Application!C627</f>
        <v>1)Berkadia/Private Placement</v>
      </c>
      <c r="G2" s="139" t="str">
        <f>Application!B628&amp;Application!C628</f>
        <v>2)Lease Up Income</v>
      </c>
      <c r="H2" s="139" t="str">
        <f>Application!B629&amp;Application!C629</f>
        <v>3)Ground Lease TI Contribution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100</v>
      </c>
      <c r="D4" s="147"/>
      <c r="E4" s="147">
        <v>100</v>
      </c>
      <c r="F4" s="147"/>
      <c r="G4" s="147"/>
      <c r="H4" s="147"/>
      <c r="I4" s="147"/>
      <c r="J4" s="147"/>
      <c r="K4" s="147"/>
      <c r="L4" s="147"/>
      <c r="M4" s="147"/>
      <c r="N4" s="147"/>
      <c r="O4" s="147"/>
      <c r="P4" s="147"/>
      <c r="Q4" s="147"/>
      <c r="R4" s="516">
        <f>SUM(E4:Q4)</f>
        <v>100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100</v>
      </c>
      <c r="C8" s="146">
        <f t="shared" ref="C8:Q8" si="0">SUM(C4:C7)</f>
        <v>100</v>
      </c>
      <c r="D8" s="146">
        <f t="shared" si="0"/>
        <v>0</v>
      </c>
      <c r="E8" s="146">
        <f t="shared" si="0"/>
        <v>100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100</v>
      </c>
      <c r="C12" s="146">
        <f t="shared" si="2"/>
        <v>100</v>
      </c>
      <c r="D12" s="146">
        <f t="shared" si="2"/>
        <v>0</v>
      </c>
      <c r="E12" s="146">
        <f t="shared" si="2"/>
        <v>100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79848320</v>
      </c>
      <c r="C30" s="147">
        <v>79848320</v>
      </c>
      <c r="D30" s="147"/>
      <c r="E30" s="147">
        <f>E108-100</f>
        <v>46284698</v>
      </c>
      <c r="F30" s="147">
        <f>C30-E30</f>
        <v>33563622</v>
      </c>
      <c r="G30" s="147"/>
      <c r="H30" s="147"/>
      <c r="I30" s="147"/>
      <c r="J30" s="147"/>
      <c r="K30" s="147"/>
      <c r="L30" s="147"/>
      <c r="M30" s="147"/>
      <c r="N30" s="147"/>
      <c r="O30" s="147"/>
      <c r="P30" s="147"/>
      <c r="Q30" s="147"/>
      <c r="R30" s="516">
        <f t="shared" si="7"/>
        <v>79848320</v>
      </c>
      <c r="S30" s="147">
        <f>R30</f>
        <v>79848320</v>
      </c>
      <c r="T30" s="147"/>
      <c r="U30" s="143"/>
    </row>
    <row r="31" spans="1:21" s="144" customFormat="1">
      <c r="A31" s="145" t="s">
        <v>601</v>
      </c>
      <c r="B31" s="146">
        <f t="shared" si="6"/>
        <v>6387866</v>
      </c>
      <c r="C31" s="147">
        <v>6387866</v>
      </c>
      <c r="D31" s="147"/>
      <c r="E31" s="147"/>
      <c r="F31" s="147">
        <f>C31</f>
        <v>6387866</v>
      </c>
      <c r="G31" s="147"/>
      <c r="H31" s="147"/>
      <c r="I31" s="147"/>
      <c r="J31" s="147"/>
      <c r="K31" s="147"/>
      <c r="L31" s="147"/>
      <c r="M31" s="147"/>
      <c r="N31" s="147"/>
      <c r="O31" s="147"/>
      <c r="P31" s="147"/>
      <c r="Q31" s="147"/>
      <c r="R31" s="516">
        <f t="shared" si="7"/>
        <v>6387866</v>
      </c>
      <c r="S31" s="147">
        <f>R31</f>
        <v>6387866</v>
      </c>
      <c r="T31" s="147"/>
      <c r="U31" s="143"/>
    </row>
    <row r="32" spans="1:21" s="144" customFormat="1">
      <c r="A32" s="145" t="s">
        <v>137</v>
      </c>
      <c r="B32" s="146">
        <f t="shared" si="6"/>
        <v>3449447</v>
      </c>
      <c r="C32" s="147">
        <v>3449447</v>
      </c>
      <c r="D32" s="147"/>
      <c r="E32" s="147"/>
      <c r="F32" s="147">
        <f>C32</f>
        <v>3449447</v>
      </c>
      <c r="G32" s="147"/>
      <c r="H32" s="147"/>
      <c r="I32" s="147"/>
      <c r="J32" s="147"/>
      <c r="K32" s="147"/>
      <c r="L32" s="147"/>
      <c r="M32" s="147"/>
      <c r="N32" s="147"/>
      <c r="O32" s="147"/>
      <c r="P32" s="147"/>
      <c r="Q32" s="147"/>
      <c r="R32" s="516">
        <f t="shared" si="7"/>
        <v>3449447</v>
      </c>
      <c r="S32" s="147">
        <f>R32</f>
        <v>3449447</v>
      </c>
      <c r="T32" s="147"/>
      <c r="U32" s="143"/>
    </row>
    <row r="33" spans="1:21" s="144" customFormat="1">
      <c r="A33" s="145" t="s">
        <v>138</v>
      </c>
      <c r="B33" s="146">
        <f t="shared" si="6"/>
        <v>1724724</v>
      </c>
      <c r="C33" s="147">
        <v>1724724</v>
      </c>
      <c r="D33" s="147"/>
      <c r="E33" s="147"/>
      <c r="F33" s="147">
        <f>C33</f>
        <v>1724724</v>
      </c>
      <c r="G33" s="147"/>
      <c r="H33" s="147"/>
      <c r="I33" s="147"/>
      <c r="J33" s="147"/>
      <c r="K33" s="147"/>
      <c r="L33" s="147"/>
      <c r="M33" s="147"/>
      <c r="N33" s="147"/>
      <c r="O33" s="147"/>
      <c r="P33" s="147"/>
      <c r="Q33" s="147"/>
      <c r="R33" s="516">
        <f t="shared" si="7"/>
        <v>1724724</v>
      </c>
      <c r="S33" s="147">
        <f>R33</f>
        <v>1724724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1439713</v>
      </c>
      <c r="C35" s="147">
        <v>1439713</v>
      </c>
      <c r="D35" s="147"/>
      <c r="E35" s="147"/>
      <c r="F35" s="147">
        <f>C35</f>
        <v>1439713</v>
      </c>
      <c r="G35" s="147"/>
      <c r="H35" s="147"/>
      <c r="I35" s="147"/>
      <c r="J35" s="147"/>
      <c r="K35" s="147"/>
      <c r="L35" s="147"/>
      <c r="M35" s="147"/>
      <c r="N35" s="147"/>
      <c r="O35" s="147"/>
      <c r="P35" s="147"/>
      <c r="Q35" s="147"/>
      <c r="R35" s="516">
        <f t="shared" si="7"/>
        <v>1439713</v>
      </c>
      <c r="S35" s="147">
        <f>R35</f>
        <v>1439713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2716</v>
      </c>
      <c r="B37" s="146">
        <f t="shared" si="6"/>
        <v>50000</v>
      </c>
      <c r="C37" s="147">
        <v>50000</v>
      </c>
      <c r="D37" s="147"/>
      <c r="E37" s="147"/>
      <c r="F37" s="147">
        <f>C37</f>
        <v>50000</v>
      </c>
      <c r="G37" s="147"/>
      <c r="H37" s="147"/>
      <c r="I37" s="147"/>
      <c r="J37" s="147"/>
      <c r="K37" s="147"/>
      <c r="L37" s="147"/>
      <c r="M37" s="147"/>
      <c r="N37" s="147"/>
      <c r="O37" s="147"/>
      <c r="P37" s="147"/>
      <c r="Q37" s="147"/>
      <c r="R37" s="516">
        <f t="shared" si="7"/>
        <v>50000</v>
      </c>
      <c r="S37" s="147">
        <f>R37</f>
        <v>50000</v>
      </c>
      <c r="T37" s="147"/>
      <c r="U37" s="143"/>
    </row>
    <row r="38" spans="1:21" s="144" customFormat="1">
      <c r="A38" s="149" t="s">
        <v>143</v>
      </c>
      <c r="B38" s="146">
        <f t="shared" si="6"/>
        <v>92900070</v>
      </c>
      <c r="C38" s="146">
        <f>SUM(C29:C37)</f>
        <v>92900070</v>
      </c>
      <c r="D38" s="146">
        <f t="shared" ref="D38:Q38" si="8">SUM(D29:D37)</f>
        <v>0</v>
      </c>
      <c r="E38" s="146">
        <f t="shared" si="8"/>
        <v>46284698</v>
      </c>
      <c r="F38" s="146">
        <f t="shared" si="8"/>
        <v>46615372</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92900070</v>
      </c>
      <c r="S38" s="150">
        <f>SUM(S29:S37)</f>
        <v>92900070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3500000</v>
      </c>
      <c r="C40" s="147">
        <v>3500000</v>
      </c>
      <c r="D40" s="147"/>
      <c r="E40" s="147"/>
      <c r="F40" s="147">
        <f>F108-46615372</f>
        <v>3165628</v>
      </c>
      <c r="G40" s="147">
        <f>C40-F40</f>
        <v>334372</v>
      </c>
      <c r="H40" s="147"/>
      <c r="I40" s="147"/>
      <c r="J40" s="147"/>
      <c r="K40" s="147"/>
      <c r="L40" s="147"/>
      <c r="M40" s="147"/>
      <c r="N40" s="147"/>
      <c r="O40" s="147"/>
      <c r="P40" s="147"/>
      <c r="Q40" s="147"/>
      <c r="R40" s="516">
        <f>SUM(E40:Q40)</f>
        <v>3500000</v>
      </c>
      <c r="S40" s="147">
        <f>R40</f>
        <v>3500000</v>
      </c>
      <c r="T40" s="147"/>
      <c r="U40" s="143"/>
    </row>
    <row r="41" spans="1:21" s="144" customFormat="1">
      <c r="A41" s="145" t="s">
        <v>146</v>
      </c>
      <c r="B41" s="146">
        <f>SUM(C41+D41)</f>
        <v>500000</v>
      </c>
      <c r="C41" s="147">
        <v>500000</v>
      </c>
      <c r="D41" s="147"/>
      <c r="E41" s="147"/>
      <c r="F41" s="147"/>
      <c r="G41" s="147">
        <f>C41</f>
        <v>500000</v>
      </c>
      <c r="H41" s="147"/>
      <c r="I41" s="147"/>
      <c r="J41" s="147"/>
      <c r="K41" s="147"/>
      <c r="L41" s="147"/>
      <c r="M41" s="147"/>
      <c r="N41" s="147"/>
      <c r="O41" s="147"/>
      <c r="P41" s="147"/>
      <c r="Q41" s="147"/>
      <c r="R41" s="516">
        <f>SUM(E41:Q41)</f>
        <v>500000</v>
      </c>
      <c r="S41" s="147">
        <v>500000</v>
      </c>
      <c r="T41" s="147"/>
      <c r="U41" s="143"/>
    </row>
    <row r="42" spans="1:21" s="144" customFormat="1">
      <c r="A42" s="149" t="s">
        <v>147</v>
      </c>
      <c r="B42" s="146">
        <f>SUM(C42:D42)</f>
        <v>4000000</v>
      </c>
      <c r="C42" s="146">
        <f>SUM(C39:C41)</f>
        <v>4000000</v>
      </c>
      <c r="D42" s="146">
        <f>SUM(D39:D41)</f>
        <v>0</v>
      </c>
      <c r="E42" s="146">
        <f t="shared" ref="E42:T42" si="9">SUM(E40:E41)</f>
        <v>0</v>
      </c>
      <c r="F42" s="146">
        <f t="shared" si="9"/>
        <v>3165628</v>
      </c>
      <c r="G42" s="146">
        <f t="shared" si="9"/>
        <v>834372</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4000000</v>
      </c>
      <c r="S42" s="150">
        <f t="shared" si="9"/>
        <v>4000000</v>
      </c>
      <c r="T42" s="150">
        <f t="shared" si="9"/>
        <v>0</v>
      </c>
      <c r="U42" s="143"/>
    </row>
    <row r="43" spans="1:21" s="144" customFormat="1">
      <c r="A43" s="149" t="s">
        <v>148</v>
      </c>
      <c r="B43" s="146">
        <f>SUM(C43:D43)</f>
        <v>1000000</v>
      </c>
      <c r="C43" s="147">
        <v>1000000</v>
      </c>
      <c r="D43" s="147"/>
      <c r="E43" s="147"/>
      <c r="F43" s="147"/>
      <c r="G43" s="147">
        <f>C43</f>
        <v>1000000</v>
      </c>
      <c r="H43" s="147">
        <f>C43-G43</f>
        <v>0</v>
      </c>
      <c r="I43" s="147"/>
      <c r="J43" s="147"/>
      <c r="K43" s="147"/>
      <c r="L43" s="147"/>
      <c r="M43" s="147"/>
      <c r="N43" s="147"/>
      <c r="O43" s="147"/>
      <c r="P43" s="147"/>
      <c r="Q43" s="147"/>
      <c r="R43" s="516">
        <f>SUM(E43:Q43)</f>
        <v>1000000</v>
      </c>
      <c r="S43" s="147">
        <f>R43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7848647</v>
      </c>
      <c r="C45" s="147">
        <v>7848647</v>
      </c>
      <c r="D45" s="147"/>
      <c r="E45" s="147"/>
      <c r="F45" s="147"/>
      <c r="G45" s="147">
        <f>G108-1834372</f>
        <v>1080791</v>
      </c>
      <c r="H45" s="147">
        <f>C45-(F45+G45)</f>
        <v>6767856</v>
      </c>
      <c r="I45" s="147"/>
      <c r="J45" s="147"/>
      <c r="K45" s="147"/>
      <c r="L45" s="147"/>
      <c r="M45" s="147"/>
      <c r="N45" s="147"/>
      <c r="O45" s="147"/>
      <c r="P45" s="147"/>
      <c r="Q45" s="147"/>
      <c r="R45" s="516">
        <f t="shared" ref="R45:R53" si="11">SUM(E45:Q45)</f>
        <v>7848647</v>
      </c>
      <c r="S45" s="147">
        <v>3877934</v>
      </c>
      <c r="T45" s="147"/>
      <c r="U45" s="143"/>
    </row>
    <row r="46" spans="1:21" s="144" customFormat="1">
      <c r="A46" s="145" t="s">
        <v>151</v>
      </c>
      <c r="B46" s="146">
        <f t="shared" si="10"/>
        <v>632948</v>
      </c>
      <c r="C46" s="147">
        <v>632948</v>
      </c>
      <c r="D46" s="147"/>
      <c r="E46" s="147"/>
      <c r="F46" s="147"/>
      <c r="G46" s="147"/>
      <c r="H46" s="147">
        <f>C46</f>
        <v>632948</v>
      </c>
      <c r="I46" s="147"/>
      <c r="J46" s="147"/>
      <c r="K46" s="147"/>
      <c r="L46" s="147"/>
      <c r="M46" s="147"/>
      <c r="N46" s="147"/>
      <c r="O46" s="147"/>
      <c r="P46" s="147"/>
      <c r="Q46" s="147"/>
      <c r="R46" s="516">
        <f t="shared" si="11"/>
        <v>632948</v>
      </c>
      <c r="S46" s="147">
        <f>R46</f>
        <v>632948</v>
      </c>
      <c r="T46" s="147"/>
      <c r="U46" s="143"/>
    </row>
    <row r="47" spans="1:21" s="144" customFormat="1">
      <c r="A47" s="186" t="s">
        <v>152</v>
      </c>
      <c r="B47" s="146">
        <f t="shared" si="10"/>
        <v>25000</v>
      </c>
      <c r="C47" s="147">
        <v>25000</v>
      </c>
      <c r="D47" s="147"/>
      <c r="E47" s="147"/>
      <c r="F47" s="147"/>
      <c r="G47" s="147"/>
      <c r="H47" s="147">
        <f>C47</f>
        <v>25000</v>
      </c>
      <c r="I47" s="147"/>
      <c r="J47" s="147"/>
      <c r="K47" s="147"/>
      <c r="L47" s="147"/>
      <c r="M47" s="147"/>
      <c r="N47" s="147"/>
      <c r="O47" s="147"/>
      <c r="P47" s="147"/>
      <c r="Q47" s="147"/>
      <c r="R47" s="516">
        <f t="shared" si="11"/>
        <v>25000</v>
      </c>
      <c r="S47" s="147">
        <f>R47</f>
        <v>25000</v>
      </c>
      <c r="T47" s="147"/>
      <c r="U47" s="143"/>
    </row>
    <row r="48" spans="1:21" s="144" customFormat="1">
      <c r="A48" s="145" t="s">
        <v>153</v>
      </c>
      <c r="B48" s="146">
        <f t="shared" si="10"/>
        <v>421965</v>
      </c>
      <c r="C48" s="147">
        <v>421965</v>
      </c>
      <c r="D48" s="147"/>
      <c r="E48" s="147"/>
      <c r="F48" s="147"/>
      <c r="G48" s="147"/>
      <c r="H48" s="147">
        <f>C48</f>
        <v>421965</v>
      </c>
      <c r="I48" s="147"/>
      <c r="J48" s="147"/>
      <c r="K48" s="147"/>
      <c r="L48" s="147"/>
      <c r="M48" s="147"/>
      <c r="N48" s="147"/>
      <c r="O48" s="147"/>
      <c r="P48" s="147"/>
      <c r="Q48" s="147"/>
      <c r="R48" s="516">
        <f>SUM(E48:Q48)</f>
        <v>421965</v>
      </c>
      <c r="S48" s="147">
        <v>210983</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75000</v>
      </c>
      <c r="C50" s="147">
        <v>75000</v>
      </c>
      <c r="D50" s="147"/>
      <c r="E50" s="147"/>
      <c r="F50" s="147"/>
      <c r="G50" s="147"/>
      <c r="H50" s="147">
        <f>C50</f>
        <v>75000</v>
      </c>
      <c r="I50" s="147"/>
      <c r="J50" s="147"/>
      <c r="K50" s="147"/>
      <c r="L50" s="147"/>
      <c r="M50" s="147"/>
      <c r="N50" s="147"/>
      <c r="O50" s="147"/>
      <c r="P50" s="147"/>
      <c r="Q50" s="147"/>
      <c r="R50" s="516">
        <f t="shared" si="11"/>
        <v>75000</v>
      </c>
      <c r="S50" s="147">
        <f>R50</f>
        <v>75000</v>
      </c>
      <c r="T50" s="147"/>
      <c r="U50" s="143"/>
    </row>
    <row r="51" spans="1:21" s="144" customFormat="1">
      <c r="A51" s="283" t="s">
        <v>154</v>
      </c>
      <c r="B51" s="146">
        <f t="shared" si="10"/>
        <v>350000</v>
      </c>
      <c r="C51" s="147">
        <v>350000</v>
      </c>
      <c r="D51" s="147"/>
      <c r="E51" s="147"/>
      <c r="F51" s="147"/>
      <c r="G51" s="147"/>
      <c r="H51" s="147">
        <f>C51</f>
        <v>350000</v>
      </c>
      <c r="I51" s="147"/>
      <c r="J51" s="147"/>
      <c r="K51" s="147"/>
      <c r="L51" s="147"/>
      <c r="M51" s="147"/>
      <c r="N51" s="147"/>
      <c r="O51" s="147"/>
      <c r="P51" s="147"/>
      <c r="Q51" s="147"/>
      <c r="R51" s="516">
        <f t="shared" si="11"/>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ht="24">
      <c r="A53" s="1149" t="s">
        <v>2712</v>
      </c>
      <c r="B53" s="146">
        <f t="shared" si="10"/>
        <v>5827500</v>
      </c>
      <c r="C53" s="147">
        <v>5827500</v>
      </c>
      <c r="D53" s="147"/>
      <c r="E53" s="147"/>
      <c r="F53" s="147"/>
      <c r="G53" s="147"/>
      <c r="H53" s="147">
        <f>C53-(F53+G53)</f>
        <v>5827500</v>
      </c>
      <c r="I53" s="147"/>
      <c r="J53" s="147"/>
      <c r="K53" s="147"/>
      <c r="L53" s="147"/>
      <c r="M53" s="147"/>
      <c r="N53" s="147"/>
      <c r="O53" s="147"/>
      <c r="P53" s="147"/>
      <c r="Q53" s="147"/>
      <c r="R53" s="516">
        <f t="shared" si="11"/>
        <v>5827500</v>
      </c>
      <c r="S53" s="147">
        <f>R53</f>
        <v>5827500</v>
      </c>
      <c r="T53" s="147"/>
      <c r="U53" s="143"/>
    </row>
    <row r="54" spans="1:21" s="153" customFormat="1">
      <c r="A54" s="149" t="s">
        <v>157</v>
      </c>
      <c r="B54" s="150">
        <f>SUM(C54:D54)</f>
        <v>15181060</v>
      </c>
      <c r="C54" s="150">
        <f t="shared" ref="C54:T54" si="12">SUM(C45:C53)</f>
        <v>15181060</v>
      </c>
      <c r="D54" s="150">
        <f t="shared" si="12"/>
        <v>0</v>
      </c>
      <c r="E54" s="150">
        <f t="shared" si="12"/>
        <v>0</v>
      </c>
      <c r="F54" s="150">
        <f t="shared" si="12"/>
        <v>0</v>
      </c>
      <c r="G54" s="150">
        <f t="shared" si="12"/>
        <v>1080791</v>
      </c>
      <c r="H54" s="150">
        <f t="shared" si="12"/>
        <v>14100269</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15181060</v>
      </c>
      <c r="S54" s="150">
        <f t="shared" si="12"/>
        <v>10999365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497810</v>
      </c>
      <c r="C56" s="147">
        <v>497810</v>
      </c>
      <c r="D56" s="147"/>
      <c r="E56" s="147"/>
      <c r="F56" s="147"/>
      <c r="G56" s="147"/>
      <c r="H56" s="147">
        <f>C56</f>
        <v>497810</v>
      </c>
      <c r="I56" s="147"/>
      <c r="J56" s="147"/>
      <c r="K56" s="147"/>
      <c r="L56" s="147"/>
      <c r="M56" s="147"/>
      <c r="N56" s="147"/>
      <c r="O56" s="147"/>
      <c r="P56" s="147"/>
      <c r="Q56" s="147"/>
      <c r="R56" s="516">
        <f t="shared" ref="R56:R61" si="14">SUM(E56:Q56)</f>
        <v>497810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c r="F58" s="147"/>
      <c r="G58" s="147"/>
      <c r="H58" s="147">
        <f>C58</f>
        <v>25000</v>
      </c>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522810</v>
      </c>
      <c r="C62" s="146">
        <f t="shared" ref="C62:R62" si="15">SUM(C56:C61)</f>
        <v>522810</v>
      </c>
      <c r="D62" s="146">
        <f t="shared" si="15"/>
        <v>0</v>
      </c>
      <c r="E62" s="146">
        <f t="shared" si="15"/>
        <v>0</v>
      </c>
      <c r="F62" s="146">
        <f t="shared" si="15"/>
        <v>0</v>
      </c>
      <c r="G62" s="146">
        <f t="shared" si="15"/>
        <v>0</v>
      </c>
      <c r="H62" s="146">
        <f t="shared" si="15"/>
        <v>522810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522810</v>
      </c>
      <c r="S62" s="148"/>
      <c r="T62" s="148"/>
      <c r="U62" s="143"/>
    </row>
    <row r="63" spans="1:21" s="144" customFormat="1">
      <c r="A63" s="154" t="s">
        <v>302</v>
      </c>
      <c r="B63" s="146">
        <f t="shared" ref="B63:R63" si="16">SUM(B8+B11+B13+B14+B15+B26+B27+B38+B42+B43+B54+B62)</f>
        <v>113604040</v>
      </c>
      <c r="C63" s="146">
        <f t="shared" si="16"/>
        <v>113604040</v>
      </c>
      <c r="D63" s="146">
        <f t="shared" si="16"/>
        <v>0</v>
      </c>
      <c r="E63" s="146">
        <f t="shared" si="16"/>
        <v>46284798</v>
      </c>
      <c r="F63" s="146">
        <f t="shared" si="16"/>
        <v>49781000</v>
      </c>
      <c r="G63" s="146">
        <f t="shared" si="16"/>
        <v>2915163</v>
      </c>
      <c r="H63" s="146">
        <f t="shared" si="16"/>
        <v>14623079</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113604040</v>
      </c>
      <c r="S63" s="146">
        <f>SUM(S10+S13+S14+S15+S26+S27+S38+S42+S43+S54)</f>
        <v>108899435</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c r="G65" s="147"/>
      <c r="H65" s="147">
        <f>C65</f>
        <v>90000</v>
      </c>
      <c r="I65" s="147"/>
      <c r="J65" s="147"/>
      <c r="K65" s="147"/>
      <c r="L65" s="147"/>
      <c r="M65" s="147"/>
      <c r="N65" s="147"/>
      <c r="O65" s="147"/>
      <c r="P65" s="147"/>
      <c r="Q65" s="147"/>
      <c r="R65" s="516">
        <f>SUM(E65:Q65)</f>
        <v>90000</v>
      </c>
      <c r="S65" s="147">
        <v>45000</v>
      </c>
      <c r="T65" s="147"/>
      <c r="U65" s="143"/>
    </row>
    <row r="66" spans="1:21" s="144" customFormat="1" ht="24" customHeight="1">
      <c r="A66" s="283" t="s">
        <v>1642</v>
      </c>
      <c r="B66" s="146">
        <f>SUM(C66+D66)</f>
        <v>200000</v>
      </c>
      <c r="C66" s="147">
        <v>200000</v>
      </c>
      <c r="D66" s="147"/>
      <c r="E66" s="147"/>
      <c r="F66" s="147"/>
      <c r="G66" s="147"/>
      <c r="H66" s="147">
        <f>C66</f>
        <v>200000</v>
      </c>
      <c r="I66" s="147"/>
      <c r="J66" s="147"/>
      <c r="K66" s="147"/>
      <c r="L66" s="147"/>
      <c r="M66" s="147"/>
      <c r="N66" s="147"/>
      <c r="O66" s="147"/>
      <c r="P66" s="147"/>
      <c r="Q66" s="147"/>
      <c r="R66" s="516">
        <f>SUM(E66:Q66)</f>
        <v>200000</v>
      </c>
      <c r="S66" s="147">
        <v>100000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2713</v>
      </c>
      <c r="B69" s="146">
        <f>SUM(C69+D69)</f>
        <v>485000</v>
      </c>
      <c r="C69" s="147">
        <f>360000+125000</f>
        <v>485000</v>
      </c>
      <c r="D69" s="147"/>
      <c r="E69" s="147"/>
      <c r="F69" s="147"/>
      <c r="G69" s="147"/>
      <c r="H69" s="147">
        <f>C69</f>
        <v>485000</v>
      </c>
      <c r="I69" s="147"/>
      <c r="J69" s="147"/>
      <c r="K69" s="147"/>
      <c r="L69" s="147"/>
      <c r="M69" s="147"/>
      <c r="N69" s="147"/>
      <c r="O69" s="147"/>
      <c r="P69" s="147"/>
      <c r="Q69" s="147"/>
      <c r="R69" s="516">
        <f>SUM(E69:Q69)</f>
        <v>485000</v>
      </c>
      <c r="S69" s="147">
        <f>210000+125000</f>
        <v>335000</v>
      </c>
      <c r="T69" s="147"/>
      <c r="U69" s="143"/>
    </row>
    <row r="70" spans="1:21" s="144" customFormat="1">
      <c r="A70" s="149" t="s">
        <v>1646</v>
      </c>
      <c r="B70" s="146">
        <f>SUM(C70:D70)</f>
        <v>775000</v>
      </c>
      <c r="C70" s="146">
        <f>SUM(C65:C69)</f>
        <v>775000</v>
      </c>
      <c r="D70" s="146">
        <f>SUM(D65:D69)</f>
        <v>0</v>
      </c>
      <c r="E70" s="146">
        <f t="shared" ref="E70:T70" si="17">SUM(E65:E69)</f>
        <v>0</v>
      </c>
      <c r="F70" s="146">
        <f t="shared" si="17"/>
        <v>0</v>
      </c>
      <c r="G70" s="146">
        <f t="shared" si="17"/>
        <v>0</v>
      </c>
      <c r="H70" s="146">
        <f t="shared" si="17"/>
        <v>775000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775000</v>
      </c>
      <c r="S70" s="150">
        <f t="shared" si="17"/>
        <v>480000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1240919</v>
      </c>
      <c r="C75" s="147">
        <v>1240919</v>
      </c>
      <c r="D75" s="147"/>
      <c r="E75" s="147"/>
      <c r="F75" s="147"/>
      <c r="G75" s="147"/>
      <c r="H75" s="147">
        <f>C75</f>
        <v>1240919</v>
      </c>
      <c r="I75" s="147"/>
      <c r="J75" s="147"/>
      <c r="K75" s="147"/>
      <c r="L75" s="147"/>
      <c r="M75" s="147"/>
      <c r="N75" s="147"/>
      <c r="O75" s="147"/>
      <c r="P75" s="147"/>
      <c r="Q75" s="147"/>
      <c r="R75" s="516">
        <f>SUM(E75:Q75)</f>
        <v>1240919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1240919</v>
      </c>
      <c r="C77" s="146">
        <f>SUM(C72:C76)</f>
        <v>1240919</v>
      </c>
      <c r="D77" s="146">
        <f>SUM(D72:D76)</f>
        <v>0</v>
      </c>
      <c r="E77" s="146">
        <f t="shared" ref="E77:Q77" si="18">SUM(E72:E76)</f>
        <v>0</v>
      </c>
      <c r="F77" s="146">
        <f t="shared" si="18"/>
        <v>0</v>
      </c>
      <c r="G77" s="146">
        <f t="shared" si="18"/>
        <v>0</v>
      </c>
      <c r="H77" s="146">
        <f t="shared" si="18"/>
        <v>1240919</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1240919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4570518</v>
      </c>
      <c r="C79" s="147">
        <v>4570518</v>
      </c>
      <c r="D79" s="147"/>
      <c r="E79" s="147"/>
      <c r="F79" s="147"/>
      <c r="G79" s="147"/>
      <c r="H79" s="147">
        <f>C79</f>
        <v>4570518</v>
      </c>
      <c r="I79" s="147"/>
      <c r="J79" s="147"/>
      <c r="K79" s="147"/>
      <c r="L79" s="147"/>
      <c r="M79" s="147"/>
      <c r="N79" s="147"/>
      <c r="O79" s="147"/>
      <c r="P79" s="147"/>
      <c r="Q79" s="147"/>
      <c r="R79" s="516">
        <f>SUM(E79:Q79)</f>
        <v>4570518</v>
      </c>
      <c r="S79" s="147">
        <f>R79</f>
        <v>4570518</v>
      </c>
      <c r="T79" s="147"/>
      <c r="U79" s="143"/>
    </row>
    <row r="80" spans="1:21" s="144" customFormat="1">
      <c r="A80" s="283" t="s">
        <v>58</v>
      </c>
      <c r="B80" s="146">
        <f>SUM(C80:D80)</f>
        <v>667616</v>
      </c>
      <c r="C80" s="147">
        <v>667616</v>
      </c>
      <c r="D80" s="147"/>
      <c r="E80" s="147"/>
      <c r="F80" s="147"/>
      <c r="G80" s="147"/>
      <c r="H80" s="147">
        <f>C80</f>
        <v>667616</v>
      </c>
      <c r="I80" s="147"/>
      <c r="J80" s="147"/>
      <c r="K80" s="147"/>
      <c r="L80" s="147"/>
      <c r="M80" s="147"/>
      <c r="N80" s="147"/>
      <c r="O80" s="147"/>
      <c r="P80" s="147"/>
      <c r="Q80" s="147"/>
      <c r="R80" s="516">
        <f>SUM(E80:Q80)</f>
        <v>667616</v>
      </c>
      <c r="S80" s="147">
        <f>R80</f>
        <v>667616</v>
      </c>
      <c r="T80" s="147"/>
      <c r="U80" s="143"/>
    </row>
    <row r="81" spans="1:21" s="144" customFormat="1">
      <c r="A81" s="149" t="s">
        <v>1210</v>
      </c>
      <c r="B81" s="146">
        <f>SUM(C81:D81)</f>
        <v>5238134</v>
      </c>
      <c r="C81" s="509">
        <f>SUM(C79:C80)</f>
        <v>5238134</v>
      </c>
      <c r="D81" s="509">
        <f t="shared" ref="D81:T81" si="19">SUM(D79:D80)</f>
        <v>0</v>
      </c>
      <c r="E81" s="509">
        <f t="shared" si="19"/>
        <v>0</v>
      </c>
      <c r="F81" s="509">
        <f t="shared" si="19"/>
        <v>0</v>
      </c>
      <c r="G81" s="509">
        <f t="shared" si="19"/>
        <v>0</v>
      </c>
      <c r="H81" s="509">
        <f t="shared" si="19"/>
        <v>5238134</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5238134</v>
      </c>
      <c r="S81" s="509">
        <f t="shared" si="19"/>
        <v>5238134</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606094</v>
      </c>
      <c r="C83" s="147">
        <v>606094</v>
      </c>
      <c r="D83" s="147"/>
      <c r="E83" s="147"/>
      <c r="F83" s="147"/>
      <c r="G83" s="147"/>
      <c r="H83" s="147">
        <f>C83</f>
        <v>606094</v>
      </c>
      <c r="I83" s="147"/>
      <c r="J83" s="147"/>
      <c r="K83" s="147"/>
      <c r="L83" s="147"/>
      <c r="M83" s="147"/>
      <c r="N83" s="147"/>
      <c r="O83" s="147"/>
      <c r="P83" s="147"/>
      <c r="Q83" s="147"/>
      <c r="R83" s="516">
        <f t="shared" ref="R83:R95" si="21">SUM(E83:Q83)</f>
        <v>606094</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8976000</v>
      </c>
      <c r="C85" s="147">
        <v>8976000</v>
      </c>
      <c r="D85" s="147"/>
      <c r="E85" s="147"/>
      <c r="F85" s="147"/>
      <c r="G85" s="147"/>
      <c r="H85" s="147">
        <f>C85</f>
        <v>8976000</v>
      </c>
      <c r="I85" s="147"/>
      <c r="J85" s="147"/>
      <c r="K85" s="147"/>
      <c r="L85" s="147"/>
      <c r="M85" s="147"/>
      <c r="N85" s="147"/>
      <c r="O85" s="147"/>
      <c r="P85" s="147"/>
      <c r="Q85" s="147"/>
      <c r="R85" s="516">
        <f t="shared" si="21"/>
        <v>8976000</v>
      </c>
      <c r="S85" s="147">
        <f>R85</f>
        <v>8976000</v>
      </c>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125000</v>
      </c>
      <c r="C88" s="147">
        <v>125000</v>
      </c>
      <c r="D88" s="147"/>
      <c r="E88" s="147"/>
      <c r="F88" s="147"/>
      <c r="G88" s="147"/>
      <c r="H88" s="147">
        <f>C88</f>
        <v>125000</v>
      </c>
      <c r="I88" s="147"/>
      <c r="J88" s="147"/>
      <c r="K88" s="147"/>
      <c r="L88" s="147"/>
      <c r="M88" s="147"/>
      <c r="N88" s="147"/>
      <c r="O88" s="147"/>
      <c r="P88" s="147"/>
      <c r="Q88" s="147"/>
      <c r="R88" s="516">
        <f t="shared" si="21"/>
        <v>125000</v>
      </c>
      <c r="S88" s="148"/>
      <c r="T88" s="148"/>
      <c r="U88" s="143"/>
    </row>
    <row r="89" spans="1:21" s="144" customFormat="1">
      <c r="A89" s="145" t="s">
        <v>773</v>
      </c>
      <c r="B89" s="146">
        <f t="shared" si="20"/>
        <v>550000</v>
      </c>
      <c r="C89" s="147">
        <v>550000</v>
      </c>
      <c r="D89" s="147"/>
      <c r="E89" s="147"/>
      <c r="F89" s="147"/>
      <c r="G89" s="147"/>
      <c r="H89" s="147">
        <f>C89</f>
        <v>550000</v>
      </c>
      <c r="I89" s="147"/>
      <c r="J89" s="147"/>
      <c r="K89" s="147"/>
      <c r="L89" s="147"/>
      <c r="M89" s="147"/>
      <c r="N89" s="147"/>
      <c r="O89" s="147"/>
      <c r="P89" s="147"/>
      <c r="Q89" s="147"/>
      <c r="R89" s="516">
        <f t="shared" si="21"/>
        <v>550000</v>
      </c>
      <c r="S89" s="147">
        <f>R89</f>
        <v>550000</v>
      </c>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50000</v>
      </c>
      <c r="C91" s="147">
        <v>50000</v>
      </c>
      <c r="D91" s="147"/>
      <c r="E91" s="147"/>
      <c r="F91" s="147"/>
      <c r="G91" s="147"/>
      <c r="H91" s="147">
        <f>C91</f>
        <v>50000</v>
      </c>
      <c r="I91" s="147"/>
      <c r="J91" s="147"/>
      <c r="K91" s="147"/>
      <c r="L91" s="147"/>
      <c r="M91" s="147"/>
      <c r="N91" s="147"/>
      <c r="O91" s="147"/>
      <c r="P91" s="147"/>
      <c r="Q91" s="147"/>
      <c r="R91" s="516">
        <f t="shared" si="21"/>
        <v>50000</v>
      </c>
      <c r="S91" s="147">
        <f>R91</f>
        <v>50000</v>
      </c>
      <c r="T91" s="147"/>
      <c r="U91" s="143"/>
    </row>
    <row r="92" spans="1:21" s="144" customFormat="1">
      <c r="A92" s="283" t="s">
        <v>1212</v>
      </c>
      <c r="B92" s="146">
        <f t="shared" si="20"/>
        <v>40000</v>
      </c>
      <c r="C92" s="147">
        <v>40000</v>
      </c>
      <c r="D92" s="147"/>
      <c r="E92" s="147"/>
      <c r="F92" s="147"/>
      <c r="G92" s="147"/>
      <c r="H92" s="147">
        <f>C92</f>
        <v>40000</v>
      </c>
      <c r="I92" s="147"/>
      <c r="J92" s="147"/>
      <c r="K92" s="147"/>
      <c r="L92" s="147"/>
      <c r="M92" s="147"/>
      <c r="N92" s="147"/>
      <c r="O92" s="147"/>
      <c r="P92" s="147"/>
      <c r="Q92" s="147"/>
      <c r="R92" s="516">
        <f t="shared" si="21"/>
        <v>40000</v>
      </c>
      <c r="S92" s="147">
        <f>R92</f>
        <v>40000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10347094</v>
      </c>
      <c r="C96" s="146">
        <f t="shared" ref="C96:R96" si="22">SUM(C83:C95)</f>
        <v>10347094</v>
      </c>
      <c r="D96" s="146">
        <f t="shared" si="22"/>
        <v>0</v>
      </c>
      <c r="E96" s="146">
        <f t="shared" si="22"/>
        <v>0</v>
      </c>
      <c r="F96" s="146">
        <f t="shared" si="22"/>
        <v>0</v>
      </c>
      <c r="G96" s="146">
        <f t="shared" si="22"/>
        <v>0</v>
      </c>
      <c r="H96" s="146">
        <f t="shared" si="22"/>
        <v>10347094</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10347094</v>
      </c>
      <c r="S96" s="150">
        <f>SUM(S84:S87,S89:S95)</f>
        <v>9616000</v>
      </c>
      <c r="T96" s="146">
        <f>SUM(T84:T87,T89:T95)</f>
        <v>0</v>
      </c>
      <c r="U96" s="143"/>
    </row>
    <row r="97" spans="1:21" s="144" customFormat="1">
      <c r="A97" s="149" t="s">
        <v>776</v>
      </c>
      <c r="B97" s="146">
        <f>SUM(C97:D97)</f>
        <v>131205187</v>
      </c>
      <c r="C97" s="146">
        <f t="shared" ref="C97:R97" si="23">SUM(C63+C70+C77+C81+C96)</f>
        <v>131205187</v>
      </c>
      <c r="D97" s="146">
        <f t="shared" si="23"/>
        <v>0</v>
      </c>
      <c r="E97" s="146">
        <f t="shared" si="23"/>
        <v>46284798</v>
      </c>
      <c r="F97" s="146">
        <f t="shared" si="23"/>
        <v>49781000</v>
      </c>
      <c r="G97" s="146">
        <f t="shared" si="23"/>
        <v>2915163</v>
      </c>
      <c r="H97" s="146">
        <f t="shared" si="23"/>
        <v>32224226</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131205187</v>
      </c>
      <c r="S97" s="146">
        <f>SUM(S63+S70+S81+S96)</f>
        <v>124233569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18635034</v>
      </c>
      <c r="C99" s="979">
        <v>18635034</v>
      </c>
      <c r="D99" s="979"/>
      <c r="E99" s="979"/>
      <c r="F99" s="147"/>
      <c r="G99" s="147"/>
      <c r="H99" s="147">
        <f>H108-32224226</f>
        <v>1775774</v>
      </c>
      <c r="I99" s="147">
        <f>I108</f>
        <v>16859260</v>
      </c>
      <c r="J99" s="147"/>
      <c r="K99" s="147"/>
      <c r="L99" s="147"/>
      <c r="M99" s="147"/>
      <c r="N99" s="147"/>
      <c r="O99" s="147"/>
      <c r="P99" s="147"/>
      <c r="Q99" s="147"/>
      <c r="R99" s="516">
        <f>SUM(E99:Q99)</f>
        <v>18635034</v>
      </c>
      <c r="S99" s="147">
        <f>R99</f>
        <v>18635034</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18635034</v>
      </c>
      <c r="C104" s="146">
        <f>SUM(C99:C103)</f>
        <v>18635034</v>
      </c>
      <c r="D104" s="146">
        <f t="shared" ref="D104:T104" si="24">SUM(D99:D103)</f>
        <v>0</v>
      </c>
      <c r="E104" s="146">
        <f t="shared" si="24"/>
        <v>0</v>
      </c>
      <c r="F104" s="146">
        <f t="shared" si="24"/>
        <v>0</v>
      </c>
      <c r="G104" s="146">
        <f t="shared" si="24"/>
        <v>0</v>
      </c>
      <c r="H104" s="146">
        <f t="shared" si="24"/>
        <v>1775774</v>
      </c>
      <c r="I104" s="146">
        <f t="shared" si="24"/>
        <v>16859260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18635034</v>
      </c>
      <c r="S104" s="150">
        <f t="shared" si="24"/>
        <v>18635034</v>
      </c>
      <c r="T104" s="150">
        <f t="shared" si="24"/>
        <v>0</v>
      </c>
      <c r="U104" s="143"/>
    </row>
    <row r="105" spans="1:21" s="144" customFormat="1">
      <c r="A105" s="149" t="s">
        <v>781</v>
      </c>
      <c r="B105" s="150">
        <f>SUM(C105:D105)</f>
        <v>149840221</v>
      </c>
      <c r="C105" s="150">
        <f t="shared" ref="C105:R105" si="25">SUM(C97+C104)</f>
        <v>149840221</v>
      </c>
      <c r="D105" s="150">
        <f t="shared" si="25"/>
        <v>0</v>
      </c>
      <c r="E105" s="150">
        <f t="shared" si="25"/>
        <v>46284798</v>
      </c>
      <c r="F105" s="150">
        <f t="shared" si="25"/>
        <v>49781000</v>
      </c>
      <c r="G105" s="150">
        <f t="shared" si="25"/>
        <v>2915163</v>
      </c>
      <c r="H105" s="150">
        <f t="shared" si="25"/>
        <v>34000000</v>
      </c>
      <c r="I105" s="150">
        <f t="shared" si="25"/>
        <v>16859260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149840221</v>
      </c>
      <c r="S105" s="150">
        <f>S97+S104</f>
        <v>142868603</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142868603</v>
      </c>
      <c r="T107" s="150">
        <f>T105+T106</f>
        <v>0</v>
      </c>
    </row>
    <row r="108" spans="1:21" s="189" customFormat="1">
      <c r="A108" s="162" t="s">
        <v>880</v>
      </c>
      <c r="B108" s="157"/>
      <c r="C108" s="157"/>
      <c r="D108" s="157"/>
      <c r="E108" s="301">
        <f>Application!AO640</f>
        <v>46284798</v>
      </c>
      <c r="F108" s="301">
        <f>Application!AO627</f>
        <v>49781000</v>
      </c>
      <c r="G108" s="301">
        <f>Application!AO628</f>
        <v>2915163</v>
      </c>
      <c r="H108" s="301">
        <f>Application!AO629</f>
        <v>34000000</v>
      </c>
      <c r="I108" s="301">
        <f>Application!AO630</f>
        <v>16859260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2" t="s">
        <v>991</v>
      </c>
      <c r="E122" s="1862"/>
      <c r="F122" s="186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994</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75">
      <c r="A129" s="117" t="s">
        <v>300</v>
      </c>
      <c r="B129" s="333"/>
      <c r="C129" s="117"/>
      <c r="D129" s="1861" t="s">
        <v>998</v>
      </c>
      <c r="E129" s="1861"/>
      <c r="F129" s="1861"/>
      <c r="G129" s="1861"/>
      <c r="H129" s="186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2.75">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1228</v>
      </c>
      <c r="B1" s="1870"/>
      <c r="C1" s="1870"/>
      <c r="D1" s="1870"/>
      <c r="E1" s="1870"/>
      <c r="F1" s="1870"/>
      <c r="G1" s="1870"/>
      <c r="H1" s="1870"/>
      <c r="I1" s="1870"/>
      <c r="J1" s="187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79848320</v>
      </c>
      <c r="C30" s="362"/>
      <c r="D30" s="362"/>
      <c r="E30" s="361">
        <f>'Sources and Uses Budget'!S30</f>
        <v>79848320</v>
      </c>
      <c r="F30" s="362"/>
      <c r="G30" s="362"/>
      <c r="H30" s="361">
        <f>'Sources and Uses Budget'!T30</f>
        <v>0</v>
      </c>
      <c r="I30" s="362"/>
      <c r="J30" s="362"/>
      <c r="K30" s="359"/>
    </row>
    <row r="31" spans="1:11" s="360" customFormat="1">
      <c r="A31" s="145" t="s">
        <v>601</v>
      </c>
      <c r="B31" s="361">
        <f>'Sources and Uses Budget'!C31</f>
        <v>6387866</v>
      </c>
      <c r="C31" s="362"/>
      <c r="D31" s="362"/>
      <c r="E31" s="361">
        <f>'Sources and Uses Budget'!S31</f>
        <v>6387866</v>
      </c>
      <c r="F31" s="362"/>
      <c r="G31" s="362"/>
      <c r="H31" s="361">
        <f>'Sources and Uses Budget'!T31</f>
        <v>0</v>
      </c>
      <c r="I31" s="362"/>
      <c r="J31" s="362"/>
      <c r="K31" s="359"/>
    </row>
    <row r="32" spans="1:11" s="360" customFormat="1">
      <c r="A32" s="145" t="s">
        <v>137</v>
      </c>
      <c r="B32" s="361">
        <f>'Sources and Uses Budget'!C32</f>
        <v>3449447</v>
      </c>
      <c r="C32" s="362"/>
      <c r="D32" s="362"/>
      <c r="E32" s="361">
        <f>'Sources and Uses Budget'!S32</f>
        <v>3449447</v>
      </c>
      <c r="F32" s="362"/>
      <c r="G32" s="362"/>
      <c r="H32" s="361">
        <f>'Sources and Uses Budget'!T32</f>
        <v>0</v>
      </c>
      <c r="I32" s="362"/>
      <c r="J32" s="362"/>
      <c r="K32" s="359"/>
    </row>
    <row r="33" spans="1:11" s="360" customFormat="1">
      <c r="A33" s="145" t="s">
        <v>138</v>
      </c>
      <c r="B33" s="361">
        <f>'Sources and Uses Budget'!C33</f>
        <v>1724724</v>
      </c>
      <c r="C33" s="362"/>
      <c r="D33" s="362"/>
      <c r="E33" s="361">
        <f>'Sources and Uses Budget'!S33</f>
        <v>1724724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1439713</v>
      </c>
      <c r="C35" s="362"/>
      <c r="D35" s="362"/>
      <c r="E35" s="361">
        <f>'Sources and Uses Budget'!S35</f>
        <v>1439713</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Lender Inspections</v>
      </c>
      <c r="B37" s="361">
        <f>'Sources and Uses Budget'!C37</f>
        <v>50000</v>
      </c>
      <c r="C37" s="362"/>
      <c r="D37" s="362"/>
      <c r="E37" s="361">
        <f>'Sources and Uses Budget'!S37</f>
        <v>50000</v>
      </c>
      <c r="F37" s="362"/>
      <c r="G37" s="362"/>
      <c r="H37" s="361">
        <f>'Sources and Uses Budget'!T37</f>
        <v>0</v>
      </c>
      <c r="I37" s="362"/>
      <c r="J37" s="362"/>
      <c r="K37" s="359"/>
    </row>
    <row r="38" spans="1:11" s="360" customFormat="1">
      <c r="A38" s="365" t="s">
        <v>143</v>
      </c>
      <c r="B38" s="361">
        <f>'Sources and Uses Budget'!C38</f>
        <v>92900070</v>
      </c>
      <c r="C38" s="361">
        <f>SUM(C29:C37)</f>
        <v>0</v>
      </c>
      <c r="D38" s="361">
        <f>SUM(D29:D37)</f>
        <v>0</v>
      </c>
      <c r="E38" s="361">
        <f>'Sources and Uses Budget'!S38</f>
        <v>92900070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3500000</v>
      </c>
      <c r="C40" s="362"/>
      <c r="D40" s="362"/>
      <c r="E40" s="361">
        <f>'Sources and Uses Budget'!S40</f>
        <v>3500000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4000000</v>
      </c>
      <c r="C42" s="361">
        <f>SUM(C39:C41)</f>
        <v>0</v>
      </c>
      <c r="D42" s="361">
        <f>SUM(D39:D41)</f>
        <v>0</v>
      </c>
      <c r="E42" s="361">
        <f>'Sources and Uses Budget'!S42</f>
        <v>4000000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c r="D43" s="362"/>
      <c r="E43" s="361">
        <f>'Sources and Uses Budget'!S43</f>
        <v>1000000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7848647</v>
      </c>
      <c r="C45" s="362"/>
      <c r="D45" s="362"/>
      <c r="E45" s="361">
        <f>'Sources and Uses Budget'!S45</f>
        <v>3877934</v>
      </c>
      <c r="F45" s="362"/>
      <c r="G45" s="362"/>
      <c r="H45" s="361">
        <f>'Sources and Uses Budget'!T45</f>
        <v>0</v>
      </c>
      <c r="I45" s="362"/>
      <c r="J45" s="362"/>
      <c r="K45" s="359"/>
    </row>
    <row r="46" spans="1:11" s="360" customFormat="1">
      <c r="A46" s="364" t="s">
        <v>151</v>
      </c>
      <c r="B46" s="361">
        <f>'Sources and Uses Budget'!C46</f>
        <v>632948</v>
      </c>
      <c r="C46" s="362"/>
      <c r="D46" s="362"/>
      <c r="E46" s="361">
        <f>'Sources and Uses Budget'!S46</f>
        <v>632948</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421965</v>
      </c>
      <c r="C48" s="362"/>
      <c r="D48" s="362"/>
      <c r="E48" s="361">
        <f>'Sources and Uses Budget'!S48</f>
        <v>210983</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350000</v>
      </c>
      <c r="C51" s="362"/>
      <c r="D51" s="362"/>
      <c r="E51" s="361">
        <f>'Sources and Uses Budget'!S51</f>
        <v>350000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Ground Lease Payments During Construction</v>
      </c>
      <c r="B53" s="361">
        <f>'Sources and Uses Budget'!C53</f>
        <v>5827500</v>
      </c>
      <c r="C53" s="362"/>
      <c r="D53" s="362"/>
      <c r="E53" s="361">
        <f>'Sources and Uses Budget'!S53</f>
        <v>5827500</v>
      </c>
      <c r="F53" s="362"/>
      <c r="G53" s="362"/>
      <c r="H53" s="361">
        <f>'Sources and Uses Budget'!T53</f>
        <v>0</v>
      </c>
      <c r="I53" s="362"/>
      <c r="J53" s="362"/>
      <c r="K53" s="359"/>
    </row>
    <row r="54" spans="1:11" s="369" customFormat="1">
      <c r="A54" s="365" t="s">
        <v>157</v>
      </c>
      <c r="B54" s="361">
        <f>'Sources and Uses Budget'!C54</f>
        <v>15181060</v>
      </c>
      <c r="C54" s="367">
        <f>SUM(C45:C53)</f>
        <v>0</v>
      </c>
      <c r="D54" s="367">
        <f>SUM(D45:D53)</f>
        <v>0</v>
      </c>
      <c r="E54" s="361">
        <f>'Sources and Uses Budget'!S54</f>
        <v>10999365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497810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522810</v>
      </c>
      <c r="C62" s="361">
        <f>SUM(C56:C61)</f>
        <v>0</v>
      </c>
      <c r="D62" s="361">
        <f>SUM(D56:D61)</f>
        <v>0</v>
      </c>
      <c r="E62" s="363"/>
      <c r="F62" s="363"/>
      <c r="G62" s="363"/>
      <c r="H62" s="363"/>
      <c r="I62" s="363"/>
      <c r="J62" s="363"/>
      <c r="K62" s="359"/>
    </row>
    <row r="63" spans="1:11" s="360" customFormat="1">
      <c r="A63" s="370" t="s">
        <v>302</v>
      </c>
      <c r="B63" s="361">
        <f>'Sources and Uses Budget'!C63</f>
        <v>113604040</v>
      </c>
      <c r="C63" s="361">
        <f>SUM(C8+C11+C13+C14+C15+C26+C27+C38+C42+C43+C54+C62)</f>
        <v>0</v>
      </c>
      <c r="D63" s="361">
        <f>SUM(D8+D11+D13+D14+D15+D26+D27+D38+D42+D43+D54+D62)</f>
        <v>0</v>
      </c>
      <c r="E63" s="361">
        <f>'Sources and Uses Budget'!S63</f>
        <v>108899435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45000</v>
      </c>
      <c r="F65" s="362"/>
      <c r="G65" s="362"/>
      <c r="H65" s="361">
        <f>'Sources and Uses Budget'!T65</f>
        <v>0</v>
      </c>
      <c r="I65" s="362"/>
      <c r="J65" s="362"/>
      <c r="K65" s="359"/>
    </row>
    <row r="66" spans="1:11" s="360" customFormat="1" ht="24">
      <c r="A66" s="283" t="s">
        <v>1642</v>
      </c>
      <c r="B66" s="361">
        <f>'Sources and Uses Budget'!C66</f>
        <v>200000</v>
      </c>
      <c r="C66" s="362"/>
      <c r="D66" s="362"/>
      <c r="E66" s="361">
        <f>'Sources and Uses Budget'!S66</f>
        <v>100000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Legal Borrower &amp; Consultant and Ground Lease Expenses - legal </v>
      </c>
      <c r="B69" s="361">
        <f>'Sources and Uses Budget'!C69</f>
        <v>485000</v>
      </c>
      <c r="C69" s="362"/>
      <c r="D69" s="362"/>
      <c r="E69" s="361">
        <f>'Sources and Uses Budget'!S69</f>
        <v>335000</v>
      </c>
      <c r="F69" s="362"/>
      <c r="G69" s="362"/>
      <c r="H69" s="361">
        <f>'Sources and Uses Budget'!T69</f>
        <v>0</v>
      </c>
      <c r="I69" s="362"/>
      <c r="J69" s="362"/>
      <c r="K69" s="359"/>
    </row>
    <row r="70" spans="1:11" s="360" customFormat="1">
      <c r="A70" s="365" t="s">
        <v>602</v>
      </c>
      <c r="B70" s="361">
        <f>'Sources and Uses Budget'!C70</f>
        <v>775000</v>
      </c>
      <c r="C70" s="361">
        <f>SUM(C64:C69)</f>
        <v>0</v>
      </c>
      <c r="D70" s="361">
        <f>SUM(D64:D69)</f>
        <v>0</v>
      </c>
      <c r="E70" s="361">
        <f>'Sources and Uses Budget'!S70</f>
        <v>480000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1240919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1240919</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4570518</v>
      </c>
      <c r="C79" s="362"/>
      <c r="D79" s="362"/>
      <c r="E79" s="361">
        <f>'Sources and Uses Budget'!S79</f>
        <v>4570518</v>
      </c>
      <c r="F79" s="362"/>
      <c r="G79" s="362"/>
      <c r="H79" s="361">
        <f>'Sources and Uses Budget'!T79</f>
        <v>0</v>
      </c>
      <c r="I79" s="362"/>
      <c r="J79" s="362"/>
      <c r="K79" s="359"/>
    </row>
    <row r="80" spans="1:11" s="360" customFormat="1">
      <c r="A80" s="364" t="s">
        <v>58</v>
      </c>
      <c r="B80" s="361">
        <f>'Sources and Uses Budget'!C80</f>
        <v>667616</v>
      </c>
      <c r="C80" s="362"/>
      <c r="D80" s="362"/>
      <c r="E80" s="361">
        <f>'Sources and Uses Budget'!S80</f>
        <v>667616</v>
      </c>
      <c r="F80" s="362"/>
      <c r="G80" s="362"/>
      <c r="H80" s="361">
        <f>'Sources and Uses Budget'!T80</f>
        <v>0</v>
      </c>
      <c r="I80" s="362"/>
      <c r="J80" s="362"/>
      <c r="K80" s="359"/>
    </row>
    <row r="81" spans="1:11" s="360" customFormat="1">
      <c r="A81" s="365" t="s">
        <v>1210</v>
      </c>
      <c r="B81" s="361">
        <f>'Sources and Uses Budget'!C81</f>
        <v>5238134</v>
      </c>
      <c r="C81" s="361">
        <f>SUM(C79:C80)</f>
        <v>0</v>
      </c>
      <c r="D81" s="361">
        <f>SUM(D79:D80)</f>
        <v>0</v>
      </c>
      <c r="E81" s="361">
        <f>'Sources and Uses Budget'!S81</f>
        <v>5238134</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606094</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8976000</v>
      </c>
      <c r="C85" s="362"/>
      <c r="D85" s="362"/>
      <c r="E85" s="361">
        <f>'Sources and Uses Budget'!S85</f>
        <v>8976000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125000</v>
      </c>
      <c r="C88" s="362"/>
      <c r="D88" s="362"/>
      <c r="E88" s="363"/>
      <c r="F88" s="363"/>
      <c r="G88" s="363"/>
      <c r="H88" s="363"/>
      <c r="I88" s="363"/>
      <c r="J88" s="363"/>
      <c r="K88" s="359"/>
    </row>
    <row r="89" spans="1:11" s="360" customFormat="1">
      <c r="A89" s="145" t="s">
        <v>773</v>
      </c>
      <c r="B89" s="361">
        <f>'Sources and Uses Budget'!C89</f>
        <v>550000</v>
      </c>
      <c r="C89" s="362"/>
      <c r="D89" s="362"/>
      <c r="E89" s="361">
        <f>'Sources and Uses Budget'!S89</f>
        <v>550000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40000</v>
      </c>
      <c r="C92" s="362"/>
      <c r="D92" s="362"/>
      <c r="E92" s="361">
        <f>'Sources and Uses Budget'!S92</f>
        <v>40000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10347094</v>
      </c>
      <c r="C96" s="361">
        <f>SUM(C83:C95)</f>
        <v>0</v>
      </c>
      <c r="D96" s="361">
        <f>SUM(D83:D95)</f>
        <v>0</v>
      </c>
      <c r="E96" s="361">
        <f>'Sources and Uses Budget'!S96</f>
        <v>9616000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131205187</v>
      </c>
      <c r="C97" s="361">
        <f>SUM(C63+C70+C77+C81+C96)</f>
        <v>0</v>
      </c>
      <c r="D97" s="361">
        <f>SUM(D63+D70+D77+D81+D96)</f>
        <v>0</v>
      </c>
      <c r="E97" s="361">
        <f>'Sources and Uses Budget'!S97</f>
        <v>124233569</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18635034</v>
      </c>
      <c r="C99" s="362"/>
      <c r="D99" s="362"/>
      <c r="E99" s="361">
        <f>'Sources and Uses Budget'!S99</f>
        <v>18635034</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18635034</v>
      </c>
      <c r="C104" s="361">
        <f>SUM(C99:C103)</f>
        <v>0</v>
      </c>
      <c r="D104" s="361">
        <f>SUM(D99:D103)</f>
        <v>0</v>
      </c>
      <c r="E104" s="361">
        <f>'Sources and Uses Budget'!S104</f>
        <v>18635034</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149840221</v>
      </c>
      <c r="C105" s="367">
        <f>SUM(C97+C104)</f>
        <v>0</v>
      </c>
      <c r="D105" s="367">
        <f>SUM(D97+D104)</f>
        <v>0</v>
      </c>
      <c r="E105" s="361">
        <f>'Sources and Uses Budget'!S105</f>
        <v>142868603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142868603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7"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7" t="s">
        <v>2457</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2456</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9" t="str">
        <f>IF(Application!H18="","",Application!H18)</f>
        <v>Block A Family Apartments</v>
      </c>
      <c r="M4" s="2310"/>
      <c r="N4" s="2310"/>
      <c r="O4" s="2310"/>
      <c r="P4" s="2310"/>
      <c r="Q4" s="2310"/>
      <c r="R4" s="2310"/>
      <c r="S4" s="2310"/>
      <c r="T4" s="2310"/>
      <c r="U4" s="2310"/>
      <c r="V4" s="2310"/>
      <c r="W4" s="2310"/>
      <c r="X4" s="2310"/>
      <c r="Y4" s="2310"/>
      <c r="Z4" s="2310"/>
      <c r="AA4" s="2310"/>
      <c r="AB4" s="2310"/>
      <c r="AC4" s="2311"/>
      <c r="AD4" s="1190"/>
      <c r="AE4" s="1190"/>
      <c r="AF4" s="2305" t="s">
        <v>2455</v>
      </c>
      <c r="AG4" s="2305"/>
      <c r="AH4" s="2305"/>
      <c r="AI4" s="2305"/>
      <c r="AJ4" s="2305"/>
      <c r="AK4" s="2305"/>
      <c r="AL4" s="2305"/>
      <c r="AM4" s="2305"/>
      <c r="AN4" s="2305"/>
      <c r="AO4" s="2305"/>
      <c r="AP4" s="2306"/>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2454</v>
      </c>
      <c r="AG5" s="2305"/>
      <c r="AH5" s="2305"/>
      <c r="AI5" s="2305"/>
      <c r="AJ5" s="2305"/>
      <c r="AK5" s="2305"/>
      <c r="AL5" s="2305"/>
      <c r="AM5" s="2305"/>
      <c r="AN5" s="2305"/>
      <c r="AO5" s="2305"/>
      <c r="AP5" s="2306"/>
      <c r="AQ5" s="2307"/>
      <c r="AR5" s="2307"/>
      <c r="AS5" s="2307"/>
      <c r="AT5" s="2307"/>
      <c r="AU5" s="230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09" t="str">
        <f>IF(Application!H16="","",Application!H16)</f>
        <v>PacH San Jose Holdings, LLC</v>
      </c>
      <c r="M6" s="2310"/>
      <c r="N6" s="2310"/>
      <c r="O6" s="2310"/>
      <c r="P6" s="2310"/>
      <c r="Q6" s="2310"/>
      <c r="R6" s="2310"/>
      <c r="S6" s="2310"/>
      <c r="T6" s="2310"/>
      <c r="U6" s="2310"/>
      <c r="V6" s="2310"/>
      <c r="W6" s="2310"/>
      <c r="X6" s="2310"/>
      <c r="Y6" s="2310"/>
      <c r="Z6" s="2310"/>
      <c r="AA6" s="2310"/>
      <c r="AB6" s="2310"/>
      <c r="AC6" s="2311"/>
      <c r="AD6" s="1190"/>
      <c r="AE6" s="1190"/>
      <c r="AF6" s="2312" t="s">
        <v>2452</v>
      </c>
      <c r="AG6" s="2312"/>
      <c r="AH6" s="2312"/>
      <c r="AI6" s="2312"/>
      <c r="AJ6" s="2312"/>
      <c r="AK6" s="2312"/>
      <c r="AL6" s="2312"/>
      <c r="AM6" s="2312"/>
      <c r="AN6" s="2312"/>
      <c r="AO6" s="2312"/>
      <c r="AP6" s="2313"/>
      <c r="AQ6" s="2313"/>
      <c r="AR6" s="2313"/>
      <c r="AS6" s="2313"/>
      <c r="AT6" s="2313"/>
      <c r="AU6" s="231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2451</v>
      </c>
      <c r="AG7" s="2312"/>
      <c r="AH7" s="2312"/>
      <c r="AI7" s="2312"/>
      <c r="AJ7" s="2312"/>
      <c r="AK7" s="2312"/>
      <c r="AL7" s="2312"/>
      <c r="AM7" s="2312"/>
      <c r="AN7" s="2312"/>
      <c r="AO7" s="2312"/>
      <c r="AP7" s="2313"/>
      <c r="AQ7" s="2313"/>
      <c r="AR7" s="2313"/>
      <c r="AS7" s="2313"/>
      <c r="AT7" s="2313"/>
      <c r="AU7" s="2313"/>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2449</v>
      </c>
      <c r="AG8" s="2312"/>
      <c r="AH8" s="2312"/>
      <c r="AI8" s="2312"/>
      <c r="AJ8" s="2312"/>
      <c r="AK8" s="2312"/>
      <c r="AL8" s="2312"/>
      <c r="AM8" s="2312"/>
      <c r="AN8" s="2312"/>
      <c r="AO8" s="2312"/>
      <c r="AP8" s="2313" t="s">
        <v>2099</v>
      </c>
      <c r="AQ8" s="2313"/>
      <c r="AR8" s="2313"/>
      <c r="AS8" s="2313"/>
      <c r="AT8" s="2313"/>
      <c r="AU8" s="231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2448</v>
      </c>
      <c r="AG9" s="2305"/>
      <c r="AH9" s="2305"/>
      <c r="AI9" s="2305"/>
      <c r="AJ9" s="2305"/>
      <c r="AK9" s="2305"/>
      <c r="AL9" s="2305"/>
      <c r="AM9" s="2305"/>
      <c r="AN9" s="2305"/>
      <c r="AO9" s="2305"/>
      <c r="AP9" s="2306"/>
      <c r="AQ9" s="2307"/>
      <c r="AR9" s="2307"/>
      <c r="AS9" s="2307"/>
      <c r="AT9" s="2307"/>
      <c r="AU9" s="2307"/>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08">
        <f>Application!AO627</f>
        <v>49781000</v>
      </c>
      <c r="O10" s="2308"/>
      <c r="P10" s="2308"/>
      <c r="Q10" s="2308"/>
      <c r="R10" s="2308"/>
      <c r="S10" s="2308"/>
      <c r="T10" s="2308"/>
      <c r="U10" s="1190"/>
      <c r="V10" s="1190"/>
      <c r="W10" s="1190"/>
      <c r="X10" s="1193"/>
      <c r="Y10" s="1193"/>
      <c r="Z10" s="1193"/>
      <c r="AA10" s="1193"/>
      <c r="AB10" s="1193"/>
      <c r="AC10" s="1193"/>
      <c r="AD10" s="1193"/>
      <c r="AE10" s="1193"/>
      <c r="AF10" s="2305" t="s">
        <v>2445</v>
      </c>
      <c r="AG10" s="2305"/>
      <c r="AH10" s="2305"/>
      <c r="AI10" s="2305"/>
      <c r="AJ10" s="2305"/>
      <c r="AK10" s="2305"/>
      <c r="AL10" s="2305"/>
      <c r="AM10" s="2305"/>
      <c r="AN10" s="2305"/>
      <c r="AO10" s="2305"/>
      <c r="AP10" s="2306"/>
      <c r="AQ10" s="2307"/>
      <c r="AR10" s="2307"/>
      <c r="AS10" s="2307"/>
      <c r="AT10" s="2307"/>
      <c r="AU10" s="2307"/>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08">
        <f>Application!AA934</f>
        <v>0</v>
      </c>
      <c r="O11" s="2308"/>
      <c r="P11" s="2308"/>
      <c r="Q11" s="2308"/>
      <c r="R11" s="2308"/>
      <c r="S11" s="2308"/>
      <c r="T11" s="2308"/>
      <c r="U11" s="1190"/>
      <c r="V11" s="1190"/>
      <c r="W11" s="1190"/>
      <c r="X11" s="1193"/>
      <c r="Y11" s="1193"/>
      <c r="Z11" s="1193"/>
      <c r="AA11" s="1193"/>
      <c r="AB11" s="1193"/>
      <c r="AC11" s="1193"/>
      <c r="AD11" s="1193"/>
      <c r="AE11" s="1193"/>
      <c r="AF11" s="2305" t="s">
        <v>2442</v>
      </c>
      <c r="AG11" s="2305"/>
      <c r="AH11" s="2305"/>
      <c r="AI11" s="2305"/>
      <c r="AJ11" s="2305"/>
      <c r="AK11" s="2305"/>
      <c r="AL11" s="2305"/>
      <c r="AM11" s="2305"/>
      <c r="AN11" s="2305"/>
      <c r="AO11" s="2305"/>
      <c r="AP11" s="2306"/>
      <c r="AQ11" s="2307"/>
      <c r="AR11" s="2307"/>
      <c r="AS11" s="2307"/>
      <c r="AT11" s="2307"/>
      <c r="AU11" s="230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6" t="s">
        <v>2440</v>
      </c>
      <c r="C13" s="2297"/>
      <c r="D13" s="2297"/>
      <c r="E13" s="2297"/>
      <c r="F13" s="2297"/>
      <c r="G13" s="2297"/>
      <c r="H13" s="2297"/>
      <c r="I13" s="2297"/>
      <c r="J13" s="2297"/>
      <c r="K13" s="2297"/>
      <c r="L13" s="2297"/>
      <c r="M13" s="2297"/>
      <c r="N13" s="2297"/>
      <c r="O13" s="2297"/>
      <c r="P13" s="2298"/>
      <c r="Q13" s="2299" t="s">
        <v>670</v>
      </c>
      <c r="R13" s="2300"/>
      <c r="S13" s="2300"/>
      <c r="T13" s="2301"/>
      <c r="U13" s="1193"/>
      <c r="V13" s="1190"/>
      <c r="W13" s="1190"/>
      <c r="X13" s="1190"/>
      <c r="Y13" s="1190"/>
      <c r="Z13" s="1190"/>
      <c r="AA13" s="2286" t="s">
        <v>2439</v>
      </c>
      <c r="AB13" s="2286"/>
      <c r="AC13" s="2286"/>
      <c r="AD13" s="2286"/>
      <c r="AE13" s="2286"/>
      <c r="AF13" s="2286"/>
      <c r="AG13" s="2286"/>
      <c r="AH13" s="2286"/>
      <c r="AI13" s="2286"/>
      <c r="AJ13" s="2286"/>
      <c r="AK13" s="2286"/>
      <c r="AL13" s="2286"/>
      <c r="AM13" s="2286"/>
      <c r="AN13" s="2286"/>
      <c r="AO13" s="2302">
        <f>Application!W473</f>
        <v>0</v>
      </c>
      <c r="AP13" s="2303"/>
      <c r="AQ13" s="2303"/>
      <c r="AR13" s="2303"/>
      <c r="AS13" s="2303"/>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2437</v>
      </c>
      <c r="AB14" s="2304"/>
      <c r="AC14" s="2304"/>
      <c r="AD14" s="2304"/>
      <c r="AE14" s="2304"/>
      <c r="AF14" s="2304"/>
      <c r="AG14" s="2304"/>
      <c r="AH14" s="2304"/>
      <c r="AI14" s="2304"/>
      <c r="AJ14" s="2304"/>
      <c r="AK14" s="2304"/>
      <c r="AL14" s="2304"/>
      <c r="AM14" s="2304"/>
      <c r="AN14" s="2304"/>
      <c r="AO14" s="2287"/>
      <c r="AP14" s="2288"/>
      <c r="AQ14" s="2288"/>
      <c r="AR14" s="2288"/>
      <c r="AS14" s="2288"/>
      <c r="AT14" s="1193"/>
      <c r="AU14" s="1193"/>
      <c r="AV14" s="1193"/>
      <c r="AW14" s="1193"/>
      <c r="AX14" s="1193"/>
      <c r="AY14" s="1193"/>
      <c r="AZ14" s="1193"/>
      <c r="BA14" s="1193"/>
      <c r="BB14" s="1193"/>
      <c r="BC14" s="1193"/>
      <c r="BD14" s="1193"/>
      <c r="BE14" s="1194"/>
    </row>
    <row r="15" spans="1:65" thickBot="1">
      <c r="A15" s="1190"/>
      <c r="B15" s="2281" t="s">
        <v>2436</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2435</v>
      </c>
      <c r="AB15" s="2286"/>
      <c r="AC15" s="2286"/>
      <c r="AD15" s="2286"/>
      <c r="AE15" s="2286"/>
      <c r="AF15" s="2286"/>
      <c r="AG15" s="2286"/>
      <c r="AH15" s="2286"/>
      <c r="AI15" s="2286"/>
      <c r="AJ15" s="2286"/>
      <c r="AK15" s="2286"/>
      <c r="AL15" s="2286"/>
      <c r="AM15" s="2286"/>
      <c r="AN15" s="2286"/>
      <c r="AO15" s="2287"/>
      <c r="AP15" s="2288"/>
      <c r="AQ15" s="2288"/>
      <c r="AR15" s="2288"/>
      <c r="AS15" s="228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4" t="s">
        <v>2434</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0"/>
      <c r="BA17" s="1190"/>
      <c r="BB17" s="1190"/>
      <c r="BC17" s="1190"/>
      <c r="BD17" s="1190"/>
      <c r="BE17" s="1194"/>
      <c r="BF17" s="1188"/>
    </row>
    <row r="18" spans="1:58" ht="15.75" customHeight="1">
      <c r="A18" s="1190"/>
      <c r="B18" s="2289" t="s">
        <v>2433</v>
      </c>
      <c r="C18" s="2290"/>
      <c r="D18" s="2290"/>
      <c r="E18" s="2290"/>
      <c r="F18" s="2290"/>
      <c r="G18" s="2290"/>
      <c r="H18" s="2290"/>
      <c r="I18" s="2291"/>
      <c r="J18" s="2292" t="s">
        <v>1587</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2432</v>
      </c>
      <c r="AU18" s="2293"/>
      <c r="AV18" s="2293"/>
      <c r="AW18" s="2293"/>
      <c r="AX18" s="2293"/>
      <c r="AY18" s="2295"/>
      <c r="AZ18" s="1190"/>
      <c r="BA18" s="1190"/>
      <c r="BB18" s="1190"/>
      <c r="BC18" s="1190"/>
      <c r="BD18" s="1190"/>
      <c r="BE18" s="1194"/>
    </row>
    <row r="19" spans="1:58" ht="15">
      <c r="A19" s="1190"/>
      <c r="B19" s="2275">
        <v>0.3</v>
      </c>
      <c r="C19" s="2276"/>
      <c r="D19" s="2276"/>
      <c r="E19" s="2276"/>
      <c r="F19" s="2276"/>
      <c r="G19" s="2276"/>
      <c r="H19" s="2276"/>
      <c r="I19" s="2277"/>
      <c r="J19" s="2278">
        <f t="shared" ref="J19:J24" si="0">SUM(P19:AS19)</f>
        <v>27</v>
      </c>
      <c r="K19" s="2279"/>
      <c r="L19" s="2279"/>
      <c r="M19" s="2279"/>
      <c r="N19" s="2279"/>
      <c r="O19" s="2280"/>
      <c r="P19" s="2278" cm="1">
        <f t="array" ref="P19">SUMPRODUCT((Application!$B$718:$B$752 = 'CalHFA Addendum'!P$18)*(Application!$AC$718:$AC$752 = 'CalHFA Addendum'!$B19),Application!$G$718:$G$752)</f>
        <v>0</v>
      </c>
      <c r="Q19" s="2279"/>
      <c r="R19" s="2279"/>
      <c r="S19" s="2279"/>
      <c r="T19" s="2279"/>
      <c r="U19" s="2280"/>
      <c r="V19" s="2278" cm="1">
        <f t="array" ref="V19">SUMPRODUCT((Application!$B$714:$B$738 = 'CalHFA Addendum'!V$18)*(Application!$AC$714:$AC$738 = 'CalHFA Addendum'!$B19),Application!$G$714:$G$738)</f>
        <v>11</v>
      </c>
      <c r="W19" s="2279"/>
      <c r="X19" s="2279"/>
      <c r="Y19" s="2279"/>
      <c r="Z19" s="2279"/>
      <c r="AA19" s="2280"/>
      <c r="AB19" s="2278" cm="1">
        <f t="array" ref="AB19">SUMPRODUCT((Application!$B$714:$B$738 = 'CalHFA Addendum'!AB$18)*(Application!$AC$714:$AC$738 = 'CalHFA Addendum'!$B19),Application!$G$714:$G$738)</f>
        <v>10</v>
      </c>
      <c r="AC19" s="2279"/>
      <c r="AD19" s="2279"/>
      <c r="AE19" s="2279"/>
      <c r="AF19" s="2279"/>
      <c r="AG19" s="2280"/>
      <c r="AH19" s="2278" cm="1">
        <f t="array" ref="AH19">SUMPRODUCT((Application!$B$714:$B$738 = 'CalHFA Addendum'!AH$18)*(Application!$AC$714:$AC$738 = 'CalHFA Addendum'!$B19),Application!$G$714:$G$738)</f>
        <v>6</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9.9264705882352935E-2</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90"/>
      <c r="BA20" s="1190"/>
      <c r="BB20" s="1190"/>
      <c r="BC20" s="1190"/>
      <c r="BD20" s="1190"/>
      <c r="BE20" s="1194"/>
    </row>
    <row r="21" spans="1:58" ht="15">
      <c r="A21" s="1190"/>
      <c r="B21" s="2275">
        <v>0.5</v>
      </c>
      <c r="C21" s="2276"/>
      <c r="D21" s="2276"/>
      <c r="E21" s="2276"/>
      <c r="F21" s="2276"/>
      <c r="G21" s="2276"/>
      <c r="H21" s="2276"/>
      <c r="I21" s="2277"/>
      <c r="J21" s="2278">
        <f t="shared" si="0"/>
        <v>27</v>
      </c>
      <c r="K21" s="2279"/>
      <c r="L21" s="2279"/>
      <c r="M21" s="2279"/>
      <c r="N21" s="2279"/>
      <c r="O21" s="2280"/>
      <c r="P21" s="2278" cm="1">
        <f t="array" ref="P21">SUMPRODUCT((Application!$B$714:$B$738 = 'CalHFA Addendum'!P$18)*(Application!$AC$714:$AC$738 = 'CalHFA Addendum'!$B21),Application!$G$714:$G$738)</f>
        <v>0</v>
      </c>
      <c r="Q21" s="2279"/>
      <c r="R21" s="2279"/>
      <c r="S21" s="2279"/>
      <c r="T21" s="2279"/>
      <c r="U21" s="2280"/>
      <c r="V21" s="2278" cm="1">
        <f t="array" ref="V21">SUMPRODUCT((Application!$B$714:$B$738 = 'CalHFA Addendum'!V$18)*(Application!$AC$714:$AC$738 = 'CalHFA Addendum'!$B21),Application!$G$714:$G$738)</f>
        <v>11</v>
      </c>
      <c r="W21" s="2279"/>
      <c r="X21" s="2279"/>
      <c r="Y21" s="2279"/>
      <c r="Z21" s="2279"/>
      <c r="AA21" s="2280"/>
      <c r="AB21" s="2278" cm="1">
        <f t="array" ref="AB21">SUMPRODUCT((Application!$B$714:$B$738 = 'CalHFA Addendum'!AB$18)*(Application!$AC$714:$AC$738 = 'CalHFA Addendum'!$B21),Application!$G$714:$G$738)</f>
        <v>10</v>
      </c>
      <c r="AC21" s="2279"/>
      <c r="AD21" s="2279"/>
      <c r="AE21" s="2279"/>
      <c r="AF21" s="2279"/>
      <c r="AG21" s="2280"/>
      <c r="AH21" s="2278" cm="1">
        <f t="array" ref="AH21">SUMPRODUCT((Application!$B$714:$B$738 = 'CalHFA Addendum'!AH$18)*(Application!$AC$714:$AC$738 = 'CalHFA Addendum'!$B21),Application!$G$714:$G$738)</f>
        <v>6</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9.9264705882352935E-2</v>
      </c>
      <c r="AU21" s="2264"/>
      <c r="AV21" s="2264"/>
      <c r="AW21" s="2264"/>
      <c r="AX21" s="2264"/>
      <c r="AY21" s="2265"/>
      <c r="AZ21" s="1190"/>
      <c r="BA21" s="1190"/>
      <c r="BB21" s="1190"/>
      <c r="BC21" s="1190"/>
      <c r="BD21" s="1190"/>
      <c r="BE21" s="1194"/>
    </row>
    <row r="22" spans="1:58" ht="15">
      <c r="A22" s="1190"/>
      <c r="B22" s="2275">
        <v>0.6</v>
      </c>
      <c r="C22" s="2276"/>
      <c r="D22" s="2276"/>
      <c r="E22" s="2276"/>
      <c r="F22" s="2276"/>
      <c r="G22" s="2276"/>
      <c r="H22" s="2276"/>
      <c r="I22" s="2277"/>
      <c r="J22" s="2278">
        <f t="shared" si="0"/>
        <v>109</v>
      </c>
      <c r="K22" s="2279"/>
      <c r="L22" s="2279"/>
      <c r="M22" s="2279"/>
      <c r="N22" s="2279"/>
      <c r="O22" s="2280"/>
      <c r="P22" s="2278" cm="1">
        <f t="array" ref="P22">SUMPRODUCT((Application!$B$714:$B$738 = 'CalHFA Addendum'!P$18)*(Application!$AC$714:$AC$738 = 'CalHFA Addendum'!$B22),Application!$G$714:$G$738)</f>
        <v>0</v>
      </c>
      <c r="Q22" s="2279"/>
      <c r="R22" s="2279"/>
      <c r="S22" s="2279"/>
      <c r="T22" s="2279"/>
      <c r="U22" s="2280"/>
      <c r="V22" s="2278" cm="1">
        <f t="array" ref="V22">SUMPRODUCT((Application!$B$714:$B$738 = 'CalHFA Addendum'!V$18)*(Application!$AC$714:$AC$738 = 'CalHFA Addendum'!$B22),Application!$G$714:$G$738)</f>
        <v>44</v>
      </c>
      <c r="W22" s="2279"/>
      <c r="X22" s="2279"/>
      <c r="Y22" s="2279"/>
      <c r="Z22" s="2279"/>
      <c r="AA22" s="2280"/>
      <c r="AB22" s="2278" cm="1">
        <f t="array" ref="AB22">SUMPRODUCT((Application!$B$714:$B$738 = 'CalHFA Addendum'!AB$18)*(Application!$AC$714:$AC$738 = 'CalHFA Addendum'!$B22),Application!$G$714:$G$738)</f>
        <v>37</v>
      </c>
      <c r="AC22" s="2279"/>
      <c r="AD22" s="2279"/>
      <c r="AE22" s="2279"/>
      <c r="AF22" s="2279"/>
      <c r="AG22" s="2280"/>
      <c r="AH22" s="2278" cm="1">
        <f t="array" ref="AH22">SUMPRODUCT((Application!$B$714:$B$738 = 'CalHFA Addendum'!AH$18)*(Application!$AC$714:$AC$738 = 'CalHFA Addendum'!$B22),Application!$G$714:$G$738)</f>
        <v>28</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0.40073529411764708</v>
      </c>
      <c r="AU22" s="2264"/>
      <c r="AV22" s="2264"/>
      <c r="AW22" s="2264"/>
      <c r="AX22" s="2264"/>
      <c r="AY22" s="2265"/>
      <c r="AZ22" s="1190"/>
      <c r="BA22" s="1190"/>
      <c r="BB22" s="1190"/>
      <c r="BC22" s="1190"/>
      <c r="BD22" s="1190"/>
      <c r="BE22" s="1194"/>
    </row>
    <row r="23" spans="1:58" ht="15">
      <c r="A23" s="1190"/>
      <c r="B23" s="2275">
        <v>0.7</v>
      </c>
      <c r="C23" s="2276"/>
      <c r="D23" s="2276"/>
      <c r="E23" s="2276"/>
      <c r="F23" s="2276"/>
      <c r="G23" s="2276"/>
      <c r="H23" s="2276"/>
      <c r="I23" s="2277"/>
      <c r="J23" s="2278">
        <f t="shared" si="0"/>
        <v>106</v>
      </c>
      <c r="K23" s="2279"/>
      <c r="L23" s="2279"/>
      <c r="M23" s="2279"/>
      <c r="N23" s="2279"/>
      <c r="O23" s="2280"/>
      <c r="P23" s="2278" cm="1">
        <f t="array" ref="P23">SUMPRODUCT((Application!$B$714:$B$738 = 'CalHFA Addendum'!P$18)*(Application!$AC$714:$AC$738 = 'CalHFA Addendum'!$B23),Application!$G$714:$G$738)</f>
        <v>0</v>
      </c>
      <c r="Q23" s="2279"/>
      <c r="R23" s="2279"/>
      <c r="S23" s="2279"/>
      <c r="T23" s="2279"/>
      <c r="U23" s="2280"/>
      <c r="V23" s="2278" cm="1">
        <f t="array" ref="V23">SUMPRODUCT((Application!$B$714:$B$738 = 'CalHFA Addendum'!V$18)*(Application!$AC$714:$AC$738 = 'CalHFA Addendum'!$B23),Application!$G$714:$G$738)</f>
        <v>41</v>
      </c>
      <c r="W23" s="2279"/>
      <c r="X23" s="2279"/>
      <c r="Y23" s="2279"/>
      <c r="Z23" s="2279"/>
      <c r="AA23" s="2280"/>
      <c r="AB23" s="2278" cm="1">
        <f t="array" ref="AB23">SUMPRODUCT((Application!$B$714:$B$738 = 'CalHFA Addendum'!AB$18)*(Application!$AC$714:$AC$738 = 'CalHFA Addendum'!$B23),Application!$G$714:$G$738)</f>
        <v>36</v>
      </c>
      <c r="AC23" s="2279"/>
      <c r="AD23" s="2279"/>
      <c r="AE23" s="2279"/>
      <c r="AF23" s="2279"/>
      <c r="AG23" s="2280"/>
      <c r="AH23" s="2278" cm="1">
        <f t="array" ref="AH23">SUMPRODUCT((Application!$B$714:$B$738 = 'CalHFA Addendum'!AH$18)*(Application!$AC$714:$AC$738 = 'CalHFA Addendum'!$B23),Application!$G$714:$G$738)</f>
        <v>29</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0.38970588235294118</v>
      </c>
      <c r="AU23" s="2264"/>
      <c r="AV23" s="2264"/>
      <c r="AW23" s="2264"/>
      <c r="AX23" s="2264"/>
      <c r="AY23" s="2265"/>
      <c r="AZ23" s="1190"/>
      <c r="BA23" s="1190"/>
      <c r="BB23" s="1190"/>
      <c r="BC23" s="1190"/>
      <c r="BD23" s="1190"/>
      <c r="BE23" s="1194"/>
    </row>
    <row r="24" spans="1:58" ht="15">
      <c r="A24" s="1190"/>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90"/>
      <c r="BA24" s="1190"/>
      <c r="BB24" s="1190"/>
      <c r="BC24" s="1190"/>
      <c r="BD24" s="1190"/>
      <c r="BE24" s="1194"/>
    </row>
    <row r="25" spans="1:58" ht="1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thickBot="1">
      <c r="A28" s="1190"/>
      <c r="B28" s="2266" t="s">
        <v>2431</v>
      </c>
      <c r="C28" s="2267"/>
      <c r="D28" s="2267"/>
      <c r="E28" s="2267"/>
      <c r="F28" s="2267"/>
      <c r="G28" s="2267"/>
      <c r="H28" s="2267"/>
      <c r="I28" s="2268"/>
      <c r="J28" s="2269">
        <f>SUM(P28:AS28)</f>
        <v>3</v>
      </c>
      <c r="K28" s="2270"/>
      <c r="L28" s="2270"/>
      <c r="M28" s="2270"/>
      <c r="N28" s="2270"/>
      <c r="O28" s="2271"/>
      <c r="P28" s="2269">
        <f>_xlfn.IFNA(VLOOKUP(P$18,Application!$J$773:$S$776,6,FALSE), 0)</f>
        <v>0</v>
      </c>
      <c r="Q28" s="2270"/>
      <c r="R28" s="2270"/>
      <c r="S28" s="2270"/>
      <c r="T28" s="2270"/>
      <c r="U28" s="2271"/>
      <c r="V28" s="2269">
        <f>_xlfn.IFNA(VLOOKUP(V$18,Application!$J$773:$S$776,6,FALSE), 0)</f>
        <v>0</v>
      </c>
      <c r="W28" s="2270"/>
      <c r="X28" s="2270"/>
      <c r="Y28" s="2270"/>
      <c r="Z28" s="2270"/>
      <c r="AA28" s="2271"/>
      <c r="AB28" s="2269">
        <f>_xlfn.IFNA(VLOOKUP(AB$18,Application!$J$773:$S$776,6,FALSE), 0)</f>
        <v>3</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1.1029411764705883E-2</v>
      </c>
      <c r="AU28" s="2273"/>
      <c r="AV28" s="2273"/>
      <c r="AW28" s="2273"/>
      <c r="AX28" s="2273"/>
      <c r="AY28" s="2274"/>
      <c r="AZ28" s="1190"/>
      <c r="BA28" s="1190"/>
      <c r="BB28" s="1190"/>
      <c r="BC28" s="1190"/>
      <c r="BD28" s="1190"/>
      <c r="BE28" s="1194"/>
    </row>
    <row r="29" spans="1:58" thickBot="1">
      <c r="A29" s="1190"/>
      <c r="B29" s="2249" t="s">
        <v>1587</v>
      </c>
      <c r="C29" s="2222"/>
      <c r="D29" s="2222"/>
      <c r="E29" s="2222"/>
      <c r="F29" s="2222"/>
      <c r="G29" s="2222"/>
      <c r="H29" s="2222"/>
      <c r="I29" s="2223"/>
      <c r="J29" s="2221">
        <f>SUM(J19:O28)</f>
        <v>272</v>
      </c>
      <c r="K29" s="2222"/>
      <c r="L29" s="2222"/>
      <c r="M29" s="2222"/>
      <c r="N29" s="2222"/>
      <c r="O29" s="2223"/>
      <c r="P29" s="2221">
        <f>SUM(P19:U28)</f>
        <v>0</v>
      </c>
      <c r="Q29" s="2222"/>
      <c r="R29" s="2222"/>
      <c r="S29" s="2222"/>
      <c r="T29" s="2222"/>
      <c r="U29" s="2223"/>
      <c r="V29" s="2221">
        <f>SUM(V19:AA28)</f>
        <v>107</v>
      </c>
      <c r="W29" s="2222"/>
      <c r="X29" s="2222"/>
      <c r="Y29" s="2222"/>
      <c r="Z29" s="2222"/>
      <c r="AA29" s="2223"/>
      <c r="AB29" s="2221">
        <f>SUM(AB19:AG28)</f>
        <v>96</v>
      </c>
      <c r="AC29" s="2222"/>
      <c r="AD29" s="2222"/>
      <c r="AE29" s="2222"/>
      <c r="AF29" s="2222"/>
      <c r="AG29" s="2223"/>
      <c r="AH29" s="2221">
        <f>SUM(AH19:AM28)</f>
        <v>69</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7" t="s">
        <v>2430</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thickBot="1">
      <c r="A32" s="1190"/>
      <c r="B32" s="2230" t="s">
        <v>2429</v>
      </c>
      <c r="C32" s="2231"/>
      <c r="D32" s="2231"/>
      <c r="E32" s="2231"/>
      <c r="F32" s="2231"/>
      <c r="G32" s="2231"/>
      <c r="H32" s="2231"/>
      <c r="I32" s="2231"/>
      <c r="J32" s="2234" t="s">
        <v>2428</v>
      </c>
      <c r="K32" s="2235"/>
      <c r="L32" s="2235"/>
      <c r="M32" s="2235"/>
      <c r="N32" s="2234" t="s">
        <v>2427</v>
      </c>
      <c r="O32" s="2235"/>
      <c r="P32" s="2235"/>
      <c r="Q32" s="2237"/>
      <c r="R32" s="2239" t="s">
        <v>2426</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2425</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2424</v>
      </c>
      <c r="AT35" s="2251"/>
      <c r="AU35" s="2251"/>
      <c r="AV35" s="2251"/>
      <c r="AW35" s="2251"/>
      <c r="AX35" s="2259"/>
      <c r="AY35" s="2250" t="s">
        <v>2423</v>
      </c>
      <c r="AZ35" s="2251"/>
      <c r="BA35" s="2251"/>
      <c r="BB35" s="2251"/>
      <c r="BC35" s="2251"/>
      <c r="BD35" s="2252"/>
      <c r="BE35" s="1194"/>
    </row>
    <row r="36" spans="1:58" ht="15.75" customHeight="1">
      <c r="A36" s="1190"/>
      <c r="B36" s="2154" t="s">
        <v>2422</v>
      </c>
      <c r="C36" s="2155"/>
      <c r="D36" s="2155"/>
      <c r="E36" s="2155"/>
      <c r="F36" s="2155"/>
      <c r="G36" s="2155"/>
      <c r="H36" s="2155"/>
      <c r="I36" s="2155"/>
      <c r="J36" s="2219" t="s">
        <v>2421</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4"/>
    </row>
    <row r="37" spans="1:58" ht="15.75" customHeight="1">
      <c r="A37" s="1190"/>
      <c r="B37" s="2154" t="s">
        <v>2420</v>
      </c>
      <c r="C37" s="2155"/>
      <c r="D37" s="2155"/>
      <c r="E37" s="2155"/>
      <c r="F37" s="2155"/>
      <c r="G37" s="2155"/>
      <c r="H37" s="2155"/>
      <c r="I37" s="2155"/>
      <c r="J37" s="2219" t="s">
        <v>2419</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4"/>
    </row>
    <row r="38" spans="1:58" ht="15.75" customHeight="1">
      <c r="A38" s="1190"/>
      <c r="B38" s="2154" t="s">
        <v>2418</v>
      </c>
      <c r="C38" s="2155"/>
      <c r="D38" s="2155"/>
      <c r="E38" s="2155"/>
      <c r="F38" s="2155"/>
      <c r="G38" s="2155"/>
      <c r="H38" s="2155"/>
      <c r="I38" s="2155"/>
      <c r="J38" s="2219" t="s">
        <v>2417</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4"/>
    </row>
    <row r="39" spans="1:58" ht="15.75" customHeight="1">
      <c r="A39" s="1190"/>
      <c r="B39" s="2154" t="s">
        <v>2416</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2416</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2415</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2415</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2414</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2413</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2412</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2409</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2402</v>
      </c>
      <c r="C51" s="2097"/>
      <c r="D51" s="2097"/>
      <c r="E51" s="2097"/>
      <c r="F51" s="2097"/>
      <c r="G51" s="2097"/>
      <c r="H51" s="2097"/>
      <c r="I51" s="2097"/>
      <c r="J51" s="2097" t="s">
        <v>2408</v>
      </c>
      <c r="K51" s="2097"/>
      <c r="L51" s="2097"/>
      <c r="M51" s="2097"/>
      <c r="N51" s="2097"/>
      <c r="O51" s="2097"/>
      <c r="P51" s="2097"/>
      <c r="Q51" s="2097"/>
      <c r="R51" s="2198" t="s">
        <v>2407</v>
      </c>
      <c r="S51" s="2198"/>
      <c r="T51" s="2198"/>
      <c r="U51" s="2198"/>
      <c r="V51" s="2198"/>
      <c r="W51" s="2198"/>
      <c r="X51" s="2198"/>
      <c r="Y51" s="2198"/>
      <c r="Z51" s="2198" t="s">
        <v>2406</v>
      </c>
      <c r="AA51" s="2198"/>
      <c r="AB51" s="2198"/>
      <c r="AC51" s="2198"/>
      <c r="AD51" s="2198"/>
      <c r="AE51" s="2198"/>
      <c r="AF51" s="2198"/>
      <c r="AG51" s="2198"/>
      <c r="AH51" s="2198" t="s">
        <v>2405</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2404</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t="s">
        <v>2403</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1587</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2402</v>
      </c>
      <c r="C59" s="2188"/>
      <c r="D59" s="2188"/>
      <c r="E59" s="2188"/>
      <c r="F59" s="2188"/>
      <c r="G59" s="2188"/>
      <c r="H59" s="2188"/>
      <c r="I59" s="2189"/>
      <c r="J59" s="2095" t="s">
        <v>2401</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0"/>
      <c r="AY59" s="1190"/>
      <c r="AZ59" s="1190"/>
      <c r="BA59" s="1190"/>
      <c r="BB59" s="1190"/>
      <c r="BC59" s="1190"/>
      <c r="BD59" s="1190"/>
      <c r="BE59" s="1194"/>
    </row>
    <row r="60" spans="1:77" ht="15.75" customHeight="1">
      <c r="A60" s="1190"/>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4" t="s">
        <v>2399</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0"/>
      <c r="AC68" s="2020" t="s">
        <v>2398</v>
      </c>
      <c r="AD68" s="2021"/>
      <c r="AE68" s="2021"/>
      <c r="AF68" s="2021"/>
      <c r="AG68" s="2021"/>
      <c r="AH68" s="2021"/>
      <c r="AI68" s="2021"/>
      <c r="AJ68" s="2021"/>
      <c r="AK68" s="2021"/>
      <c r="AL68" s="2021"/>
      <c r="AM68" s="2021"/>
      <c r="AN68" s="2021"/>
      <c r="AO68" s="2021"/>
      <c r="AP68" s="2021"/>
      <c r="AQ68" s="2021"/>
      <c r="AR68" s="2021"/>
      <c r="AS68" s="2021"/>
      <c r="AT68" s="2021"/>
      <c r="AU68" s="2021"/>
      <c r="AV68" s="2171" t="s">
        <v>670</v>
      </c>
      <c r="AW68" s="2077"/>
      <c r="AX68" s="2077"/>
      <c r="AY68" s="2077"/>
      <c r="AZ68" s="2077"/>
      <c r="BA68" s="2077"/>
      <c r="BB68" s="2077"/>
      <c r="BC68" s="2078"/>
      <c r="BD68" s="1190"/>
      <c r="BE68" s="1194"/>
      <c r="BM68" s="1199" t="s">
        <v>2397</v>
      </c>
    </row>
    <row r="69" spans="1:94" ht="15.75" customHeight="1" thickTop="1" thickBot="1">
      <c r="A69" s="1190"/>
      <c r="B69" s="2172" t="s">
        <v>2396</v>
      </c>
      <c r="C69" s="2173"/>
      <c r="D69" s="2173"/>
      <c r="E69" s="2173"/>
      <c r="F69" s="2173"/>
      <c r="G69" s="2173"/>
      <c r="H69" s="2173"/>
      <c r="I69" s="2173"/>
      <c r="J69" s="2173"/>
      <c r="K69" s="2173"/>
      <c r="L69" s="2173"/>
      <c r="M69" s="2173"/>
      <c r="N69" s="2173"/>
      <c r="O69" s="2174" t="s">
        <v>2395</v>
      </c>
      <c r="P69" s="2175"/>
      <c r="Q69" s="2175"/>
      <c r="R69" s="2175"/>
      <c r="S69" s="2175"/>
      <c r="T69" s="2175"/>
      <c r="U69" s="2175"/>
      <c r="V69" s="2175"/>
      <c r="W69" s="2175"/>
      <c r="X69" s="2175"/>
      <c r="Y69" s="2175"/>
      <c r="Z69" s="2175"/>
      <c r="AA69" s="2176"/>
      <c r="AB69" s="1190"/>
      <c r="AC69" s="2177" t="s">
        <v>2394</v>
      </c>
      <c r="AD69" s="2178"/>
      <c r="AE69" s="2178"/>
      <c r="AF69" s="2178"/>
      <c r="AG69" s="2178"/>
      <c r="AH69" s="2178"/>
      <c r="AI69" s="2178"/>
      <c r="AJ69" s="2178"/>
      <c r="AK69" s="2178"/>
      <c r="AL69" s="2178"/>
      <c r="AM69" s="2178"/>
      <c r="AN69" s="2178"/>
      <c r="AO69" s="2178"/>
      <c r="AP69" s="2178"/>
      <c r="AQ69" s="2178"/>
      <c r="AR69" s="2178"/>
      <c r="AS69" s="2178"/>
      <c r="AT69" s="2178"/>
      <c r="AU69" s="2178"/>
      <c r="AV69" s="2171" t="s">
        <v>670</v>
      </c>
      <c r="AW69" s="2077"/>
      <c r="AX69" s="2077"/>
      <c r="AY69" s="2077"/>
      <c r="AZ69" s="2077"/>
      <c r="BA69" s="2077"/>
      <c r="BB69" s="2077"/>
      <c r="BC69" s="2078"/>
      <c r="BD69" s="1190"/>
      <c r="BE69" s="1194"/>
      <c r="BM69" s="1200" t="s">
        <v>546</v>
      </c>
    </row>
    <row r="70" spans="1:94" ht="15.75" customHeight="1">
      <c r="A70" s="1190"/>
      <c r="B70" s="2154" t="s">
        <v>2393</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2392</v>
      </c>
      <c r="AD70" s="2022"/>
      <c r="AE70" s="2022"/>
      <c r="AF70" s="2165"/>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670</v>
      </c>
    </row>
    <row r="71" spans="1:94" ht="15.75" customHeight="1" thickBot="1">
      <c r="A71" s="1190"/>
      <c r="B71" s="2154" t="s">
        <v>2391</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2390</v>
      </c>
      <c r="AD71" s="2168"/>
      <c r="AE71" s="2168"/>
      <c r="AF71" s="2169"/>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2389</v>
      </c>
    </row>
    <row r="72" spans="1:94" ht="15.75" customHeight="1">
      <c r="A72" s="1190"/>
      <c r="B72" s="2154" t="s">
        <v>2388</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2387</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2386</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37" t="s">
        <v>2331</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39"/>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2384</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2383</v>
      </c>
      <c r="C81" s="2149"/>
      <c r="D81" s="2149"/>
      <c r="E81" s="2149"/>
      <c r="F81" s="2149"/>
      <c r="G81" s="2149"/>
      <c r="H81" s="2149"/>
      <c r="I81" s="2149"/>
      <c r="J81" s="2149"/>
      <c r="K81" s="2149"/>
      <c r="L81" s="2149"/>
      <c r="M81" s="2149"/>
      <c r="N81" s="2149"/>
      <c r="O81" s="2149"/>
      <c r="P81" s="2149"/>
      <c r="Q81" s="2149"/>
      <c r="R81" s="2130" t="s">
        <v>2189</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2382</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2381</v>
      </c>
      <c r="AK83" s="2119"/>
      <c r="AL83" s="2119"/>
      <c r="AM83" s="2119"/>
      <c r="AN83" s="2119"/>
      <c r="AO83" s="2119"/>
      <c r="AP83" s="2119"/>
      <c r="AQ83" s="2119"/>
      <c r="AR83" s="2119"/>
      <c r="AS83" s="2119"/>
      <c r="AT83" s="2119"/>
      <c r="AU83" s="2119"/>
      <c r="AV83" s="2119"/>
      <c r="AW83" s="2119"/>
      <c r="AX83" s="2119"/>
      <c r="AY83" s="2135" t="s">
        <v>546</v>
      </c>
      <c r="AZ83" s="2135"/>
      <c r="BA83" s="2135"/>
      <c r="BB83" s="2136"/>
      <c r="BC83" s="1190"/>
      <c r="BD83" s="1190"/>
      <c r="BE83" s="1194"/>
      <c r="CK83" s="1188"/>
      <c r="CL83" s="1188"/>
      <c r="CM83" s="1188"/>
      <c r="CN83" s="1188"/>
      <c r="CO83" s="1188"/>
      <c r="CP83" s="1188"/>
    </row>
    <row r="84" spans="1:94" ht="15.75" customHeight="1">
      <c r="A84" s="1190"/>
      <c r="B84" s="2129"/>
      <c r="C84" s="2097"/>
      <c r="D84" s="2097"/>
      <c r="E84" s="2097"/>
      <c r="F84" s="2097"/>
      <c r="G84" s="2097"/>
      <c r="H84" s="2097"/>
      <c r="I84" s="2097" t="s">
        <v>2371</v>
      </c>
      <c r="J84" s="2097"/>
      <c r="K84" s="2097"/>
      <c r="L84" s="2097"/>
      <c r="M84" s="2097"/>
      <c r="N84" s="2097"/>
      <c r="O84" s="2097" t="s">
        <v>2347</v>
      </c>
      <c r="P84" s="2097"/>
      <c r="Q84" s="2097"/>
      <c r="R84" s="2097"/>
      <c r="S84" s="2097"/>
      <c r="T84" s="2097"/>
      <c r="U84" s="2097"/>
      <c r="V84" s="2133" t="s">
        <v>2346</v>
      </c>
      <c r="W84" s="2133"/>
      <c r="X84" s="2133"/>
      <c r="Y84" s="2133"/>
      <c r="Z84" s="2133"/>
      <c r="AA84" s="2133"/>
      <c r="AB84" s="2067" t="s">
        <v>2370</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2369</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2368</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2375</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2367</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2379</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2378</v>
      </c>
      <c r="C94" s="2149"/>
      <c r="D94" s="2149"/>
      <c r="E94" s="2149"/>
      <c r="F94" s="2149"/>
      <c r="G94" s="2149"/>
      <c r="H94" s="2149"/>
      <c r="I94" s="2149"/>
      <c r="J94" s="2149"/>
      <c r="K94" s="2149"/>
      <c r="L94" s="2149"/>
      <c r="M94" s="2149"/>
      <c r="N94" s="2149"/>
      <c r="O94" s="2149"/>
      <c r="P94" s="2149"/>
      <c r="Q94" s="2150"/>
      <c r="R94" s="2130" t="s">
        <v>2189</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2377</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2376</v>
      </c>
      <c r="AK96" s="2119"/>
      <c r="AL96" s="2119"/>
      <c r="AM96" s="2119"/>
      <c r="AN96" s="2119"/>
      <c r="AO96" s="2119"/>
      <c r="AP96" s="2119"/>
      <c r="AQ96" s="2119"/>
      <c r="AR96" s="2119"/>
      <c r="AS96" s="2119"/>
      <c r="AT96" s="2119"/>
      <c r="AU96" s="2119"/>
      <c r="AV96" s="2119"/>
      <c r="AW96" s="2119"/>
      <c r="AX96" s="2119"/>
      <c r="AY96" s="2135" t="s">
        <v>546</v>
      </c>
      <c r="AZ96" s="2135"/>
      <c r="BA96" s="2135"/>
      <c r="BB96" s="2136"/>
      <c r="BC96" s="1190"/>
      <c r="BD96" s="1190"/>
      <c r="BE96" s="1194"/>
      <c r="BQ96" s="1256" t="str">
        <f>Application!M243&amp;IF(TRIM(Application!AA249)&lt;&gt;""," ("&amp;Application!AA249&amp;")","")</f>
        <v>Green Valley Corporation (Green Valle Corp. dba Swenson)</v>
      </c>
      <c r="BR96" s="1259">
        <f>Application!AH246</f>
        <v>8.9999999999999993E-3</v>
      </c>
      <c r="CM96" s="1188"/>
      <c r="CN96" s="1188"/>
      <c r="CO96" s="1188"/>
      <c r="CP96" s="1188"/>
    </row>
    <row r="97" spans="1:94" ht="15.75" customHeight="1">
      <c r="A97" s="1190"/>
      <c r="B97" s="2129"/>
      <c r="C97" s="2097"/>
      <c r="D97" s="2097"/>
      <c r="E97" s="2097"/>
      <c r="F97" s="2097"/>
      <c r="G97" s="2097"/>
      <c r="H97" s="2097"/>
      <c r="I97" s="2097" t="s">
        <v>2371</v>
      </c>
      <c r="J97" s="2097"/>
      <c r="K97" s="2097"/>
      <c r="L97" s="2097"/>
      <c r="M97" s="2097"/>
      <c r="N97" s="2097"/>
      <c r="O97" s="2097" t="s">
        <v>2347</v>
      </c>
      <c r="P97" s="2097"/>
      <c r="Q97" s="2097"/>
      <c r="R97" s="2097"/>
      <c r="S97" s="2097"/>
      <c r="T97" s="2097"/>
      <c r="U97" s="2097"/>
      <c r="V97" s="2133" t="s">
        <v>2346</v>
      </c>
      <c r="W97" s="2133"/>
      <c r="X97" s="2133"/>
      <c r="Y97" s="2133"/>
      <c r="Z97" s="2133"/>
      <c r="AA97" s="2133"/>
      <c r="AB97" s="2067" t="s">
        <v>2370</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PacH San Jose Holdings, LLC (Pacific Housing, Inc.)</v>
      </c>
      <c r="BR97" s="1259">
        <f>Application!AH254</f>
        <v>1E-3</v>
      </c>
      <c r="CM97" s="1188"/>
      <c r="CN97" s="1188"/>
      <c r="CO97" s="1188"/>
      <c r="CP97" s="1188"/>
    </row>
    <row r="98" spans="1:94" ht="15.75" customHeight="1">
      <c r="A98" s="1190"/>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9" t="s">
        <v>2369</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2368</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2375</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2367</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1"/>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2372</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7"/>
      <c r="D108" s="2097"/>
      <c r="E108" s="2097"/>
      <c r="F108" s="2097"/>
      <c r="G108" s="2097"/>
      <c r="H108" s="2097"/>
      <c r="I108" s="2097" t="s">
        <v>2371</v>
      </c>
      <c r="J108" s="2097"/>
      <c r="K108" s="2097"/>
      <c r="L108" s="2097"/>
      <c r="M108" s="2097"/>
      <c r="N108" s="2097"/>
      <c r="O108" s="2097" t="s">
        <v>2347</v>
      </c>
      <c r="P108" s="2097"/>
      <c r="Q108" s="2097"/>
      <c r="R108" s="2097"/>
      <c r="S108" s="2097"/>
      <c r="T108" s="2097"/>
      <c r="U108" s="2097"/>
      <c r="V108" s="2133" t="s">
        <v>2346</v>
      </c>
      <c r="W108" s="2133"/>
      <c r="X108" s="2133"/>
      <c r="Y108" s="2133"/>
      <c r="Z108" s="2133"/>
      <c r="AA108" s="2133"/>
      <c r="AB108" s="2067" t="s">
        <v>2370</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2369</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2368</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2367</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1"/>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2" t="s">
        <v>2365</v>
      </c>
      <c r="C117" s="2103"/>
      <c r="D117" s="2103"/>
      <c r="E117" s="2103"/>
      <c r="F117" s="2103"/>
      <c r="G117" s="2103"/>
      <c r="H117" s="2103"/>
      <c r="I117" s="2103"/>
      <c r="J117" s="2103"/>
      <c r="K117" s="2103"/>
      <c r="L117" s="2103"/>
      <c r="M117" s="2103"/>
      <c r="N117" s="2103"/>
      <c r="O117" s="2103"/>
      <c r="P117" s="2103"/>
      <c r="Q117" s="2103"/>
      <c r="R117" s="2103"/>
      <c r="S117" s="2103"/>
      <c r="T117" s="2103"/>
      <c r="U117" s="2106" t="s">
        <v>546</v>
      </c>
      <c r="V117" s="2106"/>
      <c r="W117" s="2106"/>
      <c r="X117" s="210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0" t="s">
        <v>2365</v>
      </c>
      <c r="C121" s="2111"/>
      <c r="D121" s="2111"/>
      <c r="E121" s="2111"/>
      <c r="F121" s="2111"/>
      <c r="G121" s="2111"/>
      <c r="H121" s="2111"/>
      <c r="I121" s="2111"/>
      <c r="J121" s="2111"/>
      <c r="K121" s="2111"/>
      <c r="L121" s="2111"/>
      <c r="M121" s="2111"/>
      <c r="N121" s="2111"/>
      <c r="O121" s="2111"/>
      <c r="P121" s="2111"/>
      <c r="Q121" s="2111"/>
      <c r="R121" s="2111"/>
      <c r="S121" s="2111"/>
      <c r="T121" s="2111"/>
      <c r="U121" s="2114" t="s">
        <v>546</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2363</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1577</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7" t="s">
        <v>2362</v>
      </c>
      <c r="J127" s="2097"/>
      <c r="K127" s="2097"/>
      <c r="L127" s="2097"/>
      <c r="M127" s="2097"/>
      <c r="N127" s="2097"/>
      <c r="O127" s="2098" t="s">
        <v>2361</v>
      </c>
      <c r="P127" s="2098"/>
      <c r="Q127" s="2098"/>
      <c r="R127" s="2098"/>
      <c r="S127" s="2098"/>
      <c r="T127" s="2098"/>
      <c r="U127" s="2099"/>
      <c r="V127" s="1190"/>
      <c r="W127" s="1190"/>
      <c r="X127" s="2037" t="s">
        <v>2331</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2345</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2344</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4" t="s">
        <v>2359</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2347</v>
      </c>
      <c r="J134" s="2072"/>
      <c r="K134" s="2072"/>
      <c r="L134" s="2072"/>
      <c r="M134" s="2072"/>
      <c r="N134" s="2072"/>
      <c r="O134" s="2072"/>
      <c r="P134" s="2072" t="s">
        <v>2346</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2345</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2344</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2358</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2357</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2356</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2355</v>
      </c>
      <c r="C142" s="2080"/>
      <c r="D142" s="2080"/>
      <c r="E142" s="2080"/>
      <c r="F142" s="2080"/>
      <c r="G142" s="2080"/>
      <c r="H142" s="2080"/>
      <c r="I142" s="2080"/>
      <c r="J142" s="2080"/>
      <c r="K142" s="2080"/>
      <c r="L142" s="2080"/>
      <c r="M142" s="2080"/>
      <c r="N142" s="2080"/>
      <c r="O142" s="2080"/>
      <c r="P142" s="2080"/>
      <c r="Q142" s="2080"/>
      <c r="R142" s="2081" t="s">
        <v>2354</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250</v>
      </c>
      <c r="BD142" s="1190"/>
      <c r="BE142" s="1194"/>
    </row>
    <row r="143" spans="1:57" ht="15.75" customHeight="1">
      <c r="A143" s="1190"/>
      <c r="B143" s="2083" t="s">
        <v>2353</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2350</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2349</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2347</v>
      </c>
      <c r="J157" s="2072"/>
      <c r="K157" s="2072"/>
      <c r="L157" s="2072"/>
      <c r="M157" s="2072"/>
      <c r="N157" s="2072"/>
      <c r="O157" s="2072"/>
      <c r="P157" s="2072" t="s">
        <v>2348</v>
      </c>
      <c r="Q157" s="2072"/>
      <c r="R157" s="2072"/>
      <c r="S157" s="2072"/>
      <c r="T157" s="2072"/>
      <c r="U157" s="2073"/>
      <c r="V157" s="1190"/>
      <c r="W157" s="1190"/>
      <c r="X157" s="2034"/>
      <c r="Y157" s="2035"/>
      <c r="Z157" s="2035"/>
      <c r="AA157" s="2035"/>
      <c r="AB157" s="2035"/>
      <c r="AC157" s="2035"/>
      <c r="AD157" s="2035"/>
      <c r="AE157" s="2072" t="s">
        <v>2347</v>
      </c>
      <c r="AF157" s="2072"/>
      <c r="AG157" s="2072"/>
      <c r="AH157" s="2072"/>
      <c r="AI157" s="2072"/>
      <c r="AJ157" s="2072"/>
      <c r="AK157" s="2072"/>
      <c r="AL157" s="2072" t="s">
        <v>2346</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2345</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2345</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2344</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2343</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2328</v>
      </c>
      <c r="D163" s="2035"/>
      <c r="E163" s="2035"/>
      <c r="F163" s="2035"/>
      <c r="G163" s="2035"/>
      <c r="H163" s="2035"/>
      <c r="I163" s="2035"/>
      <c r="J163" s="2035"/>
      <c r="K163" s="2035"/>
      <c r="L163" s="2035"/>
      <c r="M163" s="2035"/>
      <c r="N163" s="2035"/>
      <c r="O163" s="2035"/>
      <c r="P163" s="2035"/>
      <c r="Q163" s="2035" t="s">
        <v>2342</v>
      </c>
      <c r="R163" s="2035"/>
      <c r="S163" s="2035"/>
      <c r="T163" s="2067" t="s">
        <v>2341</v>
      </c>
      <c r="U163" s="2067"/>
      <c r="V163" s="2067"/>
      <c r="W163" s="2067"/>
      <c r="X163" s="2067"/>
      <c r="Y163" s="2067"/>
      <c r="Z163" s="2067"/>
      <c r="AA163" s="2067"/>
      <c r="AB163" s="2035" t="s">
        <v>2340</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2339</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2338</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2337</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2336</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170</v>
      </c>
      <c r="D168" s="2050"/>
      <c r="E168" s="2050"/>
      <c r="F168" s="2051" t="s">
        <v>2317</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170</v>
      </c>
      <c r="D169" s="2050"/>
      <c r="E169" s="2050"/>
      <c r="F169" s="2051" t="s">
        <v>2317</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170</v>
      </c>
      <c r="D170" s="2056"/>
      <c r="E170" s="2056"/>
      <c r="F170" s="2057" t="s">
        <v>2317</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2335</v>
      </c>
      <c r="D172" s="2021"/>
      <c r="E172" s="2021"/>
      <c r="F172" s="2021"/>
      <c r="G172" s="2021"/>
      <c r="H172" s="2021"/>
      <c r="I172" s="2021"/>
      <c r="J172" s="2021"/>
      <c r="K172" s="2021"/>
      <c r="L172" s="2021"/>
      <c r="M172" s="2021"/>
      <c r="N172" s="2030"/>
      <c r="O172" s="1190"/>
      <c r="P172" s="2031" t="s">
        <v>2334</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2333</v>
      </c>
      <c r="D173" s="2035"/>
      <c r="E173" s="2035"/>
      <c r="F173" s="2035"/>
      <c r="G173" s="2035"/>
      <c r="H173" s="2035"/>
      <c r="I173" s="2035" t="s">
        <v>2332</v>
      </c>
      <c r="J173" s="2035"/>
      <c r="K173" s="2035"/>
      <c r="L173" s="2035"/>
      <c r="M173" s="2035"/>
      <c r="N173" s="2036"/>
      <c r="O173" s="1190"/>
      <c r="P173" s="2037" t="s">
        <v>2331</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c r="D174" s="1983"/>
      <c r="E174" s="1983"/>
      <c r="F174" s="1983"/>
      <c r="G174" s="1983"/>
      <c r="H174" s="1983"/>
      <c r="I174" s="2043"/>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2330</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2328</v>
      </c>
      <c r="D184" s="2021"/>
      <c r="E184" s="2021"/>
      <c r="F184" s="2021"/>
      <c r="G184" s="2021"/>
      <c r="H184" s="2021"/>
      <c r="I184" s="2021"/>
      <c r="J184" s="2021"/>
      <c r="K184" s="2021"/>
      <c r="L184" s="2021"/>
      <c r="M184" s="2021"/>
      <c r="N184" s="2021" t="s">
        <v>2329</v>
      </c>
      <c r="O184" s="2021"/>
      <c r="P184" s="2021"/>
      <c r="Q184" s="2021"/>
      <c r="R184" s="2021"/>
      <c r="S184" s="2021"/>
      <c r="T184" s="2021"/>
      <c r="U184" s="2022" t="s">
        <v>2328</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2327</v>
      </c>
      <c r="D185" s="2000"/>
      <c r="E185" s="2000"/>
      <c r="F185" s="2000"/>
      <c r="G185" s="2000"/>
      <c r="H185" s="2000"/>
      <c r="I185" s="2000"/>
      <c r="J185" s="2000"/>
      <c r="K185" s="2000"/>
      <c r="L185" s="2000"/>
      <c r="M185" s="2000"/>
      <c r="N185" s="2010">
        <f>'Sources and Uses Budget'!B105</f>
        <v>149840221</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2326</v>
      </c>
      <c r="D186" s="2000"/>
      <c r="E186" s="2000"/>
      <c r="F186" s="2000"/>
      <c r="G186" s="2000"/>
      <c r="H186" s="2000"/>
      <c r="I186" s="2000"/>
      <c r="J186" s="2000"/>
      <c r="K186" s="2000"/>
      <c r="L186" s="2000"/>
      <c r="M186" s="2000"/>
      <c r="N186" s="2010">
        <f>N185/J29</f>
        <v>550883.1654411765</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2325</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2324</v>
      </c>
      <c r="D188" s="2000"/>
      <c r="E188" s="2000"/>
      <c r="F188" s="2000"/>
      <c r="G188" s="2000"/>
      <c r="H188" s="2000"/>
      <c r="I188" s="2000"/>
      <c r="J188" s="2000"/>
      <c r="K188" s="2000"/>
      <c r="L188" s="2000"/>
      <c r="M188" s="2000"/>
      <c r="N188" s="2029">
        <f>SUM('Sources and Uses Budget'!B85:B86)</f>
        <v>8976000</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2323</v>
      </c>
      <c r="D189" s="2000"/>
      <c r="E189" s="2000"/>
      <c r="F189" s="2000"/>
      <c r="G189" s="2000"/>
      <c r="H189" s="2000"/>
      <c r="I189" s="2000"/>
      <c r="J189" s="2000"/>
      <c r="K189" s="2000"/>
      <c r="L189" s="2000"/>
      <c r="M189" s="2000"/>
      <c r="N189" s="2029">
        <f>'Sources and Uses Budget'!B8</f>
        <v>100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2321</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2322</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2321</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0"/>
      <c r="B191" s="1190"/>
      <c r="C191" s="1999" t="s">
        <v>2320</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2319</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0"/>
      <c r="B192" s="1190"/>
      <c r="C192" s="1991" t="s">
        <v>300</v>
      </c>
      <c r="D192" s="1992"/>
      <c r="E192" s="1984" t="s">
        <v>2317</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2318</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0"/>
      <c r="B193" s="1190"/>
      <c r="C193" s="1982" t="s">
        <v>300</v>
      </c>
      <c r="D193" s="1983"/>
      <c r="E193" s="1984" t="s">
        <v>2317</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300</v>
      </c>
      <c r="D194" s="1971"/>
      <c r="E194" s="1972" t="s">
        <v>2317</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2316</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2315</v>
      </c>
      <c r="D195" s="1954"/>
      <c r="E195" s="1954"/>
      <c r="F195" s="1954"/>
      <c r="G195" s="1954"/>
      <c r="H195" s="1954"/>
      <c r="I195" s="1954"/>
      <c r="J195" s="1954"/>
      <c r="K195" s="1954"/>
      <c r="L195" s="1954"/>
      <c r="M195" s="1954"/>
      <c r="N195" s="1955">
        <f>SUM(N187:T194)</f>
        <v>8976100</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2314</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2313</v>
      </c>
      <c r="D196" s="1964"/>
      <c r="E196" s="1964"/>
      <c r="F196" s="1964"/>
      <c r="G196" s="1964"/>
      <c r="H196" s="1964"/>
      <c r="I196" s="1964"/>
      <c r="J196" s="1964"/>
      <c r="K196" s="1964"/>
      <c r="L196" s="1964"/>
      <c r="M196" s="1964"/>
      <c r="N196" s="1965">
        <f>(N185-N195)/J29</f>
        <v>517882.79779411765</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2312</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2311</v>
      </c>
      <c r="D200" s="1951"/>
      <c r="E200" s="1951"/>
      <c r="F200" s="1951"/>
      <c r="G200" s="1951"/>
      <c r="H200" s="1951"/>
      <c r="I200" s="1951"/>
      <c r="J200" s="1951"/>
      <c r="K200" s="1951"/>
      <c r="L200" s="1951"/>
      <c r="M200" s="1951"/>
      <c r="N200" s="1951"/>
      <c r="O200" s="1952" t="s">
        <v>2310</v>
      </c>
      <c r="P200" s="1952"/>
      <c r="Q200" s="1952"/>
      <c r="R200" s="1952"/>
      <c r="S200" s="1952"/>
      <c r="T200" s="1952"/>
      <c r="U200" s="1952"/>
      <c r="V200" s="1952"/>
      <c r="W200" s="1952"/>
      <c r="X200" s="1952" t="s">
        <v>2309</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2308</v>
      </c>
      <c r="D201" s="1943"/>
      <c r="E201" s="1943"/>
      <c r="F201" s="1943"/>
      <c r="G201" s="1943"/>
      <c r="H201" s="1943"/>
      <c r="I201" s="1943"/>
      <c r="J201" s="1943"/>
      <c r="K201" s="1943"/>
      <c r="L201" s="1943"/>
      <c r="M201" s="1943"/>
      <c r="N201" s="1943"/>
      <c r="O201" s="1944" t="s">
        <v>2307</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855</v>
      </c>
      <c r="D202" s="1943"/>
      <c r="E202" s="1943"/>
      <c r="F202" s="1943"/>
      <c r="G202" s="1943"/>
      <c r="H202" s="1943"/>
      <c r="I202" s="1943"/>
      <c r="J202" s="1943"/>
      <c r="K202" s="1943"/>
      <c r="L202" s="1943"/>
      <c r="M202" s="1943"/>
      <c r="N202" s="1943"/>
      <c r="O202" s="1944" t="s">
        <v>2307</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2306</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2305</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2304</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2303</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2302</v>
      </c>
      <c r="D207" s="1922"/>
      <c r="E207" s="1922"/>
      <c r="F207" s="1923"/>
      <c r="G207" s="1927" t="s">
        <v>2301</v>
      </c>
      <c r="H207" s="1922"/>
      <c r="I207" s="1922"/>
      <c r="J207" s="1922"/>
      <c r="K207" s="1922"/>
      <c r="L207" s="1922"/>
      <c r="M207" s="1922"/>
      <c r="N207" s="1922"/>
      <c r="O207" s="1923"/>
      <c r="P207" s="1929" t="s">
        <v>2300</v>
      </c>
      <c r="Q207" s="1930"/>
      <c r="R207" s="1930"/>
      <c r="S207" s="1930"/>
      <c r="T207" s="1931"/>
      <c r="U207" s="1935" t="s">
        <v>2299</v>
      </c>
      <c r="V207" s="1936"/>
      <c r="W207" s="1936"/>
      <c r="X207" s="1937"/>
      <c r="Y207" s="1935" t="s">
        <v>2298</v>
      </c>
      <c r="Z207" s="1936"/>
      <c r="AA207" s="1936"/>
      <c r="AB207" s="1937"/>
      <c r="AC207" s="1935" t="s">
        <v>2297</v>
      </c>
      <c r="AD207" s="1936"/>
      <c r="AE207" s="1936"/>
      <c r="AF207" s="1937"/>
      <c r="AG207" s="1927" t="s">
        <v>2296</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2295</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2293</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2292</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2291</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2290</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2288</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2287</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2286</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2285</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2284</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442</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2283</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2282</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1281</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NON-DDA/
NON-QCT Building(s)</v>
      </c>
      <c r="U7" s="2350"/>
      <c r="V7" s="2350"/>
      <c r="W7" s="2350"/>
      <c r="X7" s="2350"/>
      <c r="Y7" s="2350" t="str">
        <f>IF(T25=100%,"",'Sources and Basis Breakdown'!G2)</f>
        <v/>
      </c>
      <c r="Z7" s="2350"/>
      <c r="AA7" s="2350"/>
      <c r="AB7" s="2350"/>
      <c r="AC7" s="2350"/>
      <c r="AD7" s="2350" t="str">
        <f xml:space="preserve"> IF(T25=100%, 'Sources and Basis Breakdown'!J2,'Sources and Basis Breakdown'!I2)</f>
        <v>30% PVC for Acquisition
NON-DDA/
NON-QCT Building(s)</v>
      </c>
      <c r="AE7" s="2350"/>
      <c r="AF7" s="2350"/>
      <c r="AG7" s="2350"/>
      <c r="AH7" s="2350"/>
      <c r="AI7" s="2350" t="str">
        <f>IF(T25=100%,"",'Sources and Basis Breakdown'!J2)</f>
        <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142868603</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498</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499</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500</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501</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806</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502</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503</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1264</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504</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505</v>
      </c>
      <c r="C23" s="2337"/>
      <c r="D23" s="2337"/>
      <c r="E23" s="2337"/>
      <c r="F23" s="2337"/>
      <c r="G23" s="2337"/>
      <c r="H23" s="2337"/>
      <c r="I23" s="2337"/>
      <c r="J23" s="2337"/>
      <c r="K23" s="2337"/>
      <c r="L23" s="2337"/>
      <c r="M23" s="2337"/>
      <c r="N23" s="2337"/>
      <c r="O23" s="2337"/>
      <c r="P23" s="2337"/>
      <c r="Q23" s="2337"/>
      <c r="R23" s="2337"/>
      <c r="S23" s="2338"/>
      <c r="T23" s="2349">
        <f>T11+T22</f>
        <v>142868603</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962</v>
      </c>
      <c r="C24" s="2337"/>
      <c r="D24" s="2337"/>
      <c r="E24" s="2337"/>
      <c r="F24" s="2337"/>
      <c r="G24" s="2337"/>
      <c r="H24" s="2337"/>
      <c r="I24" s="2337"/>
      <c r="J24" s="2337"/>
      <c r="K24" s="2337"/>
      <c r="L24" s="2337"/>
      <c r="M24" s="2337"/>
      <c r="N24" s="2337"/>
      <c r="O24" s="2337"/>
      <c r="P24" s="2337"/>
      <c r="Q24" s="2337"/>
      <c r="R24" s="2337"/>
      <c r="S24" s="2338"/>
      <c r="T24" s="2340">
        <f>Application!AJ1053</f>
        <v>332570129</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1265</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506</v>
      </c>
      <c r="C26" s="2337"/>
      <c r="D26" s="2337"/>
      <c r="E26" s="2337"/>
      <c r="F26" s="2337"/>
      <c r="G26" s="2337"/>
      <c r="H26" s="2337"/>
      <c r="I26" s="2337"/>
      <c r="J26" s="2337"/>
      <c r="K26" s="2337"/>
      <c r="L26" s="2337"/>
      <c r="M26" s="2337"/>
      <c r="N26" s="2337"/>
      <c r="O26" s="2337"/>
      <c r="P26" s="2337"/>
      <c r="Q26" s="2337"/>
      <c r="R26" s="2337"/>
      <c r="S26" s="2338"/>
      <c r="T26" s="2349">
        <f>T23*T25</f>
        <v>142868603</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4"/>
      <c r="B28" s="2336" t="s">
        <v>507</v>
      </c>
      <c r="C28" s="2337"/>
      <c r="D28" s="2337"/>
      <c r="E28" s="2337"/>
      <c r="F28" s="2337"/>
      <c r="G28" s="2337"/>
      <c r="H28" s="2337"/>
      <c r="I28" s="2337"/>
      <c r="J28" s="2337"/>
      <c r="K28" s="2337"/>
      <c r="L28" s="2337"/>
      <c r="M28" s="2337"/>
      <c r="N28" s="2337"/>
      <c r="O28" s="2337"/>
      <c r="P28" s="2337"/>
      <c r="Q28" s="2337"/>
      <c r="R28" s="2337"/>
      <c r="S28" s="2338"/>
      <c r="T28" s="2349">
        <f>IF(ISERROR((T26*T27)),0,(T26*T27))</f>
        <v>142868603</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524</v>
      </c>
      <c r="C29" s="2337"/>
      <c r="D29" s="2337"/>
      <c r="E29" s="2337"/>
      <c r="F29" s="2337"/>
      <c r="G29" s="2337"/>
      <c r="H29" s="2337"/>
      <c r="I29" s="2337"/>
      <c r="J29" s="2337"/>
      <c r="K29" s="2337"/>
      <c r="L29" s="2337"/>
      <c r="M29" s="2337"/>
      <c r="N29" s="2337"/>
      <c r="O29" s="2337"/>
      <c r="P29" s="2337"/>
      <c r="Q29" s="2337"/>
      <c r="R29" s="2337"/>
      <c r="S29" s="2338"/>
      <c r="T29" s="2340">
        <f>T28+Y28+AD28+AI28</f>
        <v>142868603</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1267</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1266</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1155</v>
      </c>
      <c r="Z35" s="2350"/>
      <c r="AA35" s="2350"/>
      <c r="AB35" s="2350"/>
      <c r="AC35" s="2350"/>
      <c r="AD35" s="2351" t="s">
        <v>369</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507</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142868603</v>
      </c>
      <c r="Z38" s="2330"/>
      <c r="AA38" s="2330"/>
      <c r="AB38" s="2330"/>
      <c r="AC38" s="2330"/>
      <c r="AD38" s="2330">
        <f>IF(T24&gt;=(T23+Y23+AD23+AI23),AD28+AI28,0)</f>
        <v>0</v>
      </c>
      <c r="AE38" s="2330"/>
      <c r="AF38" s="2330"/>
      <c r="AG38" s="2330"/>
      <c r="AH38" s="2330"/>
    </row>
    <row r="39" spans="1:76" ht="12.95" customHeight="1">
      <c r="B39" s="2336" t="s">
        <v>1692</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643</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5714744</v>
      </c>
      <c r="Z40" s="2330"/>
      <c r="AA40" s="2330"/>
      <c r="AB40" s="2330"/>
      <c r="AC40" s="2330"/>
      <c r="AD40" s="2349">
        <f>ROUND(AD38*AD39,0)</f>
        <v>0</v>
      </c>
      <c r="AE40" s="2330"/>
      <c r="AF40" s="2330"/>
      <c r="AG40" s="2330"/>
      <c r="AH40" s="2330"/>
    </row>
    <row r="41" spans="1:76" ht="12.95" customHeight="1">
      <c r="B41" s="2336" t="s">
        <v>644</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5714744</v>
      </c>
      <c r="Z41" s="2348"/>
      <c r="AA41" s="2348"/>
      <c r="AB41" s="2348"/>
      <c r="AC41" s="2348"/>
      <c r="AD41" s="2348"/>
      <c r="AE41" s="2348"/>
      <c r="AF41" s="2348"/>
      <c r="AG41" s="2348"/>
      <c r="AH41" s="234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1277</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149840221</v>
      </c>
      <c r="AC47" s="2345"/>
      <c r="AD47" s="2345"/>
      <c r="AE47" s="2345"/>
      <c r="AF47" s="2346"/>
    </row>
    <row r="48" spans="1:76" ht="12.95" customHeight="1">
      <c r="D48" s="404" t="s">
        <v>21</v>
      </c>
      <c r="AB48" s="2344">
        <f>Application!AO639-MAX(IF('Sources and Uses Budget'!B15="",0,'Sources and Uses Budget'!B15),IF(Application!AG394="",0,Application!AG394))</f>
        <v>103555423</v>
      </c>
      <c r="AC48" s="2345"/>
      <c r="AD48" s="2345"/>
      <c r="AE48" s="2345"/>
      <c r="AF48" s="2346"/>
    </row>
    <row r="49" spans="1:76" ht="12.95" customHeight="1">
      <c r="D49" s="404" t="s">
        <v>91</v>
      </c>
      <c r="AB49" s="2344">
        <f>AB47-AB48</f>
        <v>46284798</v>
      </c>
      <c r="AC49" s="2345"/>
      <c r="AD49" s="2345"/>
      <c r="AE49" s="2345"/>
      <c r="AF49" s="2346"/>
    </row>
    <row r="50" spans="1:76" ht="12.95" customHeight="1">
      <c r="D50" s="404" t="s">
        <v>682</v>
      </c>
      <c r="AA50" s="415"/>
      <c r="AB50" s="2332">
        <v>0.81</v>
      </c>
      <c r="AC50" s="2333"/>
      <c r="AD50" s="2333"/>
      <c r="AE50" s="2333"/>
      <c r="AF50" s="2334"/>
    </row>
    <row r="51" spans="1:76" s="417" customFormat="1" ht="12.95" customHeight="1">
      <c r="A51" s="402"/>
      <c r="B51" s="402"/>
      <c r="C51" s="402"/>
      <c r="D51" s="402"/>
      <c r="E51" s="2343" t="s">
        <v>2612</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57141726</v>
      </c>
      <c r="AC54" s="2345"/>
      <c r="AD54" s="2345"/>
      <c r="AE54" s="2345"/>
      <c r="AF54" s="2346"/>
    </row>
    <row r="55" spans="1:76" ht="12.95" customHeight="1">
      <c r="D55" s="404" t="s">
        <v>333</v>
      </c>
      <c r="AB55" s="2344">
        <f>(AB54/10)</f>
        <v>5714172.5999999996</v>
      </c>
      <c r="AC55" s="2345"/>
      <c r="AD55" s="2345"/>
      <c r="AE55" s="2345"/>
      <c r="AF55" s="2346"/>
    </row>
    <row r="56" spans="1:76" ht="12.95" customHeight="1">
      <c r="D56" s="404" t="s">
        <v>757</v>
      </c>
      <c r="AB56" s="2344">
        <f>ROUND((IF((Y41&lt;AB55),Y41,AB55)),0)</f>
        <v>5714173</v>
      </c>
      <c r="AC56" s="2345"/>
      <c r="AD56" s="2345"/>
      <c r="AE56" s="2345"/>
      <c r="AF56" s="2346"/>
    </row>
    <row r="57" spans="1:76" ht="12.95" customHeight="1">
      <c r="D57" s="404" t="s">
        <v>756</v>
      </c>
      <c r="AB57" s="2344">
        <f>ROUND((10*AB56*AB50),0)</f>
        <v>46284801</v>
      </c>
      <c r="AC57" s="2345"/>
      <c r="AD57" s="2345"/>
      <c r="AE57" s="2345"/>
      <c r="AF57" s="2346"/>
    </row>
    <row r="58" spans="1:76" ht="12.95" customHeight="1">
      <c r="D58" s="404"/>
      <c r="AB58" s="423"/>
      <c r="AC58" s="423"/>
      <c r="AD58" s="423"/>
      <c r="AE58" s="423"/>
      <c r="AF58" s="423"/>
    </row>
    <row r="59" spans="1:76" ht="12.95" customHeight="1">
      <c r="D59" s="404" t="s">
        <v>755</v>
      </c>
      <c r="AB59" s="2328">
        <f>AB49-AB57</f>
        <v>-3</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590</v>
      </c>
      <c r="C63" s="205" t="s">
        <v>1249</v>
      </c>
      <c r="Y63" s="2339" t="s">
        <v>985</v>
      </c>
      <c r="Z63" s="2339"/>
      <c r="AA63" s="2339"/>
      <c r="AB63" s="2339"/>
      <c r="AC63" s="2339"/>
      <c r="AD63" s="2339" t="s">
        <v>369</v>
      </c>
      <c r="AE63" s="2339"/>
      <c r="AF63" s="2339"/>
      <c r="AG63" s="2339"/>
      <c r="AH63" s="233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System'!B13="Yes"),0.13,0))</f>
        <v>0</v>
      </c>
      <c r="AE67" s="2329"/>
      <c r="AF67" s="2329"/>
      <c r="AG67" s="2329"/>
      <c r="AH67" s="2329"/>
    </row>
    <row r="68" spans="1:36" ht="12.95" customHeight="1">
      <c r="C68" s="404"/>
      <c r="D68" s="205" t="s">
        <v>2225</v>
      </c>
      <c r="Y68" s="2330">
        <f>ROUND(Y64*Y67,0)</f>
        <v>0</v>
      </c>
      <c r="Z68" s="2331"/>
      <c r="AA68" s="2331"/>
      <c r="AB68" s="2331"/>
      <c r="AC68" s="2331"/>
      <c r="AD68" s="2330">
        <f>ROUND(AD64*AD67,0)</f>
        <v>0</v>
      </c>
      <c r="AE68" s="2331"/>
      <c r="AF68" s="2331"/>
      <c r="AG68" s="2331"/>
      <c r="AH68" s="2331"/>
    </row>
    <row r="69" spans="1:36" ht="12.95" customHeight="1">
      <c r="C69" s="404"/>
      <c r="D69" s="205" t="s">
        <v>2226</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2"/>
      <c r="AC72" s="2333"/>
      <c r="AD72" s="2333"/>
      <c r="AE72" s="2333"/>
      <c r="AF72" s="2334"/>
    </row>
    <row r="73" spans="1:36" ht="12.95" customHeight="1">
      <c r="A73" s="404"/>
      <c r="C73" s="404"/>
      <c r="D73" s="404"/>
      <c r="E73" s="2335" t="s">
        <v>1252</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3">
        <f>ROUND(IF(ISERROR((AB59/AB72)),0,(AB59/AB72)),0)</f>
        <v>0</v>
      </c>
      <c r="AC77" s="2323"/>
      <c r="AD77" s="2323"/>
      <c r="AE77" s="2323"/>
      <c r="AF77" s="2323"/>
    </row>
    <row r="78" spans="1:36" ht="12.95" customHeight="1">
      <c r="C78" s="404"/>
      <c r="D78" s="205" t="s">
        <v>1254</v>
      </c>
      <c r="AB78" s="2324">
        <f>ROUNDUP(MIN(Y69,AB77),0)</f>
        <v>0</v>
      </c>
      <c r="AC78" s="2325"/>
      <c r="AD78" s="2325"/>
      <c r="AE78" s="2325"/>
      <c r="AF78" s="2326"/>
    </row>
    <row r="79" spans="1:36" ht="12.95" customHeight="1">
      <c r="C79" s="404"/>
      <c r="D79" s="205" t="s">
        <v>1255</v>
      </c>
      <c r="AB79" s="2327">
        <f>AB78*AB72</f>
        <v>0</v>
      </c>
      <c r="AC79" s="2327"/>
      <c r="AD79" s="2327"/>
      <c r="AE79" s="2327"/>
      <c r="AF79" s="2327"/>
    </row>
    <row r="80" spans="1:36" ht="12.95" customHeight="1">
      <c r="C80" s="404"/>
      <c r="D80" s="404"/>
      <c r="AB80" s="425"/>
      <c r="AC80" s="425"/>
      <c r="AD80" s="425"/>
      <c r="AE80" s="425"/>
      <c r="AF80" s="425"/>
    </row>
    <row r="81" spans="1:78" ht="12.95" customHeight="1">
      <c r="D81" s="404" t="s">
        <v>755</v>
      </c>
      <c r="AB81" s="2328">
        <f>AB49-(AB57+AB79)</f>
        <v>-3</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4"/>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H763" sqref="H763:I7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1301</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1306</v>
      </c>
      <c r="AF7" s="2402"/>
      <c r="AG7" s="2402"/>
      <c r="AH7" s="2402"/>
      <c r="AI7" s="2402"/>
      <c r="AJ7" s="2402"/>
      <c r="AK7" s="240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592</v>
      </c>
      <c r="C13" s="239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592</v>
      </c>
      <c r="C16" s="2392"/>
      <c r="D16" s="547"/>
      <c r="E16" s="2403" t="s">
        <v>1308</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592</v>
      </c>
      <c r="C22" s="2392"/>
      <c r="D22" s="547"/>
      <c r="E22" s="2428" t="s">
        <v>1311</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592</v>
      </c>
      <c r="C25" s="2392"/>
      <c r="D25" s="547"/>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592</v>
      </c>
      <c r="C28" s="2392"/>
      <c r="D28" s="547"/>
      <c r="E28" s="2416" t="s">
        <v>2249</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2" t="s">
        <v>592</v>
      </c>
      <c r="C33" s="2392"/>
      <c r="D33" s="547"/>
      <c r="E33" s="2428" t="s">
        <v>2251</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592</v>
      </c>
      <c r="C36" s="2392"/>
      <c r="D36" s="547"/>
      <c r="E36" s="2393" t="s">
        <v>2252</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592</v>
      </c>
      <c r="C40" s="2392"/>
      <c r="D40" s="547"/>
      <c r="E40" s="2393" t="s">
        <v>2250</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592</v>
      </c>
      <c r="C45" s="2392"/>
      <c r="D45" s="1142"/>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592</v>
      </c>
      <c r="C52" s="2392"/>
      <c r="D52" s="540"/>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592</v>
      </c>
      <c r="C56" s="2392"/>
      <c r="D56" s="540"/>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592</v>
      </c>
      <c r="C58" s="2392"/>
      <c r="D58" s="540"/>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1315</v>
      </c>
      <c r="AF65" s="2402"/>
      <c r="AG65" s="2402"/>
      <c r="AH65" s="2402"/>
      <c r="AI65" s="2402"/>
      <c r="AJ65" s="2402"/>
      <c r="AK65" s="240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592</v>
      </c>
      <c r="C68" s="2392"/>
      <c r="D68" s="547" t="s">
        <v>1316</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10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1317</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546</v>
      </c>
      <c r="C74" s="239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546</v>
      </c>
      <c r="F75" s="239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592</v>
      </c>
      <c r="F76" s="239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592</v>
      </c>
      <c r="F77" s="239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592</v>
      </c>
      <c r="F79" s="239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592</v>
      </c>
      <c r="C81" s="2392"/>
      <c r="D81" s="547" t="s">
        <v>1321</v>
      </c>
      <c r="E81" s="2393" t="s">
        <v>1741</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1306</v>
      </c>
      <c r="AF87" s="2402"/>
      <c r="AG87" s="2402"/>
      <c r="AH87" s="2402"/>
      <c r="AI87" s="2402"/>
      <c r="AJ87" s="2402"/>
      <c r="AK87" s="240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592</v>
      </c>
      <c r="C90" s="2392"/>
      <c r="D90" s="547" t="s">
        <v>1316</v>
      </c>
      <c r="E90" s="2403" t="s">
        <v>1326</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0.59925650557620813</v>
      </c>
      <c r="F93" s="2387"/>
      <c r="G93" s="2387"/>
      <c r="H93" s="238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v>
      </c>
      <c r="F94" s="2389"/>
      <c r="G94" s="2389"/>
      <c r="H94" s="238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0</v>
      </c>
      <c r="F95" s="2420"/>
      <c r="G95" s="2420"/>
      <c r="H95" s="24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546</v>
      </c>
      <c r="C98" s="2392"/>
      <c r="D98" s="547" t="s">
        <v>1318</v>
      </c>
      <c r="E98" s="2403" t="s">
        <v>1726</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0.59925650557620813</v>
      </c>
      <c r="F103" s="2387"/>
      <c r="G103" s="2387"/>
      <c r="H103" s="238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0.10037174721189591</v>
      </c>
      <c r="F104" s="2387"/>
      <c r="G104" s="2387"/>
      <c r="H104" s="238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0.10037174721189591</v>
      </c>
      <c r="F105" s="2387"/>
      <c r="G105" s="2387"/>
      <c r="H105" s="238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1315</v>
      </c>
      <c r="AF112" s="2402"/>
      <c r="AG112" s="2402"/>
      <c r="AH112" s="2402"/>
      <c r="AI112" s="2402"/>
      <c r="AJ112" s="2402"/>
      <c r="AK112" s="2402"/>
      <c r="AL112" s="540"/>
      <c r="AM112" s="540"/>
      <c r="AN112" s="535"/>
      <c r="AO112" s="536" t="str">
        <f>Application!B718</f>
        <v>1 Bedroom</v>
      </c>
      <c r="AQ112" s="536">
        <f>Application!O718</f>
        <v>2579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2202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1825</v>
      </c>
    </row>
    <row r="115" spans="1:52" s="536" customFormat="1" ht="12.75" customHeight="1">
      <c r="A115" s="540"/>
      <c r="B115" s="2392" t="s">
        <v>592</v>
      </c>
      <c r="C115" s="2392"/>
      <c r="D115" s="547" t="s">
        <v>1316</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1 Bedroom</v>
      </c>
      <c r="AQ115" s="536">
        <f>Application!O721</f>
        <v>1071</v>
      </c>
      <c r="AU115" s="536" t="s">
        <v>1841</v>
      </c>
      <c r="AV115" s="595" t="s">
        <v>1842</v>
      </c>
      <c r="AW115" s="536" t="s">
        <v>1843</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t="str">
        <f>Application!B722</f>
        <v>2 Bedrooms</v>
      </c>
      <c r="AQ116" s="536">
        <f>Application!O722</f>
        <v>3085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t="str">
        <f>Application!B723</f>
        <v>2 Bedrooms</v>
      </c>
      <c r="AQ117" s="536">
        <f>Application!O723</f>
        <v>2633</v>
      </c>
      <c r="AU117" s="856" t="str">
        <f>J124</f>
        <v>1-bedroom</v>
      </c>
      <c r="AV117" s="536">
        <f t="array" ref="AV117">SUM(IF(Application!B718:F752="1 Bedroom",Application!G718:J752))</f>
        <v>107</v>
      </c>
      <c r="AW117" s="1011">
        <f>AV117/AV122</f>
        <v>0.39776951672862454</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t="str">
        <f>Application!B724</f>
        <v>2 Bedrooms</v>
      </c>
      <c r="AQ118" s="536">
        <f>Application!O724</f>
        <v>2181</v>
      </c>
      <c r="AU118" s="856" t="str">
        <f>O124</f>
        <v>2-bedroom</v>
      </c>
      <c r="AV118" s="536">
        <f t="array" ref="AV118">SUM(IF(Application!B718:F752="2 Bedrooms",Application!G718:J752))</f>
        <v>93</v>
      </c>
      <c r="AW118" s="1011">
        <f>AV118/AV122</f>
        <v>0.34572490706319703</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t="str">
        <f>Application!B725</f>
        <v>2 Bedrooms</v>
      </c>
      <c r="AQ119" s="536">
        <f>Application!O725</f>
        <v>1276</v>
      </c>
      <c r="AU119" s="856" t="str">
        <f>T124</f>
        <v>3-bedroom</v>
      </c>
      <c r="AV119" s="536">
        <f t="array" ref="AV119">SUM(IF(Application!B718:F752="3 Bedrooms",Application!G718:J752))</f>
        <v>69</v>
      </c>
      <c r="AW119" s="1011">
        <f>AV119/AV122</f>
        <v>0.25650557620817843</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t="str">
        <f>Application!B726</f>
        <v>3 Bedrooms</v>
      </c>
      <c r="AQ120" s="536">
        <f>Application!O726</f>
        <v>3553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t="str">
        <f>Application!B727</f>
        <v>3 Bedrooms</v>
      </c>
      <c r="AQ121" s="536">
        <f>Application!O727</f>
        <v>3031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t="str">
        <f>Application!B728</f>
        <v>3 Bedrooms</v>
      </c>
      <c r="AQ122" s="536">
        <f>Application!O728</f>
        <v>2508</v>
      </c>
      <c r="AV122" s="536">
        <f>SUM(AV116:AV121)</f>
        <v>269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1464</v>
      </c>
    </row>
    <row r="124" spans="1:52" s="536" customFormat="1" ht="12.75" customHeight="1">
      <c r="A124" s="540"/>
      <c r="B124" s="539"/>
      <c r="C124" s="540"/>
      <c r="D124" s="540"/>
      <c r="E124" s="2386" t="s">
        <v>1589</v>
      </c>
      <c r="F124" s="2387"/>
      <c r="G124" s="2387"/>
      <c r="H124" s="2387"/>
      <c r="I124" s="577"/>
      <c r="J124" s="2387" t="s">
        <v>1632</v>
      </c>
      <c r="K124" s="2387"/>
      <c r="L124" s="2387"/>
      <c r="M124" s="2387"/>
      <c r="N124" s="577"/>
      <c r="O124" s="2387" t="s">
        <v>1633</v>
      </c>
      <c r="P124" s="2387"/>
      <c r="Q124" s="2387"/>
      <c r="R124" s="2387"/>
      <c r="S124" s="577"/>
      <c r="T124" s="2387" t="s">
        <v>1335</v>
      </c>
      <c r="U124" s="2387"/>
      <c r="V124" s="2387"/>
      <c r="W124" s="2387"/>
      <c r="X124" s="577"/>
      <c r="Y124" s="2387" t="s">
        <v>1634</v>
      </c>
      <c r="Z124" s="2387"/>
      <c r="AA124" s="2387"/>
      <c r="AB124" s="2387"/>
      <c r="AC124" s="577"/>
      <c r="AD124" s="2387" t="s">
        <v>1635</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c r="F127" s="2447"/>
      <c r="G127" s="2447"/>
      <c r="H127" s="2447"/>
      <c r="I127" s="864"/>
      <c r="J127" s="2447">
        <v>2990</v>
      </c>
      <c r="K127" s="2447"/>
      <c r="L127" s="2447"/>
      <c r="M127" s="2447"/>
      <c r="N127" s="864"/>
      <c r="O127" s="2447">
        <v>3473</v>
      </c>
      <c r="P127" s="2447"/>
      <c r="Q127" s="2447"/>
      <c r="R127" s="2447"/>
      <c r="S127" s="864"/>
      <c r="T127" s="2447">
        <v>4277</v>
      </c>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0</v>
      </c>
      <c r="F130" s="2440"/>
      <c r="G130" s="2440"/>
      <c r="H130" s="2440"/>
      <c r="I130" s="864"/>
      <c r="J130" s="2440">
        <f>Application!EC670</f>
        <v>2191.429906542056</v>
      </c>
      <c r="K130" s="2440"/>
      <c r="L130" s="2440"/>
      <c r="M130" s="2440"/>
      <c r="N130" s="864"/>
      <c r="O130" s="2440">
        <f>Application!EH670</f>
        <v>2613.4516129032259</v>
      </c>
      <c r="P130" s="2440"/>
      <c r="Q130" s="2440"/>
      <c r="R130" s="2440"/>
      <c r="S130" s="868"/>
      <c r="T130" s="2440">
        <f>Application!EM670</f>
        <v>3068.6521739130435</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t="e">
        <f>(E127-E130)/E127</f>
        <v>#DIV/0!</v>
      </c>
      <c r="F133" s="2389"/>
      <c r="G133" s="2389"/>
      <c r="H133" s="2639"/>
      <c r="I133" s="577"/>
      <c r="J133" s="2638">
        <f>(J127-J130)/J127</f>
        <v>0.26708029881536588</v>
      </c>
      <c r="K133" s="2389"/>
      <c r="L133" s="2389"/>
      <c r="M133" s="2639"/>
      <c r="N133" s="577"/>
      <c r="O133" s="2638">
        <f>(O127-O130)/O127</f>
        <v>0.24749449671660642</v>
      </c>
      <c r="P133" s="2389"/>
      <c r="Q133" s="2389"/>
      <c r="R133" s="2639"/>
      <c r="S133" s="577"/>
      <c r="T133" s="2638">
        <f>(T127-T130)/T127</f>
        <v>0.28252228807270435</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t="e">
        <f>IF(((E133-0.1)*AW116)&gt;0,((E133-0.1)*AW116),0)</f>
        <v>#DIV/0!</v>
      </c>
      <c r="F136" s="2442"/>
      <c r="G136" s="2442"/>
      <c r="H136" s="2443"/>
      <c r="I136" s="577"/>
      <c r="J136" s="2441">
        <f>IF(((J133-0.1)*AW117)&gt;0,((J133-0.1)*AW117),0)</f>
        <v>6.6459449714662264E-2</v>
      </c>
      <c r="K136" s="2442"/>
      <c r="L136" s="2442"/>
      <c r="M136" s="2443"/>
      <c r="N136" s="577"/>
      <c r="O136" s="2441">
        <f>IF(((O133-0.1)*AW118)&gt;0,((O133-0.1)*AW118),0)</f>
        <v>5.0992521169681775E-2</v>
      </c>
      <c r="P136" s="2442"/>
      <c r="Q136" s="2442"/>
      <c r="R136" s="2443"/>
      <c r="S136" s="577"/>
      <c r="T136" s="2441">
        <f>IF(((T133-0.1)*AW119)&gt;0,((T133-0.1)*AW119),0)</f>
        <v>4.6817984672924161E-2</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0.16</v>
      </c>
      <c r="F138" s="2389"/>
      <c r="G138" s="2389"/>
      <c r="H138" s="263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2" t="s">
        <v>1315</v>
      </c>
      <c r="AF146" s="2402"/>
      <c r="AG146" s="2402"/>
      <c r="AH146" s="2402"/>
      <c r="AI146" s="2402"/>
      <c r="AJ146" s="2402"/>
      <c r="AK146" s="240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1339</v>
      </c>
      <c r="AG148" s="2437"/>
      <c r="AH148" s="2437"/>
      <c r="AI148" s="2437"/>
      <c r="AJ148" s="2437"/>
      <c r="AK148" s="2437"/>
      <c r="AL148" s="243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2714</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4" t="s">
        <v>1342</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5" t="s">
        <v>592</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4" t="s">
        <v>1344</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2476</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2477</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2475</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592</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1353</v>
      </c>
      <c r="AG168" s="2437"/>
      <c r="AH168" s="2437"/>
      <c r="AI168" s="2437"/>
      <c r="AJ168" s="2437"/>
      <c r="AK168" s="2437"/>
      <c r="AL168" s="243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1351</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592</v>
      </c>
      <c r="AG172" s="246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4" t="s">
        <v>1344</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6" t="str">
        <f>Application!AA335</f>
        <v>FPI Management</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1315</v>
      </c>
      <c r="AF186" s="2402"/>
      <c r="AG186" s="2402"/>
      <c r="AH186" s="2402"/>
      <c r="AI186" s="2402"/>
      <c r="AJ186" s="2402"/>
      <c r="AK186" s="240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2" t="s">
        <v>1042</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1364</v>
      </c>
      <c r="AG188" s="2437"/>
      <c r="AH188" s="2437"/>
      <c r="AI188" s="2437"/>
      <c r="AJ188" s="2437"/>
      <c r="AK188" s="2437"/>
      <c r="AL188" s="2437"/>
      <c r="AN188" s="597"/>
      <c r="AP188" s="550" t="s">
        <v>1044</v>
      </c>
      <c r="AQ188" s="550">
        <v>10</v>
      </c>
    </row>
    <row r="189" spans="1:73" s="550" customFormat="1" ht="12.75" customHeight="1">
      <c r="A189" s="536"/>
      <c r="B189" s="2463" t="s">
        <v>1727</v>
      </c>
      <c r="C189" s="2463"/>
      <c r="D189" s="2463"/>
      <c r="E189" s="2463"/>
      <c r="F189" s="2463"/>
      <c r="G189" s="2463"/>
      <c r="H189" s="2463"/>
      <c r="I189" s="2463"/>
      <c r="J189" s="2463"/>
      <c r="K189" s="2463"/>
      <c r="L189" s="2463"/>
      <c r="M189" s="2463"/>
      <c r="N189" s="2463"/>
      <c r="O189" s="2463"/>
      <c r="P189" s="2463"/>
      <c r="Q189" s="2463"/>
      <c r="R189" s="2463"/>
      <c r="S189" s="2463"/>
      <c r="T189" s="2438" t="s">
        <v>592</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2">
        <f>IF(AK84&gt;0,VLOOKUP($B$188,AP185:AQ191,2,FALSE),0)</f>
        <v>10</v>
      </c>
      <c r="AL191" s="2473"/>
      <c r="AM191" s="247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1373</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2715</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v>12000000</v>
      </c>
      <c r="AE199" s="2450"/>
      <c r="AF199" s="2450"/>
      <c r="AG199" s="2450"/>
      <c r="AH199" s="2450"/>
      <c r="AI199" s="2450"/>
      <c r="AJ199" s="2450"/>
      <c r="AK199" s="610"/>
    </row>
    <row r="200" spans="1:40">
      <c r="A200" s="605"/>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1628</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1591</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4">
        <f>SUM(AD199:AJ209)-AD210</f>
        <v>12000000</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1608</v>
      </c>
      <c r="J222" s="2453"/>
      <c r="K222" s="2453"/>
      <c r="L222" s="536"/>
      <c r="M222" s="536"/>
      <c r="N222" s="536"/>
      <c r="O222" s="536"/>
      <c r="P222" s="536"/>
      <c r="Q222" s="536"/>
      <c r="R222" s="536"/>
      <c r="S222" s="536"/>
      <c r="T222" s="2641" t="s">
        <v>1602</v>
      </c>
      <c r="U222" s="2641"/>
      <c r="V222" s="2641"/>
      <c r="W222" s="2641"/>
      <c r="X222" s="2641"/>
      <c r="Y222" s="2641"/>
      <c r="Z222" s="849"/>
      <c r="AA222" s="489"/>
      <c r="AB222" s="2448" t="s">
        <v>1603</v>
      </c>
      <c r="AC222" s="2448"/>
      <c r="AD222" s="2448"/>
      <c r="AE222" s="2448"/>
      <c r="AF222" s="2448"/>
      <c r="AG222" s="2448"/>
      <c r="AH222" s="827"/>
      <c r="AI222" s="827"/>
      <c r="AJ222" s="827"/>
      <c r="AK222" s="610"/>
    </row>
    <row r="223" spans="1:37">
      <c r="A223" s="605"/>
      <c r="B223" s="2451" t="s">
        <v>1588</v>
      </c>
      <c r="C223" s="2451"/>
      <c r="D223" s="2451"/>
      <c r="E223" s="2451"/>
      <c r="F223" s="2451"/>
      <c r="G223" s="2451"/>
      <c r="I223" s="2452" t="s">
        <v>1609</v>
      </c>
      <c r="J223" s="2452"/>
      <c r="K223" s="2452"/>
      <c r="L223" s="1008"/>
      <c r="N223" s="2458" t="s">
        <v>1604</v>
      </c>
      <c r="O223" s="2458"/>
      <c r="P223" s="2458"/>
      <c r="Q223" s="2458"/>
      <c r="R223" s="2458"/>
      <c r="T223" s="2458" t="s">
        <v>1605</v>
      </c>
      <c r="U223" s="2458"/>
      <c r="V223" s="2458"/>
      <c r="W223" s="2458"/>
      <c r="X223" s="2458"/>
      <c r="Y223" s="2458"/>
      <c r="Z223" s="850"/>
      <c r="AA223" s="489"/>
      <c r="AB223" s="2595" t="s">
        <v>1606</v>
      </c>
      <c r="AC223" s="2595"/>
      <c r="AD223" s="2595"/>
      <c r="AE223" s="2595"/>
      <c r="AF223" s="2595"/>
      <c r="AG223" s="2595"/>
      <c r="AH223" s="827"/>
      <c r="AI223" s="827"/>
      <c r="AJ223" s="827"/>
      <c r="AK223" s="610"/>
    </row>
    <row r="224" spans="1:37">
      <c r="A224" s="605"/>
      <c r="B224" s="2455" t="s">
        <v>1185</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1185</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1185</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1185</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1185</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1185</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1185</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1185</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1185</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1185</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12000000</v>
      </c>
      <c r="AH268" s="2475"/>
      <c r="AI268" s="2475"/>
      <c r="AJ268" s="2475"/>
      <c r="AK268" s="247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149840221</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0.08</v>
      </c>
      <c r="AH270" s="2476"/>
      <c r="AI270" s="2476"/>
      <c r="AJ270" s="2476"/>
      <c r="AK270" s="247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7">
        <f>IFERROR(IF(AG270=0,0,IF((AG270*100)&gt;8,8,(AG270*100))),0)</f>
        <v>8</v>
      </c>
      <c r="AL273" s="2477"/>
      <c r="AM273" s="247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9" t="s">
        <v>546</v>
      </c>
      <c r="D278" s="2469"/>
      <c r="E278" s="547"/>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1364</v>
      </c>
      <c r="AH278" s="2470"/>
      <c r="AI278" s="2470"/>
      <c r="AJ278" s="2470"/>
      <c r="AK278" s="550"/>
      <c r="AL278" s="550"/>
      <c r="AM278" s="550"/>
      <c r="AO278" s="550"/>
    </row>
    <row r="279" spans="1:52" ht="13.7"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7">
        <f>IF($C$278="yes",10,0)</f>
        <v>10</v>
      </c>
      <c r="AL285" s="2477"/>
      <c r="AM285" s="247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65" t="s">
        <v>592</v>
      </c>
      <c r="D292" s="2469"/>
      <c r="E292" s="547"/>
      <c r="F292" s="2497" t="s">
        <v>1384</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2018</v>
      </c>
      <c r="AH292" s="2500"/>
      <c r="AI292" s="2500"/>
      <c r="AJ292" s="2500"/>
      <c r="AK292" s="2500"/>
      <c r="AL292" s="550"/>
      <c r="AM292" s="550"/>
      <c r="AN292" s="73"/>
      <c r="AO292" s="14"/>
      <c r="AP292" s="30"/>
      <c r="AS292" s="570"/>
      <c r="AT292" s="570"/>
      <c r="AU292" s="570"/>
      <c r="AV292" s="32"/>
      <c r="AW292" s="32"/>
    </row>
    <row r="293" spans="1:49">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1385</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1386</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69" t="s">
        <v>546</v>
      </c>
      <c r="D302" s="246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69" t="s">
        <v>592</v>
      </c>
      <c r="D310" s="246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1185</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1185</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7" t="s">
        <v>1185</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7" t="s">
        <v>1185</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69" t="s">
        <v>592</v>
      </c>
      <c r="D333" s="2469"/>
      <c r="E333" s="547"/>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2" t="s">
        <v>1315</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1455</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1456</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85"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0</v>
      </c>
      <c r="AS357" s="539" t="s">
        <v>1457</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10</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0</v>
      </c>
      <c r="AS359" s="539" t="s">
        <v>1458</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5</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582</v>
      </c>
      <c r="AP361" s="696">
        <f>IF(C407="Yes",5,0)</f>
        <v>0</v>
      </c>
      <c r="AS361" s="539" t="s">
        <v>1879</v>
      </c>
    </row>
    <row r="362" spans="1:46" s="550" customFormat="1" ht="12.75" customHeight="1">
      <c r="A362" s="603"/>
      <c r="B362" s="611"/>
      <c r="C362" s="2533" t="s">
        <v>2232</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532">
        <f>IF(AQ366=0,AQ375,AQ366)</f>
        <v>10</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5</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534">
        <f>IF(AP366&gt;0,AP366,0)</f>
        <v>10</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1" t="s">
        <v>1459</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457</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462</v>
      </c>
      <c r="AP370" s="696">
        <f>IF(C449="Yes",5,0)</f>
        <v>0</v>
      </c>
    </row>
    <row r="371" spans="1:81" s="550" customFormat="1" ht="68.099999999999994"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19">
        <f>Application!DU802-U374</f>
        <v>500</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4">
        <f>IF(AP375&gt;0,AP375,0)</f>
        <v>0</v>
      </c>
      <c r="AR375" s="253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5" t="s">
        <v>1461</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592</v>
      </c>
      <c r="D381" s="246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1463</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5" t="s">
        <v>1464</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592</v>
      </c>
      <c r="D389" s="246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1463</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5" t="s">
        <v>1466</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592</v>
      </c>
      <c r="D397" s="246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1468</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546</v>
      </c>
      <c r="D399" s="246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1463</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5" t="s">
        <v>1472</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592</v>
      </c>
      <c r="D407" s="246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1463</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592</v>
      </c>
      <c r="D409" s="246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1475</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592</v>
      </c>
      <c r="D412" s="2469"/>
      <c r="E412" s="715" t="s">
        <v>1476</v>
      </c>
      <c r="F412" s="2515" t="s">
        <v>1477</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1463</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5" t="s">
        <v>1479</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546</v>
      </c>
      <c r="D421" s="246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1463</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592</v>
      </c>
      <c r="D423" s="246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1475</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5" t="s">
        <v>1483</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592</v>
      </c>
      <c r="D430" s="246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1463</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5" t="s">
        <v>1486</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592</v>
      </c>
      <c r="D442" s="246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1463</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5" t="s">
        <v>1489</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592</v>
      </c>
      <c r="D449" s="246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1463</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592</v>
      </c>
      <c r="D453" s="2519"/>
      <c r="E453" s="715" t="s">
        <v>1498</v>
      </c>
      <c r="F453" s="2515" t="s">
        <v>1499</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1463</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592</v>
      </c>
      <c r="D457" s="2469"/>
      <c r="E457" s="715" t="s">
        <v>1504</v>
      </c>
      <c r="F457" s="2515" t="s">
        <v>1505</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1463</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5" t="s">
        <v>1508</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592</v>
      </c>
      <c r="D466" s="246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1463</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2">
        <f>IF(Application!D214="N/A",AS358,AS360)</f>
        <v>10</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3" t="s">
        <v>1512</v>
      </c>
      <c r="AF472" s="2513"/>
      <c r="AG472" s="2513"/>
      <c r="AH472" s="2513"/>
      <c r="AI472" s="2513"/>
      <c r="AJ472" s="2513"/>
      <c r="AK472" s="251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8" t="s">
        <v>592</v>
      </c>
      <c r="D478" s="2539"/>
      <c r="E478" s="761" t="s">
        <v>508</v>
      </c>
      <c r="F478" s="2540" t="s">
        <v>1518</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4" t="s">
        <v>592</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5" t="s">
        <v>546</v>
      </c>
      <c r="D482" s="261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3" t="s">
        <v>592</v>
      </c>
      <c r="W485" s="2613"/>
      <c r="X485" s="261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3" t="s">
        <v>592</v>
      </c>
      <c r="W487" s="2613"/>
      <c r="X487" s="261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3" t="s">
        <v>592</v>
      </c>
      <c r="W492" s="2613"/>
      <c r="X492" s="261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3"/>
      <c r="E495" s="260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3" t="s">
        <v>592</v>
      </c>
      <c r="W496" s="2613"/>
      <c r="X496" s="261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3" t="s">
        <v>592</v>
      </c>
      <c r="W498" s="2613"/>
      <c r="X498" s="261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592</v>
      </c>
      <c r="D501" s="2539"/>
      <c r="E501" s="761" t="s">
        <v>508</v>
      </c>
      <c r="F501" s="2540" t="s">
        <v>1518</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592</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592</v>
      </c>
      <c r="D505" s="2539"/>
      <c r="E505" s="761" t="s">
        <v>758</v>
      </c>
      <c r="F505" s="2610" t="s">
        <v>1540</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2" t="s">
        <v>592</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8" t="s">
        <v>592</v>
      </c>
      <c r="D510" s="253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2"/>
      <c r="D512" s="260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592</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592</v>
      </c>
      <c r="D515" s="254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592</v>
      </c>
      <c r="D519" s="2543"/>
      <c r="F519" s="795" t="s">
        <v>1548</v>
      </c>
      <c r="G519" s="2516" t="s">
        <v>1549</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592</v>
      </c>
      <c r="D523" s="254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592</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1561</v>
      </c>
      <c r="AF538" s="2402"/>
      <c r="AG538" s="2402"/>
      <c r="AH538" s="2402"/>
      <c r="AI538" s="2402"/>
      <c r="AJ538" s="2402"/>
      <c r="AK538" s="240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546</v>
      </c>
      <c r="D541" s="2469"/>
      <c r="E541" s="551"/>
      <c r="F541" s="2596" t="s">
        <v>1562</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592</v>
      </c>
      <c r="D544" s="246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1564</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1565</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202037020</v>
      </c>
      <c r="AQ550" s="2618"/>
      <c r="AR550" s="2618"/>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142868603</v>
      </c>
      <c r="AG551" s="2475"/>
      <c r="AH551" s="2475"/>
      <c r="AI551" s="2475"/>
      <c r="AJ551" s="247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332570129</v>
      </c>
      <c r="AG552" s="2623"/>
      <c r="AH552" s="2623"/>
      <c r="AI552" s="2623"/>
      <c r="AJ552" s="2623"/>
      <c r="AK552" s="595"/>
      <c r="AL552" s="595"/>
      <c r="AM552" s="595"/>
      <c r="AN552" s="597"/>
      <c r="AP552" s="2618">
        <f>Application!AJ1045</f>
        <v>20203702</v>
      </c>
      <c r="AQ552" s="2618"/>
      <c r="AR552" s="26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0.56999999999999995</v>
      </c>
      <c r="AG553" s="2624"/>
      <c r="AH553" s="2624"/>
      <c r="AI553" s="2624"/>
      <c r="AJ553" s="2624"/>
      <c r="AK553" s="595"/>
      <c r="AL553" s="595"/>
      <c r="AM553" s="595"/>
      <c r="AN553" s="597"/>
      <c r="AP553" s="2621">
        <f>Application!AJ1049</f>
        <v>40407404</v>
      </c>
      <c r="AQ553" s="2621"/>
      <c r="AR553" s="26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0.3</v>
      </c>
      <c r="AQ554" s="2617"/>
      <c r="AR554" s="2617"/>
      <c r="AS554" s="550" t="s">
        <v>2172</v>
      </c>
    </row>
    <row r="555" spans="1:49" s="550" customFormat="1" ht="12.75" customHeight="1">
      <c r="A555" s="624"/>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271959023</v>
      </c>
      <c r="AQ556" s="2527"/>
      <c r="AR556" s="2527"/>
      <c r="AS556" s="550" t="s">
        <v>2174</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332570129</v>
      </c>
      <c r="AQ557" s="2618"/>
      <c r="AR557" s="26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3">
        <f>IFERROR(IF(AND(C541="N/A",C544="N/A"),0,IF(AF553=0,0,IF((AF553*100)&gt;12,12,(AF553*100)))),0)</f>
        <v>12</v>
      </c>
      <c r="AL559" s="2563"/>
      <c r="AM559" s="2564"/>
      <c r="AN559" s="597"/>
      <c r="AP559" s="2635">
        <f>AP556+(AP550*AP554)</f>
        <v>332570129</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1315</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1339</v>
      </c>
      <c r="AG578" s="2437"/>
      <c r="AH578" s="2437"/>
      <c r="AI578" s="2437"/>
      <c r="AJ578" s="2437"/>
      <c r="AK578" s="2437"/>
      <c r="AL578" s="243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1397</v>
      </c>
      <c r="AG585" s="2437"/>
      <c r="AH585" s="2437"/>
      <c r="AI585" s="2437"/>
      <c r="AJ585" s="2437"/>
      <c r="AK585" s="2437"/>
      <c r="AL585" s="243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1379</v>
      </c>
      <c r="AG591" s="2437"/>
      <c r="AH591" s="2437"/>
      <c r="AI591" s="2437"/>
      <c r="AJ591" s="2437"/>
      <c r="AK591" s="2437"/>
      <c r="AL591" s="243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1400</v>
      </c>
      <c r="AG597" s="2437"/>
      <c r="AH597" s="2437"/>
      <c r="AI597" s="2437"/>
      <c r="AJ597" s="2437"/>
      <c r="AK597" s="2437"/>
      <c r="AL597" s="243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3" t="s">
        <v>1185</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1353</v>
      </c>
      <c r="AG603" s="2437"/>
      <c r="AH603" s="2437"/>
      <c r="AI603" s="2437"/>
      <c r="AJ603" s="2437"/>
      <c r="AK603" s="2437"/>
      <c r="AL603" s="243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1" t="s">
        <v>688</v>
      </c>
      <c r="I606" s="2521"/>
      <c r="J606" s="936"/>
      <c r="K606" s="936"/>
      <c r="L606" s="936"/>
      <c r="N606" s="22"/>
      <c r="O606" s="22"/>
      <c r="P606" s="22"/>
      <c r="Q606" s="1151" t="s">
        <v>2177</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2" t="s">
        <v>592</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5" t="s">
        <v>592</v>
      </c>
      <c r="C616" s="2465"/>
      <c r="D616" s="642"/>
      <c r="E616" s="2492" t="s">
        <v>1404</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2">
        <f>VLOOKUP($H$606,$AO$586:$AP$591,2,FALSE)+IF(R606=AO594,0,VLOOKUP($I$614,$AO$613:$AP$615,2,FALSE))</f>
        <v>7</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0" t="s">
        <v>1695</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1353</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5" t="s">
        <v>592</v>
      </c>
      <c r="Y634" s="246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1409</v>
      </c>
      <c r="AG636" s="2437"/>
      <c r="AH636" s="2437"/>
      <c r="AI636" s="2437"/>
      <c r="AJ636" s="2437"/>
      <c r="AK636" s="2437"/>
      <c r="AL636" s="243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1" t="s">
        <v>688</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2">
        <f>VLOOKUP($H$638,$AO$605:$AP$607,2,FALSE)</f>
        <v>3</v>
      </c>
      <c r="AK640" s="247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1353</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1409</v>
      </c>
      <c r="AG647" s="2437"/>
      <c r="AH647" s="2437"/>
      <c r="AI647" s="2437"/>
      <c r="AJ647" s="2437"/>
      <c r="AK647" s="2437"/>
      <c r="AL647" s="243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1" t="s">
        <v>592</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2">
        <f>VLOOKUP(H650,AT605:AU607,2,FALSE)</f>
        <v>0</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2" t="s">
        <v>1419</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1379</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2" t="s">
        <v>1420</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1400</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2" t="s">
        <v>1421</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1353</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592</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2" t="s">
        <v>1422</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1400</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2" t="s">
        <v>1423</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1353</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2" t="s">
        <v>1424</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1409</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2" t="s">
        <v>1425</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1426</v>
      </c>
      <c r="AG681" s="2437"/>
      <c r="AH681" s="2437"/>
      <c r="AI681" s="2437"/>
      <c r="AJ681" s="2437"/>
      <c r="AK681" s="2437"/>
      <c r="AL681" s="2437"/>
      <c r="AM681" s="596"/>
      <c r="AN681" s="597"/>
      <c r="AO681" s="611" t="s">
        <v>688</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1" t="s">
        <v>688</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2">
        <f>VLOOKUP($H$685,$AO$633:$AP$640,2,FALSE)</f>
        <v>5</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269</v>
      </c>
    </row>
    <row r="691" spans="1:51" s="550" customFormat="1" ht="12.75" customHeight="1">
      <c r="A691" s="679"/>
      <c r="B691" s="536"/>
      <c r="C691" s="948"/>
      <c r="D691" s="663" t="s">
        <v>688</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1353</v>
      </c>
      <c r="AG691" s="2437"/>
      <c r="AH691" s="2437"/>
      <c r="AI691" s="2437"/>
      <c r="AJ691" s="2437"/>
      <c r="AK691" s="2437"/>
      <c r="AL691" s="2437"/>
      <c r="AN691" s="597"/>
      <c r="AW691" s="22" t="s">
        <v>2185</v>
      </c>
      <c r="AX691" s="550">
        <f>Application!DE753</f>
        <v>69</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1353</v>
      </c>
      <c r="AG694" s="2437"/>
      <c r="AH694" s="2437"/>
      <c r="AI694" s="2437"/>
      <c r="AJ694" s="2437"/>
      <c r="AK694" s="2437"/>
      <c r="AL694" s="2437"/>
      <c r="AN694" s="597"/>
      <c r="AW694" s="22" t="s">
        <v>2188</v>
      </c>
      <c r="AX694" s="550">
        <f>AX691+AX692+AX693</f>
        <v>69</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1</v>
      </c>
      <c r="AP695" s="2527"/>
      <c r="AW695" s="22" t="s">
        <v>2189</v>
      </c>
      <c r="AX695" s="550">
        <f>IFERROR(AX694/AX690,0)</f>
        <v>0.25650557620817843</v>
      </c>
      <c r="AY695" s="550">
        <f>IFERROR(AX694/(AX690-AX689),0)</f>
        <v>0.25650557620817843</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1409</v>
      </c>
      <c r="AG699" s="2437"/>
      <c r="AH699" s="2437"/>
      <c r="AI699" s="2437"/>
      <c r="AJ699" s="2437"/>
      <c r="AK699" s="2437"/>
      <c r="AL699" s="2437"/>
      <c r="AN699" s="597"/>
      <c r="AO699" s="611" t="s">
        <v>510</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2" t="s">
        <v>1694</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1" t="s">
        <v>592</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2">
        <f>VLOOKUP($H$709,$AO$703:$AP$706,2,FALSE)</f>
        <v>0</v>
      </c>
      <c r="AK711" s="247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1353</v>
      </c>
      <c r="AG715" s="2437"/>
      <c r="AH715" s="2437"/>
      <c r="AI715" s="2437"/>
      <c r="AJ715" s="2437"/>
      <c r="AK715" s="2437"/>
      <c r="AL715" s="2437"/>
      <c r="AM715" s="550"/>
      <c r="AN715" s="684"/>
      <c r="AP715" s="570" t="s">
        <v>1433</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1409</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1" t="s">
        <v>592</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2" t="s">
        <v>1697</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1353</v>
      </c>
      <c r="AG729" s="2437"/>
      <c r="AH729" s="2437"/>
      <c r="AI729" s="2437"/>
      <c r="AJ729" s="2437"/>
      <c r="AK729" s="2437"/>
      <c r="AL729" s="2437"/>
      <c r="AM729" s="550"/>
      <c r="AN729" s="684"/>
      <c r="AT729" s="14"/>
      <c r="AU729" s="14"/>
      <c r="AV729" s="14"/>
      <c r="AW729" s="14"/>
      <c r="AX729" s="14"/>
      <c r="AY729" s="14"/>
      <c r="AZ729" s="14"/>
    </row>
    <row r="730" spans="1:81" s="570" customFormat="1">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2" t="s">
        <v>1440</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1409</v>
      </c>
      <c r="AG732" s="2437"/>
      <c r="AH732" s="2437"/>
      <c r="AI732" s="2437"/>
      <c r="AJ732" s="2437"/>
      <c r="AK732" s="2437"/>
      <c r="AL732" s="2437"/>
      <c r="AM732" s="550"/>
      <c r="AN732" s="684"/>
      <c r="AT732" s="14"/>
      <c r="AU732" s="14"/>
      <c r="AV732" s="14"/>
      <c r="AW732" s="14"/>
      <c r="AX732" s="14"/>
      <c r="AY732" s="14"/>
      <c r="AZ732" s="14"/>
    </row>
    <row r="733" spans="1:81" s="570" customFormat="1">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1" t="s">
        <v>592</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2" t="s">
        <v>1443</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1353</v>
      </c>
      <c r="AG741" s="2437"/>
      <c r="AH741" s="2437"/>
      <c r="AI741" s="2437"/>
      <c r="AJ741" s="2437"/>
      <c r="AK741" s="2437"/>
      <c r="AL741" s="2437"/>
      <c r="AM741" s="550"/>
      <c r="AN741" s="684"/>
      <c r="AT741" s="14"/>
      <c r="AU741" s="14"/>
      <c r="AV741" s="14"/>
      <c r="AW741" s="14"/>
      <c r="AX741" s="14"/>
      <c r="AY741" s="14"/>
      <c r="AZ741" s="14"/>
    </row>
    <row r="742" spans="1:81" s="570" customFormat="1">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2" t="s">
        <v>1444</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1409</v>
      </c>
      <c r="AG746" s="2437"/>
      <c r="AH746" s="2437"/>
      <c r="AI746" s="2437"/>
      <c r="AJ746" s="2437"/>
      <c r="AK746" s="2437"/>
      <c r="AL746" s="2437"/>
      <c r="AM746" s="550"/>
      <c r="AN746" s="684"/>
      <c r="AO746" s="30"/>
      <c r="AP746" s="14"/>
    </row>
    <row r="747" spans="1:81" s="570" customFormat="1">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1" t="s">
        <v>510</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2">
        <f>VLOOKUP($H$751,$AO$680:$AP$682,2,FALSE)</f>
        <v>2</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2" t="s">
        <v>1446</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1409</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2" t="s">
        <v>1447</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1426</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1" t="s">
        <v>510</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2">
        <f>VLOOKUP($H$763,$AO$697:$AP$699,2,FALSE)</f>
        <v>1</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2" t="s">
        <v>1693</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1409</v>
      </c>
      <c r="AG769" s="2437"/>
      <c r="AH769" s="2437"/>
      <c r="AI769" s="2437"/>
      <c r="AJ769" s="2437"/>
      <c r="AK769" s="2437"/>
      <c r="AL769" s="2437"/>
      <c r="AM769" s="613"/>
      <c r="AN769" s="684"/>
      <c r="AO769" s="550" t="s">
        <v>592</v>
      </c>
      <c r="AP769" s="673">
        <v>0</v>
      </c>
    </row>
    <row r="770" spans="1:81" s="570" customFormat="1" ht="13.7"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1353</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1" t="s">
        <v>592</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2">
        <f>VLOOKUP($H$779,$AO$769:$AP$771,2,FALSE)</f>
        <v>0</v>
      </c>
      <c r="AK781" s="247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1353</v>
      </c>
      <c r="AG785" s="2437"/>
      <c r="AH785" s="2437"/>
      <c r="AI785" s="2437"/>
      <c r="AJ785" s="2437"/>
      <c r="AK785" s="2437"/>
      <c r="AL785" s="243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1" t="s">
        <v>592</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1569</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8" t="s">
        <v>1570</v>
      </c>
      <c r="U802" s="2569"/>
      <c r="V802" s="2569"/>
      <c r="W802" s="2569"/>
      <c r="X802" s="2569"/>
      <c r="Y802" s="2570"/>
      <c r="Z802" s="2568" t="s">
        <v>1571</v>
      </c>
      <c r="AA802" s="2569"/>
      <c r="AB802" s="2569"/>
      <c r="AC802" s="2569"/>
      <c r="AD802" s="2569"/>
      <c r="AE802" s="2570"/>
      <c r="AF802" s="2568" t="s">
        <v>1572</v>
      </c>
      <c r="AG802" s="2569"/>
      <c r="AH802" s="2569"/>
      <c r="AI802" s="2569"/>
      <c r="AJ802" s="2569"/>
      <c r="AK802" s="257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c r="A804" s="819" t="s">
        <v>758</v>
      </c>
      <c r="B804" s="2548" t="s">
        <v>1305</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c r="A805" s="819" t="s">
        <v>1542</v>
      </c>
      <c r="B805" s="2548" t="s">
        <v>1314</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c r="A806" s="819" t="s">
        <v>1551</v>
      </c>
      <c r="B806" s="2548" t="s">
        <v>1324</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c r="A807" s="819" t="s">
        <v>1573</v>
      </c>
      <c r="B807" s="2548" t="s">
        <v>1334</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c r="A808" s="820" t="s">
        <v>1574</v>
      </c>
      <c r="B808" s="2548" t="s">
        <v>1575</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c r="A809" s="535"/>
      <c r="B809" s="601"/>
      <c r="C809" s="2575" t="s">
        <v>1576</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c r="A810" s="600"/>
      <c r="B810" s="601"/>
      <c r="C810" s="2575" t="s">
        <v>1577</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c r="A811" s="820" t="s">
        <v>1362</v>
      </c>
      <c r="B811" s="2548" t="s">
        <v>1578</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c r="A812" s="819" t="s">
        <v>1371</v>
      </c>
      <c r="B812" s="2548" t="s">
        <v>1372</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idden="1">
      <c r="A813" s="820" t="s">
        <v>590</v>
      </c>
      <c r="B813" s="2548" t="s">
        <v>1579</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8" t="s">
        <v>1580</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8" t="s">
        <v>1382</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8" t="s">
        <v>846</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8" t="s">
        <v>1560</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8" t="s">
        <v>1582</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8" t="s">
        <v>1583</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1584</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3" t="s">
        <v>1585</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Mark Pilarczyk</cp:lastModifiedBy>
  <cp:lastPrinted>2025-09-05T22:19:26Z</cp:lastPrinted>
  <dcterms:created xsi:type="dcterms:W3CDTF">2007-12-27T18:26:28Z</dcterms:created>
  <dcterms:modified xsi:type="dcterms:W3CDTF">2025-09-05T22:19:50Z</dcterms:modified>
</cp:coreProperties>
</file>