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showInkAnnotation="0" codeName="ThisWorkbook" defaultThemeVersion="124226"/>
  <mc:AlternateContent xmlns:mc="http://schemas.openxmlformats.org/markup-compatibility/2006">
    <mc:Choice Requires="x15">
      <x15ac:absPath xmlns:x15ac="http://schemas.microsoft.com/office/spreadsheetml/2010/11/ac" url="R:\1_Rental Development Projects\Cypress Place at Garden City\Phase II\6. Finance\Funding Sources\CDLAC\R3 2025\Working Docs\"/>
    </mc:Choice>
  </mc:AlternateContent>
  <xr:revisionPtr revIDLastSave="0" documentId="13_ncr:1_{9B3689EF-5F87-4B09-8944-8350F5F2BC13}" xr6:coauthVersionLast="47" xr6:coauthVersionMax="47" xr10:uidLastSave="{00000000-0000-0000-0000-000000000000}"/>
  <bookViews>
    <workbookView xWindow="0" yWindow="300" windowWidth="29040" windowHeight="15840" activeTab="2"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alcMode="manual"/>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561" i="3" l="1"/>
  <c r="S49" i="4"/>
  <c r="AO640" i="3"/>
  <c r="C94" i="4" l="1"/>
  <c r="C49" i="4"/>
  <c r="S45" i="4"/>
  <c r="C45" i="4"/>
  <c r="AD199" i="20" l="1"/>
  <c r="J99" i="4"/>
  <c r="AA948" i="3"/>
  <c r="AA947" i="3"/>
  <c r="AA920" i="3"/>
  <c r="AA919" i="3"/>
  <c r="F32" i="4" l="1"/>
  <c r="C30" i="4"/>
  <c r="E10" i="4"/>
  <c r="AC894" i="3" l="1"/>
  <c r="O731" i="3"/>
  <c r="O730" i="3"/>
  <c r="O729" i="3"/>
  <c r="O728" i="3"/>
  <c r="O727" i="3"/>
  <c r="O726" i="3"/>
  <c r="O725" i="3"/>
  <c r="O724" i="3"/>
  <c r="O723" i="3"/>
  <c r="O722" i="3"/>
  <c r="O721" i="3"/>
  <c r="O720" i="3"/>
  <c r="O719" i="3"/>
  <c r="O718" i="3"/>
  <c r="E94" i="4" l="1"/>
  <c r="E92" i="4"/>
  <c r="E90" i="4"/>
  <c r="E89" i="4"/>
  <c r="E88" i="4"/>
  <c r="E86" i="4"/>
  <c r="E85" i="4"/>
  <c r="E84" i="4"/>
  <c r="E83" i="4"/>
  <c r="E80" i="4"/>
  <c r="E79" i="4"/>
  <c r="E75" i="4"/>
  <c r="E58" i="4"/>
  <c r="E52" i="4"/>
  <c r="E51" i="4"/>
  <c r="E50" i="4"/>
  <c r="E46" i="4"/>
  <c r="E45" i="4"/>
  <c r="E41" i="4"/>
  <c r="E40" i="4"/>
  <c r="E37" i="4"/>
  <c r="E36" i="4"/>
  <c r="E13" i="4"/>
  <c r="E6" i="4"/>
  <c r="E5" i="4"/>
  <c r="E4" i="4"/>
  <c r="F31" i="4"/>
  <c r="C93" i="4"/>
  <c r="E93" i="4" s="1"/>
  <c r="C95" i="4"/>
  <c r="E95" i="4" s="1"/>
  <c r="C43" i="4"/>
  <c r="E43" i="4" s="1"/>
  <c r="C69" i="4"/>
  <c r="E69" i="4" s="1"/>
  <c r="C65" i="4"/>
  <c r="E65" i="4" s="1"/>
  <c r="C61" i="4"/>
  <c r="E61" i="4" s="1"/>
  <c r="C53" i="4"/>
  <c r="E53" i="4" s="1"/>
  <c r="E49" i="4"/>
  <c r="G53" i="7" l="1"/>
  <c r="F30" i="4" l="1"/>
  <c r="AD67" i="15" l="1"/>
  <c r="Y67" i="15"/>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S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U45" i="21" l="1"/>
  <c r="T45" i="21"/>
  <c r="S45" i="21"/>
  <c r="R53" i="21" a="1"/>
  <c r="R53" i="21" s="1"/>
  <c r="S52" i="21"/>
  <c r="U49" i="21"/>
  <c r="U51" i="21"/>
  <c r="R49" i="21" a="1"/>
  <c r="R49" i="21" s="1"/>
  <c r="AY1024" i="3"/>
  <c r="P49" i="21" a="1"/>
  <c r="P49" i="21" s="1"/>
  <c r="P52" i="21" a="1"/>
  <c r="P52" i="21" s="1"/>
  <c r="P50" i="21" a="1"/>
  <c r="P50" i="21" s="1"/>
  <c r="O49" i="21"/>
  <c r="U53" i="21"/>
  <c r="O50" i="21"/>
  <c r="T53" i="21"/>
  <c r="P48" i="21" a="1"/>
  <c r="P48" i="21" s="1"/>
  <c r="R51" i="21" a="1"/>
  <c r="R51" i="21" s="1"/>
  <c r="P51" i="21" a="1"/>
  <c r="P51" i="21" s="1"/>
  <c r="O51" i="21"/>
  <c r="S48" i="21"/>
  <c r="R48" i="21" a="1"/>
  <c r="R48" i="21" s="1"/>
  <c r="R47" i="21" a="1"/>
  <c r="R47" i="21" s="1"/>
  <c r="U46" i="21"/>
  <c r="T51" i="21"/>
  <c r="U50" i="21"/>
  <c r="T49" i="21"/>
  <c r="U48" i="21"/>
  <c r="U47" i="21"/>
  <c r="T46" i="21"/>
  <c r="S50" i="21"/>
  <c r="T48" i="21"/>
  <c r="T47" i="21"/>
  <c r="S46"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BE63" i="3" l="1"/>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J621"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106"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C26" i="4"/>
  <c r="G72" i="21"/>
  <c r="G78" i="21" s="1"/>
  <c r="G109" i="21"/>
  <c r="M20" i="21"/>
  <c r="M21" i="21"/>
  <c r="M22" i="21"/>
  <c r="M23" i="21"/>
  <c r="M24" i="21"/>
  <c r="M25" i="21"/>
  <c r="M26" i="21"/>
  <c r="M27" i="21"/>
  <c r="M28" i="21"/>
  <c r="M29" i="21"/>
  <c r="M30" i="21"/>
  <c r="M31" i="21"/>
  <c r="M32" i="21"/>
  <c r="M33" i="2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G9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S36" i="4" s="1"/>
  <c r="E36" i="13" s="1"/>
  <c r="B66" i="4"/>
  <c r="B67" i="4"/>
  <c r="S67" i="4" s="1"/>
  <c r="E67" i="13" s="1"/>
  <c r="B68" i="4"/>
  <c r="S68" i="4" s="1"/>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8" i="13"/>
  <c r="E69" i="13"/>
  <c r="F69" i="13" s="1"/>
  <c r="B66" i="13"/>
  <c r="B67" i="13"/>
  <c r="B68" i="13"/>
  <c r="B69" i="13"/>
  <c r="C69" i="13" s="1"/>
  <c r="A53" i="13"/>
  <c r="H36" i="13"/>
  <c r="B36" i="13"/>
  <c r="H24" i="13"/>
  <c r="E24" i="13"/>
  <c r="B24" i="13"/>
  <c r="C104" i="4"/>
  <c r="B104" i="13" s="1"/>
  <c r="B99" i="4"/>
  <c r="S99" i="4" s="1"/>
  <c r="S104" i="4" s="1"/>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I53" i="7"/>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S10" i="4" s="1"/>
  <c r="R91" i="4"/>
  <c r="R84" i="4"/>
  <c r="B59" i="4"/>
  <c r="C80" i="11"/>
  <c r="C81" i="11"/>
  <c r="B80" i="11"/>
  <c r="B81" i="11"/>
  <c r="I96" i="13"/>
  <c r="J96" i="13"/>
  <c r="J81" i="13"/>
  <c r="I81" i="13"/>
  <c r="G81" i="13"/>
  <c r="H80" i="13"/>
  <c r="B80" i="13"/>
  <c r="C80" i="13" s="1"/>
  <c r="R80" i="4"/>
  <c r="R79" i="4"/>
  <c r="D81" i="4"/>
  <c r="E81" i="4"/>
  <c r="F81" i="4"/>
  <c r="G81" i="4"/>
  <c r="H81" i="4"/>
  <c r="I81" i="4"/>
  <c r="J81" i="4"/>
  <c r="K81" i="4"/>
  <c r="L81" i="4"/>
  <c r="M81" i="4"/>
  <c r="N81" i="4"/>
  <c r="O81" i="4"/>
  <c r="P81" i="4"/>
  <c r="Q81" i="4"/>
  <c r="T81" i="4"/>
  <c r="H81" i="13" s="1"/>
  <c r="C81" i="4"/>
  <c r="B81" i="13" s="1"/>
  <c r="B80" i="4"/>
  <c r="S80" i="4" s="1"/>
  <c r="E80" i="13" s="1"/>
  <c r="F80" i="13" s="1"/>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87" i="13"/>
  <c r="E35" i="13"/>
  <c r="E34" i="13"/>
  <c r="E29" i="13"/>
  <c r="E27" i="13"/>
  <c r="E25" i="13"/>
  <c r="E23" i="13"/>
  <c r="E22" i="13"/>
  <c r="E21" i="13"/>
  <c r="E20" i="13"/>
  <c r="E19" i="13"/>
  <c r="E18" i="13"/>
  <c r="E17" i="13"/>
  <c r="E15" i="13"/>
  <c r="B99" i="13"/>
  <c r="C99" i="13" s="1"/>
  <c r="B95" i="13"/>
  <c r="C95" i="13" s="1"/>
  <c r="B94" i="13"/>
  <c r="C94" i="13" s="1"/>
  <c r="B93" i="13"/>
  <c r="C93" i="13" s="1"/>
  <c r="B92" i="13"/>
  <c r="C92" i="13" s="1"/>
  <c r="B91" i="13"/>
  <c r="C91" i="13" s="1"/>
  <c r="B90" i="13"/>
  <c r="C90" i="13" s="1"/>
  <c r="B89" i="13"/>
  <c r="C89" i="13" s="1"/>
  <c r="B88" i="13"/>
  <c r="C88" i="13" s="1"/>
  <c r="B87" i="13"/>
  <c r="C87" i="13" s="1"/>
  <c r="B86" i="13"/>
  <c r="C86" i="13" s="1"/>
  <c r="B85" i="13"/>
  <c r="C85" i="13" s="1"/>
  <c r="B84" i="13"/>
  <c r="C84" i="13" s="1"/>
  <c r="B83" i="13"/>
  <c r="C83" i="13" s="1"/>
  <c r="B79" i="13"/>
  <c r="C79" i="13" s="1"/>
  <c r="B76" i="13"/>
  <c r="B75" i="13"/>
  <c r="C75" i="13" s="1"/>
  <c r="C77" i="13" s="1"/>
  <c r="B74" i="13"/>
  <c r="B73" i="13"/>
  <c r="B72" i="13"/>
  <c r="B65" i="13"/>
  <c r="C65" i="13" s="1"/>
  <c r="B61" i="13"/>
  <c r="C61" i="13" s="1"/>
  <c r="B60" i="13"/>
  <c r="B59" i="13"/>
  <c r="B58" i="13"/>
  <c r="B57" i="13"/>
  <c r="B56" i="13"/>
  <c r="B52" i="13"/>
  <c r="C52" i="13" s="1"/>
  <c r="B51" i="13"/>
  <c r="C51" i="13" s="1"/>
  <c r="B50" i="13"/>
  <c r="C50" i="13" s="1"/>
  <c r="B49" i="13"/>
  <c r="C49" i="13" s="1"/>
  <c r="B48" i="13"/>
  <c r="C48" i="13" s="1"/>
  <c r="B47" i="13"/>
  <c r="C47" i="13" s="1"/>
  <c r="B46" i="13"/>
  <c r="C46" i="13" s="1"/>
  <c r="B45" i="13"/>
  <c r="C45" i="13" s="1"/>
  <c r="B43" i="13"/>
  <c r="C42" i="4"/>
  <c r="B42" i="13" s="1"/>
  <c r="B41" i="13"/>
  <c r="B40" i="13"/>
  <c r="B37" i="13"/>
  <c r="C37" i="13" s="1"/>
  <c r="B35" i="13"/>
  <c r="B34" i="13"/>
  <c r="B33" i="13"/>
  <c r="B32" i="13"/>
  <c r="B31" i="13"/>
  <c r="B30" i="13"/>
  <c r="B29" i="13"/>
  <c r="B27" i="13"/>
  <c r="B25" i="13"/>
  <c r="B23" i="13"/>
  <c r="B22" i="13"/>
  <c r="B21" i="13"/>
  <c r="B20" i="13"/>
  <c r="B19" i="13"/>
  <c r="B18" i="13"/>
  <c r="B17" i="13"/>
  <c r="B5" i="13"/>
  <c r="C5" i="13" s="1"/>
  <c r="B6" i="13"/>
  <c r="C6" i="13" s="1"/>
  <c r="B7" i="13"/>
  <c r="C8" i="4"/>
  <c r="B8" i="13" s="1"/>
  <c r="B9" i="13"/>
  <c r="B10" i="13"/>
  <c r="F10" i="13" s="1"/>
  <c r="B13" i="13"/>
  <c r="B14" i="13"/>
  <c r="B15" i="13"/>
  <c r="B4" i="13"/>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I11" i="13"/>
  <c r="G26" i="13"/>
  <c r="D26" i="13"/>
  <c r="C26" i="13"/>
  <c r="J11" i="13"/>
  <c r="D11" i="13"/>
  <c r="D8" i="13"/>
  <c r="T104" i="4"/>
  <c r="H104" i="13" s="1"/>
  <c r="R103" i="4"/>
  <c r="R102" i="4"/>
  <c r="R101"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S43" i="4" s="1"/>
  <c r="E43" i="13" s="1"/>
  <c r="R41" i="4"/>
  <c r="R40" i="4"/>
  <c r="R37" i="4"/>
  <c r="R35" i="4"/>
  <c r="R34" i="4"/>
  <c r="R33" i="4"/>
  <c r="R32" i="4"/>
  <c r="R31" i="4"/>
  <c r="R29" i="4"/>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B26" i="13"/>
  <c r="C38" i="4"/>
  <c r="B38" i="13" s="1"/>
  <c r="C62" i="4"/>
  <c r="B62" i="13" s="1"/>
  <c r="C77" i="4"/>
  <c r="B77" i="13" s="1"/>
  <c r="C96" i="4"/>
  <c r="B96" i="13" s="1"/>
  <c r="D8" i="4"/>
  <c r="D11" i="4"/>
  <c r="D26" i="4"/>
  <c r="B26" i="4" s="1"/>
  <c r="D38" i="4"/>
  <c r="D42" i="4"/>
  <c r="D54" i="4"/>
  <c r="D62" i="4"/>
  <c r="D77" i="4"/>
  <c r="D96" i="4"/>
  <c r="D104" i="4"/>
  <c r="E26" i="13"/>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K8" i="4"/>
  <c r="K11" i="4"/>
  <c r="L8" i="4"/>
  <c r="L11" i="4"/>
  <c r="M8" i="4"/>
  <c r="M11" i="4"/>
  <c r="N8" i="4"/>
  <c r="O8" i="4"/>
  <c r="Q8" i="4"/>
  <c r="Q11" i="4"/>
  <c r="B9" i="4"/>
  <c r="B10" i="4"/>
  <c r="E10" i="13" s="1"/>
  <c r="E11" i="4"/>
  <c r="F11" i="4"/>
  <c r="F26" i="4"/>
  <c r="F42" i="4"/>
  <c r="F54" i="4"/>
  <c r="F62" i="4"/>
  <c r="N11" i="4"/>
  <c r="O11" i="4"/>
  <c r="B13" i="4"/>
  <c r="E13" i="13" s="1"/>
  <c r="B14" i="4"/>
  <c r="S14" i="4" s="1"/>
  <c r="E14" i="13" s="1"/>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S30" i="4" s="1"/>
  <c r="B31" i="4"/>
  <c r="S31" i="4" s="1"/>
  <c r="E31" i="13" s="1"/>
  <c r="B32" i="4"/>
  <c r="S32" i="4" s="1"/>
  <c r="E32" i="13" s="1"/>
  <c r="B33" i="4"/>
  <c r="B34" i="4"/>
  <c r="B35" i="4"/>
  <c r="B37" i="4"/>
  <c r="E37" i="13" s="1"/>
  <c r="E38" i="4"/>
  <c r="G38" i="4"/>
  <c r="H38" i="4"/>
  <c r="K38" i="4"/>
  <c r="L38" i="4"/>
  <c r="O38" i="4"/>
  <c r="P38" i="4"/>
  <c r="P42" i="4"/>
  <c r="P54" i="4"/>
  <c r="P62" i="4"/>
  <c r="P70" i="4"/>
  <c r="P77" i="4"/>
  <c r="P96" i="4"/>
  <c r="P104" i="4"/>
  <c r="Q38" i="4"/>
  <c r="B40" i="4"/>
  <c r="S40" i="4" s="1"/>
  <c r="B41" i="4"/>
  <c r="S41" i="4" s="1"/>
  <c r="E41" i="13" s="1"/>
  <c r="E42" i="4"/>
  <c r="G42" i="4"/>
  <c r="H42" i="4"/>
  <c r="K42" i="4"/>
  <c r="L42" i="4"/>
  <c r="O42" i="4"/>
  <c r="Q42" i="4"/>
  <c r="B43" i="4"/>
  <c r="B45" i="4"/>
  <c r="B46" i="4"/>
  <c r="E46" i="13" s="1"/>
  <c r="F46" i="13" s="1"/>
  <c r="B47" i="4"/>
  <c r="E47" i="13" s="1"/>
  <c r="F47" i="13" s="1"/>
  <c r="B48" i="4"/>
  <c r="E48" i="13" s="1"/>
  <c r="F48" i="13" s="1"/>
  <c r="B49" i="4"/>
  <c r="E49" i="13" s="1"/>
  <c r="F49" i="13" s="1"/>
  <c r="B50" i="4"/>
  <c r="S50" i="4" s="1"/>
  <c r="E50" i="13" s="1"/>
  <c r="F50" i="13" s="1"/>
  <c r="B51" i="4"/>
  <c r="S51" i="4" s="1"/>
  <c r="E51" i="13" s="1"/>
  <c r="F51" i="13" s="1"/>
  <c r="B52" i="4"/>
  <c r="S52" i="4" s="1"/>
  <c r="E52" i="13" s="1"/>
  <c r="F52" i="13" s="1"/>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S79" i="4" s="1"/>
  <c r="B83" i="4"/>
  <c r="B84" i="4"/>
  <c r="S84" i="4" s="1"/>
  <c r="B85" i="4"/>
  <c r="S85" i="4" s="1"/>
  <c r="E85" i="13" s="1"/>
  <c r="F85" i="13" s="1"/>
  <c r="B86" i="4"/>
  <c r="S86" i="4" s="1"/>
  <c r="E86" i="13" s="1"/>
  <c r="F86" i="13" s="1"/>
  <c r="B87" i="4"/>
  <c r="B88" i="4"/>
  <c r="B89" i="4"/>
  <c r="S89" i="4" s="1"/>
  <c r="E89" i="13" s="1"/>
  <c r="F89" i="13" s="1"/>
  <c r="B90" i="4"/>
  <c r="E90" i="13" s="1"/>
  <c r="F90" i="13" s="1"/>
  <c r="B91" i="4"/>
  <c r="E91" i="13" s="1"/>
  <c r="F91" i="13" s="1"/>
  <c r="B92" i="4"/>
  <c r="S92" i="4" s="1"/>
  <c r="E92" i="13" s="1"/>
  <c r="F92" i="13" s="1"/>
  <c r="B93" i="4"/>
  <c r="S93" i="4" s="1"/>
  <c r="E93" i="13" s="1"/>
  <c r="F93" i="13" s="1"/>
  <c r="B94" i="4"/>
  <c r="S94" i="4" s="1"/>
  <c r="E94" i="13" s="1"/>
  <c r="F94" i="13" s="1"/>
  <c r="B95" i="4"/>
  <c r="S95" i="4" s="1"/>
  <c r="E95" i="13" s="1"/>
  <c r="F95" i="13" s="1"/>
  <c r="E96" i="4"/>
  <c r="F96" i="4"/>
  <c r="G96" i="4"/>
  <c r="H96" i="4"/>
  <c r="I96" i="4"/>
  <c r="K96" i="4"/>
  <c r="L96" i="4"/>
  <c r="Q96" i="4"/>
  <c r="B101" i="4"/>
  <c r="B102" i="4"/>
  <c r="B103"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AH730" i="3" s="1"/>
  <c r="X731" i="3"/>
  <c r="AH731" i="3" s="1"/>
  <c r="X732" i="3"/>
  <c r="X733" i="3"/>
  <c r="X734" i="3"/>
  <c r="X735" i="3"/>
  <c r="X736" i="3"/>
  <c r="X737" i="3"/>
  <c r="X738" i="3"/>
  <c r="X739" i="3"/>
  <c r="X740" i="3"/>
  <c r="X741" i="3"/>
  <c r="M832" i="3"/>
  <c r="Q832" i="3"/>
  <c r="U832" i="3"/>
  <c r="Y832" i="3"/>
  <c r="AC832" i="3"/>
  <c r="AG832" i="3"/>
  <c r="Z902" i="3"/>
  <c r="D35" i="11"/>
  <c r="S33" i="4" l="1"/>
  <c r="E33" i="13" s="1"/>
  <c r="C4" i="13"/>
  <c r="C8" i="13" s="1"/>
  <c r="C13" i="13"/>
  <c r="C10" i="13"/>
  <c r="C11" i="13" s="1"/>
  <c r="C30" i="13"/>
  <c r="F30" i="13"/>
  <c r="C31" i="13"/>
  <c r="F31" i="13"/>
  <c r="C32" i="13"/>
  <c r="F32" i="13"/>
  <c r="C33" i="13"/>
  <c r="F33" i="13"/>
  <c r="C34" i="13"/>
  <c r="F34" i="13"/>
  <c r="C35" i="13"/>
  <c r="F35" i="13"/>
  <c r="C40" i="13"/>
  <c r="F40" i="13"/>
  <c r="C41" i="13"/>
  <c r="F41" i="13"/>
  <c r="C43" i="13"/>
  <c r="F43" i="13"/>
  <c r="C58" i="13"/>
  <c r="C62" i="13" s="1"/>
  <c r="C36" i="13"/>
  <c r="F36" i="13"/>
  <c r="E99" i="13"/>
  <c r="F99" i="13" s="1"/>
  <c r="D81" i="13"/>
  <c r="F104" i="13"/>
  <c r="C104" i="13"/>
  <c r="E84" i="13"/>
  <c r="F84" i="13" s="1"/>
  <c r="S96" i="4"/>
  <c r="E96" i="13" s="1"/>
  <c r="S81" i="4"/>
  <c r="E81" i="13" s="1"/>
  <c r="E79" i="13"/>
  <c r="F79" i="13" s="1"/>
  <c r="S70" i="4"/>
  <c r="E70" i="13" s="1"/>
  <c r="E65" i="13"/>
  <c r="F65" i="13" s="1"/>
  <c r="E45" i="13"/>
  <c r="F45" i="13" s="1"/>
  <c r="E40" i="13"/>
  <c r="S42" i="4"/>
  <c r="E42" i="13" s="1"/>
  <c r="E30" i="13"/>
  <c r="S38" i="4"/>
  <c r="E38" i="13" s="1"/>
  <c r="AO18" i="20"/>
  <c r="D36" i="11"/>
  <c r="D94" i="11"/>
  <c r="D86" i="11"/>
  <c r="D87" i="11"/>
  <c r="D103" i="11"/>
  <c r="D34" i="11"/>
  <c r="D6" i="11"/>
  <c r="D25" i="11"/>
  <c r="D91"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D24" i="11"/>
  <c r="B39" i="11"/>
  <c r="B71" i="11"/>
  <c r="B105" i="11"/>
  <c r="O12" i="4"/>
  <c r="D10" i="11"/>
  <c r="B43" i="11"/>
  <c r="BA1058" i="3"/>
  <c r="Q12" i="4"/>
  <c r="K12" i="4"/>
  <c r="D61" i="11"/>
  <c r="D57" i="11"/>
  <c r="B9" i="11"/>
  <c r="J12" i="4"/>
  <c r="D30" i="11"/>
  <c r="D22" i="11"/>
  <c r="R77" i="4"/>
  <c r="D80" i="11"/>
  <c r="D31" i="11"/>
  <c r="B62" i="4"/>
  <c r="O63" i="4"/>
  <c r="O97" i="4" s="1"/>
  <c r="O105" i="4" s="1"/>
  <c r="M63" i="4"/>
  <c r="M97" i="4" s="1"/>
  <c r="M105" i="4" s="1"/>
  <c r="N12" i="4"/>
  <c r="I12" i="4"/>
  <c r="B70" i="4"/>
  <c r="D102" i="11"/>
  <c r="E63" i="4"/>
  <c r="E97" i="4" s="1"/>
  <c r="P63" i="4"/>
  <c r="P97" i="4" s="1"/>
  <c r="P105" i="4" s="1"/>
  <c r="I63" i="13"/>
  <c r="I97" i="13" s="1"/>
  <c r="I105" i="13" s="1"/>
  <c r="I107" i="13" s="1"/>
  <c r="C71" i="11"/>
  <c r="R70" i="4"/>
  <c r="B81" i="4"/>
  <c r="R11" i="4"/>
  <c r="G58" i="7"/>
  <c r="I63" i="4"/>
  <c r="I97" i="4" s="1"/>
  <c r="I105" i="4" s="1"/>
  <c r="L63" i="4"/>
  <c r="L97" i="4" s="1"/>
  <c r="L105" i="4" s="1"/>
  <c r="D52" i="11"/>
  <c r="D44" i="11"/>
  <c r="D18" i="11"/>
  <c r="C12" i="11"/>
  <c r="J63" i="4"/>
  <c r="J97" i="4" s="1"/>
  <c r="Q63" i="4"/>
  <c r="Q97" i="4" s="1"/>
  <c r="Q105" i="4" s="1"/>
  <c r="B11" i="4"/>
  <c r="C39" i="11"/>
  <c r="C97" i="11"/>
  <c r="J63" i="13"/>
  <c r="J97" i="13" s="1"/>
  <c r="J105" i="13" s="1"/>
  <c r="J107" i="13" s="1"/>
  <c r="D81" i="11"/>
  <c r="B77" i="4"/>
  <c r="C78" i="11"/>
  <c r="D60" i="11"/>
  <c r="M12" i="4"/>
  <c r="D63" i="4"/>
  <c r="D97" i="4" s="1"/>
  <c r="D105" i="4" s="1"/>
  <c r="BE68" i="3" s="1"/>
  <c r="R26" i="4"/>
  <c r="R42" i="4"/>
  <c r="R54" i="4"/>
  <c r="R62" i="4"/>
  <c r="D63" i="13"/>
  <c r="D97" i="13" s="1"/>
  <c r="D105" i="13" s="1"/>
  <c r="B97"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K63" i="4"/>
  <c r="K97" i="4" s="1"/>
  <c r="K105" i="4" s="1"/>
  <c r="E104" i="13"/>
  <c r="CI753" i="3"/>
  <c r="X1048" i="3" s="1"/>
  <c r="BG243" i="3"/>
  <c r="BO245" i="3" s="1"/>
  <c r="T267" i="3" s="1"/>
  <c r="AH721" i="3"/>
  <c r="J7" i="8"/>
  <c r="J40" i="8" s="1"/>
  <c r="Z809" i="3" s="1"/>
  <c r="S38" i="21"/>
  <c r="S37" i="21"/>
  <c r="S36" i="21"/>
  <c r="S43" i="21"/>
  <c r="S35" i="21"/>
  <c r="S42" i="21"/>
  <c r="S34" i="21"/>
  <c r="U20" i="21"/>
  <c r="S41" i="21"/>
  <c r="U33" i="21"/>
  <c r="S40" i="21"/>
  <c r="U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F1017" i="3"/>
  <c r="C9" i="7"/>
  <c r="E9" i="7" s="1"/>
  <c r="C7" i="7"/>
  <c r="G12" i="4"/>
  <c r="AF1014" i="3"/>
  <c r="G99" i="2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D105" i="11" l="1"/>
  <c r="C96" i="13"/>
  <c r="F96" i="13"/>
  <c r="C81" i="13"/>
  <c r="F81" i="13"/>
  <c r="C70" i="13"/>
  <c r="F70" i="13"/>
  <c r="C42" i="13"/>
  <c r="F42" i="13"/>
  <c r="C38" i="13"/>
  <c r="F38" i="13"/>
  <c r="D43" i="11"/>
  <c r="D71" i="11"/>
  <c r="B12" i="4"/>
  <c r="N195" i="23"/>
  <c r="D82" i="11"/>
  <c r="D39" i="11"/>
  <c r="D78" i="11"/>
  <c r="R12" i="4"/>
  <c r="D12" i="11"/>
  <c r="D63" i="11"/>
  <c r="B13" i="11"/>
  <c r="D27" i="11"/>
  <c r="D97" i="11"/>
  <c r="T97" i="4"/>
  <c r="H63" i="13"/>
  <c r="AO39" i="20"/>
  <c r="AK62" i="20" s="1"/>
  <c r="T804" i="20" s="1"/>
  <c r="AF804" i="20" s="1"/>
  <c r="BE71" i="3" s="1"/>
  <c r="D9" i="11"/>
  <c r="C13" i="11"/>
  <c r="O53" i="7"/>
  <c r="M58" i="7"/>
  <c r="BA1039" i="3"/>
  <c r="BA1048" i="3" s="1" a="1"/>
  <c r="BA1048" i="3" s="1"/>
  <c r="AO42" i="20"/>
  <c r="AS360" i="20"/>
  <c r="G9" i="7"/>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O23" i="21" l="1"/>
  <c r="O31" i="21"/>
  <c r="P31" i="21" s="1" a="1"/>
  <c r="P31" i="21" s="1"/>
  <c r="S31" i="21" s="1"/>
  <c r="O30" i="21"/>
  <c r="P30" i="21" s="1" a="1"/>
  <c r="P30" i="21" s="1"/>
  <c r="S30" i="21" s="1"/>
  <c r="O25" i="21"/>
  <c r="P25" i="21" s="1" a="1"/>
  <c r="P25" i="21" s="1"/>
  <c r="S25" i="21" s="1"/>
  <c r="O26" i="21"/>
  <c r="P26" i="21" s="1" a="1"/>
  <c r="P26" i="21" s="1"/>
  <c r="S26" i="21" s="1"/>
  <c r="O27" i="21"/>
  <c r="P27" i="21" s="1" a="1"/>
  <c r="P27" i="21" s="1"/>
  <c r="S27" i="21" s="1"/>
  <c r="O21" i="21"/>
  <c r="P21" i="21" s="1" a="1"/>
  <c r="P21" i="21" s="1"/>
  <c r="S21" i="21" s="1"/>
  <c r="O29" i="21"/>
  <c r="P29" i="21" s="1" a="1"/>
  <c r="P29" i="21" s="1"/>
  <c r="S29" i="21" s="1"/>
  <c r="O22" i="21"/>
  <c r="P22" i="21" s="1" a="1"/>
  <c r="P22" i="21" s="1"/>
  <c r="S22" i="21" s="1"/>
  <c r="O28" i="21"/>
  <c r="P28" i="21" s="1" a="1"/>
  <c r="P28" i="21" s="1"/>
  <c r="S28" i="21" s="1"/>
  <c r="O24" i="21"/>
  <c r="P24" i="21" s="1" a="1"/>
  <c r="P24" i="21" s="1"/>
  <c r="S24" i="21" s="1"/>
  <c r="O32" i="21"/>
  <c r="P32" i="21" s="1" a="1"/>
  <c r="P32" i="21" s="1"/>
  <c r="S32" i="21" s="1"/>
  <c r="O33" i="21"/>
  <c r="P33" i="21" s="1" a="1"/>
  <c r="P33" i="21" s="1"/>
  <c r="S33" i="21" s="1"/>
  <c r="O20" i="21"/>
  <c r="AK84" i="20"/>
  <c r="AK191" i="20" s="1"/>
  <c r="T811" i="20" s="1"/>
  <c r="AF811" i="20" s="1"/>
  <c r="BE76" i="3" s="1"/>
  <c r="D13" i="11"/>
  <c r="O58" i="7"/>
  <c r="Q53" i="7"/>
  <c r="T105" i="4"/>
  <c r="H97" i="13"/>
  <c r="P23" i="21" a="1"/>
  <c r="P23" i="21" s="1"/>
  <c r="S23" i="21" s="1"/>
  <c r="P20" i="21" a="1"/>
  <c r="P20" i="21" s="1"/>
  <c r="S20" i="21" s="1"/>
  <c r="DU755" i="3"/>
  <c r="O756" i="3" s="1"/>
  <c r="BG753" i="3"/>
  <c r="BU753" i="3"/>
  <c r="AH753" i="3" s="1"/>
  <c r="BE43" i="3" s="1"/>
  <c r="E35" i="7"/>
  <c r="BT753" i="3"/>
  <c r="AX695" i="20"/>
  <c r="AO695" i="20" s="1"/>
  <c r="BH718" i="3"/>
  <c r="DX670" i="3"/>
  <c r="E130" i="20" s="1"/>
  <c r="E133" i="20" s="1"/>
  <c r="E136" i="20" s="1"/>
  <c r="AW122" i="20"/>
  <c r="K8" i="7"/>
  <c r="M8" i="7"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T805" i="20" l="1"/>
  <c r="AF805" i="20" s="1"/>
  <c r="BE72" i="3" s="1"/>
  <c r="H105" i="13"/>
  <c r="T107" i="4"/>
  <c r="H107" i="13" s="1"/>
  <c r="Q58" i="7"/>
  <c r="S53" i="7"/>
  <c r="G45" i="21"/>
  <c r="G47" i="21" s="1"/>
  <c r="E10" i="21" s="1"/>
  <c r="E11" i="21"/>
  <c r="AP705" i="20"/>
  <c r="AP706" i="20"/>
  <c r="AJ711" i="20" s="1"/>
  <c r="AK794" i="20" s="1"/>
  <c r="T819" i="20" s="1"/>
  <c r="AF819" i="20" s="1"/>
  <c r="BE82" i="3" s="1"/>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J994" i="3" l="1"/>
  <c r="AJ1016" i="3"/>
  <c r="AD11" i="15"/>
  <c r="AD23" i="15" s="1"/>
  <c r="AD26" i="15" s="1"/>
  <c r="AD28" i="15" s="1"/>
  <c r="AI11" i="15"/>
  <c r="AI23" i="15" s="1"/>
  <c r="AI26" i="15" s="1"/>
  <c r="AI28" i="15" s="1"/>
  <c r="S58" i="7"/>
  <c r="U53" i="7"/>
  <c r="AJ1045" i="3"/>
  <c r="AJ1049" i="3"/>
  <c r="AP553" i="20" s="1"/>
  <c r="AP550" i="20"/>
  <c r="K4" i="7"/>
  <c r="M4" i="7" s="1"/>
  <c r="E45" i="7"/>
  <c r="E48" i="7" s="1"/>
  <c r="G45" i="7"/>
  <c r="G49" i="7"/>
  <c r="K6" i="7"/>
  <c r="I7" i="7"/>
  <c r="I11" i="7" s="1"/>
  <c r="I37" i="7" s="1"/>
  <c r="G26" i="21"/>
  <c r="F29" i="21"/>
  <c r="G29" i="21"/>
  <c r="O22" i="7"/>
  <c r="O35" i="7" s="1"/>
  <c r="Q15" i="7"/>
  <c r="O9" i="7"/>
  <c r="Q8" i="7"/>
  <c r="U58" i="7" l="1"/>
  <c r="W53" i="7"/>
  <c r="AJ1053" i="3"/>
  <c r="AP552" i="20"/>
  <c r="AP554" i="20" s="1"/>
  <c r="K5" i="7"/>
  <c r="E47" i="7"/>
  <c r="E60" i="7"/>
  <c r="O4" i="7"/>
  <c r="M5" i="7"/>
  <c r="I45" i="7"/>
  <c r="I49" i="7"/>
  <c r="M6" i="7"/>
  <c r="K7" i="7"/>
  <c r="G60" i="7"/>
  <c r="G47" i="7"/>
  <c r="G48" i="7"/>
  <c r="Q22" i="7"/>
  <c r="Q35" i="7" s="1"/>
  <c r="S15" i="7"/>
  <c r="G79" i="21"/>
  <c r="G31" i="21"/>
  <c r="G33" i="21" s="1"/>
  <c r="E9" i="21" s="1"/>
  <c r="G88" i="21"/>
  <c r="G90" i="21" s="1"/>
  <c r="E16" i="21" s="1"/>
  <c r="G111" i="21"/>
  <c r="G96" i="21"/>
  <c r="Q9" i="7"/>
  <c r="S8" i="7"/>
  <c r="G80" i="21" l="1"/>
  <c r="E15" i="21" s="1"/>
  <c r="W58" i="7"/>
  <c r="Y53" i="7"/>
  <c r="T24" i="15"/>
  <c r="AP557" i="20"/>
  <c r="AP556" i="20" s="1"/>
  <c r="AP559" i="20" s="1"/>
  <c r="AF552" i="20" s="1"/>
  <c r="K11" i="7"/>
  <c r="K37" i="7" s="1"/>
  <c r="K45" i="7" s="1"/>
  <c r="O5" i="7"/>
  <c r="Q4" i="7"/>
  <c r="M7" i="7"/>
  <c r="M11" i="7" s="1"/>
  <c r="M37" i="7" s="1"/>
  <c r="O6" i="7"/>
  <c r="G67" i="7"/>
  <c r="G62" i="7"/>
  <c r="G66" i="7"/>
  <c r="I48" i="7"/>
  <c r="I60" i="7"/>
  <c r="I47" i="7"/>
  <c r="G101" i="21"/>
  <c r="G113" i="21"/>
  <c r="G97" i="21"/>
  <c r="S22" i="7"/>
  <c r="S35" i="7" s="1"/>
  <c r="U15" i="7"/>
  <c r="U8" i="7"/>
  <c r="S9" i="7"/>
  <c r="AA53" i="7" l="1"/>
  <c r="Y58" i="7"/>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C53" i="7" l="1"/>
  <c r="AA58" i="7"/>
  <c r="U4" i="7"/>
  <c r="S5" i="7"/>
  <c r="M48" i="7"/>
  <c r="M47" i="7"/>
  <c r="M60" i="7"/>
  <c r="O45" i="7"/>
  <c r="O49" i="7"/>
  <c r="K66" i="7"/>
  <c r="K67" i="7"/>
  <c r="K62" i="7"/>
  <c r="Q7" i="7"/>
  <c r="Q11" i="7" s="1"/>
  <c r="Q37" i="7" s="1"/>
  <c r="S6" i="7"/>
  <c r="I70" i="7"/>
  <c r="I72" i="7" s="1"/>
  <c r="W22" i="7"/>
  <c r="W35" i="7" s="1"/>
  <c r="Y15" i="7"/>
  <c r="W9" i="7"/>
  <c r="Y8" i="7"/>
  <c r="AE53" i="7" l="1"/>
  <c r="AC58" i="7"/>
  <c r="U5" i="7"/>
  <c r="W4" i="7"/>
  <c r="Q49" i="7"/>
  <c r="Q45" i="7"/>
  <c r="M62" i="7"/>
  <c r="M67" i="7"/>
  <c r="M66" i="7"/>
  <c r="O47" i="7"/>
  <c r="O48" i="7"/>
  <c r="O60" i="7"/>
  <c r="K70" i="7"/>
  <c r="K72" i="7" s="1"/>
  <c r="S7" i="7"/>
  <c r="S11" i="7" s="1"/>
  <c r="S37" i="7" s="1"/>
  <c r="U6" i="7"/>
  <c r="Y22" i="7"/>
  <c r="Y35" i="7" s="1"/>
  <c r="AA15" i="7"/>
  <c r="Y9" i="7"/>
  <c r="AA8" i="7"/>
  <c r="AG53" i="7" l="1"/>
  <c r="AG58" i="7" s="1"/>
  <c r="AE58" i="7"/>
  <c r="M70" i="7"/>
  <c r="M72" i="7" s="1"/>
  <c r="W5" i="7"/>
  <c r="Y4" i="7"/>
  <c r="U7" i="7"/>
  <c r="U11" i="7" s="1"/>
  <c r="U37" i="7" s="1"/>
  <c r="W6" i="7"/>
  <c r="O67" i="7"/>
  <c r="O66" i="7"/>
  <c r="O62" i="7"/>
  <c r="Q60" i="7"/>
  <c r="Q48" i="7"/>
  <c r="Q47" i="7"/>
  <c r="S49" i="7"/>
  <c r="S45" i="7"/>
  <c r="AC15" i="7"/>
  <c r="AA22" i="7"/>
  <c r="AA35" i="7" s="1"/>
  <c r="AC8" i="7"/>
  <c r="AA9" i="7"/>
  <c r="AA4" i="7" l="1"/>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H753" i="3"/>
  <c r="AC753" i="3" s="1"/>
  <c r="BE42" i="3" s="1"/>
  <c r="E93" i="20" l="1"/>
  <c r="E94" i="20" s="1"/>
  <c r="E95" i="20" s="1"/>
  <c r="AP95" i="20" s="1"/>
  <c r="AK109" i="20" s="1"/>
  <c r="T806" i="20" s="1"/>
  <c r="AF806" i="20" s="1"/>
  <c r="E103" i="20"/>
  <c r="E106" i="20" s="1"/>
  <c r="BE73" i="3" l="1"/>
  <c r="H3" i="21"/>
  <c r="R30" i="4" l="1"/>
  <c r="R38" i="4" s="1"/>
  <c r="R63" i="4" s="1"/>
  <c r="R97" i="4" s="1"/>
  <c r="F38" i="4"/>
  <c r="F63" i="4" s="1"/>
  <c r="F97" i="4" s="1"/>
  <c r="F105" i="4" s="1"/>
  <c r="Y64" i="15" l="1"/>
  <c r="Y68" i="15" s="1"/>
  <c r="Y69" i="15" s="1"/>
  <c r="B54" i="11"/>
  <c r="B55" i="11" s="1"/>
  <c r="B64" i="11" s="1"/>
  <c r="B98" i="11" s="1"/>
  <c r="B106" i="11" s="1"/>
  <c r="C54" i="11"/>
  <c r="D54" i="11" s="1"/>
  <c r="C55" i="11"/>
  <c r="C64" i="11" s="1"/>
  <c r="B53" i="13"/>
  <c r="B53" i="4"/>
  <c r="C54" i="4"/>
  <c r="C63" i="4" s="1"/>
  <c r="C53" i="13" l="1"/>
  <c r="C54" i="13" s="1"/>
  <c r="C63" i="13" s="1"/>
  <c r="C97" i="13" s="1"/>
  <c r="C105" i="13" s="1"/>
  <c r="D64" i="11"/>
  <c r="D55" i="11"/>
  <c r="B63" i="13"/>
  <c r="C97" i="4"/>
  <c r="C105" i="4" s="1"/>
  <c r="B105" i="4" s="1"/>
  <c r="AB47" i="15" s="1"/>
  <c r="AB49" i="15" s="1"/>
  <c r="C98" i="11"/>
  <c r="D98" i="11" s="1"/>
  <c r="B54" i="13"/>
  <c r="B54" i="4"/>
  <c r="B63" i="4" s="1"/>
  <c r="E53" i="13"/>
  <c r="F53" i="13" s="1"/>
  <c r="F54" i="13" s="1"/>
  <c r="F63" i="13" s="1"/>
  <c r="F97" i="13" s="1"/>
  <c r="F105" i="13" s="1"/>
  <c r="F107" i="13" s="1"/>
  <c r="S54" i="4"/>
  <c r="B105" i="13" l="1"/>
  <c r="N185" i="23"/>
  <c r="C106" i="11"/>
  <c r="D106" i="11" s="1"/>
  <c r="B97" i="13"/>
  <c r="B97" i="4"/>
  <c r="AG269" i="20"/>
  <c r="BE22" i="3"/>
  <c r="BE101" i="3"/>
  <c r="AC455" i="3"/>
  <c r="AB266" i="20"/>
  <c r="AG268" i="20" s="1"/>
  <c r="AG270" i="20" s="1"/>
  <c r="AK273" i="20" s="1"/>
  <c r="T812" i="20" s="1"/>
  <c r="AF812" i="20" s="1"/>
  <c r="AC454" i="3"/>
  <c r="BE44" i="3" s="1"/>
  <c r="E54" i="13"/>
  <c r="S63" i="4"/>
  <c r="N196" i="23"/>
  <c r="N186" i="23"/>
  <c r="F457" i="3" l="1"/>
  <c r="BE77" i="3"/>
  <c r="E63" i="13"/>
  <c r="S97" i="4"/>
  <c r="E97" i="13" l="1"/>
  <c r="AZ1046" i="3"/>
  <c r="S105" i="4"/>
  <c r="E105" i="13" l="1"/>
  <c r="S107" i="4"/>
  <c r="BA1056" i="3"/>
  <c r="AZ1051" i="3"/>
  <c r="BA1055" i="3" s="1"/>
  <c r="BA1059" i="3" s="1"/>
  <c r="AC456" i="3" l="1"/>
  <c r="E107" i="13"/>
  <c r="AA1056" i="3"/>
  <c r="AA1057" i="3" s="1"/>
  <c r="G1058" i="3" s="1"/>
  <c r="AF551" i="20"/>
  <c r="AF553" i="20" s="1"/>
  <c r="AK559" i="20" s="1"/>
  <c r="T818" i="20" s="1"/>
  <c r="AF818" i="20" s="1"/>
  <c r="Y11" i="15" l="1"/>
  <c r="Y23" i="15" s="1"/>
  <c r="Y26" i="15" s="1"/>
  <c r="Y28" i="15" s="1"/>
  <c r="T11" i="15"/>
  <c r="T23" i="15" s="1"/>
  <c r="T26" i="15" s="1"/>
  <c r="T28" i="15" s="1"/>
  <c r="BE81" i="3"/>
  <c r="AF821" i="20"/>
  <c r="BE70" i="3" s="1"/>
  <c r="Y38" i="15" l="1"/>
  <c r="Y40" i="15" s="1"/>
  <c r="AD38" i="15"/>
  <c r="AD40" i="15" s="1"/>
  <c r="T29" i="15"/>
  <c r="Y41" i="15" l="1"/>
  <c r="AB50" i="15" l="1"/>
  <c r="BE62" i="3" l="1"/>
  <c r="AB54" i="15"/>
  <c r="AB55" i="15" s="1"/>
  <c r="AB56" i="15" s="1"/>
  <c r="AB57" i="15" l="1"/>
  <c r="AB59" i="15" s="1"/>
  <c r="AB77" i="15" s="1"/>
  <c r="AB78" i="15" s="1"/>
  <c r="M26" i="3"/>
  <c r="BE19" i="3" l="1"/>
  <c r="P204" i="3"/>
  <c r="M27" i="3"/>
  <c r="AB79" i="15"/>
  <c r="AB81" i="15" s="1"/>
  <c r="J82" i="15" s="1"/>
  <c r="I10" i="21"/>
  <c r="I11" i="21" s="1"/>
  <c r="I18" i="21" s="1"/>
  <c r="H4" i="21" s="1"/>
  <c r="H5" i="21" s="1"/>
  <c r="BE83" i="3" s="1"/>
  <c r="P205" i="3" l="1"/>
  <c r="BE20" i="3"/>
  <c r="E99" i="4"/>
  <c r="R99" i="4"/>
  <c r="R104" i="4" s="1"/>
  <c r="R105" i="4" s="1"/>
  <c r="E104" i="4"/>
  <c r="J104" i="4"/>
  <c r="J105" i="4" s="1"/>
  <c r="E10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rgb="FF000000"/>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rgb="FF000000"/>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color rgb="FF00000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<sst xmlns="http://schemas.openxmlformats.org/spreadsheetml/2006/main" count="5039" uniqueCount="2753">
  <si>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</si>
  <si>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</si>
  <si>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</si>
  <si>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</si>
  <si>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</si>
  <si>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</si>
  <si>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</si>
  <si>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</si>
  <si>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</si>
  <si>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</si>
  <si>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</si>
  <si>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</si>
  <si>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</si>
  <si>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</si>
  <si>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</si>
  <si>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</si>
  <si>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</si>
  <si>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</si>
  <si>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</si>
  <si>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</si>
  <si>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</si>
  <si>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</si>
  <si>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</si>
  <si>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</si>
  <si>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</si>
  <si>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</si>
  <si>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</si>
  <si>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</si>
  <si>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</si>
  <si>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</si>
  <si>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</si>
  <si>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</si>
  <si>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</si>
  <si>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</si>
  <si>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</si>
  <si>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</si>
  <si>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</si>
  <si>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</si>
  <si>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</si>
  <si>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</si>
  <si>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</si>
  <si>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</si>
  <si>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</si>
  <si>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</si>
  <si>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</si>
  <si>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</si>
  <si>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</si>
  <si>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</si>
  <si>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</si>
  <si>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</si>
  <si>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</si>
  <si>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</si>
  <si>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</si>
  <si>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</si>
  <si>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</si>
  <si>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</si>
  <si>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</si>
  <si>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</si>
  <si>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</si>
  <si>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</si>
  <si>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</si>
  <si>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</si>
  <si>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</si>
  <si>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</si>
  <si>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</si>
  <si>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</si>
  <si>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</si>
  <si>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</si>
  <si>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</si>
  <si>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</si>
  <si>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</si>
  <si>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</si>
  <si>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</si>
  <si>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</si>
  <si>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</si>
  <si>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</si>
  <si>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</si>
  <si>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</si>
  <si>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</si>
  <si>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</si>
  <si>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</si>
  <si>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</si>
  <si>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</si>
  <si>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</si>
  <si>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</si>
  <si>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</si>
  <si>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</si>
  <si>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</si>
  <si>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</si>
  <si>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</si>
  <si>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</si>
  <si>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</si>
  <si>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</si>
  <si>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</si>
  <si>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</si>
  <si>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</si>
  <si>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</si>
  <si>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</si>
  <si>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</si>
  <si>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</si>
  <si>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</si>
  <si>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</si>
  <si>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</si>
  <si>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</si>
  <si>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</si>
  <si>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</si>
  <si>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</si>
  <si>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</si>
  <si>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</si>
  <si>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</si>
  <si>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</si>
  <si>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</si>
  <si>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</si>
  <si>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</si>
  <si>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</si>
  <si>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</si>
  <si>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</si>
  <si>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</si>
  <si>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</si>
  <si>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</si>
  <si>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</si>
  <si>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</si>
  <si>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</si>
  <si>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</si>
  <si>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</si>
  <si>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</si>
  <si>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</si>
  <si>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</si>
  <si>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</si>
  <si>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</si>
  <si>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</si>
  <si>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</si>
  <si>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</si>
  <si>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</si>
  <si>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</si>
  <si>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</si>
  <si>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</si>
  <si>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</si>
  <si>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</si>
  <si>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</si>
  <si>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</si>
  <si>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</si>
  <si>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</si>
  <si>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</si>
  <si>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</si>
  <si>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</si>
  <si>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</si>
  <si>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</si>
  <si>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</si>
  <si>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</si>
  <si>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</si>
  <si>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</si>
  <si>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</si>
  <si>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</si>
  <si>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</si>
  <si>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</si>
  <si>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</si>
  <si>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</si>
  <si>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</si>
  <si>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</si>
  <si>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</si>
  <si>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</si>
  <si>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</si>
  <si>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</si>
  <si>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</si>
  <si>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</si>
  <si>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</si>
  <si>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</si>
  <si>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</si>
  <si>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</si>
  <si>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</si>
  <si>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</si>
  <si>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</si>
  <si>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</si>
  <si>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</si>
  <si>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</si>
  <si>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</si>
  <si>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</si>
  <si>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</si>
  <si>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</si>
  <si>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</si>
  <si>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</si>
  <si>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</si>
  <si>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</si>
  <si>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</si>
  <si>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</si>
  <si>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</si>
  <si>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</si>
  <si>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</si>
  <si>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</si>
  <si>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</si>
  <si>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</si>
  <si>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</si>
  <si>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</si>
  <si>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</si>
  <si>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</si>
  <si>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</si>
  <si>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</si>
  <si>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</si>
  <si>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</si>
  <si>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</si>
  <si>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</si>
  <si>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</si>
  <si>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</si>
  <si>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</si>
  <si>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</si>
  <si>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</si>
  <si>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</si>
  <si>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</si>
  <si>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</si>
  <si>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</si>
  <si>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</si>
  <si>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</si>
  <si>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</si>
  <si>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</si>
  <si>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</si>
  <si>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</si>
  <si>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</si>
  <si>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</si>
  <si>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</si>
  <si>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</si>
  <si>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</si>
  <si>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</si>
  <si>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</si>
  <si>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</si>
  <si>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</si>
  <si>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</si>
  <si>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</si>
  <si>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</si>
  <si>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</si>
  <si>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</si>
  <si>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</si>
  <si>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</si>
  <si>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</si>
  <si>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</si>
  <si>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</si>
  <si>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</si>
  <si>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</si>
  <si>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</si>
  <si>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</si>
  <si>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</si>
  <si>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</si>
  <si>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</si>
  <si>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</si>
  <si>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</si>
  <si>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</si>
  <si>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</si>
  <si>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</si>
  <si>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</si>
  <si>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</si>
  <si>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</si>
  <si>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</si>
  <si>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</si>
  <si>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</si>
  <si>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</si>
  <si>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</si>
  <si>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</si>
  <si>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</si>
  <si>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</si>
  <si>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</si>
  <si>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</si>
  <si>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</si>
  <si>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</si>
  <si>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</si>
  <si>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</si>
  <si>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</si>
  <si>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</si>
  <si>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</si>
  <si>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</si>
  <si>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</si>
  <si>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</si>
  <si>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</si>
  <si>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</si>
  <si>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</si>
  <si>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</si>
  <si>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</si>
  <si>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</si>
  <si>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</si>
  <si>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</si>
  <si>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</si>
  <si>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</si>
  <si>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</si>
  <si>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</si>
  <si>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</si>
  <si>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</si>
  <si>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</si>
  <si>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</si>
  <si>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</si>
  <si>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</si>
  <si>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</si>
  <si>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</si>
  <si>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</si>
  <si>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</si>
  <si>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</si>
  <si>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</si>
  <si>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</si>
  <si>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</si>
  <si>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</si>
  <si>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</si>
  <si>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</si>
  <si>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</si>
  <si>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</si>
  <si>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</si>
  <si>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</si>
  <si>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</si>
  <si>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</si>
  <si>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</si>
  <si>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</si>
  <si>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</si>
  <si>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</si>
  <si>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</si>
  <si>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</si>
  <si>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</si>
  <si>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</si>
  <si>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</si>
  <si>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</si>
  <si>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</si>
  <si>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</si>
  <si>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</si>
  <si>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</si>
  <si>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</si>
  <si>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</si>
  <si>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</si>
  <si>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</si>
  <si>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</si>
  <si>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</si>
  <si>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</si>
  <si>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</si>
  <si>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</si>
  <si>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</si>
  <si>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</si>
  <si>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</si>
  <si>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</si>
  <si>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</si>
  <si>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</si>
  <si>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</si>
  <si>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</si>
  <si>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</si>
  <si>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</si>
  <si>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</si>
  <si>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</si>
  <si>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</si>
  <si>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</si>
  <si>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</si>
  <si>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</si>
  <si>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</si>
  <si>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</si>
  <si>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</si>
  <si>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</si>
  <si>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</si>
  <si>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</si>
  <si>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</si>
  <si>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</si>
  <si>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</si>
  <si>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</si>
  <si>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</si>
  <si>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</si>
  <si>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</si>
  <si>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</si>
  <si>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</si>
  <si>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</si>
  <si>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</si>
  <si>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</si>
  <si>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</si>
  <si>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</si>
  <si>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</si>
  <si>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</si>
  <si>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</si>
  <si>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</si>
  <si>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</si>
  <si>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</si>
  <si>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</si>
  <si>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</si>
  <si>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</si>
  <si>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</si>
  <si>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</si>
  <si>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</si>
  <si>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</si>
  <si>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</si>
  <si>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</si>
  <si>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</si>
  <si>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</si>
  <si>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</si>
  <si>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</si>
  <si>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</si>
  <si>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</si>
  <si>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</si>
  <si>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</si>
  <si>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</si>
  <si>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</si>
  <si>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</si>
  <si>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</si>
  <si>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</si>
  <si>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</si>
  <si>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</si>
  <si>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</si>
  <si>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</si>
  <si>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</si>
  <si>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</si>
  <si>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</si>
  <si>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</si>
  <si>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</si>
  <si>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</si>
  <si>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</si>
  <si>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</si>
  <si>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</si>
  <si>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</si>
  <si>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</si>
  <si>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</si>
  <si>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</si>
  <si>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</si>
  <si>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</si>
  <si>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</si>
  <si>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</si>
  <si>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</si>
  <si>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</si>
  <si>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</si>
  <si>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</si>
  <si>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</si>
  <si>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</si>
  <si>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</si>
  <si>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</si>
  <si>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</si>
  <si>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</si>
  <si>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</si>
  <si>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</si>
  <si>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</si>
  <si>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</si>
  <si>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</si>
  <si>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</si>
  <si>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</si>
  <si>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</si>
  <si>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</si>
  <si>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</si>
  <si>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</si>
  <si>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</si>
  <si>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</si>
  <si>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</si>
  <si>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</si>
  <si>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</si>
  <si>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</si>
  <si>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</si>
  <si>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</si>
  <si>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</si>
  <si>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</si>
  <si>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</si>
  <si>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</si>
  <si>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</si>
  <si>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</si>
  <si>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</si>
  <si>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</si>
  <si>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</si>
  <si>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</si>
  <si>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</si>
  <si>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</si>
  <si>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</si>
  <si>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</si>
  <si>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</si>
  <si>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</si>
  <si>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</si>
  <si>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</si>
  <si>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</si>
  <si>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</si>
  <si>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</si>
  <si>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</si>
  <si>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</si>
  <si>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</si>
  <si>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</si>
  <si>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</si>
  <si>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</si>
  <si>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</si>
  <si>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</si>
  <si>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</si>
  <si>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</si>
  <si>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</si>
  <si>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</si>
  <si>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</si>
  <si>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</si>
  <si>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</si>
  <si>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</si>
  <si>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</si>
  <si>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</si>
  <si>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</si>
  <si>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</si>
  <si>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</si>
  <si>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</si>
  <si>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</si>
  <si>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</si>
  <si>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</si>
  <si>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</si>
  <si>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</si>
  <si>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</si>
  <si>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</si>
  <si>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</si>
  <si>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</si>
  <si>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</si>
  <si>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</si>
  <si>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</si>
  <si>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</si>
  <si>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</si>
  <si>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</si>
  <si>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</si>
  <si>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</si>
  <si>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</si>
  <si>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</si>
  <si>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</si>
  <si>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</si>
  <si>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</si>
  <si>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</si>
  <si>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</si>
  <si>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</si>
  <si>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</si>
  <si>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</si>
  <si>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</si>
  <si>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</si>
  <si>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</si>
  <si>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</si>
  <si>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</si>
  <si>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</si>
  <si>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</si>
  <si>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</si>
  <si>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</si>
  <si>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</si>
  <si>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</si>
  <si>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</si>
  <si>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</si>
  <si>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</si>
  <si>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</si>
  <si>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</si>
  <si>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</si>
  <si>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</si>
  <si>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</si>
  <si>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</si>
  <si>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</si>
  <si>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</si>
  <si>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</si>
  <si>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</si>
  <si>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</si>
  <si>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</si>
  <si>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</si>
  <si>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</si>
  <si>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</si>
  <si>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</si>
  <si>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</si>
  <si>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</si>
  <si>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</si>
  <si>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</si>
  <si>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</si>
  <si>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</si>
  <si>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</si>
  <si>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</si>
  <si>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</si>
  <si>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</si>
  <si>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</si>
  <si>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</si>
  <si>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</si>
  <si>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</si>
  <si>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</si>
  <si>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</si>
  <si>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</si>
  <si>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</si>
  <si>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</si>
  <si>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</si>
  <si>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</si>
  <si>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</si>
  <si>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</si>
  <si>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</si>
  <si>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</si>
  <si>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</si>
  <si>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</si>
  <si>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</si>
  <si>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</si>
  <si>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</si>
  <si>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</si>
  <si>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</si>
  <si>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</si>
  <si>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</si>
  <si>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</si>
  <si>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</si>
  <si>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</si>
  <si>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</si>
  <si>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</si>
  <si>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</si>
  <si>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</si>
  <si>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</si>
  <si>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</si>
  <si>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</si>
  <si>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</si>
  <si>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</si>
  <si>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</si>
  <si>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</si>
  <si>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</si>
  <si>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</si>
  <si>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</si>
  <si>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</si>
  <si>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</si>
  <si>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</si>
  <si>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</si>
  <si>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</si>
  <si>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</si>
  <si>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</si>
  <si>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</si>
  <si>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</si>
  <si>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</si>
  <si>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</si>
  <si>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</si>
  <si>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</si>
  <si>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</si>
  <si>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</si>
  <si>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</si>
  <si>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</si>
  <si>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</si>
  <si>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</si>
  <si>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</si>
  <si>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</si>
  <si>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</si>
  <si>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</si>
  <si>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</si>
  <si>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</si>
  <si>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</si>
  <si>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</si>
  <si>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</si>
  <si>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</si>
  <si>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</si>
  <si>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</si>
  <si>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</si>
  <si>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</si>
  <si>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</si>
  <si>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</si>
  <si>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</si>
  <si>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</si>
  <si>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</si>
  <si>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</si>
  <si>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</si>
  <si>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</si>
  <si>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</si>
  <si>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</si>
  <si>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</si>
  <si>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</si>
  <si>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</si>
  <si>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</si>
  <si>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</si>
  <si>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</si>
  <si>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</si>
  <si>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</si>
  <si>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</si>
  <si>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</si>
  <si>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</si>
  <si>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</si>
  <si>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</si>
  <si>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</si>
  <si>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</si>
  <si>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</si>
  <si>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</si>
  <si>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</si>
  <si>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</si>
  <si>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</si>
  <si>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</si>
  <si>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</si>
  <si>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</si>
  <si>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</si>
  <si>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</si>
  <si>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</si>
  <si>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</si>
  <si>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</si>
  <si>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</si>
  <si>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</si>
  <si>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</si>
  <si>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</si>
  <si>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</si>
  <si>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</si>
  <si>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</si>
  <si>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</si>
  <si>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</si>
  <si>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</si>
  <si>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</si>
  <si>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</si>
  <si>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</si>
  <si>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</si>
  <si>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</si>
  <si>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</si>
  <si>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</si>
  <si>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</si>
  <si>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</si>
  <si>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</si>
  <si>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</si>
  <si>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</si>
  <si>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</si>
  <si>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</si>
  <si>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</si>
  <si>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</si>
  <si>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</si>
  <si>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</si>
  <si>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</si>
  <si>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</si>
  <si>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</si>
  <si>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</si>
  <si>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</si>
  <si>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</si>
  <si>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</si>
  <si>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</si>
  <si>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</si>
  <si>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</si>
  <si>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</si>
  <si>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</si>
  <si>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</si>
  <si>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</si>
  <si>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</si>
  <si>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</si>
  <si>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</si>
  <si>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</si>
  <si>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</si>
  <si>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</si>
  <si>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</si>
  <si>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</si>
  <si>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</si>
  <si>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</si>
  <si>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</si>
  <si>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</si>
  <si>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</si>
  <si>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</si>
  <si>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</si>
  <si>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</si>
  <si>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</si>
  <si>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</si>
  <si>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</si>
  <si>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</si>
  <si>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</si>
  <si>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</si>
  <si>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</si>
  <si>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</si>
  <si>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</si>
  <si>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</si>
  <si>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</si>
  <si>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</si>
  <si>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</si>
  <si>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</si>
  <si>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</si>
  <si>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</si>
  <si>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</si>
  <si>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</si>
  <si>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</si>
  <si>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</si>
  <si>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</si>
  <si>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</si>
  <si>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</si>
  <si>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</si>
  <si>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</si>
  <si>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</si>
  <si>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</si>
  <si>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</si>
  <si>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</si>
  <si>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</si>
  <si>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</si>
  <si>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</si>
  <si>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</si>
  <si>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</si>
  <si>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</si>
  <si>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</si>
  <si>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</si>
  <si>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</si>
  <si>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</si>
  <si>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</si>
  <si>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</si>
  <si>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</si>
  <si>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</si>
  <si>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</si>
  <si>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</si>
  <si>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</si>
  <si>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</si>
  <si>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</si>
  <si>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</si>
  <si>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</si>
  <si>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</si>
  <si>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</si>
  <si>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</si>
  <si>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</si>
  <si>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</si>
  <si>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</si>
  <si>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</si>
  <si>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</si>
  <si>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</si>
  <si>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</si>
  <si>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</si>
  <si>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</si>
  <si>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</si>
  <si>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</si>
  <si>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</si>
  <si>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</si>
  <si>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</si>
  <si>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</si>
  <si>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</si>
  <si>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</si>
  <si>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</si>
  <si>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</si>
  <si>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</si>
  <si>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</si>
  <si>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</si>
  <si>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</si>
  <si>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</si>
  <si>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</si>
  <si>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</si>
  <si>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</si>
  <si>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</si>
  <si>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</si>
  <si>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</si>
  <si>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</si>
  <si>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</si>
  <si>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</si>
  <si>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</si>
  <si>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</si>
  <si>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</si>
  <si>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</si>
  <si>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</si>
  <si>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</si>
  <si>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</si>
  <si>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</si>
  <si>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</si>
  <si>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</si>
  <si>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</si>
  <si>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</si>
  <si>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</si>
  <si>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</si>
  <si>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</si>
  <si>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</si>
  <si>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</si>
  <si>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</si>
  <si>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</si>
  <si>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</si>
  <si>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</si>
  <si>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</si>
  <si>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</si>
  <si>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</si>
  <si>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</si>
  <si>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</si>
  <si>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</si>
  <si>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</si>
  <si>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</si>
  <si>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</si>
  <si>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</si>
  <si>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</si>
  <si>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</si>
  <si>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</si>
  <si>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</si>
  <si>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</si>
  <si>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</si>
  <si>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</si>
  <si>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</si>
  <si>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</si>
  <si>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</si>
  <si>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</si>
  <si>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</si>
  <si>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</si>
  <si>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</si>
  <si>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</si>
  <si>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</si>
  <si>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</si>
  <si>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</si>
  <si>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</si>
  <si>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</si>
  <si>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</si>
  <si>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</si>
  <si>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</si>
  <si>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</si>
  <si>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</si>
  <si>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</si>
  <si>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</si>
  <si>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</si>
  <si>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</si>
  <si>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</si>
  <si>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</si>
  <si>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</si>
  <si>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</si>
  <si>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</si>
  <si>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</si>
  <si>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</si>
  <si>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</si>
  <si>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</si>
  <si>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</si>
  <si>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</si>
  <si>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</si>
  <si>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</si>
  <si>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</si>
  <si>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</si>
  <si>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</si>
  <si>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</si>
  <si>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</si>
  <si>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</si>
  <si>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</si>
  <si>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</si>
  <si>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</si>
  <si>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</si>
  <si>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</si>
  <si>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</si>
  <si>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</si>
  <si>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</si>
  <si>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</si>
  <si>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</si>
  <si>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</si>
  <si>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</si>
  <si>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</si>
  <si>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</si>
  <si>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</si>
  <si>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</si>
  <si>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</si>
  <si>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</si>
  <si>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</si>
  <si>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</si>
  <si>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</si>
  <si>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</si>
  <si>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</si>
  <si>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</si>
  <si>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</si>
  <si>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</si>
  <si>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</si>
  <si>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</si>
  <si>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</si>
  <si>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</si>
  <si>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</si>
  <si>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</si>
  <si>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</si>
  <si>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</si>
  <si>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</si>
  <si>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</si>
  <si>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</si>
  <si>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</si>
  <si>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</si>
  <si>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</si>
  <si>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</si>
  <si>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</si>
  <si>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</si>
  <si>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</si>
  <si>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</si>
  <si>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</si>
  <si>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</si>
  <si>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</si>
  <si>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</si>
  <si>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</si>
  <si>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</si>
  <si>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</si>
  <si>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</si>
  <si>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</si>
  <si>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</si>
  <si>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</si>
  <si>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</si>
  <si>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</si>
  <si>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</si>
  <si>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</si>
  <si>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</si>
  <si>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</si>
  <si>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</si>
  <si>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</si>
  <si>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</si>
  <si>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</si>
  <si>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</si>
  <si>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</si>
  <si>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</si>
  <si>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</si>
  <si>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</si>
  <si>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</si>
  <si>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</si>
  <si>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</si>
  <si>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</si>
  <si>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</si>
  <si>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</si>
  <si>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</si>
  <si>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</si>
  <si>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</si>
  <si>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</si>
  <si>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</si>
  <si>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</si>
  <si>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</si>
  <si>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</si>
  <si>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</si>
  <si>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</si>
  <si>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</si>
  <si>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</si>
  <si>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</si>
  <si>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</si>
  <si>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</si>
  <si>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</si>
  <si>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</si>
  <si>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</si>
  <si>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</si>
  <si>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</si>
  <si>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</si>
  <si>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</si>
  <si>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</si>
  <si>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</si>
  <si>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</si>
  <si>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</si>
  <si>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</si>
  <si>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</si>
  <si>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</si>
  <si>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</si>
  <si>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</si>
  <si>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</si>
  <si>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</si>
  <si>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</si>
  <si>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</si>
  <si>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</si>
  <si>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</si>
  <si>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</si>
  <si>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</si>
  <si>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</si>
  <si>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</si>
  <si>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</si>
  <si>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</si>
  <si>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</si>
  <si>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</si>
  <si>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</si>
  <si>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</si>
  <si>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</si>
  <si>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</si>
  <si>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</si>
  <si>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</si>
  <si>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</si>
  <si>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</si>
  <si>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</si>
  <si>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</si>
  <si>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</si>
  <si>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</si>
  <si>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</si>
  <si>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</si>
  <si>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</si>
  <si>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</si>
  <si>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</si>
  <si>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</si>
  <si>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</si>
  <si>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</si>
  <si>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</si>
  <si>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</si>
  <si>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</si>
  <si>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</si>
  <si>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</si>
  <si>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</si>
  <si>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</si>
  <si>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</si>
  <si>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</si>
  <si>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</si>
  <si>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</si>
  <si>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</si>
  <si>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</si>
  <si>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</si>
  <si>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</si>
  <si>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</si>
  <si>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</si>
  <si>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</si>
  <si>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</si>
  <si>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</si>
  <si>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</si>
  <si>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</si>
  <si>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</si>
  <si>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</si>
  <si>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</si>
  <si>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</si>
  <si>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</si>
  <si>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</si>
  <si>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</si>
  <si>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</si>
  <si>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</si>
  <si>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</si>
  <si>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</si>
  <si>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</si>
  <si>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</si>
  <si>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</si>
  <si>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</si>
  <si>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</si>
  <si>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</si>
  <si>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</si>
  <si>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</si>
  <si>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</si>
  <si>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</si>
  <si>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</si>
  <si>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</si>
  <si>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</si>
  <si>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</si>
  <si>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</si>
  <si>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</si>
  <si>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</si>
  <si>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</si>
  <si>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</si>
  <si>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</si>
  <si>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</si>
  <si>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</si>
  <si>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</si>
  <si>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</si>
  <si>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</si>
  <si>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</si>
  <si>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</si>
  <si>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</si>
  <si>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</si>
  <si>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</si>
  <si>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</si>
  <si>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</si>
  <si>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</si>
  <si>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</si>
  <si>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</si>
  <si>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</si>
  <si>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</si>
  <si>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</si>
  <si>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</si>
  <si>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</si>
  <si>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</si>
  <si>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</si>
  <si>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</si>
  <si>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</si>
  <si>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</si>
  <si>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</si>
  <si>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</si>
  <si>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</si>
  <si>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</si>
  <si>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</si>
  <si>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</si>
  <si>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</si>
  <si>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</si>
  <si>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</si>
  <si>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</si>
  <si>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</si>
  <si>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</si>
  <si>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</si>
  <si>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</si>
  <si>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</si>
  <si>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</si>
  <si>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</si>
  <si>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</si>
  <si>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</si>
  <si>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</si>
  <si>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</si>
  <si>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</si>
  <si>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</si>
  <si>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</si>
  <si>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</si>
  <si>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</si>
  <si>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</si>
  <si>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</si>
  <si>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</si>
  <si>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</si>
  <si>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</si>
  <si>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</si>
  <si>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</si>
  <si>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</si>
  <si>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</si>
  <si>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</si>
  <si>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</si>
  <si>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</si>
  <si>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</si>
  <si>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</si>
  <si>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</si>
  <si>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</si>
  <si>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</si>
  <si>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</si>
  <si>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</si>
  <si>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</si>
  <si>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</si>
  <si>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</si>
  <si>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</si>
  <si>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</si>
  <si>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</si>
  <si>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</si>
  <si>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</si>
  <si>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</si>
  <si>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</si>
  <si>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</si>
  <si>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</si>
  <si>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</si>
  <si>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</si>
  <si>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</si>
  <si>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</si>
  <si>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</si>
  <si>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</si>
  <si>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</si>
  <si>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</si>
  <si>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</si>
  <si>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</si>
  <si>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</si>
  <si>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</si>
  <si>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</si>
  <si>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</si>
  <si>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</si>
  <si>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</si>
  <si>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</si>
  <si>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</si>
  <si>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</si>
  <si>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</si>
  <si>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</si>
  <si>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</si>
  <si>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</si>
  <si>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</si>
  <si>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</si>
  <si>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</si>
  <si>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</si>
  <si>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</si>
  <si>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</si>
  <si>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</si>
  <si>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</si>
  <si>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</si>
  <si>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</si>
  <si>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</si>
  <si>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</si>
  <si>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</si>
  <si>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</si>
  <si>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</si>
  <si>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</si>
  <si>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</si>
  <si>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</si>
  <si>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</si>
  <si>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</si>
  <si>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</si>
  <si>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</si>
  <si>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</si>
  <si>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</si>
  <si>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</si>
  <si>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</si>
  <si>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</si>
  <si>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</si>
  <si>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</si>
  <si>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</si>
  <si>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</si>
  <si>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</si>
  <si>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</si>
  <si>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</si>
  <si>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</si>
  <si>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</si>
  <si>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</si>
  <si>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</si>
  <si>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</si>
  <si>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</si>
  <si>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</si>
  <si>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</si>
  <si>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</si>
  <si>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</si>
  <si>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</si>
  <si>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</si>
  <si>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</si>
  <si>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</si>
  <si>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</si>
  <si>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</si>
  <si>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</si>
  <si>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</si>
  <si>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</si>
  <si>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</si>
  <si>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</si>
  <si>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</si>
  <si>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</si>
  <si>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</si>
  <si>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</si>
  <si>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</si>
  <si>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</si>
  <si>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</si>
  <si>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</si>
  <si>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</si>
  <si>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</si>
  <si>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</si>
  <si>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</si>
  <si>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</si>
  <si>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</si>
  <si>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</si>
  <si>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</si>
  <si>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</si>
  <si>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</si>
  <si>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</si>
  <si>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</si>
  <si>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</si>
  <si>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</si>
  <si>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</si>
  <si>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</si>
  <si>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</si>
  <si>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</si>
  <si>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</si>
  <si>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</si>
  <si>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</si>
  <si>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</si>
  <si>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</si>
  <si>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</si>
  <si>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</si>
  <si>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</si>
  <si>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</si>
  <si>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</si>
  <si>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</si>
  <si>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</si>
  <si>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</si>
  <si>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</si>
  <si>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</si>
  <si>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</si>
  <si>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</si>
  <si>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</si>
  <si>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</si>
  <si>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</si>
  <si>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</si>
  <si>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</si>
  <si>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</si>
  <si>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</si>
  <si>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</si>
  <si>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</si>
  <si>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</si>
  <si>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</si>
  <si>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</si>
  <si>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</si>
  <si>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</si>
  <si>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</si>
  <si>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</si>
  <si>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</si>
  <si>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</si>
  <si>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</si>
  <si>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</si>
  <si>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</si>
  <si>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</si>
  <si>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</si>
  <si>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</si>
  <si>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</si>
  <si>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</si>
  <si>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</si>
  <si>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</si>
  <si>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</si>
  <si>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</si>
  <si>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</si>
  <si>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</si>
  <si>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</si>
  <si>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</si>
  <si>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</si>
  <si>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</si>
  <si>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</si>
  <si>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</si>
  <si>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</si>
  <si>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</si>
  <si>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</si>
  <si>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</si>
  <si>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</si>
  <si>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</si>
  <si>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</si>
  <si>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</si>
  <si>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</si>
  <si>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</si>
  <si>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</si>
  <si>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</si>
  <si>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</si>
  <si>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</si>
  <si>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</si>
  <si>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</si>
  <si>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</si>
  <si>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</si>
  <si>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</si>
  <si>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</si>
  <si>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</si>
  <si>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</si>
  <si>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</si>
  <si>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</si>
  <si>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</si>
  <si>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</si>
  <si>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</si>
  <si>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</si>
  <si>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</si>
  <si>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</si>
  <si>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</si>
  <si>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</si>
  <si>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</si>
  <si>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</si>
  <si>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</si>
  <si>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</si>
  <si>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</si>
  <si>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</si>
  <si>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</si>
  <si>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</si>
  <si>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</si>
  <si>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</si>
  <si>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</si>
  <si>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</si>
  <si>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</si>
  <si>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</si>
  <si>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</si>
  <si>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</si>
  <si>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</si>
  <si>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</si>
  <si>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</si>
  <si>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</si>
  <si>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</si>
  <si>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</si>
  <si>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</si>
  <si>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</si>
  <si>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</si>
  <si>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</si>
  <si>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</si>
  <si>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</si>
  <si>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</si>
  <si>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</si>
  <si>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</si>
  <si>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</si>
  <si>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</si>
  <si>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</si>
  <si>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</si>
  <si>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</si>
  <si>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</si>
  <si>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</si>
  <si>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</si>
  <si>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</si>
  <si>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</si>
  <si>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</si>
  <si>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</si>
  <si>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</si>
  <si>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</si>
  <si>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</si>
  <si>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</si>
  <si>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</si>
  <si>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</si>
  <si>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</si>
  <si>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</si>
  <si>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</si>
  <si>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</si>
  <si>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</si>
  <si>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</si>
  <si>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</si>
  <si>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</si>
  <si>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</si>
  <si>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</si>
  <si>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</si>
  <si>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</si>
  <si>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</si>
  <si>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</si>
  <si>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</si>
  <si>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</si>
  <si>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</si>
  <si>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</si>
  <si>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</si>
  <si>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</si>
  <si>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</si>
  <si>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</si>
  <si>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</si>
  <si>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</si>
  <si>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</si>
  <si>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</si>
  <si>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</si>
  <si>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</si>
  <si>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</si>
  <si>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</si>
  <si>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</si>
  <si>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</si>
  <si>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</si>
  <si>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</si>
  <si>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</si>
  <si>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</si>
  <si>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</si>
  <si>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</si>
  <si>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</si>
  <si>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</si>
  <si>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</si>
  <si>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</si>
  <si>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</si>
  <si>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</si>
  <si>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</si>
  <si>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</si>
  <si>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</si>
  <si>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</si>
  <si>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</si>
  <si>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</si>
  <si>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</si>
  <si>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</si>
  <si>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</si>
  <si>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</si>
  <si>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</si>
  <si>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</si>
  <si>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</si>
  <si>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</si>
  <si>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</si>
  <si>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</si>
  <si>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</si>
  <si>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</si>
  <si>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</si>
  <si>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</si>
  <si>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</si>
  <si>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</si>
  <si>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</si>
  <si>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</si>
  <si>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</si>
  <si>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</si>
  <si>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</si>
  <si>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</si>
  <si>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</si>
  <si>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</si>
  <si>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</si>
  <si>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</si>
  <si>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</si>
  <si>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</si>
  <si>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</si>
  <si>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</si>
  <si>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</si>
  <si>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</si>
  <si>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</si>
  <si>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</si>
  <si>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</si>
  <si>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</si>
  <si>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</si>
  <si>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</si>
  <si>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</si>
  <si>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</si>
  <si>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</si>
  <si>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</si>
  <si>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</si>
  <si>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</si>
  <si>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</si>
  <si>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</si>
  <si>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</si>
  <si>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</si>
  <si>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</si>
  <si>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</si>
  <si>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</si>
  <si>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</si>
  <si>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</si>
  <si>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</si>
  <si>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</si>
  <si>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</si>
  <si>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</si>
  <si>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</si>
  <si>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</si>
  <si>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</si>
  <si>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</si>
  <si>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</si>
  <si>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</si>
  <si>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</si>
  <si>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</si>
  <si>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</si>
  <si>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</si>
  <si>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</si>
  <si>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</si>
  <si>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</si>
  <si>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</si>
  <si>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</si>
  <si>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</si>
  <si>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</si>
  <si>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</si>
  <si>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</si>
  <si>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</si>
  <si>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</si>
  <si>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</si>
  <si>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</si>
  <si>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</si>
  <si>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</si>
  <si>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</si>
  <si>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</si>
  <si>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</si>
  <si>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</si>
  <si>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</si>
  <si>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</si>
  <si>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</si>
  <si>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</si>
  <si>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</si>
  <si>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</si>
  <si>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</si>
  <si>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</si>
  <si>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</si>
  <si>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</si>
  <si>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</si>
  <si>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</si>
  <si>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</si>
  <si>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</si>
  <si>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</si>
  <si>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</si>
  <si>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</si>
  <si>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</si>
  <si>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</si>
  <si>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</si>
  <si>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</si>
  <si>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</si>
  <si>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</si>
  <si>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</si>
  <si>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</si>
  <si>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</si>
  <si>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</si>
  <si>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</si>
  <si>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</si>
  <si>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</si>
  <si>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</si>
  <si>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</si>
  <si>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</si>
  <si>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</si>
  <si>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</si>
  <si>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</si>
  <si>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</si>
  <si>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</si>
  <si>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</si>
  <si>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</si>
  <si>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</si>
  <si>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</si>
  <si>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</si>
  <si>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</si>
  <si>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</si>
  <si>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</si>
  <si>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</si>
  <si>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</si>
  <si>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</si>
  <si>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</si>
  <si>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</si>
  <si>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</si>
  <si>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</si>
  <si>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</si>
  <si>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</si>
  <si>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</si>
  <si>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</si>
  <si>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</si>
  <si>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</si>
  <si>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</si>
  <si>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</si>
  <si>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</si>
  <si>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</si>
  <si>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</si>
  <si>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</si>
  <si>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</si>
  <si>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</si>
  <si>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</si>
  <si>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</si>
  <si>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</si>
  <si>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</si>
  <si>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</si>
  <si>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</si>
  <si>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</si>
  <si>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</si>
  <si>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</si>
  <si>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</si>
  <si>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</si>
  <si>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</si>
  <si>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</si>
  <si>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</si>
  <si>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</si>
  <si>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</si>
  <si>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</si>
  <si>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</si>
  <si>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</si>
  <si>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</si>
  <si>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</si>
  <si>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</si>
  <si>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</si>
  <si>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</si>
  <si>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</si>
  <si>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</si>
  <si>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</si>
  <si>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</si>
  <si>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</si>
  <si>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</si>
  <si>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</si>
  <si>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</si>
  <si>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</si>
  <si>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</si>
  <si>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</si>
  <si>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</si>
  <si>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</si>
  <si>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</si>
  <si>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</si>
  <si>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</si>
  <si>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</si>
  <si>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</si>
  <si>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</si>
  <si>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</si>
  <si>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</si>
  <si>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</si>
  <si>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</si>
  <si>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</si>
  <si>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</si>
  <si>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</si>
  <si>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</si>
  <si>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</si>
  <si>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</si>
  <si>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</si>
  <si>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</si>
  <si>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</si>
  <si>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</si>
  <si>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</si>
  <si>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</si>
  <si>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</si>
  <si>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</si>
  <si>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</si>
  <si>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</si>
  <si>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</si>
  <si>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</si>
  <si>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</si>
  <si>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</si>
  <si>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</si>
  <si>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</si>
  <si>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</si>
  <si>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</si>
  <si>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</si>
  <si>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</si>
  <si>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</si>
  <si>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</si>
  <si>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</si>
  <si>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</si>
  <si>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</si>
  <si>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</si>
  <si>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</si>
  <si>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</si>
  <si>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</si>
  <si>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</si>
  <si>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</si>
  <si>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</si>
  <si>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</si>
  <si>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</si>
  <si>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</si>
  <si>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</si>
  <si>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</si>
  <si>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</si>
  <si>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</si>
  <si>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</si>
  <si>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</si>
  <si>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</si>
  <si>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</si>
  <si>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</si>
  <si>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</si>
  <si>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</si>
  <si>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</si>
  <si>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</si>
  <si>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</si>
  <si>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</si>
  <si>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</si>
  <si>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</si>
  <si>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</si>
  <si>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</si>
  <si>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</si>
  <si>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</si>
  <si>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</si>
  <si>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</si>
  <si>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</si>
  <si>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</si>
  <si>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</si>
  <si>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</si>
  <si>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</si>
  <si>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</si>
  <si>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</si>
  <si>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</si>
  <si>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</si>
  <si>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</si>
  <si>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</si>
  <si>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</si>
  <si>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</si>
  <si>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</si>
  <si>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</si>
  <si>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</si>
  <si>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</si>
  <si>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</si>
  <si>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</si>
  <si>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</si>
  <si>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</si>
  <si>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</si>
  <si>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</si>
  <si>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</si>
  <si>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</si>
  <si>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</si>
  <si>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</si>
  <si>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</si>
  <si>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</si>
  <si>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</si>
  <si>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</si>
  <si>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</si>
  <si>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</si>
  <si>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</si>
  <si>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</si>
  <si>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</si>
  <si>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</si>
  <si>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</si>
  <si>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</si>
  <si>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</si>
  <si>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</si>
  <si>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</si>
  <si>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</si>
  <si>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</si>
  <si>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</si>
  <si>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</si>
  <si>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</si>
  <si>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</si>
  <si>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</si>
  <si>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</si>
  <si>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</si>
  <si>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</si>
  <si>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</si>
  <si>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</si>
  <si>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</si>
  <si>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</si>
  <si>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</si>
  <si>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</si>
  <si>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</si>
  <si>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</si>
  <si>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</si>
  <si>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</si>
  <si>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</si>
  <si>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</si>
  <si>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</si>
  <si>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</si>
  <si>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</si>
  <si>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</si>
  <si>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</si>
  <si>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</si>
  <si>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</si>
  <si>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</si>
  <si>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</si>
  <si>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</si>
  <si>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</si>
  <si>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</si>
  <si>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</si>
  <si>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</si>
  <si>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</si>
  <si>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</si>
  <si>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</si>
  <si>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</si>
  <si>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</si>
  <si>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</si>
  <si>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</si>
  <si>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</si>
  <si>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</si>
  <si>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</si>
  <si>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</si>
  <si>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</si>
  <si>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</si>
  <si>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</si>
  <si>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</si>
  <si>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</si>
  <si>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</si>
  <si>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</si>
  <si>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</si>
  <si>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</si>
  <si>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</si>
  <si>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</si>
  <si>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</si>
  <si>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</si>
  <si>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</si>
  <si>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</si>
  <si>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</si>
  <si>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</si>
  <si>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</si>
  <si>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</si>
  <si>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</si>
  <si>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</si>
  <si>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</si>
  <si>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</si>
  <si>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</si>
  <si>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</si>
  <si>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</si>
  <si>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</si>
  <si>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</si>
  <si>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</si>
  <si>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</si>
  <si>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</si>
  <si>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</si>
  <si>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</si>
  <si>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</si>
  <si>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</si>
  <si>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</si>
  <si>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</si>
  <si>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</si>
  <si>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</si>
  <si>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</si>
  <si>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</si>
  <si>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</si>
  <si>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</si>
  <si>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</si>
  <si>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</si>
  <si>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</si>
  <si>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</si>
  <si>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</si>
  <si>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</si>
  <si>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</si>
  <si>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</si>
  <si>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</si>
  <si>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</si>
  <si>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</si>
  <si>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</si>
  <si>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</si>
  <si>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</si>
  <si>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</si>
  <si>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</si>
  <si>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</si>
  <si>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</si>
  <si>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</si>
  <si>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</si>
  <si>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</si>
  <si>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</si>
  <si>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</si>
  <si>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</si>
  <si>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</si>
  <si>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</si>
  <si>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</si>
  <si>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</si>
  <si>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</si>
  <si>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</si>
  <si>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</si>
  <si>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</si>
  <si>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</si>
  <si>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</si>
  <si>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</si>
  <si>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</si>
  <si>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</si>
  <si>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</si>
  <si>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</si>
  <si>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</si>
  <si>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</si>
  <si>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</si>
  <si>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</si>
  <si>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</si>
  <si>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</si>
  <si>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</si>
  <si>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</si>
  <si>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</si>
  <si>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</si>
  <si>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</si>
  <si>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</si>
  <si>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</si>
  <si>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</si>
  <si>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</si>
  <si>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</si>
  <si>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</si>
  <si>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</si>
  <si>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</si>
  <si>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</si>
  <si>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</si>
  <si>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</si>
  <si>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</si>
  <si>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</si>
  <si>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</si>
  <si>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</si>
  <si>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</si>
  <si>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</si>
  <si>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</si>
  <si>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</si>
  <si>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</si>
  <si>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</si>
  <si>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</si>
  <si>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</si>
  <si>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</si>
  <si>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</si>
  <si>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</si>
  <si>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</si>
  <si>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</si>
  <si>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</si>
  <si>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</si>
  <si>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</si>
  <si>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</si>
  <si>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</si>
  <si>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</si>
  <si>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</si>
  <si>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</si>
  <si>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</si>
  <si>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</si>
  <si>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</si>
  <si>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</si>
  <si>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</si>
  <si>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</si>
  <si>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</si>
  <si>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</si>
  <si>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</si>
  <si>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</si>
  <si>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</si>
  <si>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</si>
  <si>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</si>
  <si>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</si>
  <si>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</si>
  <si>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</si>
  <si>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</si>
  <si>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</si>
  <si>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</si>
  <si>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</si>
  <si>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</si>
  <si>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</si>
  <si>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</si>
  <si>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</si>
  <si>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</si>
  <si>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</si>
  <si>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</si>
  <si>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</si>
  <si>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</si>
  <si>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</si>
  <si>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</si>
  <si>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</si>
  <si>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</si>
  <si>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</si>
  <si>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</si>
  <si>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</si>
  <si>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</si>
  <si>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</si>
  <si>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</si>
  <si>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</si>
  <si>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</si>
  <si>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</si>
  <si>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</si>
  <si>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</si>
  <si>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</si>
  <si>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</si>
  <si>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</si>
  <si>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</si>
  <si>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</si>
  <si>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</si>
  <si>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</si>
  <si>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</si>
  <si>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</si>
  <si>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</si>
  <si>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</si>
  <si>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</si>
  <si>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</si>
  <si>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</si>
  <si>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</si>
  <si>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</si>
  <si>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</si>
  <si>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</si>
  <si>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</si>
  <si>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</si>
  <si>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</si>
  <si>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</si>
  <si>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</si>
  <si>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</si>
  <si>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</si>
  <si>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</si>
  <si>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</si>
  <si>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</si>
  <si>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</si>
  <si>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</si>
  <si>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</si>
  <si>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</si>
  <si>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</si>
  <si>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</si>
  <si>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</si>
  <si>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</si>
  <si>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</si>
  <si>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</si>
  <si>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</si>
  <si>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</si>
  <si>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</si>
  <si>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</si>
  <si>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</si>
  <si>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</si>
  <si>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</si>
  <si>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</si>
  <si>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</si>
  <si>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</si>
  <si>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</si>
  <si>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</si>
  <si>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</si>
  <si>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</si>
  <si>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</si>
  <si>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</si>
  <si>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</si>
  <si>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</si>
  <si>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</si>
  <si>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</si>
  <si>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</si>
  <si>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</si>
  <si>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</si>
  <si>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</si>
  <si>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</si>
  <si>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</si>
  <si>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</si>
  <si>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</si>
  <si>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</si>
  <si>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</si>
  <si>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</si>
  <si>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</si>
  <si>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</si>
  <si>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</si>
  <si>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</si>
  <si>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</si>
  <si>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</si>
  <si>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</si>
  <si>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</si>
  <si>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</si>
  <si>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</si>
  <si>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</si>
  <si>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</si>
  <si>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</si>
  <si>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</si>
  <si>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</si>
  <si>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</si>
  <si>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</si>
  <si>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</si>
  <si>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</si>
  <si>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</si>
  <si>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</si>
  <si>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</si>
  <si>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</si>
  <si>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</si>
  <si>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</si>
  <si>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</si>
  <si>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</si>
  <si>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</si>
  <si>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</si>
  <si>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</si>
  <si>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</si>
  <si>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</si>
  <si>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</si>
  <si>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</si>
  <si>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</si>
  <si>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</si>
  <si>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</si>
  <si>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</si>
  <si>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</si>
  <si>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</si>
  <si>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</si>
  <si>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</si>
  <si>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</si>
  <si>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</si>
  <si>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</si>
  <si>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</si>
  <si>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</si>
  <si>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</si>
  <si>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</si>
  <si>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</si>
  <si>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</si>
  <si>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</si>
  <si>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</si>
  <si>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</si>
  <si>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</si>
  <si>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</si>
  <si>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</si>
  <si>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</si>
  <si>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</si>
  <si>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</si>
  <si>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</si>
  <si>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</si>
  <si>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</si>
  <si>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</si>
  <si>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</si>
  <si>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</si>
  <si>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</si>
  <si>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</si>
  <si>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</si>
  <si>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</si>
  <si>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</si>
  <si>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</si>
  <si>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</si>
  <si>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</si>
  <si>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</si>
  <si>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</si>
  <si>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</si>
  <si>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</si>
  <si>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</si>
  <si>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</si>
  <si>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</si>
  <si>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</si>
  <si>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</si>
  <si>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</si>
  <si>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</si>
  <si>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</si>
  <si>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</si>
  <si>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</si>
  <si>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</si>
  <si>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</si>
  <si>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</si>
  <si>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</si>
  <si>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</si>
  <si>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</si>
  <si>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</si>
  <si>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</si>
  <si>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</si>
  <si>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</si>
  <si>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</si>
  <si>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</si>
  <si>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</si>
  <si>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</si>
  <si>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</si>
  <si>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</si>
  <si>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</si>
  <si>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</si>
  <si>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</si>
  <si>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</si>
  <si>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</si>
  <si>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</si>
  <si>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</si>
  <si>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</si>
  <si>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</si>
  <si>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</si>
  <si>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</si>
  <si>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</si>
  <si>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</si>
  <si>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</si>
  <si>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</si>
  <si>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</si>
  <si>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</si>
  <si>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</si>
  <si>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</si>
  <si>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</si>
  <si>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</si>
  <si>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</si>
  <si>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</si>
  <si>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</si>
  <si>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</si>
  <si>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</si>
  <si>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</si>
  <si>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</si>
  <si>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</si>
  <si>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</si>
  <si>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</si>
  <si>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</si>
  <si>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</si>
  <si>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</si>
  <si>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</si>
  <si>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</si>
  <si>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</si>
  <si>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</si>
  <si>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</si>
  <si>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</si>
  <si>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</si>
  <si>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</si>
  <si>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</si>
  <si>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</si>
  <si>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</si>
  <si>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</si>
  <si>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</si>
  <si>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</si>
  <si>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</si>
  <si>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</si>
  <si>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</si>
  <si>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</si>
  <si>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</si>
  <si>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</si>
  <si>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</si>
  <si>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</si>
  <si>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</si>
  <si>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</si>
  <si>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</si>
  <si>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</si>
  <si>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</si>
  <si>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</si>
  <si>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</si>
  <si>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</si>
  <si>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</si>
  <si>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</si>
  <si>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</si>
  <si>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</si>
  <si>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</si>
  <si>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</si>
  <si>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</si>
  <si>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</si>
  <si>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</si>
  <si>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</si>
  <si>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</si>
  <si>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</si>
  <si>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</si>
  <si>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</si>
  <si>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</si>
  <si>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</si>
  <si>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</si>
  <si>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</si>
  <si>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</si>
  <si>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</si>
  <si>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</si>
  <si>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</si>
  <si>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</si>
  <si>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</si>
  <si>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</si>
  <si>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</si>
  <si>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</si>
  <si>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</si>
  <si>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</si>
  <si>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</si>
  <si>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</si>
  <si>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</si>
  <si>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</si>
  <si>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</si>
  <si>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</si>
  <si>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</si>
  <si>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</si>
  <si>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</si>
  <si>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</si>
  <si>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</si>
  <si>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</si>
  <si>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</si>
  <si>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</si>
  <si>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</si>
  <si>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</si>
  <si>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</si>
  <si>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</si>
  <si>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</si>
  <si>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</si>
  <si>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</si>
  <si>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</si>
  <si>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</si>
  <si>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</si>
  <si>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</si>
  <si>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</si>
  <si>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</si>
  <si>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</si>
  <si>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</si>
  <si>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</si>
  <si>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</si>
  <si>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</si>
  <si>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</si>
  <si>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</si>
  <si>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</si>
  <si>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</si>
  <si>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</si>
  <si>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</si>
  <si>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</si>
  <si>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</si>
  <si>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</si>
  <si>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</si>
  <si>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</si>
  <si>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</si>
  <si>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</si>
  <si>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</si>
  <si>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</si>
  <si>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</si>
  <si>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</si>
  <si>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</si>
  <si>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</si>
  <si>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</si>
  <si>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</si>
  <si>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</si>
  <si>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</si>
  <si>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</si>
  <si>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</si>
  <si>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</si>
  <si>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</si>
  <si>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</si>
  <si>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</si>
  <si>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</si>
  <si>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</si>
  <si>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</si>
  <si>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</si>
  <si>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</si>
  <si>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</si>
  <si>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</si>
  <si>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</si>
  <si>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</si>
  <si>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</si>
  <si>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</si>
  <si>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</si>
  <si>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</si>
  <si>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</si>
  <si>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</si>
  <si>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</si>
  <si>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</si>
  <si>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</si>
  <si>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</si>
  <si>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</si>
  <si>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</si>
  <si>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</si>
  <si>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</si>
  <si>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</si>
  <si>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</si>
  <si>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</si>
  <si>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</si>
  <si>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</si>
  <si>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</si>
  <si>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</si>
  <si>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</si>
  <si>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</si>
  <si>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</si>
  <si>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</si>
  <si>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</si>
  <si>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</si>
  <si>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</si>
  <si>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</si>
  <si>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</si>
  <si>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</si>
  <si>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</si>
  <si>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</si>
  <si>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</si>
  <si>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</si>
  <si>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</si>
  <si>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</si>
  <si>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</si>
  <si>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</si>
  <si>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</si>
  <si>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</si>
  <si>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</si>
  <si>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</si>
  <si>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</si>
  <si>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</si>
  <si>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</si>
  <si>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</si>
  <si>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</si>
  <si>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</si>
  <si>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</si>
  <si>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</si>
  <si>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</si>
  <si>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</si>
  <si>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</si>
  <si>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</si>
  <si>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</si>
  <si>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</si>
  <si>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</si>
  <si>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</si>
  <si>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</si>
  <si>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</si>
  <si>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</si>
  <si>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</si>
  <si>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</si>
  <si>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</si>
  <si>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</si>
  <si>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</si>
  <si>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</si>
  <si>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</si>
  <si>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</si>
  <si>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</si>
  <si>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</si>
  <si>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</si>
  <si>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</si>
  <si>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</si>
  <si>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</si>
  <si>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</si>
  <si>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</si>
  <si>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</si>
  <si>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</si>
  <si>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</si>
  <si>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</si>
  <si>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</si>
  <si>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</si>
  <si>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</si>
  <si>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</si>
  <si>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</si>
  <si>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</si>
  <si>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</si>
  <si>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</si>
  <si>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</si>
  <si>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</si>
  <si>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</si>
  <si>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</si>
  <si>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</si>
  <si>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</si>
  <si>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</si>
  <si>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</si>
  <si>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</si>
  <si>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</si>
  <si>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</si>
  <si>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</si>
  <si>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</si>
  <si>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</si>
  <si>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</si>
  <si>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</si>
  <si>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</si>
  <si>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</si>
  <si>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</si>
  <si>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</si>
  <si>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</si>
  <si>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</si>
  <si>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</si>
  <si>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</si>
  <si>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</si>
  <si>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</si>
  <si>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</si>
  <si>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</si>
  <si>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</si>
  <si>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</si>
  <si>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</si>
  <si>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</si>
  <si>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</si>
  <si>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</si>
  <si>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</si>
  <si>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</si>
  <si>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</si>
  <si>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</si>
  <si>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</si>
  <si>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</si>
  <si>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</si>
  <si>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</si>
  <si>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</si>
  <si>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</si>
  <si>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</si>
  <si>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</si>
  <si>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</si>
  <si>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</si>
  <si>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</si>
  <si>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</si>
  <si>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</si>
  <si>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</si>
  <si>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</si>
  <si>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</si>
  <si>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</si>
  <si>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</si>
  <si>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</si>
  <si>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</si>
  <si>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</si>
  <si>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</si>
  <si>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</si>
  <si>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</si>
  <si>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</si>
  <si>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</si>
  <si>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</si>
  <si>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</si>
  <si>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</si>
  <si>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</si>
  <si>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</si>
  <si>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</si>
  <si>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</si>
  <si>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</si>
  <si>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</si>
  <si>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</si>
  <si>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</si>
  <si>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</si>
  <si>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</si>
  <si>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</si>
  <si>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</si>
  <si>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</si>
  <si>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</si>
  <si>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</si>
  <si>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</si>
  <si>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</si>
  <si>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</si>
  <si>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</si>
  <si>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</si>
  <si>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</si>
  <si>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</si>
  <si>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</si>
  <si>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</si>
  <si>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</si>
  <si>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</si>
  <si>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</si>
  <si>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</si>
  <si>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</si>
  <si>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</si>
  <si>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</si>
  <si>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</si>
  <si>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</si>
  <si>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</si>
  <si>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</si>
  <si>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</si>
  <si>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</si>
  <si>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</si>
  <si>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</si>
  <si>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</si>
  <si>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</si>
  <si>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</si>
  <si>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</si>
  <si>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</si>
  <si>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</si>
  <si>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</si>
  <si>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</si>
  <si>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</si>
  <si>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</si>
  <si>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</si>
  <si>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</si>
  <si>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</si>
  <si>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</si>
  <si>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</si>
  <si>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</si>
  <si>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</si>
  <si>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</si>
  <si>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</si>
  <si>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</si>
  <si>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</si>
  <si>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</si>
  <si>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</si>
  <si>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</si>
  <si>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</si>
  <si>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</si>
  <si>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</si>
  <si>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</si>
  <si>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</si>
  <si>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</si>
  <si>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</si>
  <si>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</si>
  <si>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</si>
  <si>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</si>
  <si>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</si>
  <si>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</si>
  <si>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</si>
  <si>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</si>
  <si>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</si>
  <si>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</si>
  <si>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</si>
  <si>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</si>
  <si>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</si>
  <si>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</si>
  <si>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</si>
  <si>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</si>
  <si>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</si>
  <si>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</si>
  <si>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</si>
  <si>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</si>
  <si>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</si>
  <si>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</si>
  <si>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</si>
  <si>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</si>
  <si>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</si>
  <si>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</si>
  <si>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</si>
  <si>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</si>
  <si>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</si>
  <si>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</si>
  <si>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</si>
  <si>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</si>
  <si>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</si>
  <si>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</si>
  <si>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</si>
  <si>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</si>
  <si>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</si>
  <si>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</si>
  <si>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</si>
  <si>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</si>
  <si>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</si>
  <si>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</si>
  <si>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</si>
  <si>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</si>
  <si>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</si>
  <si>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</si>
  <si>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</si>
  <si>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</si>
  <si>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</si>
  <si>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</si>
  <si>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</si>
  <si>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</si>
  <si>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</si>
  <si>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</si>
  <si>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</si>
  <si>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</si>
  <si>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</si>
  <si>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</si>
  <si>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</si>
  <si>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</si>
  <si>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</si>
  <si>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</si>
  <si>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</si>
  <si>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</si>
  <si>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</si>
  <si>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</si>
  <si>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2025 100% RENTS</t>
  </si>
  <si>
    <t>August 5, 2025 Version</t>
  </si>
  <si>
    <t xml:space="preserve">Federal tax credit factor must be at least $1.00 for self-syndication projects or at least $0.75 for all other projects.  </t>
  </si>
  <si>
    <t>People's Self-Help Housing Corporation</t>
  </si>
  <si>
    <t>Cypress Place at Garden City II</t>
  </si>
  <si>
    <t>City of Oxnard</t>
  </si>
  <si>
    <t>Karl Larson</t>
  </si>
  <si>
    <t>435 South D Street</t>
  </si>
  <si>
    <t>Oxnard</t>
  </si>
  <si>
    <t>(805) 385-8095</t>
  </si>
  <si>
    <t>(805) 385-7569</t>
  </si>
  <si>
    <t>karl.lawson@oxnard.org</t>
  </si>
  <si>
    <t>5482 Cypress Road</t>
  </si>
  <si>
    <t>40%/60%</t>
  </si>
  <si>
    <t>1060 Kendall Road</t>
  </si>
  <si>
    <t>Kenneth Trigueiro</t>
  </si>
  <si>
    <t>805-548-2343</t>
  </si>
  <si>
    <t>Kennetht@pshhc.org</t>
  </si>
  <si>
    <t>Cypress Place at Garden City II LLC</t>
  </si>
  <si>
    <t>Managing GP</t>
  </si>
  <si>
    <t xml:space="preserve">Applicant/ General Partner/ Sponsor </t>
  </si>
  <si>
    <t>CA</t>
  </si>
  <si>
    <t xml:space="preserve">People's Self-Help Housing </t>
  </si>
  <si>
    <t xml:space="preserve">1060 Kendall Road </t>
  </si>
  <si>
    <t>San Luis Obispo, CA, 93401</t>
  </si>
  <si>
    <t>Veronica Garcia</t>
  </si>
  <si>
    <t>805-651-3592</t>
  </si>
  <si>
    <t xml:space="preserve">veronicag@pshhc.org </t>
  </si>
  <si>
    <t>DiCecco Architecture Inc.</t>
  </si>
  <si>
    <t>887 Patriot Drive, Suite C</t>
  </si>
  <si>
    <t>Moorpark, CA 93021</t>
  </si>
  <si>
    <t>Mark Di Cecco</t>
  </si>
  <si>
    <t>805-552-0088</t>
  </si>
  <si>
    <t>mark@diceccoarch.com</t>
  </si>
  <si>
    <t xml:space="preserve">Goldfarb &amp; Lipman LLP </t>
  </si>
  <si>
    <t>1300 Clay Street, Eleventh Floor</t>
  </si>
  <si>
    <t>Oakland, CA 94612</t>
  </si>
  <si>
    <t>Lynn Hutchins</t>
  </si>
  <si>
    <t>510-433-6625</t>
  </si>
  <si>
    <t>LHutchins@goldfarblipman.com</t>
  </si>
  <si>
    <t>Thomas Tomaszweski</t>
  </si>
  <si>
    <t>9811 Tilden Drive</t>
  </si>
  <si>
    <t>El Dorado Hills, CA 95762</t>
  </si>
  <si>
    <t>916-804-5376</t>
  </si>
  <si>
    <t>916-939-8215</t>
  </si>
  <si>
    <t xml:space="preserve">tomcpa@directcon.net </t>
  </si>
  <si>
    <t xml:space="preserve">Partner Energy </t>
  </si>
  <si>
    <t>680 Knox St., Suite 150</t>
  </si>
  <si>
    <t xml:space="preserve">Los Angeles </t>
  </si>
  <si>
    <t xml:space="preserve">Melissa Tso </t>
  </si>
  <si>
    <t>310-956-3714</t>
  </si>
  <si>
    <t xml:space="preserve">mtso@ptrenergy.com </t>
  </si>
  <si>
    <t>TBD</t>
  </si>
  <si>
    <t xml:space="preserve">California Housing Partnership </t>
  </si>
  <si>
    <t>340 E 2nd St, Ste 406</t>
  </si>
  <si>
    <t>Los Angeles, CA 90012</t>
  </si>
  <si>
    <t xml:space="preserve">Genise Choy </t>
  </si>
  <si>
    <t>213-986-5376</t>
  </si>
  <si>
    <t xml:space="preserve">gchoy@chpc.net </t>
  </si>
  <si>
    <t>Raney Planning &amp; Management, Inc.</t>
  </si>
  <si>
    <t>1501 Sports Drive</t>
  </si>
  <si>
    <t>Sacramento, CA 95894</t>
  </si>
  <si>
    <t xml:space="preserve">Stefanie Williams </t>
  </si>
  <si>
    <t>916-372-6100</t>
  </si>
  <si>
    <t xml:space="preserve">swilliams@laurinassociates.com </t>
  </si>
  <si>
    <t>California Municipal Finance Authority</t>
  </si>
  <si>
    <t>2111 Palomar Airport Road, Ste. 320</t>
  </si>
  <si>
    <t>Carlsbad, CA 92011</t>
  </si>
  <si>
    <t>Anthony Stubbs</t>
  </si>
  <si>
    <t>760-930-1333</t>
  </si>
  <si>
    <t>760-683-3390</t>
  </si>
  <si>
    <t>astubbs@cmfa-ca.com</t>
  </si>
  <si>
    <t xml:space="preserve">The Duncan Group </t>
  </si>
  <si>
    <t>Jane Renahan</t>
  </si>
  <si>
    <t>805-548-2349</t>
  </si>
  <si>
    <t>janer@pshhc.org</t>
  </si>
  <si>
    <t>Takeyuki &amp; Wendy Sasaki</t>
  </si>
  <si>
    <t>Previous Property Owner</t>
  </si>
  <si>
    <t xml:space="preserve">N/A </t>
  </si>
  <si>
    <t>Inner City Infill Site</t>
  </si>
  <si>
    <t>Adaptable Units</t>
  </si>
  <si>
    <t xml:space="preserve">1 space per each 1 bd unit, 1.5 spaces per each 2-3 bd unit. </t>
  </si>
  <si>
    <t>Air Conditioning</t>
  </si>
  <si>
    <t>Office supplies, Postage, Internet, Software subscriptions, Bank fees, Licenses &amp; permits</t>
  </si>
  <si>
    <t>Payroll Taxes/Benefits</t>
  </si>
  <si>
    <t>Fire protection, backflow test, &amp; Misc.</t>
  </si>
  <si>
    <t>Misc. Tax/License</t>
  </si>
  <si>
    <t>CUAC Monitoring Fee</t>
  </si>
  <si>
    <t xml:space="preserve">SB35 </t>
  </si>
  <si>
    <t>Taxable Const. Loan</t>
  </si>
  <si>
    <t>HCD Joe Serna FW Grant</t>
  </si>
  <si>
    <t>City of Oxnard HOME-ARP</t>
  </si>
  <si>
    <t>Ventura County General Fund</t>
  </si>
  <si>
    <t>Cost Deferral Until Perm Conversion</t>
  </si>
  <si>
    <t>2020 W. El Camino Avenue, Suite 670</t>
  </si>
  <si>
    <t>Jennifer Seeger</t>
  </si>
  <si>
    <t>800 S. Victoria Ave</t>
  </si>
  <si>
    <t>Tracy McAulay</t>
  </si>
  <si>
    <t xml:space="preserve">(805) 232-1371 </t>
  </si>
  <si>
    <t>Residual Reciept Loan</t>
  </si>
  <si>
    <t>(916) 263-2771</t>
  </si>
  <si>
    <t>1060 Kendall Rd.</t>
  </si>
  <si>
    <t>(805) 540-2453</t>
  </si>
  <si>
    <t>Deferred Costs</t>
  </si>
  <si>
    <t>Equity</t>
  </si>
  <si>
    <t>Brenda Lopez</t>
  </si>
  <si>
    <t>(805) 385-8041</t>
  </si>
  <si>
    <t>Tax-Exempt Perm Loan</t>
  </si>
  <si>
    <t xml:space="preserve">People's Self-Help Housing Corporation </t>
  </si>
  <si>
    <t>223-0-041-050, 223-0-041-075</t>
  </si>
  <si>
    <t>Ventura County General Funds</t>
  </si>
  <si>
    <t xml:space="preserve">Project is required to comply with prevailing wages under SB35. </t>
  </si>
  <si>
    <t>Provided</t>
  </si>
  <si>
    <t>Not Applicable</t>
  </si>
  <si>
    <t>katherinea@pshhc.org</t>
  </si>
  <si>
    <t>Katherine Aguilar</t>
  </si>
  <si>
    <t>(818) 849-8613</t>
  </si>
  <si>
    <t>Multifamily</t>
  </si>
  <si>
    <t>35 ft</t>
  </si>
  <si>
    <t>Affordability 55 Years</t>
  </si>
  <si>
    <t>R-2-AH - Multifamily Resid + Affordable Housing - 30 units per acre</t>
  </si>
  <si>
    <t>All Affordable Housing Opportunity Program requires affordablility  (30%-80% AMI) or 55years per deed restriction.</t>
  </si>
  <si>
    <t>HCD Joe Serna Jr. FWHG</t>
  </si>
  <si>
    <t>Serna</t>
  </si>
  <si>
    <t>County General Funds</t>
  </si>
  <si>
    <t>City HOME-ARP</t>
  </si>
  <si>
    <t>Above residual receipts line for cash flow</t>
  </si>
  <si>
    <t>Eri Kameyama</t>
  </si>
  <si>
    <t>300 S Grand Ave, Suite 300</t>
  </si>
  <si>
    <t>Los Angeles, CA 90071</t>
  </si>
  <si>
    <t>(213) 621-8310</t>
  </si>
  <si>
    <t xml:space="preserve">Tax-Exempt Construction Loan </t>
  </si>
  <si>
    <t>Chase Bank</t>
  </si>
  <si>
    <t>Lender Expenses</t>
  </si>
  <si>
    <t>Owner Legal</t>
  </si>
  <si>
    <t>Geotech/Soils Report</t>
  </si>
  <si>
    <t>Prevailing Wage Monitor &amp; Third Party Consultants</t>
  </si>
  <si>
    <t>Security During Const.&amp; Utility Connection Fees</t>
  </si>
  <si>
    <t>CUAC - Partner Energy, Inc.</t>
  </si>
  <si>
    <t>Other (Specify): Issuer and trustee fees</t>
  </si>
  <si>
    <t>Rough Grading</t>
  </si>
  <si>
    <t xml:space="preserve">Tax-Exempt Recycled Bond Loan </t>
  </si>
  <si>
    <t>Recycled Bonds</t>
  </si>
  <si>
    <t>kennetht@pshhc.org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</si>
</sst>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sz val="9"/>
      <color rgb="FF000000"/>
      <name val="Tahoma"/>
      <family val="2"/>
    </font>
    <font>
      <sz val="10"/>
      <color rgb="FF000000"/>
      <name val="Arial"/>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17184">
    <xf numFmtId="0" fontId="0" fillId="0" borderId="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8" fillId="36" borderId="18" applyNumberFormat="0" applyAlignment="0" applyProtection="0"/>
    <xf numFmtId="0" fontId="88" fillId="36" borderId="18" applyNumberFormat="0" applyAlignment="0" applyProtection="0"/>
    <xf numFmtId="0" fontId="89" fillId="37" borderId="19" applyNumberFormat="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7"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1" fillId="0" borderId="0" applyFont="0" applyFill="0" applyBorder="0" applyAlignment="0" applyProtection="0"/>
    <xf numFmtId="43" fontId="26" fillId="0" borderId="0" applyFont="0" applyFill="0" applyBorder="0" applyAlignment="0" applyProtection="0"/>
    <xf numFmtId="43" fontId="61" fillId="0" borderId="0" applyFont="0" applyFill="0" applyBorder="0" applyAlignment="0" applyProtection="0"/>
    <xf numFmtId="44" fontId="78"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xf numFmtId="44" fontId="78" fillId="0" borderId="0" applyFont="0" applyFill="0" applyBorder="0" applyAlignment="0" applyProtection="0"/>
    <xf numFmtId="44" fontId="26" fillId="0" borderId="0" applyFont="0" applyFill="0" applyBorder="0" applyAlignment="0" applyProtection="0"/>
    <xf numFmtId="44" fontId="80"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alignment vertical="top"/>
    </xf>
    <xf numFmtId="44" fontId="61" fillId="0" borderId="0" applyFont="0" applyFill="0" applyBorder="0" applyAlignment="0" applyProtection="0">
      <alignment vertical="top"/>
    </xf>
    <xf numFmtId="44" fontId="26" fillId="0" borderId="0" applyFont="0" applyFill="0" applyBorder="0" applyAlignment="0" applyProtection="0"/>
    <xf numFmtId="44" fontId="61" fillId="0" borderId="0" applyFont="0" applyFill="0" applyBorder="0" applyAlignment="0" applyProtection="0">
      <alignment vertical="top"/>
    </xf>
    <xf numFmtId="44" fontId="61" fillId="0" borderId="0" applyFont="0" applyFill="0" applyBorder="0" applyAlignment="0" applyProtection="0"/>
    <xf numFmtId="44" fontId="77"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1" fillId="0" borderId="0" applyFont="0" applyFill="0" applyBorder="0" applyAlignment="0" applyProtection="0"/>
    <xf numFmtId="44" fontId="70"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xf numFmtId="44" fontId="26" fillId="0" borderId="0" applyFont="0" applyFill="0" applyBorder="0" applyAlignment="0" applyProtection="0"/>
    <xf numFmtId="44" fontId="71" fillId="0" borderId="0" applyFont="0" applyFill="0" applyBorder="0" applyAlignment="0" applyProtection="0"/>
    <xf numFmtId="44" fontId="26" fillId="0" borderId="0" applyFont="0" applyFill="0" applyBorder="0" applyAlignment="0" applyProtection="0"/>
    <xf numFmtId="44" fontId="77"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26"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7"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26"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xf numFmtId="44" fontId="26" fillId="0" borderId="0" applyFont="0" applyFill="0" applyBorder="0" applyAlignment="0" applyProtection="0"/>
    <xf numFmtId="44" fontId="72"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76" fillId="0" borderId="0" applyFont="0" applyFill="0" applyBorder="0" applyAlignment="0" applyProtection="0"/>
    <xf numFmtId="44" fontId="26" fillId="0" borderId="0" applyFont="0" applyFill="0" applyBorder="0" applyAlignment="0" applyProtection="0"/>
    <xf numFmtId="0" fontId="90" fillId="0" borderId="0" applyNumberFormat="0" applyFill="0" applyBorder="0" applyAlignment="0" applyProtection="0"/>
    <xf numFmtId="0" fontId="91" fillId="38" borderId="0" applyNumberFormat="0" applyBorder="0" applyAlignment="0" applyProtection="0"/>
    <xf numFmtId="0" fontId="92" fillId="0" borderId="20" applyNumberFormat="0" applyFill="0" applyAlignment="0" applyProtection="0"/>
    <xf numFmtId="0" fontId="92" fillId="0" borderId="20"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4" fillId="0" borderId="22" applyNumberFormat="0" applyFill="0" applyAlignment="0" applyProtection="0"/>
    <xf numFmtId="0" fontId="94" fillId="0" borderId="22"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2" fillId="0" borderId="0" applyNumberFormat="0" applyFill="0" applyBorder="0" applyAlignment="0" applyProtection="0">
      <alignment vertical="top"/>
      <protection locked="0"/>
    </xf>
    <xf numFmtId="0" fontId="95" fillId="39" borderId="18" applyNumberFormat="0" applyAlignment="0" applyProtection="0"/>
    <xf numFmtId="0" fontId="19" fillId="0" borderId="0" applyNumberFormat="0" applyBorder="0"/>
    <xf numFmtId="0" fontId="20" fillId="0" borderId="0" applyBorder="0" applyAlignment="0"/>
    <xf numFmtId="0" fontId="21" fillId="0" borderId="0" applyFill="0" applyBorder="0" applyAlignment="0"/>
    <xf numFmtId="0" fontId="96" fillId="0" borderId="23" applyNumberFormat="0" applyFill="0" applyAlignment="0" applyProtection="0"/>
    <xf numFmtId="0" fontId="97" fillId="40" borderId="0" applyNumberFormat="0" applyBorder="0" applyAlignment="0" applyProtection="0"/>
    <xf numFmtId="0" fontId="98" fillId="0" borderId="0"/>
    <xf numFmtId="0" fontId="61" fillId="0" borderId="0"/>
    <xf numFmtId="0" fontId="98" fillId="0" borderId="0"/>
    <xf numFmtId="0" fontId="61" fillId="0" borderId="0"/>
    <xf numFmtId="0" fontId="61"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1" fillId="0" borderId="0"/>
    <xf numFmtId="169" fontId="62" fillId="0" borderId="0"/>
    <xf numFmtId="0" fontId="85" fillId="0" borderId="0"/>
    <xf numFmtId="0" fontId="26" fillId="0" borderId="0"/>
    <xf numFmtId="0" fontId="26" fillId="0" borderId="0"/>
    <xf numFmtId="0" fontId="67" fillId="0" borderId="0"/>
    <xf numFmtId="0" fontId="61" fillId="0" borderId="0"/>
    <xf numFmtId="0" fontId="67" fillId="0" borderId="0"/>
    <xf numFmtId="0" fontId="61" fillId="0" borderId="0"/>
    <xf numFmtId="0" fontId="73" fillId="0" borderId="0"/>
    <xf numFmtId="0" fontId="61" fillId="0" borderId="0"/>
    <xf numFmtId="0" fontId="85" fillId="0" borderId="0"/>
    <xf numFmtId="0" fontId="61"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3" fillId="0" borderId="0"/>
    <xf numFmtId="0" fontId="85" fillId="0" borderId="0"/>
    <xf numFmtId="0" fontId="85" fillId="0" borderId="0"/>
    <xf numFmtId="0" fontId="85" fillId="0" borderId="0"/>
    <xf numFmtId="0" fontId="85" fillId="0" borderId="0"/>
    <xf numFmtId="0" fontId="61"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1" fillId="0" borderId="0"/>
    <xf numFmtId="0" fontId="85" fillId="0" borderId="0"/>
    <xf numFmtId="0" fontId="85" fillId="0" borderId="0"/>
    <xf numFmtId="0" fontId="85" fillId="0" borderId="0"/>
    <xf numFmtId="0" fontId="85" fillId="0" borderId="0"/>
    <xf numFmtId="0" fontId="73" fillId="0" borderId="0"/>
    <xf numFmtId="0" fontId="61" fillId="0" borderId="0">
      <alignment vertical="top"/>
    </xf>
    <xf numFmtId="0" fontId="85" fillId="0" borderId="0"/>
    <xf numFmtId="0" fontId="85" fillId="0" borderId="0"/>
    <xf numFmtId="0" fontId="85" fillId="0" borderId="0"/>
    <xf numFmtId="0" fontId="85" fillId="0" borderId="0"/>
    <xf numFmtId="0" fontId="73" fillId="0" borderId="0"/>
    <xf numFmtId="0" fontId="26" fillId="0" borderId="0"/>
    <xf numFmtId="0" fontId="85" fillId="0" borderId="0"/>
    <xf numFmtId="0" fontId="26" fillId="0" borderId="0"/>
    <xf numFmtId="0" fontId="85" fillId="0" borderId="0"/>
    <xf numFmtId="0" fontId="85" fillId="0" borderId="0"/>
    <xf numFmtId="0" fontId="85" fillId="0" borderId="0"/>
    <xf numFmtId="0" fontId="85" fillId="0" borderId="0"/>
    <xf numFmtId="0" fontId="67" fillId="0" borderId="0"/>
    <xf numFmtId="0" fontId="61" fillId="0" borderId="0">
      <alignment vertical="top"/>
    </xf>
    <xf numFmtId="0" fontId="67" fillId="0" borderId="0"/>
    <xf numFmtId="0" fontId="61" fillId="0" borderId="0">
      <alignment vertical="top"/>
    </xf>
    <xf numFmtId="0" fontId="61" fillId="0" borderId="0">
      <alignment vertical="top"/>
    </xf>
    <xf numFmtId="0" fontId="85" fillId="0" borderId="0"/>
    <xf numFmtId="0" fontId="67" fillId="0" borderId="0"/>
    <xf numFmtId="0" fontId="85" fillId="0" borderId="0"/>
    <xf numFmtId="0" fontId="61"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7"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61" fillId="0" borderId="0">
      <alignment vertical="top"/>
    </xf>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7"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1" fillId="0" borderId="0"/>
    <xf numFmtId="0" fontId="61" fillId="0" borderId="0">
      <alignment vertical="top"/>
    </xf>
    <xf numFmtId="0" fontId="61" fillId="0" borderId="0">
      <alignment vertical="top"/>
    </xf>
    <xf numFmtId="0" fontId="61" fillId="0" borderId="0"/>
    <xf numFmtId="0" fontId="61" fillId="0" borderId="0">
      <alignment vertical="top"/>
    </xf>
    <xf numFmtId="0" fontId="61" fillId="0" borderId="0"/>
    <xf numFmtId="0" fontId="6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17" fillId="0" borderId="0" applyProtection="0">
      <protection locked="0"/>
    </xf>
    <xf numFmtId="0" fontId="26" fillId="0" borderId="0" applyProtection="0">
      <protection locked="0"/>
    </xf>
    <xf numFmtId="0" fontId="26" fillId="0" borderId="0" applyProtection="0">
      <protection locked="0"/>
    </xf>
    <xf numFmtId="0" fontId="62" fillId="0" borderId="0"/>
    <xf numFmtId="0" fontId="17" fillId="0" borderId="0"/>
    <xf numFmtId="0" fontId="77"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77"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100" fillId="36" borderId="25" applyNumberFormat="0" applyAlignment="0" applyProtection="0"/>
    <xf numFmtId="0" fontId="100" fillId="36" borderId="25" applyNumberFormat="0" applyAlignment="0" applyProtection="0"/>
    <xf numFmtId="0" fontId="22" fillId="0" borderId="0" applyNumberFormat="0" applyFill="0" applyBorder="0">
      <alignment horizontal="left"/>
    </xf>
    <xf numFmtId="0" fontId="101" fillId="0" borderId="0" applyNumberFormat="0" applyFill="0" applyBorder="0" applyAlignment="0" applyProtection="0"/>
    <xf numFmtId="0" fontId="102" fillId="0" borderId="26" applyNumberFormat="0" applyFill="0" applyAlignment="0" applyProtection="0"/>
    <xf numFmtId="0" fontId="102" fillId="0" borderId="26" applyNumberFormat="0" applyFill="0" applyAlignment="0" applyProtection="0"/>
    <xf numFmtId="0" fontId="103" fillId="0" borderId="0" applyNumberFormat="0" applyFill="0" applyBorder="0" applyAlignment="0" applyProtection="0"/>
    <xf numFmtId="0" fontId="17" fillId="0" borderId="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9" fontId="17" fillId="0" borderId="0" applyFont="0" applyFill="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8"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110"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111" fillId="0" borderId="0" applyNumberForma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01" fillId="0" borderId="0" applyNumberFormat="0" applyFill="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44" fontId="17" fillId="0" borderId="0" applyFont="0" applyFill="0" applyBorder="0" applyAlignment="0" applyProtection="0"/>
    <xf numFmtId="9" fontId="120" fillId="0" borderId="0" applyFont="0" applyFill="0" applyBorder="0" applyAlignment="0" applyProtection="0"/>
    <xf numFmtId="0" fontId="120" fillId="0" borderId="0"/>
    <xf numFmtId="0" fontId="11" fillId="0" borderId="0"/>
    <xf numFmtId="0" fontId="17" fillId="0" borderId="0"/>
    <xf numFmtId="43" fontId="11" fillId="0" borderId="0" applyFont="0" applyFill="0" applyBorder="0" applyAlignment="0" applyProtection="0"/>
    <xf numFmtId="9" fontId="11" fillId="0" borderId="0" applyFont="0" applyFill="0" applyBorder="0" applyAlignment="0" applyProtection="0"/>
    <xf numFmtId="0" fontId="10" fillId="0" borderId="0"/>
    <xf numFmtId="44" fontId="10" fillId="0" borderId="0" applyFont="0" applyFill="0" applyBorder="0" applyAlignment="0" applyProtection="0"/>
    <xf numFmtId="9" fontId="10" fillId="0" borderId="0" applyFont="0" applyFill="0" applyBorder="0" applyAlignment="0" applyProtection="0"/>
    <xf numFmtId="43" fontId="148" fillId="0" borderId="0" applyFont="0" applyFill="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0" borderId="0"/>
    <xf numFmtId="44" fontId="8" fillId="0" borderId="0" applyFont="0" applyFill="0" applyBorder="0" applyAlignment="0" applyProtection="0"/>
    <xf numFmtId="9" fontId="8"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44" fontId="150"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0" fontId="3" fillId="0" borderId="0"/>
    <xf numFmtId="0" fontId="17" fillId="0" borderId="0" applyBorder="0"/>
    <xf numFmtId="44" fontId="3" fillId="0" borderId="0" applyFont="0" applyFill="0" applyBorder="0" applyAlignment="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7"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5">
    <xf numFmtId="0" fontId="0" fillId="0" borderId="0" xfId="0"/>
    <xf numFmtId="0" fontId="0" fillId="0" borderId="0" xfId="0" applyAlignment="1">
      <alignment horizontal="center"/>
    </xf>
    <xf numFmtId="0" fontId="24" fillId="0" borderId="0" xfId="0" applyFont="1"/>
    <xf numFmtId="0" fontId="17" fillId="0" borderId="0" xfId="0" applyFont="1"/>
    <xf numFmtId="0" fontId="26" fillId="0" borderId="0" xfId="0" applyFont="1"/>
    <xf numFmtId="0" fontId="0" fillId="0" borderId="4" xfId="0" applyBorder="1"/>
    <xf numFmtId="0" fontId="26" fillId="0" borderId="0" xfId="0" applyFont="1" applyAlignment="1">
      <alignment horizontal="center"/>
    </xf>
    <xf numFmtId="0" fontId="17"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4" fillId="0" borderId="4" xfId="0" applyFont="1" applyBorder="1"/>
    <xf numFmtId="164" fontId="0" fillId="0" borderId="0" xfId="0" applyNumberFormat="1" applyAlignment="1">
      <alignment horizontal="right"/>
    </xf>
    <xf numFmtId="0" fontId="24" fillId="0" borderId="0" xfId="0" applyFont="1" applyAlignment="1">
      <alignment horizontal="center"/>
    </xf>
    <xf numFmtId="0" fontId="17" fillId="0" borderId="0" xfId="543"/>
    <xf numFmtId="0" fontId="26" fillId="0" borderId="0" xfId="0" applyFont="1" applyAlignment="1">
      <alignment horizontal="left" vertical="top" wrapText="1"/>
    </xf>
    <xf numFmtId="0" fontId="32" fillId="0" borderId="0" xfId="0" applyFont="1"/>
    <xf numFmtId="0" fontId="25" fillId="0" borderId="0" xfId="0" applyFont="1" applyAlignment="1">
      <alignment vertical="top"/>
    </xf>
    <xf numFmtId="0" fontId="25" fillId="0" borderId="0" xfId="0" applyFont="1" applyAlignment="1">
      <alignment vertical="top" wrapText="1"/>
    </xf>
    <xf numFmtId="0" fontId="26" fillId="0" borderId="0" xfId="0" applyFont="1" applyAlignment="1">
      <alignment horizontal="left" indent="4"/>
    </xf>
    <xf numFmtId="0" fontId="25" fillId="0" borderId="0" xfId="0" applyFont="1" applyAlignment="1">
      <alignment horizontal="left" vertical="top"/>
    </xf>
    <xf numFmtId="0" fontId="25" fillId="0" borderId="0" xfId="0" applyFont="1" applyAlignment="1">
      <alignment horizontal="left"/>
    </xf>
    <xf numFmtId="0" fontId="25" fillId="0" borderId="0" xfId="0" applyFont="1"/>
    <xf numFmtId="0" fontId="37" fillId="0" borderId="0" xfId="543" applyFont="1"/>
    <xf numFmtId="1" fontId="25" fillId="0" borderId="0" xfId="0" applyNumberFormat="1" applyFont="1" applyAlignment="1">
      <alignment horizontal="left"/>
    </xf>
    <xf numFmtId="0" fontId="27" fillId="0" borderId="0" xfId="0" applyFont="1"/>
    <xf numFmtId="1" fontId="25" fillId="0" borderId="0" xfId="0" applyNumberFormat="1" applyFont="1" applyAlignment="1">
      <alignment horizontal="right"/>
    </xf>
    <xf numFmtId="0" fontId="0" fillId="0" borderId="0" xfId="0" applyAlignment="1">
      <alignment horizontal="right"/>
    </xf>
    <xf numFmtId="0" fontId="36" fillId="0" borderId="0" xfId="0" applyFont="1"/>
    <xf numFmtId="0" fontId="29" fillId="0" borderId="0" xfId="0" applyFont="1"/>
    <xf numFmtId="172" fontId="17" fillId="0" borderId="0" xfId="543" applyNumberFormat="1"/>
    <xf numFmtId="9" fontId="17" fillId="0" borderId="0" xfId="543" applyNumberFormat="1" applyAlignment="1">
      <alignment horizontal="left"/>
    </xf>
    <xf numFmtId="168" fontId="17" fillId="0" borderId="0" xfId="543" applyNumberFormat="1"/>
    <xf numFmtId="0" fontId="26" fillId="0" borderId="0" xfId="0" applyFont="1" applyAlignment="1">
      <alignment horizontal="right"/>
    </xf>
    <xf numFmtId="0" fontId="40" fillId="0" borderId="0" xfId="0" applyFont="1"/>
    <xf numFmtId="0" fontId="26" fillId="0" borderId="0" xfId="0" applyFont="1" applyAlignment="1">
      <alignment horizontal="left"/>
    </xf>
    <xf numFmtId="0" fontId="28" fillId="0" borderId="0" xfId="0" applyFont="1"/>
    <xf numFmtId="0" fontId="30" fillId="0" borderId="0" xfId="0" applyFont="1"/>
    <xf numFmtId="0" fontId="24"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4" fillId="0" borderId="1" xfId="0" applyFont="1" applyBorder="1" applyAlignment="1">
      <alignment horizontal="center" wrapText="1"/>
    </xf>
    <xf numFmtId="0" fontId="24"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4" fillId="0" borderId="4" xfId="0" applyFont="1" applyBorder="1" applyAlignment="1">
      <alignment horizontal="center"/>
    </xf>
    <xf numFmtId="0" fontId="33" fillId="0" borderId="3" xfId="0" applyFont="1" applyBorder="1" applyAlignment="1">
      <alignment horizontal="left"/>
    </xf>
    <xf numFmtId="0" fontId="33" fillId="0" borderId="9" xfId="0" applyFont="1" applyBorder="1" applyAlignment="1">
      <alignment horizontal="left"/>
    </xf>
    <xf numFmtId="0" fontId="24" fillId="0" borderId="4" xfId="0" applyFont="1" applyBorder="1" applyAlignment="1">
      <alignment horizontal="right"/>
    </xf>
    <xf numFmtId="0" fontId="24" fillId="0" borderId="5" xfId="0" applyFont="1" applyBorder="1" applyAlignment="1">
      <alignment horizontal="right"/>
    </xf>
    <xf numFmtId="0" fontId="33" fillId="0" borderId="0" xfId="0" applyFont="1" applyAlignment="1">
      <alignment horizontal="left"/>
    </xf>
    <xf numFmtId="0" fontId="24" fillId="0" borderId="0" xfId="0" applyFont="1" applyAlignment="1">
      <alignment horizontal="right"/>
    </xf>
    <xf numFmtId="0" fontId="24"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6" fillId="0" borderId="11" xfId="0" applyFont="1" applyBorder="1" applyAlignment="1">
      <alignment horizontal="left"/>
    </xf>
    <xf numFmtId="0" fontId="24" fillId="0" borderId="9" xfId="0" applyFont="1" applyBorder="1"/>
    <xf numFmtId="164" fontId="0" fillId="0" borderId="0" xfId="0" applyNumberFormat="1" applyAlignment="1">
      <alignment horizontal="center"/>
    </xf>
    <xf numFmtId="0" fontId="0" fillId="0" borderId="12" xfId="0" applyBorder="1"/>
    <xf numFmtId="0" fontId="26" fillId="0" borderId="3" xfId="0" applyFont="1" applyBorder="1"/>
    <xf numFmtId="0" fontId="26" fillId="0" borderId="0" xfId="543" applyFont="1"/>
    <xf numFmtId="0" fontId="42" fillId="0" borderId="0" xfId="543" applyFont="1"/>
    <xf numFmtId="49" fontId="17" fillId="0" borderId="0" xfId="543" applyNumberFormat="1"/>
    <xf numFmtId="0" fontId="40" fillId="0" borderId="0" xfId="543" applyFont="1"/>
    <xf numFmtId="168" fontId="37" fillId="0" borderId="6" xfId="543" applyNumberFormat="1" applyFont="1" applyBorder="1" applyAlignment="1">
      <alignment horizontal="left"/>
    </xf>
    <xf numFmtId="168" fontId="37" fillId="0" borderId="6" xfId="543" applyNumberFormat="1" applyFont="1" applyBorder="1" applyAlignment="1">
      <alignment horizontal="center"/>
    </xf>
    <xf numFmtId="0" fontId="17" fillId="0" borderId="8" xfId="543" applyBorder="1"/>
    <xf numFmtId="0" fontId="37" fillId="0" borderId="0" xfId="543" applyFont="1" applyAlignment="1">
      <alignment horizontal="center"/>
    </xf>
    <xf numFmtId="0" fontId="36" fillId="0" borderId="9" xfId="543" applyFont="1" applyBorder="1" applyAlignment="1">
      <alignment horizontal="left" vertical="top" wrapText="1"/>
    </xf>
    <xf numFmtId="0" fontId="36" fillId="0" borderId="6" xfId="543" applyFont="1" applyBorder="1" applyAlignment="1">
      <alignment horizontal="center" vertical="top" wrapText="1"/>
    </xf>
    <xf numFmtId="0" fontId="17" fillId="0" borderId="9" xfId="543" applyBorder="1"/>
    <xf numFmtId="0" fontId="17" fillId="0" borderId="10" xfId="543" applyBorder="1"/>
    <xf numFmtId="0" fontId="17" fillId="0" borderId="1" xfId="543" applyBorder="1"/>
    <xf numFmtId="0" fontId="37" fillId="0" borderId="2" xfId="543" applyFont="1" applyBorder="1" applyAlignment="1">
      <alignment horizontal="center"/>
    </xf>
    <xf numFmtId="0" fontId="39" fillId="0" borderId="8" xfId="543" applyFont="1" applyBorder="1" applyAlignment="1">
      <alignment horizontal="left" vertical="top" wrapText="1"/>
    </xf>
    <xf numFmtId="0" fontId="36" fillId="0" borderId="0" xfId="543" applyFont="1" applyAlignment="1">
      <alignment horizontal="center" vertical="top" wrapText="1"/>
    </xf>
    <xf numFmtId="0" fontId="17" fillId="0" borderId="12" xfId="543" applyBorder="1"/>
    <xf numFmtId="0" fontId="39" fillId="0" borderId="0" xfId="543" applyFont="1" applyAlignment="1">
      <alignment horizontal="center" vertical="top" wrapText="1"/>
    </xf>
    <xf numFmtId="0" fontId="39" fillId="0" borderId="9" xfId="543" applyFont="1" applyBorder="1" applyAlignment="1">
      <alignment horizontal="left" vertical="top" wrapText="1"/>
    </xf>
    <xf numFmtId="0" fontId="17" fillId="0" borderId="2" xfId="543" applyBorder="1"/>
    <xf numFmtId="0" fontId="17" fillId="0" borderId="7" xfId="543" applyBorder="1"/>
    <xf numFmtId="0" fontId="36" fillId="0" borderId="0" xfId="543" applyFont="1"/>
    <xf numFmtId="0" fontId="17" fillId="0" borderId="0" xfId="543" applyAlignment="1">
      <alignment horizontal="center"/>
    </xf>
    <xf numFmtId="0" fontId="25" fillId="0" borderId="6" xfId="543" applyFont="1" applyBorder="1" applyAlignment="1">
      <alignment vertical="top" wrapText="1"/>
    </xf>
    <xf numFmtId="0" fontId="26" fillId="0" borderId="0" xfId="0" applyFont="1" applyAlignment="1">
      <alignment horizontal="left" vertical="top"/>
    </xf>
    <xf numFmtId="0" fontId="0" fillId="2" borderId="2" xfId="0" applyFill="1" applyBorder="1"/>
    <xf numFmtId="0" fontId="0" fillId="2" borderId="7" xfId="0" applyFill="1" applyBorder="1"/>
    <xf numFmtId="0" fontId="24" fillId="0" borderId="6" xfId="0" applyFont="1" applyBorder="1" applyAlignment="1">
      <alignment horizontal="right"/>
    </xf>
    <xf numFmtId="0" fontId="23" fillId="0" borderId="0" xfId="0" applyFont="1" applyAlignment="1">
      <alignment horizontal="center" vertical="center"/>
    </xf>
    <xf numFmtId="0" fontId="24" fillId="0" borderId="0" xfId="0" applyFont="1" applyAlignment="1">
      <alignment vertical="top"/>
    </xf>
    <xf numFmtId="166" fontId="0" fillId="0" borderId="0" xfId="0" applyNumberFormat="1" applyAlignment="1">
      <alignment horizontal="right"/>
    </xf>
    <xf numFmtId="0" fontId="47" fillId="0" borderId="0" xfId="0" applyFont="1"/>
    <xf numFmtId="0" fontId="34" fillId="0" borderId="0" xfId="0" applyFont="1"/>
    <xf numFmtId="0" fontId="18" fillId="0" borderId="0" xfId="244" applyBorder="1" applyProtection="1"/>
    <xf numFmtId="0" fontId="18" fillId="0" borderId="0" xfId="244" applyFill="1" applyBorder="1" applyAlignment="1">
      <alignment horizontal="center" vertical="center"/>
    </xf>
    <xf numFmtId="0" fontId="17" fillId="0" borderId="3" xfId="543" applyBorder="1"/>
    <xf numFmtId="0" fontId="39" fillId="0" borderId="4" xfId="543" applyFont="1" applyBorder="1" applyAlignment="1">
      <alignment horizontal="right" vertical="top" wrapText="1"/>
    </xf>
    <xf numFmtId="0" fontId="26" fillId="0" borderId="6" xfId="0" applyFont="1" applyBorder="1"/>
    <xf numFmtId="0" fontId="26" fillId="0" borderId="2" xfId="0" applyFont="1" applyBorder="1"/>
    <xf numFmtId="0" fontId="26" fillId="0" borderId="7" xfId="0" applyFont="1" applyBorder="1"/>
    <xf numFmtId="0" fontId="26" fillId="0" borderId="12" xfId="0" applyFont="1" applyBorder="1"/>
    <xf numFmtId="0" fontId="26" fillId="0" borderId="9" xfId="0" applyFont="1" applyBorder="1"/>
    <xf numFmtId="0" fontId="26" fillId="0" borderId="10" xfId="0" applyFont="1" applyBorder="1"/>
    <xf numFmtId="0" fontId="31" fillId="0" borderId="6" xfId="0" applyFont="1" applyBorder="1" applyAlignment="1">
      <alignment vertical="top" wrapText="1"/>
    </xf>
    <xf numFmtId="0" fontId="31" fillId="0" borderId="5" xfId="0" applyFont="1" applyBorder="1" applyAlignment="1">
      <alignment vertical="top" wrapText="1"/>
    </xf>
    <xf numFmtId="0" fontId="31" fillId="0" borderId="4" xfId="0" applyFont="1" applyBorder="1" applyAlignment="1">
      <alignment vertical="top" wrapText="1"/>
    </xf>
    <xf numFmtId="0" fontId="31" fillId="2" borderId="6" xfId="0" applyFont="1" applyFill="1" applyBorder="1" applyAlignment="1">
      <alignment vertical="top" wrapText="1"/>
    </xf>
    <xf numFmtId="0" fontId="0" fillId="0" borderId="8" xfId="0" applyBorder="1"/>
    <xf numFmtId="0" fontId="24" fillId="0" borderId="2" xfId="0" applyFont="1" applyBorder="1"/>
    <xf numFmtId="0" fontId="26" fillId="0" borderId="0" xfId="0" applyFont="1" applyAlignment="1">
      <alignment vertical="top"/>
    </xf>
    <xf numFmtId="0" fontId="26" fillId="0" borderId="0" xfId="0" applyFont="1" applyAlignment="1">
      <alignment vertical="top" wrapText="1"/>
    </xf>
    <xf numFmtId="0" fontId="17" fillId="0" borderId="0" xfId="0" applyFont="1" applyAlignment="1">
      <alignment horizontal="left"/>
    </xf>
    <xf numFmtId="0" fontId="17" fillId="0" borderId="0" xfId="0" applyFont="1" applyAlignment="1">
      <alignment vertical="top"/>
    </xf>
    <xf numFmtId="0" fontId="46" fillId="0" borderId="0" xfId="0" applyFont="1"/>
    <xf numFmtId="0" fontId="17" fillId="0" borderId="3" xfId="0" applyFont="1" applyBorder="1"/>
    <xf numFmtId="0" fontId="17"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1" fillId="3" borderId="4" xfId="0" applyFont="1" applyFill="1" applyBorder="1" applyAlignment="1">
      <alignment vertical="top" wrapText="1"/>
    </xf>
    <xf numFmtId="0" fontId="31" fillId="3" borderId="5" xfId="0" applyFont="1" applyFill="1" applyBorder="1" applyAlignment="1">
      <alignment vertical="top" wrapText="1"/>
    </xf>
    <xf numFmtId="0" fontId="49" fillId="0" borderId="0" xfId="0" applyFont="1"/>
    <xf numFmtId="0" fontId="26" fillId="0" borderId="4" xfId="0" applyFont="1" applyBorder="1"/>
    <xf numFmtId="0" fontId="24" fillId="0" borderId="2" xfId="0" applyFont="1" applyBorder="1" applyAlignment="1">
      <alignment horizontal="center"/>
    </xf>
    <xf numFmtId="0" fontId="24" fillId="0" borderId="0" xfId="0" applyFont="1" applyAlignment="1">
      <alignment horizontal="center" vertical="center" wrapText="1"/>
    </xf>
    <xf numFmtId="0" fontId="24" fillId="0" borderId="7" xfId="543" applyFont="1" applyBorder="1" applyAlignment="1">
      <alignment horizontal="right"/>
    </xf>
    <xf numFmtId="0" fontId="25" fillId="0" borderId="9" xfId="543" applyFont="1" applyBorder="1"/>
    <xf numFmtId="0" fontId="26" fillId="0" borderId="6" xfId="543" applyFont="1" applyBorder="1"/>
    <xf numFmtId="0" fontId="25" fillId="0" borderId="6" xfId="543" applyFont="1" applyBorder="1" applyAlignment="1">
      <alignment horizontal="right"/>
    </xf>
    <xf numFmtId="0" fontId="24" fillId="0" borderId="0" xfId="0" applyFont="1" applyAlignment="1">
      <alignment horizontal="center" vertical="center"/>
    </xf>
    <xf numFmtId="0" fontId="26" fillId="0" borderId="0" xfId="0" applyFont="1" applyAlignment="1">
      <alignment horizontal="left" vertical="center"/>
    </xf>
    <xf numFmtId="0" fontId="54" fillId="0" borderId="3" xfId="0" applyFont="1" applyBorder="1" applyAlignment="1">
      <alignment horizontal="left" vertical="top"/>
    </xf>
    <xf numFmtId="0" fontId="54" fillId="0" borderId="13" xfId="0" applyFont="1" applyBorder="1" applyAlignment="1">
      <alignment horizontal="center" wrapText="1"/>
    </xf>
    <xf numFmtId="0" fontId="54" fillId="0" borderId="13" xfId="0" applyFont="1" applyBorder="1" applyAlignment="1">
      <alignment horizontal="center" vertical="top" wrapText="1"/>
    </xf>
    <xf numFmtId="0" fontId="54" fillId="2" borderId="13" xfId="0" applyFont="1" applyFill="1" applyBorder="1" applyAlignment="1">
      <alignment horizontal="center" wrapText="1"/>
    </xf>
    <xf numFmtId="0" fontId="55" fillId="2" borderId="11" xfId="0" applyFont="1" applyFill="1" applyBorder="1" applyAlignment="1">
      <alignment horizontal="left" vertical="top" wrapText="1"/>
    </xf>
    <xf numFmtId="0" fontId="56" fillId="4" borderId="11" xfId="0" applyFont="1" applyFill="1" applyBorder="1" applyAlignment="1">
      <alignment vertical="top" wrapText="1"/>
    </xf>
    <xf numFmtId="0" fontId="56" fillId="2" borderId="11" xfId="0" applyFont="1" applyFill="1" applyBorder="1" applyAlignment="1">
      <alignment vertical="top" wrapText="1"/>
    </xf>
    <xf numFmtId="0" fontId="56" fillId="0" borderId="11" xfId="0" applyFont="1" applyBorder="1" applyAlignment="1">
      <alignment vertical="top" wrapText="1"/>
    </xf>
    <xf numFmtId="0" fontId="56" fillId="0" borderId="11" xfId="0" applyFont="1" applyBorder="1" applyAlignment="1">
      <alignment horizontal="right" vertical="top" wrapText="1"/>
    </xf>
    <xf numFmtId="168" fontId="56" fillId="0" borderId="11" xfId="0" applyNumberFormat="1" applyFont="1" applyBorder="1" applyAlignment="1">
      <alignment vertical="top" wrapText="1"/>
    </xf>
    <xf numFmtId="168" fontId="56" fillId="5" borderId="11" xfId="0" applyNumberFormat="1" applyFont="1" applyFill="1" applyBorder="1" applyAlignment="1" applyProtection="1">
      <alignment vertical="top" wrapText="1"/>
      <protection locked="0"/>
    </xf>
    <xf numFmtId="168" fontId="56" fillId="6" borderId="11" xfId="0" applyNumberFormat="1" applyFont="1" applyFill="1" applyBorder="1" applyAlignment="1">
      <alignment horizontal="center" vertical="top" wrapText="1"/>
    </xf>
    <xf numFmtId="0" fontId="54" fillId="0" borderId="11" xfId="0" applyFont="1" applyBorder="1" applyAlignment="1">
      <alignment horizontal="right" vertical="top" wrapText="1"/>
    </xf>
    <xf numFmtId="168" fontId="54" fillId="0" borderId="11" xfId="0" applyNumberFormat="1" applyFont="1" applyBorder="1" applyAlignment="1">
      <alignment vertical="top" wrapText="1"/>
    </xf>
    <xf numFmtId="168" fontId="56" fillId="4" borderId="11" xfId="0" applyNumberFormat="1" applyFont="1" applyFill="1" applyBorder="1" applyAlignment="1">
      <alignment vertical="top" wrapText="1"/>
    </xf>
    <xf numFmtId="0" fontId="54" fillId="2" borderId="11" xfId="0" applyFont="1" applyFill="1" applyBorder="1" applyAlignment="1">
      <alignment vertical="top" wrapText="1"/>
    </xf>
    <xf numFmtId="0" fontId="54" fillId="0" borderId="11" xfId="0" applyFont="1" applyBorder="1" applyAlignment="1">
      <alignment vertical="top" wrapText="1"/>
    </xf>
    <xf numFmtId="0" fontId="20" fillId="0" borderId="11" xfId="0" applyFont="1" applyBorder="1" applyAlignment="1">
      <alignment horizontal="right" vertical="top" wrapText="1"/>
    </xf>
    <xf numFmtId="0" fontId="56" fillId="0" borderId="11" xfId="0" applyFont="1" applyBorder="1" applyAlignment="1" applyProtection="1">
      <alignment horizontal="right" vertical="top" wrapText="1"/>
      <protection locked="0"/>
    </xf>
    <xf numFmtId="0" fontId="54" fillId="0" borderId="0" xfId="0" applyFont="1" applyAlignment="1">
      <alignment horizontal="left" vertical="top"/>
    </xf>
    <xf numFmtId="0" fontId="56" fillId="0" borderId="0" xfId="0" applyFont="1" applyAlignment="1">
      <alignment horizontal="left" vertical="top"/>
    </xf>
    <xf numFmtId="0" fontId="56" fillId="0" borderId="0" xfId="0" applyFont="1" applyAlignment="1">
      <alignment vertical="top" wrapText="1"/>
    </xf>
    <xf numFmtId="0" fontId="56" fillId="0" borderId="0" xfId="0" applyFont="1" applyAlignment="1">
      <alignment vertical="top"/>
    </xf>
    <xf numFmtId="0" fontId="54" fillId="0" borderId="0" xfId="0" applyFont="1" applyAlignment="1">
      <alignment horizontal="right" vertical="top"/>
    </xf>
    <xf numFmtId="0" fontId="56" fillId="2" borderId="0" xfId="0" applyFont="1" applyFill="1" applyAlignment="1">
      <alignment vertical="top" wrapText="1"/>
    </xf>
    <xf numFmtId="0" fontId="54" fillId="0" borderId="0" xfId="0" applyFont="1" applyAlignment="1">
      <alignment vertical="top"/>
    </xf>
    <xf numFmtId="166" fontId="26" fillId="0" borderId="0" xfId="0" applyNumberFormat="1" applyFont="1" applyAlignment="1">
      <alignment horizontal="left"/>
    </xf>
    <xf numFmtId="0" fontId="57" fillId="0" borderId="0" xfId="0" applyFont="1"/>
    <xf numFmtId="0" fontId="17" fillId="0" borderId="0" xfId="244" applyFont="1" applyFill="1" applyBorder="1" applyAlignment="1" applyProtection="1">
      <alignment horizontal="left"/>
    </xf>
    <xf numFmtId="0" fontId="48" fillId="0" borderId="0" xfId="0" applyFont="1"/>
    <xf numFmtId="0" fontId="48" fillId="0" borderId="0" xfId="244" applyFont="1" applyFill="1" applyBorder="1" applyAlignment="1" applyProtection="1">
      <alignment horizontal="left"/>
    </xf>
    <xf numFmtId="0" fontId="23" fillId="3" borderId="11" xfId="0" applyFont="1" applyFill="1" applyBorder="1" applyAlignment="1">
      <alignment vertical="top"/>
    </xf>
    <xf numFmtId="0" fontId="0" fillId="7" borderId="0" xfId="0" applyFill="1"/>
    <xf numFmtId="0" fontId="37" fillId="0" borderId="0" xfId="0" applyFont="1"/>
    <xf numFmtId="0" fontId="59" fillId="0" borderId="0" xfId="0" applyFont="1"/>
    <xf numFmtId="0" fontId="35" fillId="0" borderId="0" xfId="0" applyFont="1" applyAlignment="1">
      <alignment horizontal="center"/>
    </xf>
    <xf numFmtId="0" fontId="35" fillId="0" borderId="0" xfId="0" applyFont="1" applyAlignment="1">
      <alignment horizontal="left"/>
    </xf>
    <xf numFmtId="49" fontId="24" fillId="0" borderId="0" xfId="0" applyNumberFormat="1" applyFont="1" applyAlignment="1">
      <alignment horizontal="center"/>
    </xf>
    <xf numFmtId="0" fontId="51" fillId="0" borderId="0" xfId="0" applyFont="1" applyAlignment="1">
      <alignment horizontal="center"/>
    </xf>
    <xf numFmtId="168" fontId="26" fillId="0" borderId="0" xfId="0" applyNumberFormat="1" applyFont="1" applyAlignment="1">
      <alignment horizontal="center"/>
    </xf>
    <xf numFmtId="168" fontId="36" fillId="0" borderId="0" xfId="0" applyNumberFormat="1" applyFont="1" applyAlignment="1">
      <alignment horizontal="left" vertical="top" wrapText="1"/>
    </xf>
    <xf numFmtId="0" fontId="53" fillId="0" borderId="3" xfId="0" applyFont="1" applyBorder="1"/>
    <xf numFmtId="168" fontId="0" fillId="0" borderId="0" xfId="0" applyNumberFormat="1" applyAlignment="1">
      <alignment horizontal="center"/>
    </xf>
    <xf numFmtId="0" fontId="37" fillId="0" borderId="0" xfId="0" applyFont="1" applyAlignment="1">
      <alignment vertical="top" wrapText="1"/>
    </xf>
    <xf numFmtId="0" fontId="54" fillId="0" borderId="4" xfId="0" applyFont="1" applyBorder="1" applyAlignment="1">
      <alignment horizontal="right"/>
    </xf>
    <xf numFmtId="0" fontId="61" fillId="0" borderId="0" xfId="0" applyFont="1"/>
    <xf numFmtId="3" fontId="26" fillId="0" borderId="0" xfId="0" applyNumberFormat="1" applyFont="1" applyAlignment="1">
      <alignment horizontal="center"/>
    </xf>
    <xf numFmtId="168" fontId="17" fillId="0" borderId="0" xfId="0" applyNumberFormat="1" applyFont="1" applyAlignment="1">
      <alignment horizontal="left" vertical="top"/>
    </xf>
    <xf numFmtId="168" fontId="26" fillId="0" borderId="0" xfId="0" applyNumberFormat="1" applyFont="1" applyAlignment="1">
      <alignment horizontal="left" vertical="top"/>
    </xf>
    <xf numFmtId="0" fontId="56" fillId="0" borderId="11" xfId="0" applyFont="1" applyBorder="1" applyAlignment="1">
      <alignment horizontal="right" vertical="top"/>
    </xf>
    <xf numFmtId="0" fontId="56" fillId="0" borderId="0" xfId="0" applyFont="1" applyAlignment="1">
      <alignment horizontal="right" vertical="top" wrapText="1"/>
    </xf>
    <xf numFmtId="0" fontId="56" fillId="2" borderId="12" xfId="0" applyFont="1" applyFill="1" applyBorder="1" applyAlignment="1">
      <alignment vertical="top" wrapText="1"/>
    </xf>
    <xf numFmtId="0" fontId="56" fillId="0" borderId="14" xfId="0" applyFont="1" applyBorder="1" applyAlignment="1">
      <alignment vertical="top" wrapText="1"/>
    </xf>
    <xf numFmtId="168" fontId="56" fillId="5" borderId="11" xfId="0" applyNumberFormat="1" applyFont="1" applyFill="1" applyBorder="1" applyAlignment="1" applyProtection="1">
      <alignment vertical="top"/>
      <protection locked="0"/>
    </xf>
    <xf numFmtId="0" fontId="56" fillId="2" borderId="11" xfId="0" applyFont="1" applyFill="1" applyBorder="1" applyAlignment="1" applyProtection="1">
      <alignment vertical="top"/>
      <protection locked="0"/>
    </xf>
    <xf numFmtId="0" fontId="56" fillId="0" borderId="11" xfId="0" applyFont="1" applyBorder="1" applyAlignment="1" applyProtection="1">
      <alignment vertical="top"/>
      <protection locked="0"/>
    </xf>
    <xf numFmtId="168" fontId="56" fillId="0" borderId="11" xfId="0" applyNumberFormat="1" applyFont="1" applyBorder="1" applyAlignment="1">
      <alignment vertical="top"/>
    </xf>
    <xf numFmtId="168" fontId="56" fillId="6" borderId="11" xfId="0" applyNumberFormat="1" applyFont="1" applyFill="1" applyBorder="1" applyAlignment="1">
      <alignment horizontal="center" vertical="top"/>
    </xf>
    <xf numFmtId="0" fontId="24" fillId="0" borderId="0" xfId="542" applyFont="1" applyProtection="1">
      <protection locked="0"/>
    </xf>
    <xf numFmtId="0" fontId="17" fillId="0" borderId="0" xfId="539" applyProtection="1"/>
    <xf numFmtId="0" fontId="37" fillId="8" borderId="0" xfId="539" applyFont="1" applyFill="1" applyAlignment="1" applyProtection="1">
      <alignment horizontal="centerContinuous"/>
    </xf>
    <xf numFmtId="0" fontId="24" fillId="0" borderId="0" xfId="543" applyFont="1"/>
    <xf numFmtId="0" fontId="26" fillId="0" borderId="0" xfId="543" applyFont="1" applyAlignment="1">
      <alignment horizontal="left"/>
    </xf>
    <xf numFmtId="0" fontId="26" fillId="0" borderId="15" xfId="0" applyFont="1" applyBorder="1"/>
    <xf numFmtId="2" fontId="40" fillId="0" borderId="11" xfId="0" applyNumberFormat="1" applyFont="1" applyBorder="1"/>
    <xf numFmtId="0" fontId="17" fillId="0" borderId="0" xfId="0" applyFont="1" applyProtection="1">
      <protection locked="0"/>
    </xf>
    <xf numFmtId="0" fontId="64" fillId="0" borderId="0" xfId="0" applyFont="1" applyAlignment="1">
      <alignment horizontal="center"/>
    </xf>
    <xf numFmtId="0" fontId="26" fillId="0" borderId="0" xfId="271"/>
    <xf numFmtId="0" fontId="24" fillId="0" borderId="0" xfId="271" applyFont="1"/>
    <xf numFmtId="0" fontId="26" fillId="0" borderId="0" xfId="271" applyAlignment="1">
      <alignment horizontal="left"/>
    </xf>
    <xf numFmtId="168" fontId="24" fillId="0" borderId="2" xfId="543" applyNumberFormat="1" applyFont="1" applyBorder="1" applyAlignment="1">
      <alignment horizontal="center" vertical="center"/>
    </xf>
    <xf numFmtId="0" fontId="39" fillId="0" borderId="0" xfId="543" applyFont="1" applyAlignment="1">
      <alignment horizontal="right" vertical="top" wrapText="1"/>
    </xf>
    <xf numFmtId="0" fontId="37" fillId="0" borderId="2" xfId="543" applyFont="1" applyBorder="1" applyAlignment="1">
      <alignment horizontal="right" vertical="top" wrapText="1"/>
    </xf>
    <xf numFmtId="0" fontId="22" fillId="0" borderId="0" xfId="0" applyFont="1"/>
    <xf numFmtId="0" fontId="66" fillId="0" borderId="0" xfId="0" applyFont="1"/>
    <xf numFmtId="0" fontId="64" fillId="0" borderId="0" xfId="0" applyFont="1"/>
    <xf numFmtId="0" fontId="37"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4" fillId="0" borderId="0" xfId="0" applyNumberFormat="1" applyFont="1" applyAlignment="1">
      <alignment horizontal="center"/>
    </xf>
    <xf numFmtId="3" fontId="26" fillId="0" borderId="0" xfId="0" applyNumberFormat="1" applyFont="1"/>
    <xf numFmtId="0" fontId="65" fillId="0" borderId="0" xfId="0" applyFont="1"/>
    <xf numFmtId="168" fontId="22" fillId="0" borderId="0" xfId="0" applyNumberFormat="1" applyFont="1"/>
    <xf numFmtId="10" fontId="22" fillId="0" borderId="0" xfId="0" applyNumberFormat="1" applyFont="1" applyAlignment="1">
      <alignment horizontal="center"/>
    </xf>
    <xf numFmtId="3" fontId="68" fillId="0" borderId="0" xfId="0" applyNumberFormat="1" applyFont="1"/>
    <xf numFmtId="3" fontId="22" fillId="0" borderId="0" xfId="0" applyNumberFormat="1" applyFont="1"/>
    <xf numFmtId="168" fontId="65" fillId="0" borderId="0" xfId="0" applyNumberFormat="1" applyFont="1"/>
    <xf numFmtId="168" fontId="65" fillId="0" borderId="0" xfId="0" applyNumberFormat="1" applyFont="1" applyAlignment="1">
      <alignment horizontal="center"/>
    </xf>
    <xf numFmtId="0" fontId="22" fillId="5" borderId="0" xfId="0" applyFont="1" applyFill="1" applyAlignment="1">
      <alignment horizontal="left"/>
    </xf>
    <xf numFmtId="0" fontId="22" fillId="5" borderId="0" xfId="0" applyFont="1" applyFill="1"/>
    <xf numFmtId="10" fontId="22" fillId="0" borderId="0" xfId="0" applyNumberFormat="1" applyFont="1"/>
    <xf numFmtId="172" fontId="22" fillId="0" borderId="0" xfId="0" applyNumberFormat="1" applyFont="1"/>
    <xf numFmtId="172" fontId="22" fillId="0" borderId="0" xfId="0" applyNumberFormat="1" applyFont="1" applyAlignment="1">
      <alignment horizontal="center"/>
    </xf>
    <xf numFmtId="0" fontId="22" fillId="0" borderId="6" xfId="0" applyFont="1" applyBorder="1"/>
    <xf numFmtId="10" fontId="22" fillId="0" borderId="6" xfId="0" applyNumberFormat="1" applyFont="1" applyBorder="1" applyAlignment="1">
      <alignment horizontal="center"/>
    </xf>
    <xf numFmtId="3" fontId="22" fillId="0" borderId="6" xfId="0" applyNumberFormat="1" applyFont="1" applyBorder="1"/>
    <xf numFmtId="10" fontId="26" fillId="0" borderId="0" xfId="0" applyNumberFormat="1" applyFont="1" applyAlignment="1">
      <alignment horizontal="center"/>
    </xf>
    <xf numFmtId="3" fontId="26" fillId="0" borderId="0" xfId="0" applyNumberFormat="1" applyFont="1" applyAlignment="1">
      <alignment vertical="top"/>
    </xf>
    <xf numFmtId="10" fontId="24" fillId="0" borderId="0" xfId="0" applyNumberFormat="1" applyFont="1" applyAlignment="1">
      <alignment horizontal="center"/>
    </xf>
    <xf numFmtId="0" fontId="64" fillId="0" borderId="6" xfId="0" applyFont="1" applyBorder="1" applyAlignment="1">
      <alignment horizontal="center"/>
    </xf>
    <xf numFmtId="172" fontId="26" fillId="0" borderId="0" xfId="0" applyNumberFormat="1" applyFont="1" applyAlignment="1">
      <alignment horizontal="center"/>
    </xf>
    <xf numFmtId="10" fontId="69" fillId="0" borderId="0" xfId="0" applyNumberFormat="1" applyFont="1" applyAlignment="1">
      <alignment horizontal="center"/>
    </xf>
    <xf numFmtId="0" fontId="26" fillId="9" borderId="6" xfId="0" applyFont="1" applyFill="1" applyBorder="1"/>
    <xf numFmtId="0" fontId="26" fillId="0" borderId="4" xfId="271" applyBorder="1"/>
    <xf numFmtId="0" fontId="26" fillId="0" borderId="6" xfId="271" applyBorder="1"/>
    <xf numFmtId="0" fontId="26" fillId="0" borderId="1" xfId="0" applyFont="1" applyBorder="1"/>
    <xf numFmtId="168" fontId="26" fillId="0" borderId="3" xfId="0" applyNumberFormat="1" applyFont="1" applyBorder="1" applyAlignment="1">
      <alignment vertical="top"/>
    </xf>
    <xf numFmtId="168" fontId="26" fillId="0" borderId="4" xfId="0" applyNumberFormat="1" applyFont="1" applyBorder="1" applyAlignment="1">
      <alignment vertical="top"/>
    </xf>
    <xf numFmtId="168" fontId="26" fillId="0" borderId="5" xfId="0" applyNumberFormat="1" applyFont="1" applyBorder="1" applyAlignment="1">
      <alignment vertical="top"/>
    </xf>
    <xf numFmtId="168" fontId="26" fillId="0" borderId="8" xfId="0" applyNumberFormat="1" applyFont="1" applyBorder="1" applyAlignment="1">
      <alignment vertical="top"/>
    </xf>
    <xf numFmtId="168" fontId="26" fillId="0" borderId="0" xfId="0" applyNumberFormat="1" applyFont="1" applyAlignment="1">
      <alignment vertical="top"/>
    </xf>
    <xf numFmtId="0" fontId="26" fillId="0" borderId="0" xfId="0" applyFont="1" applyAlignment="1">
      <alignment horizontal="right" vertical="top"/>
    </xf>
    <xf numFmtId="0" fontId="26"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6" fillId="5" borderId="4" xfId="0" applyFont="1" applyFill="1" applyBorder="1" applyAlignment="1" applyProtection="1">
      <alignment horizontal="left" vertical="top"/>
      <protection locked="0"/>
    </xf>
    <xf numFmtId="0" fontId="26" fillId="5" borderId="5" xfId="0" applyFont="1" applyFill="1" applyBorder="1" applyAlignment="1" applyProtection="1">
      <alignment horizontal="left" vertical="top"/>
      <protection locked="0"/>
    </xf>
    <xf numFmtId="4" fontId="51" fillId="0" borderId="0" xfId="0" applyNumberFormat="1" applyFont="1" applyAlignment="1">
      <alignment horizontal="center"/>
    </xf>
    <xf numFmtId="0" fontId="36" fillId="0" borderId="1" xfId="543" applyFont="1" applyBorder="1" applyAlignment="1">
      <alignment horizontal="left" vertical="top" wrapText="1"/>
    </xf>
    <xf numFmtId="0" fontId="36" fillId="0" borderId="12" xfId="543" applyFont="1" applyBorder="1" applyAlignment="1">
      <alignment horizontal="center" vertical="top" wrapText="1"/>
    </xf>
    <xf numFmtId="0" fontId="36" fillId="0" borderId="8" xfId="543" applyFont="1" applyBorder="1" applyAlignment="1">
      <alignment horizontal="left" vertical="top" wrapText="1"/>
    </xf>
    <xf numFmtId="0" fontId="31" fillId="3" borderId="4" xfId="271" applyFont="1" applyFill="1" applyBorder="1" applyAlignment="1">
      <alignment vertical="top" wrapText="1"/>
    </xf>
    <xf numFmtId="0" fontId="23" fillId="3" borderId="11" xfId="271" applyFont="1" applyFill="1" applyBorder="1" applyAlignment="1">
      <alignment vertical="top"/>
    </xf>
    <xf numFmtId="0" fontId="24" fillId="0" borderId="9" xfId="271" applyFont="1" applyBorder="1" applyAlignment="1">
      <alignment horizontal="center" wrapText="1"/>
    </xf>
    <xf numFmtId="0" fontId="31" fillId="3" borderId="4" xfId="271" applyFont="1" applyFill="1" applyBorder="1" applyAlignment="1" applyProtection="1">
      <alignment vertical="top" wrapText="1"/>
      <protection locked="0"/>
    </xf>
    <xf numFmtId="0" fontId="31" fillId="3" borderId="5" xfId="271" applyFont="1" applyFill="1" applyBorder="1" applyAlignment="1" applyProtection="1">
      <alignment vertical="top" wrapText="1"/>
      <protection locked="0"/>
    </xf>
    <xf numFmtId="0" fontId="24" fillId="0" borderId="13" xfId="271" applyFont="1" applyBorder="1" applyAlignment="1">
      <alignment horizontal="center" wrapText="1"/>
    </xf>
    <xf numFmtId="0" fontId="49" fillId="2" borderId="11" xfId="271" applyFont="1" applyFill="1" applyBorder="1" applyAlignment="1">
      <alignment horizontal="left" vertical="top" wrapText="1"/>
    </xf>
    <xf numFmtId="0" fontId="26" fillId="0" borderId="11" xfId="271" applyBorder="1" applyAlignment="1" applyProtection="1">
      <alignment vertical="top" wrapText="1"/>
      <protection locked="0"/>
    </xf>
    <xf numFmtId="168" fontId="26" fillId="5" borderId="11" xfId="271" applyNumberFormat="1" applyFill="1" applyBorder="1" applyAlignment="1" applyProtection="1">
      <alignment vertical="top" wrapText="1"/>
      <protection locked="0"/>
    </xf>
    <xf numFmtId="0" fontId="26" fillId="5" borderId="3" xfId="271" applyFill="1" applyBorder="1" applyAlignment="1" applyProtection="1">
      <alignment vertical="top" wrapText="1"/>
      <protection locked="0"/>
    </xf>
    <xf numFmtId="0" fontId="26" fillId="5" borderId="11" xfId="271" applyFill="1" applyBorder="1" applyAlignment="1" applyProtection="1">
      <alignment vertical="top" wrapText="1"/>
      <protection locked="0"/>
    </xf>
    <xf numFmtId="0" fontId="26" fillId="0" borderId="11" xfId="271" applyBorder="1" applyAlignment="1">
      <alignment horizontal="right" vertical="top" wrapText="1"/>
    </xf>
    <xf numFmtId="168" fontId="26" fillId="0" borderId="11" xfId="271" applyNumberFormat="1" applyBorder="1" applyAlignment="1">
      <alignment vertical="top" wrapText="1"/>
    </xf>
    <xf numFmtId="0" fontId="24" fillId="0" borderId="11" xfId="271" applyFont="1" applyBorder="1" applyAlignment="1">
      <alignment horizontal="right" vertical="top" wrapText="1"/>
    </xf>
    <xf numFmtId="0" fontId="26" fillId="5" borderId="11" xfId="271" applyFill="1" applyBorder="1" applyAlignment="1" applyProtection="1">
      <alignment horizontal="right" vertical="top" wrapText="1"/>
      <protection locked="0"/>
    </xf>
    <xf numFmtId="168" fontId="24" fillId="0" borderId="11" xfId="271" applyNumberFormat="1" applyFont="1" applyBorder="1" applyAlignment="1">
      <alignment vertical="top" wrapText="1"/>
    </xf>
    <xf numFmtId="0" fontId="34" fillId="0" borderId="11" xfId="271" applyFont="1" applyBorder="1" applyAlignment="1">
      <alignment horizontal="right" vertical="top" wrapText="1"/>
    </xf>
    <xf numFmtId="0" fontId="31" fillId="0" borderId="0" xfId="271" applyFont="1" applyAlignment="1" applyProtection="1">
      <alignment vertical="top" wrapText="1"/>
      <protection locked="0"/>
    </xf>
    <xf numFmtId="0" fontId="26" fillId="0" borderId="5" xfId="271" applyBorder="1" applyAlignment="1" applyProtection="1">
      <alignment vertical="top" wrapText="1"/>
      <protection locked="0"/>
    </xf>
    <xf numFmtId="0" fontId="24" fillId="0" borderId="3" xfId="271" applyFont="1" applyBorder="1" applyAlignment="1">
      <alignment horizontal="left" vertical="top"/>
    </xf>
    <xf numFmtId="0" fontId="26" fillId="0" borderId="4" xfId="271" applyBorder="1" applyAlignment="1" applyProtection="1">
      <alignment horizontal="left" vertical="top"/>
      <protection locked="0"/>
    </xf>
    <xf numFmtId="0" fontId="26" fillId="0" borderId="4" xfId="271" applyBorder="1" applyAlignment="1" applyProtection="1">
      <alignment vertical="top" wrapText="1"/>
      <protection locked="0"/>
    </xf>
    <xf numFmtId="0" fontId="31" fillId="0" borderId="0" xfId="271" applyFont="1" applyAlignment="1">
      <alignment vertical="top" wrapText="1"/>
    </xf>
    <xf numFmtId="0" fontId="26" fillId="0" borderId="4" xfId="271" applyBorder="1" applyAlignment="1">
      <alignment vertical="top" wrapText="1"/>
    </xf>
    <xf numFmtId="0" fontId="49" fillId="2" borderId="11" xfId="271" applyFont="1" applyFill="1" applyBorder="1" applyAlignment="1" applyProtection="1">
      <alignment horizontal="left" vertical="top" wrapText="1"/>
      <protection locked="0"/>
    </xf>
    <xf numFmtId="0" fontId="53" fillId="0" borderId="11" xfId="0" applyFont="1" applyBorder="1" applyAlignment="1">
      <alignment horizontal="right" vertical="top" wrapText="1"/>
    </xf>
    <xf numFmtId="0" fontId="26" fillId="8" borderId="0" xfId="542" quotePrefix="1" applyFont="1" applyFill="1" applyAlignment="1">
      <alignment horizontal="left"/>
    </xf>
    <xf numFmtId="0" fontId="26" fillId="8" borderId="0" xfId="542" applyFont="1" applyFill="1"/>
    <xf numFmtId="0" fontId="34" fillId="8" borderId="0" xfId="542" applyFont="1" applyFill="1"/>
    <xf numFmtId="0" fontId="53" fillId="0" borderId="11" xfId="271" applyFont="1" applyBorder="1" applyAlignment="1">
      <alignment horizontal="right" vertical="top"/>
    </xf>
    <xf numFmtId="0" fontId="53" fillId="0" borderId="11" xfId="271" applyFont="1" applyBorder="1" applyAlignment="1">
      <alignment horizontal="right" vertical="top" wrapText="1"/>
    </xf>
    <xf numFmtId="0" fontId="26" fillId="0" borderId="0" xfId="271" applyAlignment="1">
      <alignment horizontal="left" vertical="top"/>
    </xf>
    <xf numFmtId="0" fontId="24" fillId="0" borderId="0" xfId="271" applyFont="1" applyAlignment="1">
      <alignment horizontal="right"/>
    </xf>
    <xf numFmtId="0" fontId="25" fillId="0" borderId="0" xfId="271" applyFont="1" applyAlignment="1">
      <alignment horizontal="center"/>
    </xf>
    <xf numFmtId="5" fontId="26" fillId="0" borderId="0" xfId="542" applyNumberFormat="1" applyFont="1"/>
    <xf numFmtId="1" fontId="26" fillId="0" borderId="15" xfId="271" applyNumberFormat="1" applyBorder="1"/>
    <xf numFmtId="1" fontId="26" fillId="0" borderId="14" xfId="271" applyNumberFormat="1" applyBorder="1"/>
    <xf numFmtId="0" fontId="25" fillId="0" borderId="6" xfId="271" applyFont="1" applyBorder="1" applyAlignment="1">
      <alignment horizontal="left"/>
    </xf>
    <xf numFmtId="0" fontId="25" fillId="0" borderId="6" xfId="271" applyFont="1" applyBorder="1" applyAlignment="1">
      <alignment horizontal="right"/>
    </xf>
    <xf numFmtId="165" fontId="26" fillId="0" borderId="0" xfId="271" applyNumberFormat="1"/>
    <xf numFmtId="170" fontId="26" fillId="0" borderId="14" xfId="271" applyNumberFormat="1" applyBorder="1"/>
    <xf numFmtId="1" fontId="24" fillId="0" borderId="11" xfId="271" applyNumberFormat="1" applyFont="1" applyBorder="1"/>
    <xf numFmtId="165" fontId="24" fillId="0" borderId="11" xfId="271" applyNumberFormat="1" applyFont="1" applyBorder="1"/>
    <xf numFmtId="3" fontId="56" fillId="0" borderId="11" xfId="0" applyNumberFormat="1" applyFont="1" applyBorder="1" applyAlignment="1">
      <alignment vertical="top" wrapText="1"/>
    </xf>
    <xf numFmtId="166" fontId="26" fillId="0" borderId="0" xfId="0" applyNumberFormat="1" applyFont="1"/>
    <xf numFmtId="0" fontId="0" fillId="0" borderId="0" xfId="0" applyProtection="1">
      <protection locked="0"/>
    </xf>
    <xf numFmtId="0" fontId="22" fillId="0" borderId="0" xfId="0" applyFont="1" applyProtection="1">
      <protection locked="0"/>
    </xf>
    <xf numFmtId="0" fontId="22" fillId="0" borderId="0" xfId="271" applyFont="1" applyProtection="1">
      <protection locked="0"/>
    </xf>
    <xf numFmtId="168" fontId="22" fillId="0" borderId="0" xfId="271" applyNumberFormat="1" applyFont="1" applyProtection="1">
      <protection locked="0"/>
    </xf>
    <xf numFmtId="0" fontId="30" fillId="0" borderId="1" xfId="0" applyFont="1" applyBorder="1"/>
    <xf numFmtId="0" fontId="17" fillId="0" borderId="2" xfId="0" applyFont="1" applyBorder="1" applyAlignment="1">
      <alignment horizontal="left"/>
    </xf>
    <xf numFmtId="0" fontId="17" fillId="0" borderId="2" xfId="0" applyFont="1" applyBorder="1"/>
    <xf numFmtId="0" fontId="30" fillId="0" borderId="8" xfId="0" applyFont="1" applyBorder="1"/>
    <xf numFmtId="0" fontId="30" fillId="0" borderId="9" xfId="0" applyFont="1" applyBorder="1"/>
    <xf numFmtId="0" fontId="24" fillId="0" borderId="0" xfId="0" applyFont="1" applyAlignment="1">
      <alignment horizontal="left" vertical="top"/>
    </xf>
    <xf numFmtId="0" fontId="74" fillId="0" borderId="0" xfId="0" applyFont="1" applyAlignment="1">
      <alignment vertical="center" wrapText="1"/>
    </xf>
    <xf numFmtId="0" fontId="74" fillId="0" borderId="0" xfId="0" applyFont="1" applyAlignment="1">
      <alignment vertical="center"/>
    </xf>
    <xf numFmtId="0" fontId="74" fillId="0" borderId="0" xfId="0" applyFont="1" applyAlignment="1">
      <alignment horizontal="left" vertical="center" indent="1"/>
    </xf>
    <xf numFmtId="172" fontId="26" fillId="5" borderId="0" xfId="0" applyNumberFormat="1" applyFont="1" applyFill="1" applyAlignment="1">
      <alignment horizontal="center"/>
    </xf>
    <xf numFmtId="0" fontId="75" fillId="0" borderId="0" xfId="0" applyFont="1" applyAlignment="1">
      <alignment horizontal="left" vertical="center"/>
    </xf>
    <xf numFmtId="0" fontId="36" fillId="0" borderId="2" xfId="543" applyFont="1" applyBorder="1" applyAlignment="1">
      <alignment horizontal="center" vertical="top" wrapText="1"/>
    </xf>
    <xf numFmtId="49" fontId="47" fillId="0" borderId="0" xfId="0" applyNumberFormat="1" applyFont="1" applyAlignment="1">
      <alignment horizontal="center"/>
    </xf>
    <xf numFmtId="0" fontId="53" fillId="0" borderId="0" xfId="0" applyFont="1"/>
    <xf numFmtId="5" fontId="79" fillId="0" borderId="11" xfId="541" applyNumberFormat="1" applyFont="1" applyBorder="1" applyAlignment="1" applyProtection="1">
      <alignment horizontal="center"/>
    </xf>
    <xf numFmtId="5" fontId="79" fillId="42" borderId="11" xfId="541" applyNumberFormat="1" applyFont="1" applyFill="1" applyBorder="1" applyAlignment="1" applyProtection="1">
      <alignment horizontal="center"/>
    </xf>
    <xf numFmtId="5" fontId="79" fillId="2" borderId="11" xfId="541" applyNumberFormat="1" applyFont="1" applyFill="1" applyBorder="1" applyAlignment="1" applyProtection="1">
      <alignment horizontal="center"/>
    </xf>
    <xf numFmtId="0" fontId="53" fillId="0" borderId="0" xfId="0" applyFont="1" applyAlignment="1">
      <alignment vertical="top" wrapText="1"/>
    </xf>
    <xf numFmtId="0" fontId="53" fillId="0" borderId="0" xfId="0" applyFont="1" applyAlignment="1">
      <alignment vertical="top"/>
    </xf>
    <xf numFmtId="0" fontId="53" fillId="2" borderId="0" xfId="0" applyFont="1" applyFill="1" applyAlignment="1">
      <alignment vertical="top" wrapText="1"/>
    </xf>
    <xf numFmtId="0" fontId="81" fillId="0" borderId="13" xfId="0" applyFont="1" applyBorder="1" applyAlignment="1">
      <alignment vertical="top" wrapText="1"/>
    </xf>
    <xf numFmtId="0" fontId="31" fillId="0" borderId="0" xfId="0" applyFont="1" applyAlignment="1">
      <alignment vertical="top" wrapText="1"/>
    </xf>
    <xf numFmtId="0" fontId="81" fillId="2" borderId="13" xfId="0" applyFont="1" applyFill="1" applyBorder="1" applyAlignment="1">
      <alignment vertical="top" wrapText="1"/>
    </xf>
    <xf numFmtId="0" fontId="81" fillId="0" borderId="0" xfId="0" applyFont="1" applyAlignment="1">
      <alignment vertical="top" wrapText="1"/>
    </xf>
    <xf numFmtId="0" fontId="81" fillId="2" borderId="0" xfId="0" applyFont="1" applyFill="1" applyAlignment="1">
      <alignment vertical="top" wrapText="1"/>
    </xf>
    <xf numFmtId="0" fontId="53" fillId="0" borderId="0" xfId="0" applyFont="1" applyAlignment="1">
      <alignment horizontal="right" vertical="top" wrapText="1"/>
    </xf>
    <xf numFmtId="168" fontId="53" fillId="5" borderId="6" xfId="0" applyNumberFormat="1" applyFont="1" applyFill="1" applyBorder="1" applyAlignment="1" applyProtection="1">
      <alignment horizontal="right" vertical="top" wrapText="1"/>
      <protection locked="0"/>
    </xf>
    <xf numFmtId="168" fontId="53" fillId="0" borderId="6" xfId="0" applyNumberFormat="1" applyFont="1" applyBorder="1" applyAlignment="1">
      <alignment horizontal="right" vertical="top" wrapText="1"/>
    </xf>
    <xf numFmtId="0" fontId="24" fillId="0" borderId="0" xfId="0" applyFont="1" applyAlignment="1">
      <alignment horizontal="left" vertical="top" wrapText="1"/>
    </xf>
    <xf numFmtId="0" fontId="26" fillId="0" borderId="0" xfId="0" applyFont="1" applyAlignment="1">
      <alignment horizontal="right" vertical="top" wrapText="1"/>
    </xf>
    <xf numFmtId="10" fontId="26" fillId="5" borderId="6" xfId="0" applyNumberFormat="1" applyFont="1" applyFill="1" applyBorder="1" applyAlignment="1" applyProtection="1">
      <alignment horizontal="center" vertical="top" wrapText="1"/>
      <protection locked="0"/>
    </xf>
    <xf numFmtId="0" fontId="64" fillId="0" borderId="0" xfId="0" applyFont="1" applyAlignment="1">
      <alignment horizontal="left" vertical="center"/>
    </xf>
    <xf numFmtId="0" fontId="24" fillId="0" borderId="2" xfId="543" applyFont="1" applyBorder="1" applyAlignment="1">
      <alignment horizontal="center"/>
    </xf>
    <xf numFmtId="0" fontId="0" fillId="0" borderId="0" xfId="543" applyFont="1"/>
    <xf numFmtId="0" fontId="18" fillId="0" borderId="0" xfId="244" quotePrefix="1" applyAlignment="1" applyProtection="1">
      <alignment horizontal="left"/>
    </xf>
    <xf numFmtId="168" fontId="53"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105" fillId="0" borderId="0" xfId="0" applyFont="1" applyAlignment="1">
      <alignment horizontal="left" vertical="top"/>
    </xf>
    <xf numFmtId="0" fontId="106" fillId="0" borderId="0" xfId="0" applyFont="1" applyAlignment="1">
      <alignment horizontal="left" vertical="top"/>
    </xf>
    <xf numFmtId="0" fontId="74" fillId="0" borderId="0" xfId="0" applyFont="1"/>
    <xf numFmtId="0" fontId="24" fillId="8" borderId="11" xfId="542" applyFont="1" applyFill="1" applyBorder="1" applyAlignment="1">
      <alignment horizontal="left"/>
    </xf>
    <xf numFmtId="0" fontId="24" fillId="8" borderId="11" xfId="542" applyFont="1" applyFill="1" applyBorder="1" applyAlignment="1">
      <alignment horizontal="center"/>
    </xf>
    <xf numFmtId="0" fontId="63" fillId="8" borderId="11" xfId="542" applyFont="1" applyFill="1" applyBorder="1" applyAlignment="1">
      <alignment horizontal="left"/>
    </xf>
    <xf numFmtId="0" fontId="63" fillId="0" borderId="11" xfId="542" applyFont="1" applyBorder="1" applyAlignment="1">
      <alignment horizontal="left"/>
    </xf>
    <xf numFmtId="0" fontId="24" fillId="0" borderId="0" xfId="271" applyFont="1" applyAlignment="1" applyProtection="1">
      <alignment horizontal="center" wrapText="1"/>
      <protection locked="0"/>
    </xf>
    <xf numFmtId="0" fontId="26" fillId="0" borderId="0" xfId="271" applyAlignment="1" applyProtection="1">
      <alignment vertical="top" wrapText="1"/>
      <protection locked="0"/>
    </xf>
    <xf numFmtId="0" fontId="24" fillId="0" borderId="0" xfId="271" applyFont="1" applyAlignment="1" applyProtection="1">
      <alignment vertical="top" wrapText="1"/>
      <protection locked="0"/>
    </xf>
    <xf numFmtId="0" fontId="17" fillId="0" borderId="0" xfId="0" applyFont="1" applyAlignment="1">
      <alignment horizontal="center"/>
    </xf>
    <xf numFmtId="0" fontId="31" fillId="0" borderId="8" xfId="569" applyFont="1" applyBorder="1" applyAlignment="1">
      <alignment vertical="top" wrapText="1"/>
    </xf>
    <xf numFmtId="0" fontId="31" fillId="0" borderId="0" xfId="569" applyFont="1" applyAlignment="1">
      <alignment vertical="top" wrapText="1"/>
    </xf>
    <xf numFmtId="0" fontId="55" fillId="2" borderId="11" xfId="569" applyFont="1" applyFill="1" applyBorder="1" applyAlignment="1">
      <alignment horizontal="left" vertical="top" wrapText="1"/>
    </xf>
    <xf numFmtId="6" fontId="53" fillId="4" borderId="11" xfId="569" applyNumberFormat="1" applyFont="1" applyFill="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6" fontId="53" fillId="0" borderId="11" xfId="569" applyNumberFormat="1" applyFont="1" applyBorder="1" applyAlignment="1">
      <alignment vertical="top" wrapText="1"/>
    </xf>
    <xf numFmtId="6" fontId="53" fillId="5" borderId="11" xfId="569" applyNumberFormat="1" applyFont="1" applyFill="1" applyBorder="1" applyAlignment="1" applyProtection="1">
      <alignment vertical="top" wrapText="1"/>
      <protection locked="0"/>
    </xf>
    <xf numFmtId="6" fontId="53" fillId="6" borderId="11" xfId="569" applyNumberFormat="1" applyFont="1" applyFill="1" applyBorder="1" applyAlignment="1">
      <alignment horizontal="center" vertical="top" wrapText="1"/>
    </xf>
    <xf numFmtId="0" fontId="53" fillId="0" borderId="11" xfId="569" applyFont="1" applyBorder="1" applyAlignment="1">
      <alignment horizontal="right" vertical="top" wrapText="1"/>
    </xf>
    <xf numFmtId="0" fontId="54" fillId="0" borderId="11" xfId="569" applyFont="1" applyBorder="1" applyAlignment="1">
      <alignment horizontal="right" vertical="top" wrapText="1"/>
    </xf>
    <xf numFmtId="0" fontId="53" fillId="0" borderId="11" xfId="569" applyFont="1" applyBorder="1" applyAlignment="1">
      <alignment horizontal="right" vertical="top"/>
    </xf>
    <xf numFmtId="6" fontId="54" fillId="0" borderId="11" xfId="569" applyNumberFormat="1" applyFont="1" applyBorder="1" applyAlignment="1">
      <alignment vertical="top" wrapText="1"/>
    </xf>
    <xf numFmtId="0" fontId="54" fillId="0" borderId="8" xfId="569" applyFont="1" applyBorder="1" applyAlignment="1">
      <alignment vertical="top" wrapText="1"/>
    </xf>
    <xf numFmtId="0" fontId="54" fillId="0" borderId="0" xfId="569" applyFont="1" applyAlignment="1">
      <alignment vertical="top" wrapText="1"/>
    </xf>
    <xf numFmtId="0" fontId="20" fillId="0" borderId="11" xfId="569" applyFont="1" applyBorder="1" applyAlignment="1">
      <alignment horizontal="right" vertical="top" wrapText="1"/>
    </xf>
    <xf numFmtId="0" fontId="54" fillId="0" borderId="0" xfId="569" applyFont="1" applyAlignment="1">
      <alignment horizontal="left" vertical="top"/>
    </xf>
    <xf numFmtId="6" fontId="53" fillId="0" borderId="0" xfId="569" applyNumberFormat="1" applyFont="1" applyAlignment="1">
      <alignment horizontal="left" vertical="top"/>
    </xf>
    <xf numFmtId="0" fontId="106" fillId="0" borderId="0" xfId="569" applyFont="1" applyAlignment="1">
      <alignment horizontal="left" vertical="top"/>
    </xf>
    <xf numFmtId="6" fontId="53" fillId="0" borderId="0" xfId="569" applyNumberFormat="1" applyFont="1" applyAlignment="1">
      <alignment vertical="top" wrapText="1"/>
    </xf>
    <xf numFmtId="0" fontId="53" fillId="0" borderId="0" xfId="569" applyFont="1" applyAlignment="1">
      <alignment horizontal="left" vertical="top"/>
    </xf>
    <xf numFmtId="0" fontId="53" fillId="0" borderId="12" xfId="569" applyFont="1" applyBorder="1" applyAlignment="1">
      <alignment vertical="top" wrapText="1"/>
    </xf>
    <xf numFmtId="0" fontId="24" fillId="0" borderId="0" xfId="569" applyFont="1" applyAlignment="1">
      <alignment horizontal="left" vertical="top"/>
    </xf>
    <xf numFmtId="0" fontId="109" fillId="0" borderId="0" xfId="569" applyFont="1" applyAlignment="1">
      <alignment horizontal="left" vertical="top"/>
    </xf>
    <xf numFmtId="0" fontId="64" fillId="0" borderId="0" xfId="569" applyFont="1" applyAlignment="1">
      <alignment horizontal="left" vertical="center"/>
    </xf>
    <xf numFmtId="0" fontId="32" fillId="0" borderId="0" xfId="569" applyFont="1" applyAlignment="1">
      <alignment vertical="top" wrapText="1"/>
    </xf>
    <xf numFmtId="0" fontId="32" fillId="0" borderId="12" xfId="569" applyFont="1" applyBorder="1" applyAlignment="1">
      <alignment vertical="top" wrapText="1"/>
    </xf>
    <xf numFmtId="0" fontId="32" fillId="0" borderId="8" xfId="569" applyFont="1" applyBorder="1" applyAlignment="1">
      <alignment vertical="top" wrapText="1"/>
    </xf>
    <xf numFmtId="0" fontId="53" fillId="0" borderId="0" xfId="569" applyFont="1" applyAlignment="1">
      <alignment vertical="top"/>
    </xf>
    <xf numFmtId="168" fontId="53" fillId="0" borderId="0" xfId="569" applyNumberFormat="1" applyFont="1" applyAlignment="1" applyProtection="1">
      <alignment horizontal="right" vertical="top" wrapText="1"/>
      <protection locked="0"/>
    </xf>
    <xf numFmtId="0" fontId="17" fillId="0" borderId="0" xfId="569" applyAlignment="1">
      <alignment vertical="top" wrapText="1"/>
    </xf>
    <xf numFmtId="0" fontId="17" fillId="0" borderId="0" xfId="569" applyAlignment="1">
      <alignment vertical="top"/>
    </xf>
    <xf numFmtId="0" fontId="53" fillId="0" borderId="0" xfId="569" applyFont="1" applyAlignment="1">
      <alignment horizontal="right" vertical="top" wrapText="1"/>
    </xf>
    <xf numFmtId="0" fontId="24" fillId="0" borderId="0" xfId="569" applyFont="1" applyAlignment="1">
      <alignment horizontal="left" vertical="top" wrapText="1"/>
    </xf>
    <xf numFmtId="168" fontId="53" fillId="0" borderId="0" xfId="569" applyNumberFormat="1" applyFont="1" applyAlignment="1">
      <alignment horizontal="right" vertical="top" wrapText="1"/>
    </xf>
    <xf numFmtId="0" fontId="17" fillId="0" borderId="0" xfId="569" applyAlignment="1" applyProtection="1">
      <alignment horizontal="left" vertical="top" wrapText="1"/>
      <protection locked="0"/>
    </xf>
    <xf numFmtId="0" fontId="17" fillId="0" borderId="0" xfId="569" applyAlignment="1">
      <alignment horizontal="right" vertical="top" wrapText="1"/>
    </xf>
    <xf numFmtId="0" fontId="17" fillId="0" borderId="0" xfId="569" applyAlignment="1">
      <alignment horizontal="left" vertical="top"/>
    </xf>
    <xf numFmtId="0" fontId="81" fillId="0" borderId="0" xfId="569" applyFont="1" applyAlignment="1">
      <alignment vertical="top" wrapText="1"/>
    </xf>
    <xf numFmtId="0" fontId="81" fillId="0" borderId="12" xfId="569" applyFont="1" applyBorder="1" applyAlignment="1">
      <alignment vertical="top" wrapText="1"/>
    </xf>
    <xf numFmtId="0" fontId="81" fillId="0" borderId="8" xfId="569" applyFont="1" applyBorder="1" applyAlignment="1">
      <alignment vertical="top" wrapText="1"/>
    </xf>
    <xf numFmtId="0" fontId="31" fillId="0" borderId="0" xfId="569" applyFont="1" applyAlignment="1">
      <alignment horizontal="right" vertical="top" wrapText="1"/>
    </xf>
    <xf numFmtId="0" fontId="81" fillId="0" borderId="0" xfId="569" applyFont="1" applyAlignment="1">
      <alignment horizontal="right" vertical="top" wrapText="1"/>
    </xf>
    <xf numFmtId="0" fontId="54" fillId="0" borderId="3" xfId="569" applyFont="1" applyBorder="1" applyAlignment="1">
      <alignment horizontal="left"/>
    </xf>
    <xf numFmtId="0" fontId="54" fillId="0" borderId="13" xfId="569" applyFont="1" applyBorder="1" applyAlignment="1">
      <alignment horizontal="center" wrapText="1"/>
    </xf>
    <xf numFmtId="0" fontId="54" fillId="0" borderId="8" xfId="569" applyFont="1" applyBorder="1" applyAlignment="1">
      <alignment horizontal="center" wrapText="1"/>
    </xf>
    <xf numFmtId="0" fontId="54" fillId="0" borderId="0" xfId="569" applyFont="1" applyAlignment="1">
      <alignment horizontal="center" wrapText="1"/>
    </xf>
    <xf numFmtId="0" fontId="17" fillId="0" borderId="0" xfId="569"/>
    <xf numFmtId="0" fontId="23" fillId="0" borderId="0" xfId="569" applyFont="1" applyAlignment="1">
      <alignment horizontal="center" vertical="center"/>
    </xf>
    <xf numFmtId="0" fontId="24" fillId="0" borderId="0" xfId="569" applyFont="1"/>
    <xf numFmtId="0" fontId="17" fillId="0" borderId="1" xfId="569" applyBorder="1"/>
    <xf numFmtId="0" fontId="17" fillId="0" borderId="2" xfId="569" applyBorder="1"/>
    <xf numFmtId="0" fontId="17" fillId="0" borderId="8" xfId="569" applyBorder="1"/>
    <xf numFmtId="0" fontId="17" fillId="0" borderId="9" xfId="569" applyBorder="1"/>
    <xf numFmtId="0" fontId="17" fillId="0" borderId="6" xfId="569" applyBorder="1"/>
    <xf numFmtId="0" fontId="25" fillId="0" borderId="0" xfId="569" applyFont="1"/>
    <xf numFmtId="0" fontId="17" fillId="0" borderId="7" xfId="569" applyBorder="1"/>
    <xf numFmtId="0" fontId="17" fillId="0" borderId="12" xfId="569" applyBorder="1"/>
    <xf numFmtId="0" fontId="17" fillId="0" borderId="10" xfId="569" applyBorder="1"/>
    <xf numFmtId="0" fontId="25" fillId="0" borderId="0" xfId="569" applyFont="1" applyAlignment="1">
      <alignment vertical="top" wrapText="1"/>
    </xf>
    <xf numFmtId="0" fontId="17" fillId="0" borderId="0" xfId="569" applyAlignment="1">
      <alignment horizontal="right"/>
    </xf>
    <xf numFmtId="0" fontId="17" fillId="0" borderId="0" xfId="569" applyAlignment="1">
      <alignment wrapText="1"/>
    </xf>
    <xf numFmtId="0" fontId="17" fillId="0" borderId="0" xfId="569" applyAlignment="1">
      <alignment vertical="center"/>
    </xf>
    <xf numFmtId="0" fontId="41" fillId="0" borderId="0" xfId="569" applyFont="1" applyAlignment="1">
      <alignment vertical="center" wrapText="1"/>
    </xf>
    <xf numFmtId="0" fontId="35" fillId="0" borderId="0" xfId="569" applyFont="1" applyAlignment="1">
      <alignment vertical="top" wrapText="1"/>
    </xf>
    <xf numFmtId="0" fontId="24" fillId="0" borderId="0" xfId="569" applyFont="1" applyAlignment="1">
      <alignment vertical="top" wrapText="1"/>
    </xf>
    <xf numFmtId="0" fontId="25" fillId="0" borderId="0" xfId="569" applyFont="1" applyAlignment="1">
      <alignment horizontal="left" vertical="top" wrapText="1"/>
    </xf>
    <xf numFmtId="164" fontId="17" fillId="0" borderId="0" xfId="569" applyNumberFormat="1" applyAlignment="1">
      <alignment horizontal="right"/>
    </xf>
    <xf numFmtId="168" fontId="17" fillId="0" borderId="0" xfId="569" applyNumberFormat="1" applyAlignment="1">
      <alignment horizontal="right"/>
    </xf>
    <xf numFmtId="0" fontId="107" fillId="0" borderId="0" xfId="569" applyFont="1" applyAlignment="1">
      <alignment horizontal="left" vertical="top" wrapText="1"/>
    </xf>
    <xf numFmtId="168" fontId="17" fillId="0" borderId="0" xfId="569" applyNumberFormat="1" applyAlignment="1">
      <alignment wrapText="1"/>
    </xf>
    <xf numFmtId="0" fontId="22" fillId="0" borderId="11" xfId="253" applyFont="1" applyBorder="1" applyAlignment="1">
      <alignment horizontal="center" wrapText="1"/>
    </xf>
    <xf numFmtId="0" fontId="22" fillId="0" borderId="0" xfId="253" applyFont="1" applyAlignment="1">
      <alignment horizontal="center" wrapText="1"/>
    </xf>
    <xf numFmtId="3" fontId="22" fillId="0" borderId="11" xfId="271" applyNumberFormat="1" applyFont="1" applyBorder="1"/>
    <xf numFmtId="3" fontId="22" fillId="0" borderId="0" xfId="271" applyNumberFormat="1" applyFont="1"/>
    <xf numFmtId="0" fontId="65" fillId="0" borderId="0" xfId="271" applyFont="1" applyAlignment="1">
      <alignment horizontal="left"/>
    </xf>
    <xf numFmtId="0" fontId="65" fillId="0" borderId="0" xfId="271" applyFont="1" applyAlignment="1">
      <alignment horizontal="right"/>
    </xf>
    <xf numFmtId="168" fontId="22" fillId="0" borderId="11" xfId="271" applyNumberFormat="1" applyFont="1" applyBorder="1"/>
    <xf numFmtId="168" fontId="22" fillId="0" borderId="0" xfId="271" applyNumberFormat="1" applyFont="1"/>
    <xf numFmtId="0" fontId="53" fillId="0" borderId="0" xfId="569" applyFont="1" applyAlignment="1">
      <alignment horizontal="left"/>
    </xf>
    <xf numFmtId="0" fontId="17" fillId="0" borderId="3" xfId="569" applyBorder="1"/>
    <xf numFmtId="0" fontId="108" fillId="0" borderId="0" xfId="1834"/>
    <xf numFmtId="0" fontId="0" fillId="0" borderId="0" xfId="0" applyAlignment="1">
      <alignment horizontal="left" vertical="top"/>
    </xf>
    <xf numFmtId="0" fontId="107" fillId="0" borderId="0" xfId="0" applyFont="1" applyAlignment="1">
      <alignment vertical="top" wrapText="1"/>
    </xf>
    <xf numFmtId="0" fontId="53" fillId="0" borderId="0" xfId="271" applyFont="1" applyAlignment="1">
      <alignment vertical="top" wrapText="1"/>
    </xf>
    <xf numFmtId="4" fontId="17" fillId="0" borderId="0" xfId="1192" applyNumberFormat="1" applyAlignment="1">
      <alignment horizontal="left" vertical="top" wrapText="1"/>
    </xf>
    <xf numFmtId="0" fontId="17" fillId="0" borderId="0" xfId="0" applyFont="1" applyAlignment="1">
      <alignment horizontal="left" vertical="top" wrapText="1"/>
    </xf>
    <xf numFmtId="0" fontId="24" fillId="0" borderId="12" xfId="543" applyFont="1" applyBorder="1" applyAlignment="1">
      <alignment horizontal="right"/>
    </xf>
    <xf numFmtId="0" fontId="36" fillId="0" borderId="0" xfId="543" applyFont="1" applyAlignment="1">
      <alignment horizontal="center"/>
    </xf>
    <xf numFmtId="4" fontId="17" fillId="0" borderId="0" xfId="569" applyNumberFormat="1" applyAlignment="1">
      <alignment horizontal="left"/>
    </xf>
    <xf numFmtId="0" fontId="17" fillId="0" borderId="0" xfId="569" applyAlignment="1">
      <alignment horizontal="left" vertical="top" wrapText="1"/>
    </xf>
    <xf numFmtId="0" fontId="17" fillId="0" borderId="0" xfId="569" applyAlignment="1">
      <alignment horizontal="left"/>
    </xf>
    <xf numFmtId="0" fontId="17" fillId="0" borderId="0" xfId="1192" applyAlignment="1">
      <alignment horizontal="left"/>
    </xf>
    <xf numFmtId="0" fontId="24" fillId="0" borderId="0" xfId="569" applyFont="1" applyAlignment="1">
      <alignment horizontal="left"/>
    </xf>
    <xf numFmtId="0" fontId="46" fillId="0" borderId="0" xfId="1192" applyFont="1"/>
    <xf numFmtId="0" fontId="53" fillId="0" borderId="11" xfId="0" applyFont="1" applyBorder="1" applyAlignment="1">
      <alignment horizontal="right" vertical="center"/>
    </xf>
    <xf numFmtId="0" fontId="17" fillId="0" borderId="0" xfId="1192" applyAlignment="1">
      <alignment horizontal="left" vertical="top" wrapText="1"/>
    </xf>
    <xf numFmtId="0" fontId="46" fillId="0" borderId="0" xfId="0" applyFont="1" applyAlignment="1">
      <alignment vertical="top" wrapText="1"/>
    </xf>
    <xf numFmtId="0" fontId="46" fillId="0" borderId="0" xfId="0" applyFont="1" applyAlignment="1">
      <alignment horizontal="left" vertical="top" wrapText="1"/>
    </xf>
    <xf numFmtId="6" fontId="54" fillId="0" borderId="0" xfId="569" applyNumberFormat="1" applyFont="1" applyAlignment="1">
      <alignment horizontal="right" vertical="top"/>
    </xf>
    <xf numFmtId="0" fontId="17" fillId="0" borderId="0" xfId="0" applyFont="1" applyAlignment="1">
      <alignment vertical="top" wrapText="1"/>
    </xf>
    <xf numFmtId="168" fontId="26" fillId="0" borderId="0" xfId="0" applyNumberFormat="1" applyFont="1" applyAlignment="1">
      <alignment horizontal="right"/>
    </xf>
    <xf numFmtId="168" fontId="26" fillId="0" borderId="28" xfId="540" applyNumberFormat="1" applyBorder="1" applyAlignment="1" applyProtection="1">
      <alignment horizontal="center"/>
    </xf>
    <xf numFmtId="168" fontId="26" fillId="0" borderId="29" xfId="540" applyNumberFormat="1" applyBorder="1" applyAlignment="1" applyProtection="1">
      <alignment horizontal="center"/>
    </xf>
    <xf numFmtId="168" fontId="26" fillId="0" borderId="30" xfId="540" applyNumberFormat="1" applyBorder="1" applyAlignment="1" applyProtection="1">
      <alignment horizontal="center"/>
    </xf>
    <xf numFmtId="168" fontId="26" fillId="0" borderId="31" xfId="540" applyNumberFormat="1" applyBorder="1" applyAlignment="1" applyProtection="1">
      <alignment horizontal="center"/>
    </xf>
    <xf numFmtId="168" fontId="26" fillId="0" borderId="32" xfId="540" applyNumberFormat="1" applyBorder="1" applyAlignment="1" applyProtection="1">
      <alignment horizontal="center"/>
    </xf>
    <xf numFmtId="168" fontId="26" fillId="0" borderId="33" xfId="540" applyNumberFormat="1" applyBorder="1" applyAlignment="1" applyProtection="1">
      <alignment horizontal="center"/>
    </xf>
    <xf numFmtId="168" fontId="26" fillId="0" borderId="34" xfId="540" applyNumberFormat="1" applyBorder="1" applyAlignment="1" applyProtection="1">
      <alignment horizontal="center"/>
    </xf>
    <xf numFmtId="168" fontId="26" fillId="0" borderId="35" xfId="540" applyNumberFormat="1" applyBorder="1" applyAlignment="1" applyProtection="1">
      <alignment horizontal="center"/>
    </xf>
    <xf numFmtId="168" fontId="26" fillId="0" borderId="36" xfId="540" applyNumberFormat="1" applyBorder="1" applyAlignment="1" applyProtection="1">
      <alignment horizontal="center"/>
    </xf>
    <xf numFmtId="168" fontId="26" fillId="0" borderId="37" xfId="540" applyNumberFormat="1" applyBorder="1" applyAlignment="1" applyProtection="1">
      <alignment horizontal="center"/>
    </xf>
    <xf numFmtId="168" fontId="26" fillId="0" borderId="38" xfId="540" applyNumberFormat="1" applyBorder="1" applyAlignment="1" applyProtection="1">
      <alignment horizontal="center"/>
    </xf>
    <xf numFmtId="168" fontId="26" fillId="0" borderId="39" xfId="540" applyNumberFormat="1" applyBorder="1" applyAlignment="1" applyProtection="1">
      <alignment horizontal="center"/>
    </xf>
    <xf numFmtId="168" fontId="26" fillId="0" borderId="40" xfId="540" applyNumberFormat="1" applyBorder="1" applyAlignment="1" applyProtection="1">
      <alignment horizontal="center"/>
    </xf>
    <xf numFmtId="168" fontId="26" fillId="0" borderId="0" xfId="540" applyNumberFormat="1" applyAlignment="1" applyProtection="1">
      <alignment horizontal="center"/>
    </xf>
    <xf numFmtId="168" fontId="26" fillId="0" borderId="14" xfId="540" applyNumberFormat="1" applyBorder="1" applyAlignment="1" applyProtection="1">
      <alignment horizontal="center"/>
    </xf>
    <xf numFmtId="168" fontId="26" fillId="0" borderId="41" xfId="540" applyNumberFormat="1" applyBorder="1" applyAlignment="1" applyProtection="1">
      <alignment horizontal="center"/>
    </xf>
    <xf numFmtId="168" fontId="26" fillId="0" borderId="42" xfId="540" applyNumberFormat="1" applyBorder="1" applyAlignment="1" applyProtection="1">
      <alignment horizontal="center"/>
    </xf>
    <xf numFmtId="168" fontId="26" fillId="0" borderId="43" xfId="540" applyNumberFormat="1" applyBorder="1" applyAlignment="1" applyProtection="1">
      <alignment horizontal="center"/>
    </xf>
    <xf numFmtId="168" fontId="26" fillId="0" borderId="44" xfId="540" applyNumberFormat="1" applyBorder="1" applyAlignment="1" applyProtection="1">
      <alignment horizontal="center"/>
    </xf>
    <xf numFmtId="0" fontId="17" fillId="0" borderId="0" xfId="1192"/>
    <xf numFmtId="0" fontId="17" fillId="0" borderId="0" xfId="0" applyFont="1" applyAlignment="1">
      <alignment wrapText="1"/>
    </xf>
    <xf numFmtId="0" fontId="46" fillId="0" borderId="0" xfId="0" applyFont="1" applyAlignment="1">
      <alignment horizontal="left" vertical="top"/>
    </xf>
    <xf numFmtId="0" fontId="46" fillId="0" borderId="0" xfId="0" applyFont="1" applyAlignment="1">
      <alignment vertical="top"/>
    </xf>
    <xf numFmtId="0" fontId="17" fillId="0" borderId="0" xfId="569" applyAlignment="1">
      <alignment horizontal="center"/>
    </xf>
    <xf numFmtId="0" fontId="35" fillId="0" borderId="0" xfId="569" applyFont="1" applyAlignment="1">
      <alignment horizontal="left"/>
    </xf>
    <xf numFmtId="0" fontId="35" fillId="0" borderId="0" xfId="569" applyFont="1" applyAlignment="1">
      <alignment horizontal="center"/>
    </xf>
    <xf numFmtId="49" fontId="24" fillId="0" borderId="0" xfId="569" applyNumberFormat="1" applyFont="1" applyAlignment="1">
      <alignment horizontal="center"/>
    </xf>
    <xf numFmtId="0" fontId="51" fillId="0" borderId="0" xfId="569" applyFont="1" applyAlignment="1">
      <alignment horizontal="center"/>
    </xf>
    <xf numFmtId="0" fontId="17" fillId="5" borderId="6" xfId="569" applyFill="1" applyBorder="1" applyProtection="1">
      <protection locked="0"/>
    </xf>
    <xf numFmtId="0" fontId="18" fillId="0" borderId="0" xfId="244" applyAlignment="1" applyProtection="1">
      <alignment horizontal="center"/>
    </xf>
    <xf numFmtId="49" fontId="17" fillId="0" borderId="0" xfId="569" applyNumberFormat="1" applyAlignment="1">
      <alignment horizontal="center"/>
    </xf>
    <xf numFmtId="0" fontId="17" fillId="0" borderId="0" xfId="569" applyAlignment="1">
      <alignment horizontal="center" vertical="center"/>
    </xf>
    <xf numFmtId="0" fontId="17" fillId="0" borderId="0" xfId="1192" applyAlignment="1">
      <alignment horizontal="center"/>
    </xf>
    <xf numFmtId="0" fontId="24" fillId="0" borderId="0" xfId="569" applyFont="1" applyAlignment="1">
      <alignment horizontal="center"/>
    </xf>
    <xf numFmtId="0" fontId="17" fillId="0" borderId="0" xfId="569" applyAlignment="1">
      <alignment horizontal="left" indent="4"/>
    </xf>
    <xf numFmtId="0" fontId="17" fillId="0" borderId="0" xfId="569" quotePrefix="1" applyAlignment="1">
      <alignment horizontal="left"/>
    </xf>
    <xf numFmtId="0" fontId="35" fillId="0" borderId="0" xfId="569" applyFont="1"/>
    <xf numFmtId="0" fontId="17" fillId="0" borderId="0" xfId="1192" applyAlignment="1" applyProtection="1">
      <alignment horizontal="left"/>
      <protection locked="0"/>
    </xf>
    <xf numFmtId="0" fontId="17" fillId="0" borderId="0" xfId="569" applyAlignment="1" applyProtection="1">
      <alignment horizontal="left"/>
      <protection locked="0"/>
    </xf>
    <xf numFmtId="49" fontId="17" fillId="0" borderId="0" xfId="1192" applyNumberFormat="1" applyAlignment="1">
      <alignment horizontal="center"/>
    </xf>
    <xf numFmtId="0" fontId="51" fillId="0" borderId="0" xfId="1192" applyFont="1" applyAlignment="1">
      <alignment horizontal="center"/>
    </xf>
    <xf numFmtId="0" fontId="24" fillId="0" borderId="0" xfId="1192" applyFont="1" applyAlignment="1">
      <alignment horizontal="left"/>
    </xf>
    <xf numFmtId="4" fontId="17" fillId="0" borderId="0" xfId="1192" applyNumberFormat="1" applyAlignment="1">
      <alignment horizontal="left"/>
    </xf>
    <xf numFmtId="0" fontId="24" fillId="0" borderId="0" xfId="569" quotePrefix="1" applyFont="1" applyAlignment="1">
      <alignment horizontal="center"/>
    </xf>
    <xf numFmtId="49" fontId="17" fillId="0" borderId="0" xfId="569" applyNumberFormat="1"/>
    <xf numFmtId="0" fontId="49" fillId="0" borderId="0" xfId="569" applyFont="1" applyAlignment="1">
      <alignment horizontal="left"/>
    </xf>
    <xf numFmtId="4" fontId="51" fillId="0" borderId="0" xfId="569" applyNumberFormat="1" applyFont="1" applyAlignment="1">
      <alignment horizontal="center"/>
    </xf>
    <xf numFmtId="4" fontId="17" fillId="0" borderId="0" xfId="569" applyNumberFormat="1" applyAlignment="1">
      <alignment horizontal="center"/>
    </xf>
    <xf numFmtId="4" fontId="17" fillId="0" borderId="0" xfId="569" applyNumberFormat="1"/>
    <xf numFmtId="0" fontId="47" fillId="0" borderId="0" xfId="569" applyFont="1" applyAlignment="1">
      <alignment horizontal="left"/>
    </xf>
    <xf numFmtId="0" fontId="18" fillId="0" borderId="0" xfId="244" applyNumberFormat="1" applyFill="1" applyAlignment="1" applyProtection="1">
      <alignment horizontal="left"/>
      <protection locked="0"/>
    </xf>
    <xf numFmtId="0" fontId="53" fillId="0" borderId="11" xfId="0" applyFont="1" applyBorder="1" applyAlignment="1" applyProtection="1">
      <alignment horizontal="right" vertical="top" wrapText="1"/>
      <protection locked="0"/>
    </xf>
    <xf numFmtId="168" fontId="56" fillId="44" borderId="11" xfId="0" applyNumberFormat="1" applyFont="1" applyFill="1" applyBorder="1" applyAlignment="1">
      <alignment vertical="top" wrapText="1"/>
    </xf>
    <xf numFmtId="0" fontId="17" fillId="0" borderId="11" xfId="271" applyFont="1" applyBorder="1" applyAlignment="1">
      <alignment horizontal="right" vertical="top" wrapText="1"/>
    </xf>
    <xf numFmtId="0" fontId="25" fillId="0" borderId="0" xfId="569" applyFont="1" applyAlignment="1">
      <alignment horizontal="left"/>
    </xf>
    <xf numFmtId="0" fontId="105" fillId="0" borderId="0" xfId="0" applyFont="1"/>
    <xf numFmtId="0" fontId="116" fillId="0" borderId="0" xfId="0" applyFont="1" applyAlignment="1">
      <alignment horizontal="left" vertical="top"/>
    </xf>
    <xf numFmtId="0" fontId="117" fillId="0" borderId="0" xfId="0" applyFont="1" applyAlignment="1">
      <alignment horizontal="left" vertical="top"/>
    </xf>
    <xf numFmtId="168" fontId="25" fillId="0" borderId="0" xfId="0" applyNumberFormat="1" applyFont="1" applyAlignment="1">
      <alignment horizontal="left" vertical="top" wrapText="1"/>
    </xf>
    <xf numFmtId="168" fontId="53" fillId="5" borderId="11" xfId="0" applyNumberFormat="1" applyFont="1" applyFill="1" applyBorder="1" applyAlignment="1">
      <alignment vertical="top" wrapText="1"/>
    </xf>
    <xf numFmtId="0" fontId="17" fillId="0" borderId="0" xfId="271" applyFont="1" applyAlignment="1">
      <alignment horizontal="left" vertical="top"/>
    </xf>
    <xf numFmtId="0" fontId="53" fillId="0" borderId="0" xfId="569" applyFont="1"/>
    <xf numFmtId="0" fontId="17" fillId="0" borderId="0" xfId="0" applyFont="1" applyAlignment="1">
      <alignment horizontal="left" vertical="top"/>
    </xf>
    <xf numFmtId="4" fontId="17" fillId="0" borderId="0" xfId="1192" applyNumberFormat="1" applyAlignment="1">
      <alignment vertical="top" wrapText="1"/>
    </xf>
    <xf numFmtId="0" fontId="24" fillId="0" borderId="16" xfId="271" applyFont="1" applyBorder="1"/>
    <xf numFmtId="0" fontId="60" fillId="0" borderId="0" xfId="569" applyFont="1"/>
    <xf numFmtId="0" fontId="41" fillId="0" borderId="0" xfId="569" applyFont="1"/>
    <xf numFmtId="0" fontId="17" fillId="0" borderId="0" xfId="1192" applyAlignment="1">
      <alignment vertical="top" wrapText="1"/>
    </xf>
    <xf numFmtId="49" fontId="17" fillId="0" borderId="0" xfId="1192" applyNumberFormat="1" applyAlignment="1">
      <alignment vertical="top" wrapText="1"/>
    </xf>
    <xf numFmtId="0" fontId="55" fillId="0" borderId="9" xfId="543" applyFont="1" applyBorder="1" applyAlignment="1">
      <alignment vertical="top"/>
    </xf>
    <xf numFmtId="0" fontId="17" fillId="0" borderId="0" xfId="0" applyFont="1" applyAlignment="1">
      <alignment vertical="center"/>
    </xf>
    <xf numFmtId="0" fontId="118" fillId="0" borderId="0" xfId="0" applyFont="1"/>
    <xf numFmtId="3" fontId="105" fillId="0" borderId="0" xfId="0" applyNumberFormat="1" applyFont="1"/>
    <xf numFmtId="0" fontId="105" fillId="0" borderId="0" xfId="0" applyFont="1" applyAlignment="1">
      <alignment horizontal="left"/>
    </xf>
    <xf numFmtId="168" fontId="119" fillId="0" borderId="0" xfId="0" applyNumberFormat="1" applyFont="1" applyAlignment="1">
      <alignment horizontal="left" vertical="top"/>
    </xf>
    <xf numFmtId="0" fontId="105" fillId="0" borderId="0" xfId="0" applyFont="1" applyAlignment="1">
      <alignment horizontal="left" vertical="center"/>
    </xf>
    <xf numFmtId="0" fontId="121" fillId="0" borderId="0" xfId="0" applyFont="1"/>
    <xf numFmtId="172" fontId="17" fillId="0" borderId="8" xfId="543" applyNumberFormat="1" applyBorder="1"/>
    <xf numFmtId="0" fontId="17" fillId="0" borderId="8" xfId="4495" applyFont="1" applyBorder="1"/>
    <xf numFmtId="0" fontId="17" fillId="0" borderId="0" xfId="4495" applyFont="1"/>
    <xf numFmtId="0" fontId="23" fillId="0" borderId="0" xfId="4495" applyFont="1" applyAlignment="1">
      <alignment horizontal="center" vertical="center"/>
    </xf>
    <xf numFmtId="0" fontId="24" fillId="0" borderId="0" xfId="4495" applyFont="1" applyAlignment="1">
      <alignment horizontal="left"/>
    </xf>
    <xf numFmtId="0" fontId="24" fillId="0" borderId="0" xfId="4495" applyFont="1"/>
    <xf numFmtId="0" fontId="27" fillId="0" borderId="0" xfId="4495" applyFont="1" applyAlignment="1">
      <alignment horizontal="center" vertical="center"/>
    </xf>
    <xf numFmtId="0" fontId="27" fillId="0" borderId="27" xfId="4495" applyFont="1" applyBorder="1" applyAlignment="1">
      <alignment horizontal="center" vertical="center"/>
    </xf>
    <xf numFmtId="0" fontId="27" fillId="0" borderId="46" xfId="4495" applyFont="1" applyBorder="1" applyAlignment="1">
      <alignment horizontal="center" vertical="center"/>
    </xf>
    <xf numFmtId="0" fontId="24" fillId="0" borderId="0" xfId="4495" applyFont="1" applyAlignment="1">
      <alignment horizontal="right"/>
    </xf>
    <xf numFmtId="0" fontId="35" fillId="0" borderId="0" xfId="4495" applyFont="1" applyAlignment="1">
      <alignment horizontal="left" vertical="center"/>
    </xf>
    <xf numFmtId="0" fontId="17" fillId="0" borderId="0" xfId="1192" quotePrefix="1" applyAlignment="1">
      <alignment horizontal="center"/>
    </xf>
    <xf numFmtId="0" fontId="47" fillId="0" borderId="0" xfId="4495" applyFont="1" applyAlignment="1">
      <alignment horizontal="left" vertical="center"/>
    </xf>
    <xf numFmtId="49" fontId="25" fillId="0" borderId="0" xfId="4495" applyNumberFormat="1" applyFont="1" applyAlignment="1">
      <alignment horizontal="left" vertical="top"/>
    </xf>
    <xf numFmtId="0" fontId="17" fillId="0" borderId="47" xfId="4495" applyFont="1" applyBorder="1" applyAlignment="1">
      <alignment horizontal="left" vertical="center"/>
    </xf>
    <xf numFmtId="0" fontId="27" fillId="0" borderId="48" xfId="4495" applyFont="1" applyBorder="1" applyAlignment="1">
      <alignment horizontal="center" vertical="center"/>
    </xf>
    <xf numFmtId="0" fontId="25" fillId="0" borderId="0" xfId="4495" applyFont="1"/>
    <xf numFmtId="0" fontId="25" fillId="0" borderId="0" xfId="4495" applyFont="1" applyAlignment="1">
      <alignment horizontal="left" vertical="top"/>
    </xf>
    <xf numFmtId="0" fontId="123" fillId="0" borderId="53" xfId="4496" applyFont="1" applyBorder="1" applyAlignment="1">
      <alignment horizontal="left" vertical="top"/>
    </xf>
    <xf numFmtId="0" fontId="122" fillId="0" borderId="0" xfId="4496" applyFont="1" applyAlignment="1">
      <alignment horizontal="left" vertical="top" wrapText="1"/>
    </xf>
    <xf numFmtId="0" fontId="122" fillId="0" borderId="54" xfId="4496" applyFont="1" applyBorder="1" applyAlignment="1">
      <alignment horizontal="left" vertical="top" wrapText="1"/>
    </xf>
    <xf numFmtId="0" fontId="17" fillId="0" borderId="0" xfId="4495" applyFont="1" applyAlignment="1">
      <alignment horizontal="left" vertical="center"/>
    </xf>
    <xf numFmtId="0" fontId="124" fillId="0" borderId="0" xfId="4496" applyFont="1" applyAlignment="1">
      <alignment vertical="center"/>
    </xf>
    <xf numFmtId="0" fontId="122" fillId="0" borderId="0" xfId="4496" applyFont="1"/>
    <xf numFmtId="0" fontId="122" fillId="0" borderId="0" xfId="4496" applyFont="1" applyAlignment="1">
      <alignment vertical="center"/>
    </xf>
    <xf numFmtId="0" fontId="125" fillId="0" borderId="0" xfId="4496" applyFont="1" applyAlignment="1">
      <alignment vertical="center"/>
    </xf>
    <xf numFmtId="0" fontId="17" fillId="0" borderId="0" xfId="4496" applyFont="1" applyAlignment="1">
      <alignment vertical="center"/>
    </xf>
    <xf numFmtId="0" fontId="25" fillId="0" borderId="3" xfId="4495" applyFont="1" applyBorder="1" applyAlignment="1">
      <alignment vertical="top" wrapText="1"/>
    </xf>
    <xf numFmtId="0" fontId="25" fillId="0" borderId="4" xfId="4495" applyFont="1" applyBorder="1" applyAlignment="1">
      <alignment vertical="top" wrapText="1"/>
    </xf>
    <xf numFmtId="164" fontId="120" fillId="0" borderId="4" xfId="4495" applyNumberFormat="1" applyBorder="1" applyAlignment="1">
      <alignment horizontal="right"/>
    </xf>
    <xf numFmtId="0" fontId="25" fillId="0" borderId="4" xfId="4495" applyFont="1" applyBorder="1"/>
    <xf numFmtId="0" fontId="24" fillId="0" borderId="5" xfId="4495" applyFont="1" applyBorder="1" applyAlignment="1">
      <alignment horizontal="right"/>
    </xf>
    <xf numFmtId="0" fontId="17" fillId="0" borderId="16" xfId="4495" applyFont="1" applyBorder="1"/>
    <xf numFmtId="0" fontId="17" fillId="0" borderId="16" xfId="4495" applyFont="1" applyBorder="1" applyAlignment="1">
      <alignment horizontal="left" vertical="top"/>
    </xf>
    <xf numFmtId="0" fontId="25" fillId="0" borderId="16" xfId="4495" applyFont="1" applyBorder="1" applyAlignment="1">
      <alignment horizontal="left" vertical="top" wrapText="1"/>
    </xf>
    <xf numFmtId="0" fontId="25" fillId="0" borderId="45" xfId="4495" applyFont="1" applyBorder="1" applyAlignment="1">
      <alignment horizontal="left" vertical="top" wrapText="1"/>
    </xf>
    <xf numFmtId="0" fontId="120" fillId="0" borderId="0" xfId="4495"/>
    <xf numFmtId="0" fontId="18" fillId="0" borderId="0" xfId="244" applyFill="1" applyBorder="1" applyAlignment="1" applyProtection="1">
      <alignment horizontal="left" vertical="top"/>
    </xf>
    <xf numFmtId="0" fontId="18" fillId="0" borderId="0" xfId="244" applyFill="1" applyBorder="1" applyAlignment="1" applyProtection="1">
      <alignment horizontal="left" vertical="top" wrapText="1"/>
    </xf>
    <xf numFmtId="0" fontId="25" fillId="0" borderId="0" xfId="4495" applyFont="1" applyAlignment="1">
      <alignment horizontal="left" vertical="top" wrapText="1"/>
    </xf>
    <xf numFmtId="0" fontId="25" fillId="0" borderId="0" xfId="4495" applyFont="1" applyAlignment="1">
      <alignment horizontal="right" vertical="top"/>
    </xf>
    <xf numFmtId="0" fontId="17" fillId="0" borderId="0" xfId="4495" applyFont="1" applyAlignment="1">
      <alignment vertical="center" wrapText="1"/>
    </xf>
    <xf numFmtId="0" fontId="122" fillId="0" borderId="53" xfId="4496" applyFont="1" applyBorder="1" applyAlignment="1">
      <alignment vertical="top" wrapText="1"/>
    </xf>
    <xf numFmtId="0" fontId="122" fillId="0" borderId="0" xfId="4496" applyFont="1" applyAlignment="1">
      <alignment vertical="top" wrapText="1"/>
    </xf>
    <xf numFmtId="10" fontId="122" fillId="0" borderId="0" xfId="4496" applyNumberFormat="1" applyFont="1" applyAlignment="1">
      <alignment vertical="top" wrapText="1"/>
    </xf>
    <xf numFmtId="0" fontId="122" fillId="0" borderId="54" xfId="4496" applyFont="1" applyBorder="1" applyAlignment="1">
      <alignment vertical="top" wrapText="1"/>
    </xf>
    <xf numFmtId="0" fontId="122" fillId="0" borderId="0" xfId="4496" applyFont="1" applyAlignment="1">
      <alignment vertical="top"/>
    </xf>
    <xf numFmtId="165" fontId="122" fillId="0" borderId="0" xfId="4496" applyNumberFormat="1" applyFont="1" applyAlignment="1">
      <alignment vertical="top" wrapText="1"/>
    </xf>
    <xf numFmtId="0" fontId="24" fillId="0" borderId="57" xfId="4495" applyFont="1" applyBorder="1"/>
    <xf numFmtId="0" fontId="24" fillId="0" borderId="58" xfId="4495" applyFont="1" applyBorder="1"/>
    <xf numFmtId="0" fontId="24" fillId="0" borderId="58" xfId="4495" applyFont="1" applyBorder="1" applyAlignment="1">
      <alignment horizontal="right"/>
    </xf>
    <xf numFmtId="0" fontId="24" fillId="0" borderId="59" xfId="4495" applyFont="1" applyBorder="1" applyAlignment="1">
      <alignment horizontal="right"/>
    </xf>
    <xf numFmtId="0" fontId="122" fillId="0" borderId="53" xfId="4496" applyFont="1" applyBorder="1" applyAlignment="1">
      <alignment horizontal="left" vertical="top" wrapText="1"/>
    </xf>
    <xf numFmtId="0" fontId="122" fillId="0" borderId="0" xfId="4496" applyFont="1" applyAlignment="1">
      <alignment horizontal="left" vertical="top"/>
    </xf>
    <xf numFmtId="0" fontId="27" fillId="0" borderId="57" xfId="4495" applyFont="1" applyBorder="1" applyAlignment="1">
      <alignment horizontal="center" vertical="center"/>
    </xf>
    <xf numFmtId="0" fontId="27" fillId="0" borderId="58" xfId="4495" applyFont="1" applyBorder="1" applyAlignment="1">
      <alignment horizontal="center" vertical="center"/>
    </xf>
    <xf numFmtId="0" fontId="27" fillId="0" borderId="59" xfId="4495" applyFont="1" applyBorder="1" applyAlignment="1">
      <alignment horizontal="center" vertical="center"/>
    </xf>
    <xf numFmtId="0" fontId="24" fillId="0" borderId="0" xfId="4495" applyFont="1" applyAlignment="1">
      <alignment horizontal="center"/>
    </xf>
    <xf numFmtId="0" fontId="24" fillId="0" borderId="8" xfId="4495" applyFont="1" applyBorder="1"/>
    <xf numFmtId="0" fontId="25" fillId="0" borderId="0" xfId="4495" applyFont="1" applyAlignment="1">
      <alignment horizontal="left"/>
    </xf>
    <xf numFmtId="0" fontId="24" fillId="0" borderId="0" xfId="4495" applyFont="1" applyAlignment="1">
      <alignment horizontal="center" vertical="top"/>
    </xf>
    <xf numFmtId="0" fontId="17" fillId="0" borderId="0" xfId="4495" applyFont="1" applyAlignment="1">
      <alignment horizontal="center"/>
    </xf>
    <xf numFmtId="0" fontId="33" fillId="0" borderId="0" xfId="4495" applyFont="1"/>
    <xf numFmtId="0" fontId="25" fillId="0" borderId="8" xfId="4495" applyFont="1" applyBorder="1"/>
    <xf numFmtId="0" fontId="53" fillId="0" borderId="8" xfId="4495" applyFont="1" applyBorder="1"/>
    <xf numFmtId="1" fontId="17" fillId="0" borderId="0" xfId="1192" applyNumberFormat="1"/>
    <xf numFmtId="0" fontId="17" fillId="0" borderId="3" xfId="4495" applyFont="1" applyBorder="1"/>
    <xf numFmtId="0" fontId="17" fillId="0" borderId="4" xfId="4495" applyFont="1" applyBorder="1"/>
    <xf numFmtId="0" fontId="17" fillId="0" borderId="0" xfId="1192" applyAlignment="1">
      <alignment wrapText="1"/>
    </xf>
    <xf numFmtId="0" fontId="25" fillId="0" borderId="0" xfId="4495" applyFont="1" applyAlignment="1">
      <alignment vertical="top" wrapText="1"/>
    </xf>
    <xf numFmtId="0" fontId="25" fillId="0" borderId="0" xfId="1192" applyFont="1"/>
    <xf numFmtId="0" fontId="17" fillId="0" borderId="0" xfId="4495" applyFont="1" applyAlignment="1">
      <alignment horizontal="left"/>
    </xf>
    <xf numFmtId="0" fontId="25" fillId="0" borderId="3" xfId="4495" applyFont="1" applyBorder="1"/>
    <xf numFmtId="0" fontId="17" fillId="0" borderId="4" xfId="4495" applyFont="1" applyBorder="1" applyAlignment="1">
      <alignment horizontal="right"/>
    </xf>
    <xf numFmtId="1" fontId="17" fillId="0" borderId="0" xfId="4495" applyNumberFormat="1" applyFont="1" applyAlignment="1">
      <alignment horizontal="center"/>
    </xf>
    <xf numFmtId="0" fontId="53" fillId="0" borderId="0" xfId="4495" applyFont="1"/>
    <xf numFmtId="0" fontId="17" fillId="0" borderId="0" xfId="4495" applyFont="1" applyAlignment="1">
      <alignment horizontal="right"/>
    </xf>
    <xf numFmtId="0" fontId="25" fillId="0" borderId="0" xfId="4495" applyFont="1" applyAlignment="1">
      <alignment vertical="top"/>
    </xf>
    <xf numFmtId="0" fontId="25" fillId="0" borderId="27" xfId="4495" applyFont="1" applyBorder="1"/>
    <xf numFmtId="0" fontId="24" fillId="0" borderId="0" xfId="4495" applyFont="1" applyAlignment="1">
      <alignment vertical="top"/>
    </xf>
    <xf numFmtId="0" fontId="35" fillId="0" borderId="0" xfId="4495" applyFont="1" applyAlignment="1">
      <alignment vertical="top" wrapText="1"/>
    </xf>
    <xf numFmtId="0" fontId="24" fillId="0" borderId="0" xfId="4495" applyFont="1" applyAlignment="1">
      <alignment horizontal="left" vertical="top" wrapText="1"/>
    </xf>
    <xf numFmtId="0" fontId="17" fillId="0" borderId="0" xfId="4495" applyFont="1" applyAlignment="1">
      <alignment horizontal="left" vertical="top"/>
    </xf>
    <xf numFmtId="0" fontId="35" fillId="0" borderId="0" xfId="4495" applyFont="1" applyAlignment="1">
      <alignment vertical="top"/>
    </xf>
    <xf numFmtId="0" fontId="17" fillId="0" borderId="10" xfId="4495" applyFont="1" applyBorder="1" applyAlignment="1">
      <alignment horizontal="center"/>
    </xf>
    <xf numFmtId="0" fontId="17" fillId="0" borderId="16" xfId="4495" applyFont="1" applyBorder="1" applyAlignment="1">
      <alignment horizontal="center"/>
    </xf>
    <xf numFmtId="0" fontId="33" fillId="0" borderId="16" xfId="4495" applyFont="1" applyBorder="1"/>
    <xf numFmtId="0" fontId="25" fillId="0" borderId="16" xfId="4495" applyFont="1" applyBorder="1"/>
    <xf numFmtId="0" fontId="17" fillId="0" borderId="0" xfId="4496" applyFont="1" applyAlignment="1">
      <alignment vertical="top" wrapText="1"/>
    </xf>
    <xf numFmtId="0" fontId="24" fillId="0" borderId="0" xfId="1192" applyFont="1" applyAlignment="1">
      <alignment horizontal="right"/>
    </xf>
    <xf numFmtId="0" fontId="17" fillId="0" borderId="0" xfId="4496" applyFont="1"/>
    <xf numFmtId="0" fontId="17" fillId="0" borderId="0" xfId="4496" applyFont="1" applyAlignment="1">
      <alignment horizontal="left"/>
    </xf>
    <xf numFmtId="0" fontId="17" fillId="0" borderId="0" xfId="4496" applyFont="1" applyAlignment="1">
      <alignment horizontal="right"/>
    </xf>
    <xf numFmtId="0" fontId="25" fillId="0" borderId="0" xfId="4496" applyFont="1" applyAlignment="1">
      <alignment vertical="top" wrapText="1"/>
    </xf>
    <xf numFmtId="0" fontId="17" fillId="0" borderId="4" xfId="4496" applyFont="1" applyBorder="1"/>
    <xf numFmtId="0" fontId="24" fillId="0" borderId="4" xfId="4496" applyFont="1" applyBorder="1" applyAlignment="1">
      <alignment horizontal="right"/>
    </xf>
    <xf numFmtId="0" fontId="25" fillId="0" borderId="27" xfId="4495" applyFont="1" applyBorder="1" applyAlignment="1">
      <alignment horizontal="left" vertical="top"/>
    </xf>
    <xf numFmtId="0" fontId="17" fillId="0" borderId="27" xfId="4495" applyFont="1" applyBorder="1" applyAlignment="1">
      <alignment horizontal="left" vertical="top"/>
    </xf>
    <xf numFmtId="0" fontId="24" fillId="0" borderId="27" xfId="4495" applyFont="1" applyBorder="1" applyAlignment="1">
      <alignment horizontal="right"/>
    </xf>
    <xf numFmtId="0" fontId="17" fillId="0" borderId="27" xfId="4495" applyFont="1" applyBorder="1" applyAlignment="1">
      <alignment horizontal="center"/>
    </xf>
    <xf numFmtId="0" fontId="17" fillId="0" borderId="46" xfId="4495" applyFont="1" applyBorder="1" applyAlignment="1">
      <alignment horizontal="center"/>
    </xf>
    <xf numFmtId="164" fontId="25" fillId="0" borderId="0" xfId="4495" applyNumberFormat="1" applyFont="1" applyAlignment="1">
      <alignment horizontal="left" vertical="top" wrapText="1"/>
    </xf>
    <xf numFmtId="0" fontId="28" fillId="0" borderId="0" xfId="4495" applyFont="1"/>
    <xf numFmtId="0" fontId="25" fillId="0" borderId="0" xfId="4495" applyFont="1" applyAlignment="1">
      <alignment horizontal="right"/>
    </xf>
    <xf numFmtId="0" fontId="17" fillId="0" borderId="27" xfId="543" applyBorder="1"/>
    <xf numFmtId="0" fontId="17" fillId="0" borderId="46" xfId="543" applyBorder="1"/>
    <xf numFmtId="0" fontId="24" fillId="0" borderId="0" xfId="4495" applyFont="1" applyAlignment="1">
      <alignment horizontal="left" vertical="top"/>
    </xf>
    <xf numFmtId="1" fontId="120" fillId="0" borderId="0" xfId="4495" applyNumberFormat="1"/>
    <xf numFmtId="0" fontId="17" fillId="0" borderId="0" xfId="4495" applyFont="1" applyAlignment="1">
      <alignment vertical="top" wrapText="1"/>
    </xf>
    <xf numFmtId="0" fontId="17" fillId="0" borderId="0" xfId="4495" applyFont="1" applyAlignment="1">
      <alignment horizontal="left" vertical="top" wrapText="1"/>
    </xf>
    <xf numFmtId="0" fontId="17" fillId="0" borderId="50" xfId="4495" applyFont="1" applyBorder="1" applyAlignment="1">
      <alignment vertical="top"/>
    </xf>
    <xf numFmtId="0" fontId="17" fillId="0" borderId="51" xfId="4495" applyFont="1" applyBorder="1" applyAlignment="1">
      <alignment vertical="top"/>
    </xf>
    <xf numFmtId="0" fontId="17" fillId="0" borderId="52" xfId="4495" applyFont="1" applyBorder="1" applyAlignment="1">
      <alignment vertical="top"/>
    </xf>
    <xf numFmtId="1" fontId="25" fillId="0" borderId="8" xfId="4495" applyNumberFormat="1" applyFont="1" applyBorder="1"/>
    <xf numFmtId="0" fontId="17" fillId="0" borderId="0" xfId="543" applyAlignment="1">
      <alignment vertical="top"/>
    </xf>
    <xf numFmtId="0" fontId="25" fillId="0" borderId="51" xfId="4495" applyFont="1" applyBorder="1" applyAlignment="1">
      <alignment horizontal="left" vertical="top"/>
    </xf>
    <xf numFmtId="0" fontId="25" fillId="0" borderId="52" xfId="4495" applyFont="1" applyBorder="1" applyAlignment="1">
      <alignment horizontal="left" vertical="top"/>
    </xf>
    <xf numFmtId="0" fontId="120" fillId="0" borderId="0" xfId="4495" applyAlignment="1" applyProtection="1">
      <alignment horizontal="center"/>
      <protection locked="0"/>
    </xf>
    <xf numFmtId="0" fontId="17" fillId="0" borderId="53" xfId="4495" applyFont="1" applyBorder="1" applyAlignment="1">
      <alignment vertical="top"/>
    </xf>
    <xf numFmtId="0" fontId="17" fillId="0" borderId="54" xfId="4495" applyFont="1" applyBorder="1" applyAlignment="1">
      <alignment vertical="top" wrapText="1"/>
    </xf>
    <xf numFmtId="0" fontId="61" fillId="0" borderId="53" xfId="4495" applyFont="1" applyBorder="1"/>
    <xf numFmtId="0" fontId="25" fillId="0" borderId="54" xfId="4495" applyFont="1" applyBorder="1" applyAlignment="1">
      <alignment horizontal="left" vertical="top"/>
    </xf>
    <xf numFmtId="0" fontId="17" fillId="0" borderId="53" xfId="4495" applyFont="1" applyBorder="1" applyAlignment="1">
      <alignment vertical="center" wrapText="1"/>
    </xf>
    <xf numFmtId="0" fontId="61" fillId="0" borderId="57" xfId="4495" applyFont="1" applyBorder="1"/>
    <xf numFmtId="0" fontId="25" fillId="0" borderId="58" xfId="4495" applyFont="1" applyBorder="1" applyAlignment="1">
      <alignment horizontal="left" vertical="top"/>
    </xf>
    <xf numFmtId="0" fontId="25" fillId="0" borderId="12" xfId="4495" applyFont="1" applyBorder="1"/>
    <xf numFmtId="0" fontId="17" fillId="0" borderId="57" xfId="4495" applyFont="1" applyBorder="1" applyAlignment="1">
      <alignment vertical="center"/>
    </xf>
    <xf numFmtId="0" fontId="17" fillId="0" borderId="58" xfId="4495" applyFont="1" applyBorder="1" applyAlignment="1">
      <alignment vertical="top"/>
    </xf>
    <xf numFmtId="0" fontId="17" fillId="0" borderId="59" xfId="4495" applyFont="1" applyBorder="1" applyAlignment="1">
      <alignment vertical="top"/>
    </xf>
    <xf numFmtId="0" fontId="17" fillId="0" borderId="0" xfId="4495" applyFont="1" applyAlignment="1">
      <alignment vertical="top"/>
    </xf>
    <xf numFmtId="0" fontId="25" fillId="0" borderId="4" xfId="4495" applyFont="1" applyBorder="1" applyAlignment="1">
      <alignment horizontal="left" vertical="top"/>
    </xf>
    <xf numFmtId="0" fontId="17" fillId="0" borderId="4" xfId="4495" applyFont="1" applyBorder="1" applyAlignment="1">
      <alignment horizontal="left" vertical="top"/>
    </xf>
    <xf numFmtId="0" fontId="17" fillId="0" borderId="2" xfId="4495" applyFont="1" applyBorder="1"/>
    <xf numFmtId="0" fontId="25" fillId="0" borderId="2" xfId="4495" applyFont="1" applyBorder="1"/>
    <xf numFmtId="0" fontId="17" fillId="0" borderId="2" xfId="4495" applyFont="1" applyBorder="1" applyAlignment="1">
      <alignment horizontal="center"/>
    </xf>
    <xf numFmtId="0" fontId="25" fillId="0" borderId="7" xfId="4495" applyFont="1" applyBorder="1"/>
    <xf numFmtId="0" fontId="33" fillId="0" borderId="0" xfId="4495" applyFont="1" applyAlignment="1">
      <alignment horizontal="right"/>
    </xf>
    <xf numFmtId="0" fontId="126" fillId="0" borderId="0" xfId="4495" applyFont="1" applyAlignment="1">
      <alignment horizontal="left" vertical="top" wrapText="1"/>
    </xf>
    <xf numFmtId="0" fontId="33" fillId="0" borderId="0" xfId="4495" applyFont="1" applyAlignment="1">
      <alignment horizontal="left" vertical="top"/>
    </xf>
    <xf numFmtId="0" fontId="25" fillId="0" borderId="0" xfId="4495" quotePrefix="1" applyFont="1" applyAlignment="1">
      <alignment horizontal="right"/>
    </xf>
    <xf numFmtId="0" fontId="17" fillId="0" borderId="0" xfId="4497"/>
    <xf numFmtId="0" fontId="25" fillId="0" borderId="0" xfId="4495" applyFont="1" applyAlignment="1">
      <alignment horizontal="left" vertical="top" wrapText="1" shrinkToFit="1"/>
    </xf>
    <xf numFmtId="0" fontId="120" fillId="0" borderId="0" xfId="4495" applyAlignment="1">
      <alignment vertical="top" wrapText="1"/>
    </xf>
    <xf numFmtId="0" fontId="25" fillId="0" borderId="4" xfId="4495" applyFont="1" applyBorder="1" applyAlignment="1">
      <alignment horizontal="left" vertical="top" wrapText="1" shrinkToFit="1"/>
    </xf>
    <xf numFmtId="0" fontId="33" fillId="0" borderId="8" xfId="4495" applyFont="1" applyBorder="1"/>
    <xf numFmtId="0" fontId="25" fillId="0" borderId="0" xfId="4495" applyFont="1" applyAlignment="1">
      <alignment horizontal="center"/>
    </xf>
    <xf numFmtId="0" fontId="25" fillId="0" borderId="0" xfId="4495" quotePrefix="1" applyFont="1"/>
    <xf numFmtId="0" fontId="25" fillId="0" borderId="0" xfId="4495" applyFont="1" applyAlignment="1">
      <alignment horizontal="left" vertical="top" shrinkToFit="1"/>
    </xf>
    <xf numFmtId="0" fontId="47" fillId="0" borderId="0" xfId="4495" applyFont="1"/>
    <xf numFmtId="0" fontId="25" fillId="0" borderId="3" xfId="4495" applyFont="1" applyBorder="1" applyAlignment="1">
      <alignment horizontal="center"/>
    </xf>
    <xf numFmtId="0" fontId="120" fillId="0" borderId="8" xfId="4495" applyBorder="1"/>
    <xf numFmtId="0" fontId="24" fillId="0" borderId="8" xfId="4495" applyFont="1" applyBorder="1" applyAlignment="1">
      <alignment vertical="top"/>
    </xf>
    <xf numFmtId="0" fontId="120" fillId="0" borderId="0" xfId="4495" applyAlignment="1">
      <alignment vertical="top"/>
    </xf>
    <xf numFmtId="0" fontId="24" fillId="0" borderId="4" xfId="4495" applyFont="1" applyBorder="1" applyAlignment="1">
      <alignment horizontal="center" vertical="top"/>
    </xf>
    <xf numFmtId="0" fontId="126" fillId="0" borderId="0" xfId="4495" applyFont="1" applyAlignment="1">
      <alignment horizontal="left" vertical="top"/>
    </xf>
    <xf numFmtId="0" fontId="126" fillId="0" borderId="4" xfId="4495" applyFont="1" applyBorder="1" applyAlignment="1">
      <alignment horizontal="left" vertical="top"/>
    </xf>
    <xf numFmtId="168" fontId="17" fillId="0" borderId="0" xfId="4497" applyNumberFormat="1"/>
    <xf numFmtId="1" fontId="25" fillId="0" borderId="0" xfId="4495" applyNumberFormat="1" applyFont="1" applyAlignment="1">
      <alignment horizontal="center" vertical="top"/>
    </xf>
    <xf numFmtId="0" fontId="130" fillId="0" borderId="0" xfId="4495" applyFont="1" applyAlignment="1">
      <alignment vertical="top" wrapText="1"/>
    </xf>
    <xf numFmtId="0" fontId="130" fillId="0" borderId="0" xfId="4495" applyFont="1" applyAlignment="1">
      <alignment horizontal="left" vertical="top" wrapText="1"/>
    </xf>
    <xf numFmtId="0" fontId="25" fillId="0" borderId="6" xfId="4495" applyFont="1" applyBorder="1"/>
    <xf numFmtId="1" fontId="25" fillId="0" borderId="8" xfId="4495" applyNumberFormat="1" applyFont="1" applyBorder="1" applyAlignment="1">
      <alignment horizontal="center" vertical="top"/>
    </xf>
    <xf numFmtId="0" fontId="120" fillId="0" borderId="12" xfId="4495" applyBorder="1"/>
    <xf numFmtId="0" fontId="25" fillId="0" borderId="9" xfId="4495" applyFont="1" applyBorder="1"/>
    <xf numFmtId="0" fontId="120" fillId="0" borderId="10" xfId="4495" applyBorder="1"/>
    <xf numFmtId="0" fontId="33" fillId="0" borderId="3" xfId="4495" applyFont="1" applyBorder="1"/>
    <xf numFmtId="0" fontId="24" fillId="0" borderId="4" xfId="4495" applyFont="1" applyBorder="1"/>
    <xf numFmtId="0" fontId="120" fillId="0" borderId="12" xfId="4495" applyBorder="1" applyAlignment="1">
      <alignment vertical="top"/>
    </xf>
    <xf numFmtId="0" fontId="33" fillId="0" borderId="1" xfId="4495" applyFont="1" applyBorder="1"/>
    <xf numFmtId="0" fontId="130" fillId="0" borderId="2" xfId="4495" applyFont="1" applyBorder="1" applyAlignment="1">
      <alignment horizontal="left" wrapText="1"/>
    </xf>
    <xf numFmtId="0" fontId="130" fillId="0" borderId="2" xfId="4495" applyFont="1" applyBorder="1" applyAlignment="1">
      <alignment horizontal="left"/>
    </xf>
    <xf numFmtId="0" fontId="130" fillId="0" borderId="7" xfId="4495" applyFont="1" applyBorder="1" applyAlignment="1">
      <alignment horizontal="left" wrapText="1"/>
    </xf>
    <xf numFmtId="0" fontId="130" fillId="0" borderId="0" xfId="4495" applyFont="1" applyAlignment="1">
      <alignment horizontal="left" wrapText="1"/>
    </xf>
    <xf numFmtId="0" fontId="33" fillId="0" borderId="9" xfId="4495" applyFont="1" applyBorder="1"/>
    <xf numFmtId="0" fontId="25" fillId="0" borderId="10" xfId="4495" applyFont="1" applyBorder="1"/>
    <xf numFmtId="0" fontId="130" fillId="0" borderId="0" xfId="4495" applyFont="1" applyAlignment="1">
      <alignment wrapText="1"/>
    </xf>
    <xf numFmtId="0" fontId="33" fillId="0" borderId="9" xfId="4495" applyFont="1" applyBorder="1" applyAlignment="1">
      <alignment horizontal="center"/>
    </xf>
    <xf numFmtId="0" fontId="24" fillId="0" borderId="10" xfId="4495" applyFont="1" applyBorder="1"/>
    <xf numFmtId="0" fontId="35" fillId="0" borderId="0" xfId="4495" applyFont="1"/>
    <xf numFmtId="0" fontId="25" fillId="0" borderId="50" xfId="4495" applyFont="1" applyBorder="1"/>
    <xf numFmtId="0" fontId="25" fillId="0" borderId="51" xfId="4495" applyFont="1" applyBorder="1"/>
    <xf numFmtId="1" fontId="25" fillId="0" borderId="51" xfId="4495" quotePrefix="1" applyNumberFormat="1" applyFont="1" applyBorder="1" applyAlignment="1">
      <alignment horizontal="center" vertical="top"/>
    </xf>
    <xf numFmtId="0" fontId="24" fillId="0" borderId="51" xfId="4495" applyFont="1" applyBorder="1"/>
    <xf numFmtId="0" fontId="24" fillId="0" borderId="52" xfId="4495" applyFont="1" applyBorder="1" applyAlignment="1">
      <alignment horizontal="center"/>
    </xf>
    <xf numFmtId="0" fontId="17" fillId="0" borderId="53" xfId="4495" applyFont="1" applyBorder="1"/>
    <xf numFmtId="1" fontId="25" fillId="0" borderId="0" xfId="4495" quotePrefix="1" applyNumberFormat="1" applyFont="1" applyAlignment="1">
      <alignment horizontal="center" vertical="top"/>
    </xf>
    <xf numFmtId="0" fontId="24" fillId="0" borderId="54" xfId="4495" applyFont="1" applyBorder="1" applyAlignment="1">
      <alignment horizontal="center"/>
    </xf>
    <xf numFmtId="0" fontId="33" fillId="0" borderId="0" xfId="4495" applyFont="1" applyAlignment="1">
      <alignment vertical="top"/>
    </xf>
    <xf numFmtId="0" fontId="25" fillId="0" borderId="61" xfId="4495" applyFont="1" applyBorder="1"/>
    <xf numFmtId="0" fontId="120" fillId="0" borderId="58" xfId="4495" applyBorder="1" applyAlignment="1">
      <alignment horizontal="center"/>
    </xf>
    <xf numFmtId="1" fontId="25" fillId="0" borderId="58" xfId="4495" quotePrefix="1" applyNumberFormat="1" applyFont="1" applyBorder="1" applyAlignment="1">
      <alignment horizontal="center" vertical="top"/>
    </xf>
    <xf numFmtId="0" fontId="33" fillId="0" borderId="58" xfId="4495" applyFont="1" applyBorder="1" applyAlignment="1">
      <alignment vertical="top"/>
    </xf>
    <xf numFmtId="0" fontId="25" fillId="0" borderId="58" xfId="4495" applyFont="1" applyBorder="1" applyAlignment="1">
      <alignment vertical="top" wrapText="1"/>
    </xf>
    <xf numFmtId="0" fontId="25" fillId="0" borderId="58" xfId="4495" applyFont="1" applyBorder="1"/>
    <xf numFmtId="0" fontId="24" fillId="0" borderId="58" xfId="4495" applyFont="1" applyBorder="1" applyAlignment="1">
      <alignment horizontal="center"/>
    </xf>
    <xf numFmtId="0" fontId="120" fillId="0" borderId="61" xfId="4495" applyBorder="1"/>
    <xf numFmtId="0" fontId="120" fillId="0" borderId="0" xfId="4495" applyAlignment="1">
      <alignment horizontal="center"/>
    </xf>
    <xf numFmtId="0" fontId="17" fillId="0" borderId="53" xfId="543" applyBorder="1"/>
    <xf numFmtId="0" fontId="25" fillId="0" borderId="54" xfId="4495" applyFont="1" applyBorder="1"/>
    <xf numFmtId="0" fontId="17" fillId="0" borderId="58" xfId="543" applyBorder="1"/>
    <xf numFmtId="1" fontId="25" fillId="0" borderId="58" xfId="4495" applyNumberFormat="1" applyFont="1" applyBorder="1" applyAlignment="1">
      <alignment horizontal="center" vertical="top"/>
    </xf>
    <xf numFmtId="0" fontId="33" fillId="0" borderId="58" xfId="4495" applyFont="1" applyBorder="1" applyAlignment="1">
      <alignment vertical="center"/>
    </xf>
    <xf numFmtId="0" fontId="120" fillId="0" borderId="58" xfId="4495" applyBorder="1" applyAlignment="1">
      <alignment vertical="top" wrapText="1"/>
    </xf>
    <xf numFmtId="0" fontId="17" fillId="0" borderId="58" xfId="4495" applyFont="1" applyBorder="1"/>
    <xf numFmtId="0" fontId="33" fillId="0" borderId="0" xfId="4495" applyFont="1" applyAlignment="1">
      <alignment vertical="center"/>
    </xf>
    <xf numFmtId="0" fontId="25" fillId="0" borderId="53" xfId="4495" applyFont="1" applyBorder="1"/>
    <xf numFmtId="0" fontId="17" fillId="0" borderId="57" xfId="543" applyBorder="1"/>
    <xf numFmtId="0" fontId="25" fillId="0" borderId="58" xfId="4495" applyFont="1" applyBorder="1" applyAlignment="1">
      <alignment vertical="top"/>
    </xf>
    <xf numFmtId="0" fontId="25" fillId="0" borderId="59" xfId="4495" applyFont="1" applyBorder="1"/>
    <xf numFmtId="0" fontId="25" fillId="0" borderId="57" xfId="4495" applyFont="1" applyBorder="1"/>
    <xf numFmtId="0" fontId="17" fillId="0" borderId="51" xfId="4495" applyFont="1" applyBorder="1"/>
    <xf numFmtId="0" fontId="25" fillId="0" borderId="52" xfId="4495" applyFont="1" applyBorder="1"/>
    <xf numFmtId="0" fontId="17" fillId="0" borderId="50" xfId="543" applyBorder="1"/>
    <xf numFmtId="0" fontId="17" fillId="0" borderId="51" xfId="543" applyBorder="1"/>
    <xf numFmtId="0" fontId="17" fillId="0" borderId="52" xfId="543" applyBorder="1"/>
    <xf numFmtId="0" fontId="25" fillId="0" borderId="0" xfId="4495" applyFont="1" applyAlignment="1">
      <alignment wrapText="1"/>
    </xf>
    <xf numFmtId="0" fontId="24" fillId="0" borderId="54" xfId="4495" applyFont="1" applyBorder="1" applyAlignment="1">
      <alignment horizontal="center" vertical="top"/>
    </xf>
    <xf numFmtId="0" fontId="120" fillId="0" borderId="53" xfId="4495" applyBorder="1" applyAlignment="1">
      <alignment horizontal="center"/>
    </xf>
    <xf numFmtId="2" fontId="25" fillId="0" borderId="0" xfId="4495" applyNumberFormat="1" applyFont="1" applyAlignment="1">
      <alignment horizontal="right"/>
    </xf>
    <xf numFmtId="2" fontId="25" fillId="0" borderId="8" xfId="4495" applyNumberFormat="1" applyFont="1" applyBorder="1" applyAlignment="1">
      <alignment horizontal="left"/>
    </xf>
    <xf numFmtId="0" fontId="25" fillId="0" borderId="8" xfId="4495" applyFont="1" applyBorder="1" applyAlignment="1">
      <alignment horizontal="right"/>
    </xf>
    <xf numFmtId="0" fontId="129" fillId="0" borderId="0" xfId="4495" applyFont="1"/>
    <xf numFmtId="0" fontId="120" fillId="0" borderId="57" xfId="4495" applyBorder="1" applyAlignment="1">
      <alignment horizontal="center"/>
    </xf>
    <xf numFmtId="0" fontId="24" fillId="0" borderId="59" xfId="4495" applyFont="1" applyBorder="1" applyAlignment="1">
      <alignment horizontal="center"/>
    </xf>
    <xf numFmtId="9" fontId="25" fillId="0" borderId="0" xfId="4495" applyNumberFormat="1" applyFont="1" applyAlignment="1">
      <alignment horizontal="left"/>
    </xf>
    <xf numFmtId="0" fontId="17" fillId="0" borderId="17" xfId="543" applyBorder="1"/>
    <xf numFmtId="0" fontId="17" fillId="0" borderId="16" xfId="543" applyBorder="1"/>
    <xf numFmtId="0" fontId="17" fillId="0" borderId="51" xfId="4495" quotePrefix="1" applyFont="1" applyBorder="1" applyAlignment="1">
      <alignment horizontal="center" vertical="top"/>
    </xf>
    <xf numFmtId="0" fontId="25" fillId="0" borderId="53" xfId="4495" applyFont="1" applyBorder="1" applyAlignment="1">
      <alignment horizontal="left" vertical="top"/>
    </xf>
    <xf numFmtId="0" fontId="25" fillId="0" borderId="0" xfId="4495" applyFont="1" applyAlignment="1">
      <alignment horizontal="center" vertical="top"/>
    </xf>
    <xf numFmtId="0" fontId="25" fillId="0" borderId="57" xfId="4495" applyFont="1" applyBorder="1" applyAlignment="1">
      <alignment horizontal="left" vertical="top"/>
    </xf>
    <xf numFmtId="0" fontId="25" fillId="0" borderId="58" xfId="4495" applyFont="1" applyBorder="1" applyAlignment="1">
      <alignment horizontal="center" vertical="top"/>
    </xf>
    <xf numFmtId="0" fontId="120" fillId="0" borderId="58" xfId="4495" applyBorder="1"/>
    <xf numFmtId="0" fontId="24" fillId="0" borderId="58" xfId="4495" applyFont="1" applyBorder="1" applyAlignment="1">
      <alignment vertical="top"/>
    </xf>
    <xf numFmtId="0" fontId="24" fillId="0" borderId="58" xfId="4495" applyFont="1" applyBorder="1" applyAlignment="1">
      <alignment horizontal="left" vertical="top"/>
    </xf>
    <xf numFmtId="0" fontId="24" fillId="0" borderId="51" xfId="4495" applyFont="1" applyBorder="1" applyAlignment="1">
      <alignment horizontal="left" vertical="top"/>
    </xf>
    <xf numFmtId="0" fontId="24" fillId="0" borderId="53" xfId="4495" applyFont="1" applyBorder="1" applyAlignment="1">
      <alignment horizontal="left" vertical="top"/>
    </xf>
    <xf numFmtId="0" fontId="53" fillId="0" borderId="0" xfId="4495" applyFont="1" applyAlignment="1">
      <alignment horizontal="left" vertical="top"/>
    </xf>
    <xf numFmtId="0" fontId="25" fillId="0" borderId="0" xfId="4495" quotePrefix="1" applyFont="1" applyAlignment="1">
      <alignment horizontal="center" vertical="top"/>
    </xf>
    <xf numFmtId="0" fontId="54" fillId="0" borderId="0" xfId="4495" applyFont="1" applyAlignment="1">
      <alignment horizontal="center"/>
    </xf>
    <xf numFmtId="0" fontId="54" fillId="0" borderId="0" xfId="4495" applyFont="1" applyAlignment="1">
      <alignment vertical="top"/>
    </xf>
    <xf numFmtId="0" fontId="107" fillId="0" borderId="0" xfId="4495" applyFont="1"/>
    <xf numFmtId="0" fontId="53" fillId="0" borderId="0" xfId="4495" applyFont="1" applyAlignment="1">
      <alignment vertical="top"/>
    </xf>
    <xf numFmtId="0" fontId="33" fillId="0" borderId="53" xfId="4495" applyFont="1" applyBorder="1"/>
    <xf numFmtId="2" fontId="25" fillId="0" borderId="8" xfId="4495" applyNumberFormat="1" applyFont="1" applyBorder="1" applyAlignment="1">
      <alignment horizontal="right"/>
    </xf>
    <xf numFmtId="0" fontId="24" fillId="0" borderId="50" xfId="4495" applyFont="1" applyBorder="1" applyAlignment="1">
      <alignment horizontal="left" vertical="top"/>
    </xf>
    <xf numFmtId="0" fontId="53" fillId="0" borderId="51" xfId="4495" applyFont="1" applyBorder="1" applyAlignment="1">
      <alignment horizontal="left" vertical="top"/>
    </xf>
    <xf numFmtId="0" fontId="120" fillId="0" borderId="53" xfId="4495" applyBorder="1"/>
    <xf numFmtId="0" fontId="107" fillId="0" borderId="0" xfId="4495" applyFont="1" applyAlignment="1">
      <alignment horizontal="left" vertical="top"/>
    </xf>
    <xf numFmtId="1" fontId="24" fillId="0" borderId="58" xfId="4495" applyNumberFormat="1" applyFont="1" applyBorder="1" applyAlignment="1">
      <alignment vertical="top"/>
    </xf>
    <xf numFmtId="172" fontId="24" fillId="0" borderId="8" xfId="543" applyNumberFormat="1" applyFont="1" applyBorder="1"/>
    <xf numFmtId="172" fontId="24" fillId="0" borderId="0" xfId="543" applyNumberFormat="1" applyFont="1"/>
    <xf numFmtId="0" fontId="33" fillId="0" borderId="0" xfId="4495" applyFont="1" applyAlignment="1">
      <alignment wrapText="1"/>
    </xf>
    <xf numFmtId="0" fontId="33" fillId="0" borderId="0" xfId="4495" applyFont="1" applyAlignment="1">
      <alignment horizontal="center"/>
    </xf>
    <xf numFmtId="0" fontId="33" fillId="0" borderId="0" xfId="4495" applyFont="1" applyAlignment="1">
      <alignment vertical="center" wrapText="1"/>
    </xf>
    <xf numFmtId="180" fontId="25" fillId="0" borderId="0" xfId="4495" applyNumberFormat="1" applyFont="1" applyAlignment="1">
      <alignment horizontal="center"/>
    </xf>
    <xf numFmtId="1" fontId="25" fillId="0" borderId="0" xfId="4495" applyNumberFormat="1" applyFont="1" applyAlignment="1">
      <alignment horizontal="center"/>
    </xf>
    <xf numFmtId="0" fontId="24" fillId="0" borderId="51" xfId="4495" applyFont="1" applyBorder="1" applyAlignment="1">
      <alignment horizontal="center"/>
    </xf>
    <xf numFmtId="0" fontId="24" fillId="0" borderId="51" xfId="4495" applyFont="1" applyBorder="1" applyAlignment="1">
      <alignment vertical="top"/>
    </xf>
    <xf numFmtId="0" fontId="24" fillId="0" borderId="53" xfId="4495" applyFont="1" applyBorder="1"/>
    <xf numFmtId="0" fontId="17" fillId="0" borderId="54" xfId="543" applyBorder="1"/>
    <xf numFmtId="49" fontId="25" fillId="0" borderId="0" xfId="4495" applyNumberFormat="1" applyFont="1" applyAlignment="1">
      <alignment horizontal="left" vertical="center" wrapText="1"/>
    </xf>
    <xf numFmtId="0" fontId="17" fillId="0" borderId="57" xfId="4495" applyFont="1" applyBorder="1"/>
    <xf numFmtId="1" fontId="17" fillId="0" borderId="0" xfId="4495" applyNumberFormat="1" applyFont="1" applyAlignment="1">
      <alignment vertical="center"/>
    </xf>
    <xf numFmtId="0" fontId="35" fillId="0" borderId="50" xfId="4495" applyFont="1" applyBorder="1"/>
    <xf numFmtId="0" fontId="25" fillId="0" borderId="51" xfId="4495" applyFont="1" applyBorder="1" applyAlignment="1">
      <alignment horizontal="center" vertical="top"/>
    </xf>
    <xf numFmtId="0" fontId="25" fillId="0" borderId="51" xfId="4495" applyFont="1" applyBorder="1" applyAlignment="1">
      <alignment vertical="top" wrapText="1"/>
    </xf>
    <xf numFmtId="0" fontId="25" fillId="0" borderId="51" xfId="4495" applyFont="1" applyBorder="1" applyAlignment="1">
      <alignment horizontal="left" vertical="top" wrapText="1"/>
    </xf>
    <xf numFmtId="0" fontId="17" fillId="0" borderId="0" xfId="4495" quotePrefix="1" applyFont="1" applyAlignment="1">
      <alignment horizontal="center" vertical="top"/>
    </xf>
    <xf numFmtId="1" fontId="25" fillId="0" borderId="0" xfId="4495" quotePrefix="1" applyNumberFormat="1" applyFont="1" applyAlignment="1">
      <alignment wrapText="1"/>
    </xf>
    <xf numFmtId="0" fontId="25" fillId="0" borderId="6" xfId="4495" applyFont="1" applyBorder="1" applyAlignment="1">
      <alignment horizontal="right"/>
    </xf>
    <xf numFmtId="0" fontId="122" fillId="0" borderId="0" xfId="4496" applyFont="1" applyAlignment="1">
      <alignment wrapText="1"/>
    </xf>
    <xf numFmtId="0" fontId="17" fillId="0" borderId="0" xfId="4496" applyFont="1" applyAlignment="1">
      <alignment wrapText="1"/>
    </xf>
    <xf numFmtId="0" fontId="33" fillId="0" borderId="51" xfId="4495" applyFont="1" applyBorder="1" applyAlignment="1">
      <alignment vertical="top"/>
    </xf>
    <xf numFmtId="0" fontId="17" fillId="0" borderId="51" xfId="4496" applyFont="1" applyBorder="1" applyAlignment="1">
      <alignment wrapText="1"/>
    </xf>
    <xf numFmtId="0" fontId="24" fillId="0" borderId="51" xfId="4495" applyFont="1" applyBorder="1" applyAlignment="1">
      <alignment horizontal="right"/>
    </xf>
    <xf numFmtId="0" fontId="17" fillId="0" borderId="52" xfId="4495" applyFont="1" applyBorder="1" applyAlignment="1">
      <alignment horizontal="center"/>
    </xf>
    <xf numFmtId="0" fontId="17" fillId="0" borderId="53" xfId="4495" applyFont="1" applyBorder="1" applyAlignment="1">
      <alignment horizontal="left" vertical="top"/>
    </xf>
    <xf numFmtId="0" fontId="17" fillId="0" borderId="54" xfId="4495" applyFont="1" applyBorder="1" applyAlignment="1">
      <alignment horizontal="left" vertical="top"/>
    </xf>
    <xf numFmtId="0" fontId="17" fillId="0" borderId="54" xfId="4495" applyFont="1" applyBorder="1" applyAlignment="1">
      <alignment horizontal="center"/>
    </xf>
    <xf numFmtId="0" fontId="17" fillId="0" borderId="59" xfId="4495" applyFont="1" applyBorder="1" applyAlignment="1">
      <alignment horizontal="center"/>
    </xf>
    <xf numFmtId="9" fontId="17" fillId="0" borderId="0" xfId="4496" applyNumberFormat="1" applyFont="1" applyAlignment="1">
      <alignment horizontal="center"/>
    </xf>
    <xf numFmtId="1" fontId="17" fillId="0" borderId="0" xfId="543" applyNumberFormat="1"/>
    <xf numFmtId="0" fontId="25" fillId="0" borderId="1" xfId="4495" applyFont="1" applyBorder="1"/>
    <xf numFmtId="0" fontId="24" fillId="0" borderId="0" xfId="4495" applyFont="1" applyAlignment="1">
      <alignment horizontal="center" wrapText="1"/>
    </xf>
    <xf numFmtId="0" fontId="24" fillId="0" borderId="9" xfId="4495" applyFont="1" applyBorder="1" applyAlignment="1">
      <alignment horizontal="left"/>
    </xf>
    <xf numFmtId="0" fontId="24" fillId="0" borderId="3" xfId="4495" applyFont="1" applyBorder="1" applyAlignment="1">
      <alignment horizontal="left"/>
    </xf>
    <xf numFmtId="0" fontId="24" fillId="0" borderId="4" xfId="4495" applyFont="1" applyBorder="1" applyAlignment="1">
      <alignment horizontal="left"/>
    </xf>
    <xf numFmtId="0" fontId="17" fillId="0" borderId="2" xfId="4495" applyFont="1" applyBorder="1" applyAlignment="1">
      <alignment horizontal="left"/>
    </xf>
    <xf numFmtId="0" fontId="24" fillId="0" borderId="2" xfId="4495" applyFont="1" applyBorder="1" applyAlignment="1">
      <alignment horizontal="left"/>
    </xf>
    <xf numFmtId="0" fontId="24" fillId="0" borderId="5" xfId="4495" applyFont="1" applyBorder="1" applyAlignment="1">
      <alignment horizontal="left"/>
    </xf>
    <xf numFmtId="180" fontId="64" fillId="0" borderId="0" xfId="4495" applyNumberFormat="1" applyFont="1" applyAlignment="1">
      <alignment horizontal="center" vertical="center"/>
    </xf>
    <xf numFmtId="0" fontId="17" fillId="0" borderId="12" xfId="4495" applyFont="1" applyBorder="1" applyAlignment="1">
      <alignment vertical="top"/>
    </xf>
    <xf numFmtId="0" fontId="47" fillId="0" borderId="0" xfId="4495" applyFont="1" applyAlignment="1">
      <alignment vertical="top" wrapText="1"/>
    </xf>
    <xf numFmtId="0" fontId="17" fillId="0" borderId="51" xfId="4495" applyFont="1" applyBorder="1" applyAlignment="1">
      <alignment horizontal="left" vertical="top" wrapText="1"/>
    </xf>
    <xf numFmtId="0" fontId="17" fillId="0" borderId="51" xfId="4495" applyFont="1" applyBorder="1" applyAlignment="1">
      <alignment horizontal="right"/>
    </xf>
    <xf numFmtId="0" fontId="17" fillId="0" borderId="52" xfId="4495" applyFont="1" applyBorder="1" applyAlignment="1">
      <alignment horizontal="right"/>
    </xf>
    <xf numFmtId="0" fontId="17" fillId="0" borderId="54" xfId="4495" applyFont="1" applyBorder="1" applyAlignment="1">
      <alignment horizontal="right"/>
    </xf>
    <xf numFmtId="0" fontId="17" fillId="0" borderId="58" xfId="4495" applyFont="1" applyBorder="1" applyAlignment="1">
      <alignment horizontal="left" vertical="top" wrapText="1"/>
    </xf>
    <xf numFmtId="0" fontId="17" fillId="0" borderId="58" xfId="4495" applyFont="1" applyBorder="1" applyAlignment="1">
      <alignment horizontal="right"/>
    </xf>
    <xf numFmtId="0" fontId="17" fillId="0" borderId="59" xfId="4495" applyFont="1" applyBorder="1" applyAlignment="1">
      <alignment horizontal="right"/>
    </xf>
    <xf numFmtId="0" fontId="47" fillId="0" borderId="0" xfId="4495" applyFont="1" applyAlignment="1">
      <alignment horizontal="left" vertical="top" wrapText="1"/>
    </xf>
    <xf numFmtId="0" fontId="17" fillId="0" borderId="0" xfId="1192" applyAlignment="1">
      <alignment horizontal="left" vertical="top"/>
    </xf>
    <xf numFmtId="0" fontId="35" fillId="0" borderId="0" xfId="1192" applyFont="1" applyAlignment="1">
      <alignment horizontal="left" vertical="top"/>
    </xf>
    <xf numFmtId="0" fontId="17" fillId="0" borderId="0" xfId="1192" applyAlignment="1">
      <alignment vertical="top"/>
    </xf>
    <xf numFmtId="168" fontId="17" fillId="0" borderId="0" xfId="1192" applyNumberFormat="1"/>
    <xf numFmtId="165" fontId="17" fillId="0" borderId="0" xfId="1192" applyNumberFormat="1"/>
    <xf numFmtId="165" fontId="17" fillId="0" borderId="0" xfId="1192" applyNumberFormat="1" applyAlignment="1">
      <alignment horizontal="right"/>
    </xf>
    <xf numFmtId="2" fontId="17" fillId="0" borderId="0" xfId="1192" applyNumberFormat="1"/>
    <xf numFmtId="6" fontId="17" fillId="0" borderId="0" xfId="1192" applyNumberFormat="1"/>
    <xf numFmtId="0" fontId="24" fillId="0" borderId="0" xfId="1192" applyFont="1"/>
    <xf numFmtId="0" fontId="47" fillId="0" borderId="0" xfId="1192" applyFont="1"/>
    <xf numFmtId="168" fontId="17" fillId="0" borderId="0" xfId="4495" applyNumberFormat="1" applyFont="1"/>
    <xf numFmtId="0" fontId="24" fillId="0" borderId="0" xfId="1192" applyFont="1" applyAlignment="1">
      <alignment vertical="center"/>
    </xf>
    <xf numFmtId="0" fontId="118" fillId="0" borderId="0" xfId="1192" applyFont="1" applyAlignment="1">
      <alignment horizontal="left"/>
    </xf>
    <xf numFmtId="0" fontId="115" fillId="0" borderId="0" xfId="1192" applyFont="1" applyAlignment="1">
      <alignment horizontal="left"/>
    </xf>
    <xf numFmtId="0" fontId="115" fillId="0" borderId="0" xfId="1192" applyFont="1" applyAlignment="1">
      <alignment horizontal="center"/>
    </xf>
    <xf numFmtId="168" fontId="17" fillId="0" borderId="0" xfId="1192" applyNumberFormat="1" applyAlignment="1">
      <alignment horizontal="center"/>
    </xf>
    <xf numFmtId="9" fontId="17" fillId="0" borderId="0" xfId="1192" applyNumberFormat="1"/>
    <xf numFmtId="0" fontId="17" fillId="0" borderId="0" xfId="1192" applyAlignment="1">
      <alignment horizontal="right"/>
    </xf>
    <xf numFmtId="0" fontId="17" fillId="0" borderId="53" xfId="4495" applyFont="1" applyBorder="1" applyAlignment="1">
      <alignment horizontal="left"/>
    </xf>
    <xf numFmtId="6" fontId="24" fillId="0" borderId="0" xfId="1192" applyNumberFormat="1" applyFont="1" applyAlignment="1">
      <alignment horizontal="right"/>
    </xf>
    <xf numFmtId="165" fontId="17" fillId="0" borderId="0" xfId="4495" applyNumberFormat="1" applyFont="1"/>
    <xf numFmtId="0" fontId="54" fillId="0" borderId="4" xfId="4495" applyFont="1" applyBorder="1"/>
    <xf numFmtId="0" fontId="37" fillId="0" borderId="0" xfId="543" applyFont="1" applyAlignment="1">
      <alignment vertical="center" wrapText="1"/>
    </xf>
    <xf numFmtId="1" fontId="24" fillId="0" borderId="13" xfId="271" applyNumberFormat="1" applyFont="1" applyBorder="1"/>
    <xf numFmtId="1" fontId="26" fillId="0" borderId="13" xfId="271" applyNumberFormat="1" applyBorder="1"/>
    <xf numFmtId="0" fontId="17" fillId="0" borderId="11" xfId="0" applyFont="1" applyBorder="1"/>
    <xf numFmtId="9" fontId="17" fillId="0" borderId="0" xfId="4495" applyNumberFormat="1" applyFont="1"/>
    <xf numFmtId="165" fontId="122" fillId="0" borderId="0" xfId="4496" applyNumberFormat="1" applyFont="1" applyAlignment="1">
      <alignment horizontal="center" vertical="top" wrapText="1"/>
    </xf>
    <xf numFmtId="168" fontId="122" fillId="0" borderId="0" xfId="4496" applyNumberFormat="1" applyFont="1" applyAlignment="1">
      <alignment vertical="top" wrapText="1"/>
    </xf>
    <xf numFmtId="165" fontId="122" fillId="0" borderId="64" xfId="4496" applyNumberFormat="1" applyFont="1" applyBorder="1" applyAlignment="1">
      <alignment horizontal="center" vertical="top" wrapText="1"/>
    </xf>
    <xf numFmtId="165" fontId="122" fillId="0" borderId="53" xfId="4496" applyNumberFormat="1" applyFont="1" applyBorder="1" applyAlignment="1">
      <alignment horizontal="left" vertical="top"/>
    </xf>
    <xf numFmtId="165" fontId="122" fillId="0" borderId="53" xfId="4496" applyNumberFormat="1" applyFont="1" applyBorder="1" applyAlignment="1">
      <alignment horizontal="center" vertical="top" wrapText="1"/>
    </xf>
    <xf numFmtId="168" fontId="122" fillId="0" borderId="0" xfId="4496" applyNumberFormat="1" applyFont="1" applyAlignment="1">
      <alignment vertical="top"/>
    </xf>
    <xf numFmtId="1" fontId="122" fillId="0" borderId="0" xfId="4496" applyNumberFormat="1" applyFont="1" applyAlignment="1">
      <alignment vertical="top" wrapText="1"/>
    </xf>
    <xf numFmtId="164" fontId="25" fillId="0" borderId="0" xfId="4495" applyNumberFormat="1" applyFont="1"/>
    <xf numFmtId="0" fontId="24" fillId="0" borderId="8" xfId="0" applyFont="1" applyBorder="1" applyAlignment="1">
      <alignment horizontal="center" vertical="center" wrapText="1"/>
    </xf>
    <xf numFmtId="0" fontId="24"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1" fillId="0" borderId="50" xfId="1192" applyFont="1" applyBorder="1" applyAlignment="1">
      <alignment horizontal="left"/>
    </xf>
    <xf numFmtId="0" fontId="142" fillId="0" borderId="51" xfId="4495" applyFont="1" applyBorder="1" applyAlignment="1">
      <alignment vertical="top"/>
    </xf>
    <xf numFmtId="0" fontId="141" fillId="0" borderId="51" xfId="4495" applyFont="1" applyBorder="1" applyAlignment="1">
      <alignment vertical="top" wrapText="1"/>
    </xf>
    <xf numFmtId="0" fontId="142" fillId="0" borderId="51" xfId="4495" applyFont="1" applyBorder="1"/>
    <xf numFmtId="0" fontId="142" fillId="0" borderId="53" xfId="1192" applyFont="1" applyBorder="1" applyAlignment="1">
      <alignment horizontal="left"/>
    </xf>
    <xf numFmtId="0" fontId="142" fillId="0" borderId="0" xfId="4495" applyFont="1" applyAlignment="1">
      <alignment vertical="top"/>
    </xf>
    <xf numFmtId="0" fontId="141" fillId="0" borderId="0" xfId="4495" applyFont="1" applyAlignment="1">
      <alignment vertical="top" wrapText="1"/>
    </xf>
    <xf numFmtId="0" fontId="142" fillId="0" borderId="0" xfId="4495" applyFont="1"/>
    <xf numFmtId="0" fontId="141" fillId="0" borderId="53" xfId="1192" applyFont="1" applyBorder="1" applyAlignment="1">
      <alignment horizontal="left"/>
    </xf>
    <xf numFmtId="0" fontId="141" fillId="0" borderId="57" xfId="1192" applyFont="1" applyBorder="1" applyAlignment="1">
      <alignment horizontal="left"/>
    </xf>
    <xf numFmtId="0" fontId="142" fillId="0" borderId="58" xfId="4495" applyFont="1" applyBorder="1" applyAlignment="1">
      <alignment vertical="top"/>
    </xf>
    <xf numFmtId="0" fontId="141" fillId="0" borderId="58" xfId="4495" applyFont="1" applyBorder="1" applyAlignment="1">
      <alignment vertical="top" wrapText="1"/>
    </xf>
    <xf numFmtId="0" fontId="142" fillId="0" borderId="58" xfId="4495" applyFont="1" applyBorder="1"/>
    <xf numFmtId="0" fontId="26" fillId="0" borderId="3" xfId="0" applyFont="1" applyBorder="1" applyAlignment="1">
      <alignment horizontal="center"/>
    </xf>
    <xf numFmtId="0" fontId="26" fillId="0" borderId="4" xfId="0" applyFont="1" applyBorder="1" applyAlignment="1">
      <alignment horizontal="center"/>
    </xf>
    <xf numFmtId="0" fontId="26" fillId="0" borderId="5" xfId="0" applyFont="1" applyBorder="1" applyAlignment="1">
      <alignment horizontal="center"/>
    </xf>
    <xf numFmtId="0" fontId="24" fillId="0" borderId="7" xfId="0" applyFont="1" applyBorder="1" applyAlignment="1">
      <alignment horizontal="right"/>
    </xf>
    <xf numFmtId="0" fontId="0" fillId="0" borderId="0" xfId="0" applyAlignment="1" applyProtection="1">
      <alignment horizontal="left" vertical="top" wrapText="1"/>
      <protection locked="0"/>
    </xf>
    <xf numFmtId="0" fontId="17" fillId="0" borderId="9" xfId="0" applyFont="1" applyBorder="1" applyAlignment="1">
      <alignment horizontal="left"/>
    </xf>
    <xf numFmtId="0" fontId="17" fillId="0" borderId="6" xfId="0" applyFont="1" applyBorder="1"/>
    <xf numFmtId="0" fontId="17" fillId="0" borderId="9" xfId="0" applyFont="1" applyBorder="1"/>
    <xf numFmtId="0" fontId="50" fillId="0" borderId="0" xfId="0" applyFont="1" applyAlignment="1">
      <alignment horizontal="center"/>
    </xf>
    <xf numFmtId="0" fontId="23" fillId="0" borderId="0" xfId="0" applyFont="1" applyAlignment="1">
      <alignment horizontal="center" vertical="center" wrapText="1"/>
    </xf>
    <xf numFmtId="0" fontId="32" fillId="0" borderId="0" xfId="0" applyFont="1" applyAlignment="1">
      <alignment horizontal="center"/>
    </xf>
    <xf numFmtId="0" fontId="25" fillId="0" borderId="0" xfId="0" applyFont="1" applyAlignment="1">
      <alignment horizontal="center"/>
    </xf>
    <xf numFmtId="0" fontId="24" fillId="0" borderId="3" xfId="0" applyFont="1" applyBorder="1"/>
    <xf numFmtId="0" fontId="24" fillId="0" borderId="4" xfId="271" applyFont="1" applyBorder="1"/>
    <xf numFmtId="0" fontId="24" fillId="0" borderId="3" xfId="271" applyFont="1" applyBorder="1"/>
    <xf numFmtId="0" fontId="24" fillId="0" borderId="5" xfId="271" applyFont="1" applyBorder="1"/>
    <xf numFmtId="0" fontId="17" fillId="0" borderId="58" xfId="4495" applyFont="1" applyBorder="1" applyAlignment="1">
      <alignment vertical="center" wrapText="1"/>
    </xf>
    <xf numFmtId="0" fontId="17" fillId="0" borderId="59" xfId="4495" applyFont="1" applyBorder="1" applyAlignment="1">
      <alignment vertical="center" wrapText="1"/>
    </xf>
    <xf numFmtId="0" fontId="17" fillId="0" borderId="0" xfId="4495" applyFont="1" applyAlignment="1">
      <alignment horizontal="left" vertical="center" wrapText="1"/>
    </xf>
    <xf numFmtId="0" fontId="24" fillId="0" borderId="5" xfId="0" applyFont="1" applyBorder="1"/>
    <xf numFmtId="168" fontId="22" fillId="43" borderId="0" xfId="0" applyNumberFormat="1" applyFont="1" applyFill="1"/>
    <xf numFmtId="9" fontId="25" fillId="0" borderId="0" xfId="543" applyNumberFormat="1" applyFont="1" applyAlignment="1">
      <alignment horizontal="center"/>
    </xf>
    <xf numFmtId="171" fontId="17" fillId="0" borderId="0" xfId="543" applyNumberFormat="1"/>
    <xf numFmtId="171" fontId="17" fillId="0" borderId="11" xfId="543" applyNumberFormat="1" applyBorder="1"/>
    <xf numFmtId="1" fontId="17" fillId="0" borderId="11" xfId="543" applyNumberFormat="1" applyBorder="1" applyAlignment="1">
      <alignment horizontal="center"/>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44" fillId="0" borderId="8" xfId="543" applyFont="1" applyBorder="1" applyAlignment="1">
      <alignment vertical="center" wrapText="1"/>
    </xf>
    <xf numFmtId="0" fontId="44" fillId="0" borderId="0" xfId="543" applyFont="1" applyAlignment="1">
      <alignment vertical="center" wrapText="1"/>
    </xf>
    <xf numFmtId="0" fontId="44" fillId="0" borderId="12" xfId="543" applyFont="1" applyBorder="1" applyAlignment="1">
      <alignment vertical="center" wrapText="1"/>
    </xf>
    <xf numFmtId="0" fontId="44" fillId="0" borderId="9" xfId="543" applyFont="1" applyBorder="1" applyAlignment="1">
      <alignment vertical="center" wrapText="1"/>
    </xf>
    <xf numFmtId="0" fontId="44" fillId="0" borderId="6" xfId="543" applyFont="1" applyBorder="1" applyAlignment="1">
      <alignment vertical="center" wrapText="1"/>
    </xf>
    <xf numFmtId="0" fontId="44" fillId="0" borderId="10" xfId="543" applyFont="1" applyBorder="1" applyAlignment="1">
      <alignment vertical="center" wrapText="1"/>
    </xf>
    <xf numFmtId="0" fontId="37" fillId="0" borderId="12" xfId="543" applyFont="1" applyBorder="1" applyAlignment="1">
      <alignment horizontal="center" vertical="top"/>
    </xf>
    <xf numFmtId="0" fontId="38" fillId="0" borderId="7" xfId="543" applyFont="1" applyBorder="1"/>
    <xf numFmtId="0" fontId="17" fillId="0" borderId="12" xfId="543" quotePrefix="1" applyBorder="1"/>
    <xf numFmtId="0" fontId="53" fillId="0" borderId="2" xfId="569" applyFont="1" applyBorder="1" applyAlignment="1">
      <alignment vertical="top"/>
    </xf>
    <xf numFmtId="0" fontId="27" fillId="0" borderId="0" xfId="4495" applyFont="1"/>
    <xf numFmtId="0" fontId="17" fillId="0" borderId="0" xfId="4495" applyFont="1" applyAlignment="1">
      <alignment vertical="top" wrapText="1" shrinkToFit="1"/>
    </xf>
    <xf numFmtId="0" fontId="146" fillId="0" borderId="0" xfId="4495" applyFont="1"/>
    <xf numFmtId="164" fontId="17" fillId="0" borderId="0" xfId="1192" applyNumberFormat="1" applyAlignment="1">
      <alignment horizontal="right"/>
    </xf>
    <xf numFmtId="164" fontId="17" fillId="0" borderId="0" xfId="4495" applyNumberFormat="1" applyFont="1" applyAlignment="1">
      <alignment horizontal="right"/>
    </xf>
    <xf numFmtId="0" fontId="17" fillId="0" borderId="0" xfId="4495" applyFont="1" applyAlignment="1">
      <alignment horizontal="left" vertical="top" wrapText="1" shrinkToFit="1"/>
    </xf>
    <xf numFmtId="0" fontId="17" fillId="0" borderId="6" xfId="4495" applyFont="1" applyBorder="1" applyAlignment="1">
      <alignment vertical="top" wrapText="1"/>
    </xf>
    <xf numFmtId="0" fontId="146" fillId="0" borderId="4" xfId="4495" applyFont="1" applyBorder="1"/>
    <xf numFmtId="0" fontId="17" fillId="0" borderId="4" xfId="4495" applyFont="1" applyBorder="1" applyAlignment="1">
      <alignment horizontal="left" vertical="top" wrapText="1" shrinkToFit="1"/>
    </xf>
    <xf numFmtId="0" fontId="27" fillId="0" borderId="0" xfId="4495" applyFont="1" applyAlignment="1">
      <alignment horizontal="left" vertical="top"/>
    </xf>
    <xf numFmtId="0" fontId="17" fillId="0" borderId="0" xfId="4495" applyFont="1" applyAlignment="1">
      <alignment vertical="center" wrapText="1" shrinkToFit="1"/>
    </xf>
    <xf numFmtId="0" fontId="17" fillId="0" borderId="0" xfId="4495" applyFont="1" applyAlignment="1">
      <alignment horizontal="left" vertical="top" shrinkToFit="1"/>
    </xf>
    <xf numFmtId="0" fontId="17" fillId="0" borderId="0" xfId="4495" applyFont="1" applyAlignment="1">
      <alignment horizontal="left" vertical="center" shrinkToFit="1"/>
    </xf>
    <xf numFmtId="0" fontId="27" fillId="0" borderId="4" xfId="4495" applyFont="1" applyBorder="1"/>
    <xf numFmtId="0" fontId="17" fillId="0" borderId="4" xfId="4495" applyFont="1" applyBorder="1" applyAlignment="1">
      <alignment horizontal="left" vertical="top" shrinkToFit="1"/>
    </xf>
    <xf numFmtId="0" fontId="17" fillId="0" borderId="0" xfId="4495" applyFont="1" applyAlignment="1">
      <alignment vertical="center"/>
    </xf>
    <xf numFmtId="0" fontId="23" fillId="0" borderId="0" xfId="4495" applyFont="1"/>
    <xf numFmtId="0" fontId="27" fillId="0" borderId="0" xfId="4495" applyFont="1" applyAlignment="1">
      <alignment horizontal="center"/>
    </xf>
    <xf numFmtId="0" fontId="17" fillId="0" borderId="4" xfId="4495" applyFont="1" applyBorder="1" applyAlignment="1">
      <alignment horizontal="left" vertical="top" wrapText="1"/>
    </xf>
    <xf numFmtId="44" fontId="17" fillId="0" borderId="0" xfId="707" applyFont="1" applyFill="1" applyBorder="1" applyAlignment="1" applyProtection="1">
      <alignment horizontal="left" vertical="top" wrapText="1"/>
    </xf>
    <xf numFmtId="44" fontId="17" fillId="0" borderId="4" xfId="707" applyFont="1" applyFill="1" applyBorder="1" applyAlignment="1" applyProtection="1">
      <alignment horizontal="left" vertical="top" wrapText="1"/>
    </xf>
    <xf numFmtId="164" fontId="35" fillId="0" borderId="0" xfId="4495" applyNumberFormat="1" applyFont="1" applyAlignment="1">
      <alignment horizontal="left"/>
    </xf>
    <xf numFmtId="0" fontId="27" fillId="0" borderId="0" xfId="4495" applyFont="1" applyAlignment="1">
      <alignment horizontal="left"/>
    </xf>
    <xf numFmtId="0" fontId="17" fillId="0" borderId="4" xfId="4495" applyFont="1" applyBorder="1" applyAlignment="1">
      <alignment vertical="top" wrapText="1"/>
    </xf>
    <xf numFmtId="0" fontId="27" fillId="0" borderId="4" xfId="4495" applyFont="1" applyBorder="1" applyAlignment="1">
      <alignment horizontal="left" vertical="top"/>
    </xf>
    <xf numFmtId="0" fontId="17" fillId="0" borderId="0" xfId="4495" applyFont="1" applyAlignment="1">
      <alignment horizontal="left" vertical="center" wrapText="1" shrinkToFit="1"/>
    </xf>
    <xf numFmtId="0" fontId="17" fillId="0" borderId="6" xfId="4495" applyFont="1" applyBorder="1" applyAlignment="1">
      <alignment horizontal="left" vertical="top" wrapText="1"/>
    </xf>
    <xf numFmtId="2" fontId="118" fillId="0" borderId="0" xfId="0" applyNumberFormat="1" applyFont="1" applyAlignment="1">
      <alignment horizontal="center"/>
    </xf>
    <xf numFmtId="9" fontId="17" fillId="0" borderId="0" xfId="4494" applyFont="1" applyAlignment="1">
      <alignment horizontal="center"/>
    </xf>
    <xf numFmtId="3" fontId="17" fillId="0" borderId="0" xfId="0" applyNumberFormat="1" applyFont="1"/>
    <xf numFmtId="10" fontId="17" fillId="0" borderId="0" xfId="0" applyNumberFormat="1" applyFont="1" applyAlignment="1">
      <alignment horizontal="center"/>
    </xf>
    <xf numFmtId="168" fontId="17" fillId="0" borderId="0" xfId="0" applyNumberFormat="1" applyFont="1"/>
    <xf numFmtId="172" fontId="17" fillId="0" borderId="11" xfId="0" applyNumberFormat="1" applyFont="1" applyBorder="1" applyAlignment="1">
      <alignment horizontal="center"/>
    </xf>
    <xf numFmtId="168" fontId="17" fillId="5" borderId="0" xfId="0" applyNumberFormat="1" applyFont="1" applyFill="1"/>
    <xf numFmtId="3" fontId="17" fillId="5" borderId="0" xfId="0" applyNumberFormat="1" applyFont="1" applyFill="1"/>
    <xf numFmtId="0" fontId="17" fillId="5" borderId="0" xfId="0" applyFont="1" applyFill="1"/>
    <xf numFmtId="3" fontId="17" fillId="5" borderId="6" xfId="0" applyNumberFormat="1" applyFont="1" applyFill="1" applyBorder="1"/>
    <xf numFmtId="3" fontId="17" fillId="0" borderId="6" xfId="0" applyNumberFormat="1" applyFont="1" applyBorder="1"/>
    <xf numFmtId="168" fontId="17" fillId="0" borderId="0" xfId="0" applyNumberFormat="1" applyFont="1" applyAlignment="1">
      <alignment horizontal="center"/>
    </xf>
    <xf numFmtId="3" fontId="17" fillId="0" borderId="0" xfId="0" applyNumberFormat="1" applyFont="1" applyAlignment="1">
      <alignment horizontal="center"/>
    </xf>
    <xf numFmtId="0" fontId="17" fillId="0" borderId="50" xfId="4495" applyFont="1" applyBorder="1" applyAlignment="1">
      <alignment vertical="center"/>
    </xf>
    <xf numFmtId="0" fontId="17" fillId="0" borderId="51" xfId="4495" applyFont="1" applyBorder="1" applyAlignment="1">
      <alignment vertical="center"/>
    </xf>
    <xf numFmtId="0" fontId="17" fillId="0" borderId="52" xfId="4495" applyFont="1" applyBorder="1" applyAlignment="1">
      <alignment vertical="center"/>
    </xf>
    <xf numFmtId="0" fontId="17" fillId="0" borderId="54" xfId="4495" applyFont="1" applyBorder="1" applyAlignment="1">
      <alignment vertical="center" wrapText="1"/>
    </xf>
    <xf numFmtId="0" fontId="17" fillId="0" borderId="53" xfId="4495" applyFont="1" applyBorder="1" applyAlignment="1">
      <alignment vertical="top" wrapText="1"/>
    </xf>
    <xf numFmtId="0" fontId="17" fillId="0" borderId="58" xfId="0" applyFont="1" applyBorder="1" applyAlignment="1">
      <alignment horizontal="left"/>
    </xf>
    <xf numFmtId="9" fontId="17" fillId="0" borderId="0" xfId="543" applyNumberFormat="1" applyAlignment="1">
      <alignment horizontal="center"/>
    </xf>
    <xf numFmtId="0" fontId="49" fillId="0" borderId="0" xfId="4496" applyFont="1"/>
    <xf numFmtId="168" fontId="53" fillId="5" borderId="11" xfId="0" applyNumberFormat="1" applyFont="1" applyFill="1" applyBorder="1" applyAlignment="1" applyProtection="1">
      <alignment vertical="top" wrapText="1"/>
      <protection locked="0"/>
    </xf>
    <xf numFmtId="0" fontId="17" fillId="0" borderId="0" xfId="0" applyFont="1" applyAlignment="1">
      <alignment horizontal="left" wrapText="1"/>
    </xf>
    <xf numFmtId="4" fontId="35" fillId="0" borderId="0" xfId="0" applyNumberFormat="1" applyFont="1" applyAlignment="1">
      <alignment horizontal="left"/>
    </xf>
    <xf numFmtId="4" fontId="17" fillId="0" borderId="0" xfId="0" applyNumberFormat="1" applyFont="1" applyAlignment="1">
      <alignment horizontal="left" vertical="top" wrapText="1"/>
    </xf>
    <xf numFmtId="0" fontId="24" fillId="0" borderId="4" xfId="0" applyFont="1" applyBorder="1" applyAlignment="1">
      <alignment horizontal="left"/>
    </xf>
    <xf numFmtId="4" fontId="17" fillId="0" borderId="0" xfId="0" applyNumberFormat="1" applyFont="1" applyAlignment="1">
      <alignment horizontal="left"/>
    </xf>
    <xf numFmtId="43" fontId="51" fillId="0" borderId="0" xfId="4503" applyFont="1" applyAlignment="1" applyProtection="1">
      <alignment horizontal="center"/>
    </xf>
    <xf numFmtId="43" fontId="17" fillId="0" borderId="0" xfId="4503" applyFont="1" applyAlignment="1" applyProtection="1">
      <alignment horizontal="center"/>
    </xf>
    <xf numFmtId="43" fontId="17" fillId="0" borderId="0" xfId="4503" applyFont="1" applyProtection="1"/>
    <xf numFmtId="49" fontId="17" fillId="0" borderId="0" xfId="0" applyNumberFormat="1" applyFont="1"/>
    <xf numFmtId="49" fontId="17" fillId="0" borderId="0" xfId="0" applyNumberFormat="1" applyFont="1" applyAlignment="1">
      <alignment horizontal="center"/>
    </xf>
    <xf numFmtId="4" fontId="17" fillId="0" borderId="0" xfId="0" applyNumberFormat="1" applyFont="1" applyAlignment="1">
      <alignment vertical="top" wrapText="1"/>
    </xf>
    <xf numFmtId="0" fontId="17" fillId="0" borderId="0" xfId="0" quotePrefix="1" applyFont="1"/>
    <xf numFmtId="0" fontId="47" fillId="0" borderId="0" xfId="0" applyFont="1" applyAlignment="1">
      <alignment horizontal="left"/>
    </xf>
    <xf numFmtId="0" fontId="17" fillId="0" borderId="4" xfId="0" applyFont="1" applyBorder="1" applyAlignment="1">
      <alignment horizontal="left"/>
    </xf>
    <xf numFmtId="0" fontId="17" fillId="0" borderId="0" xfId="0" quotePrefix="1" applyFont="1" applyAlignment="1">
      <alignment horizontal="left"/>
    </xf>
    <xf numFmtId="0" fontId="17" fillId="0" borderId="0" xfId="0" quotePrefix="1" applyFont="1" applyAlignment="1">
      <alignment horizontal="left" vertical="top"/>
    </xf>
    <xf numFmtId="0" fontId="47" fillId="0" borderId="0" xfId="1192" applyFont="1" applyAlignment="1">
      <alignment horizontal="left"/>
    </xf>
    <xf numFmtId="0" fontId="51" fillId="0" borderId="0" xfId="0" applyFont="1" applyAlignment="1">
      <alignment horizontal="center" vertical="center"/>
    </xf>
    <xf numFmtId="49" fontId="24" fillId="0" borderId="0" xfId="0" applyNumberFormat="1" applyFont="1" applyAlignment="1">
      <alignment horizontal="center" vertical="center"/>
    </xf>
    <xf numFmtId="49" fontId="17" fillId="0" borderId="0" xfId="0" applyNumberFormat="1" applyFont="1" applyAlignment="1">
      <alignment vertical="center"/>
    </xf>
    <xf numFmtId="4" fontId="17" fillId="0" borderId="0" xfId="0" applyNumberFormat="1" applyFont="1" applyAlignment="1">
      <alignment horizontal="center"/>
    </xf>
    <xf numFmtId="4" fontId="17" fillId="0" borderId="0" xfId="0" applyNumberFormat="1" applyFont="1"/>
    <xf numFmtId="10" fontId="17" fillId="0" borderId="0" xfId="4495" applyNumberFormat="1" applyFont="1"/>
    <xf numFmtId="10" fontId="122" fillId="0" borderId="0" xfId="4496" applyNumberFormat="1" applyFont="1" applyAlignment="1">
      <alignment horizontal="center" vertical="top" wrapText="1"/>
    </xf>
    <xf numFmtId="10" fontId="122" fillId="0" borderId="64" xfId="4496" applyNumberFormat="1" applyFont="1" applyBorder="1" applyAlignment="1">
      <alignment horizontal="center" vertical="top" wrapText="1"/>
    </xf>
    <xf numFmtId="10" fontId="122"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7" fillId="0" borderId="0" xfId="1192" quotePrefix="1" applyNumberFormat="1" applyAlignment="1">
      <alignment horizontal="center"/>
    </xf>
    <xf numFmtId="0" fontId="122" fillId="0" borderId="0" xfId="4495" applyFont="1"/>
    <xf numFmtId="10" fontId="122" fillId="0" borderId="0" xfId="4495" applyNumberFormat="1" applyFont="1"/>
    <xf numFmtId="172" fontId="17" fillId="0" borderId="0" xfId="4495" applyNumberFormat="1" applyFont="1"/>
    <xf numFmtId="0" fontId="40" fillId="0" borderId="0" xfId="0" applyFont="1" applyAlignment="1">
      <alignment horizontal="center"/>
    </xf>
    <xf numFmtId="0" fontId="36" fillId="0" borderId="0" xfId="0" applyFont="1" applyAlignment="1">
      <alignment horizontal="left"/>
    </xf>
    <xf numFmtId="0" fontId="0" fillId="0" borderId="10" xfId="0" applyBorder="1" applyAlignment="1">
      <alignment horizontal="left"/>
    </xf>
    <xf numFmtId="1" fontId="17" fillId="0" borderId="0" xfId="1192" applyNumberFormat="1" applyAlignment="1">
      <alignment horizontal="center"/>
    </xf>
    <xf numFmtId="0" fontId="120" fillId="0" borderId="63" xfId="4495" applyBorder="1"/>
    <xf numFmtId="0" fontId="53" fillId="0" borderId="0" xfId="271" applyFont="1" applyAlignment="1">
      <alignment vertical="top"/>
    </xf>
    <xf numFmtId="0" fontId="24" fillId="0" borderId="11" xfId="0" applyFont="1" applyBorder="1" applyAlignment="1">
      <alignment horizontal="right" vertical="top" wrapText="1"/>
    </xf>
    <xf numFmtId="0" fontId="26" fillId="0" borderId="11" xfId="271" applyBorder="1" applyAlignment="1" applyProtection="1">
      <alignment horizontal="right" vertical="top" wrapText="1"/>
      <protection locked="0"/>
    </xf>
    <xf numFmtId="0" fontId="17" fillId="0" borderId="54" xfId="4495" applyFont="1" applyBorder="1" applyAlignment="1">
      <alignment vertical="top"/>
    </xf>
    <xf numFmtId="9" fontId="26" fillId="0" borderId="0" xfId="0" applyNumberFormat="1" applyFont="1"/>
    <xf numFmtId="0" fontId="17" fillId="0" borderId="16" xfId="569" applyBorder="1" applyAlignment="1">
      <alignment horizontal="center"/>
    </xf>
    <xf numFmtId="164" fontId="17" fillId="0" borderId="57" xfId="4495" applyNumberFormat="1" applyFont="1" applyBorder="1" applyAlignment="1">
      <alignment vertical="top" wrapText="1"/>
    </xf>
    <xf numFmtId="164" fontId="17" fillId="0" borderId="58" xfId="4495" applyNumberFormat="1" applyFont="1" applyBorder="1" applyAlignment="1">
      <alignment vertical="top" wrapText="1"/>
    </xf>
    <xf numFmtId="164" fontId="17" fillId="0" borderId="59" xfId="4495" applyNumberFormat="1" applyFont="1" applyBorder="1" applyAlignment="1">
      <alignment vertical="top" wrapText="1"/>
    </xf>
    <xf numFmtId="0" fontId="24" fillId="0" borderId="0" xfId="1192" applyFont="1" applyAlignment="1">
      <alignment horizontal="left" vertical="top" wrapText="1"/>
    </xf>
    <xf numFmtId="0" fontId="17" fillId="0" borderId="16" xfId="569" applyBorder="1"/>
    <xf numFmtId="0" fontId="17" fillId="0" borderId="4" xfId="569" applyBorder="1"/>
    <xf numFmtId="0" fontId="24" fillId="0" borderId="4" xfId="569" applyFont="1" applyBorder="1"/>
    <xf numFmtId="49" fontId="17" fillId="0" borderId="4" xfId="569" applyNumberFormat="1" applyBorder="1"/>
    <xf numFmtId="0" fontId="149" fillId="0" borderId="0" xfId="0" applyFont="1"/>
    <xf numFmtId="0" fontId="17" fillId="0" borderId="0" xfId="0" applyFont="1" applyAlignment="1">
      <alignment horizontal="right"/>
    </xf>
    <xf numFmtId="1" fontId="17" fillId="0" borderId="0" xfId="0" applyNumberFormat="1" applyFont="1" applyAlignment="1">
      <alignment horizontal="center"/>
    </xf>
    <xf numFmtId="0" fontId="24" fillId="0" borderId="0" xfId="0" applyFont="1" applyAlignment="1">
      <alignment horizontal="left" vertical="center"/>
    </xf>
    <xf numFmtId="0" fontId="17" fillId="0" borderId="0" xfId="0" applyFont="1" applyAlignment="1">
      <alignment horizontal="left" vertical="center"/>
    </xf>
    <xf numFmtId="0" fontId="24" fillId="0" borderId="0" xfId="569" applyFont="1" applyAlignment="1">
      <alignment vertical="top"/>
    </xf>
    <xf numFmtId="0" fontId="18" fillId="0" borderId="0" xfId="244" applyAlignment="1"/>
    <xf numFmtId="0" fontId="24" fillId="0" borderId="0" xfId="0" applyFont="1" applyAlignment="1">
      <alignment vertical="top" wrapText="1"/>
    </xf>
    <xf numFmtId="49" fontId="24" fillId="0" borderId="0" xfId="0" applyNumberFormat="1" applyFont="1"/>
    <xf numFmtId="49" fontId="24" fillId="0" borderId="0" xfId="0" applyNumberFormat="1" applyFont="1" applyAlignment="1">
      <alignment vertical="top"/>
    </xf>
    <xf numFmtId="0" fontId="40" fillId="0" borderId="11" xfId="0" applyFont="1" applyBorder="1"/>
    <xf numFmtId="175" fontId="17" fillId="0" borderId="0" xfId="543" applyNumberFormat="1" applyAlignment="1">
      <alignment vertical="center"/>
    </xf>
    <xf numFmtId="0" fontId="98" fillId="43" borderId="6" xfId="4496" applyFont="1" applyFill="1" applyBorder="1" applyAlignment="1" applyProtection="1">
      <alignment horizontal="center"/>
      <protection locked="0"/>
    </xf>
    <xf numFmtId="0" fontId="98" fillId="0" borderId="0" xfId="4496" applyFont="1"/>
    <xf numFmtId="0" fontId="98" fillId="0" borderId="0" xfId="4496" applyFont="1" applyAlignment="1">
      <alignment wrapText="1"/>
    </xf>
    <xf numFmtId="0" fontId="137" fillId="0" borderId="0" xfId="4496" applyFont="1"/>
    <xf numFmtId="181" fontId="138" fillId="0" borderId="0" xfId="4498" applyNumberFormat="1" applyFont="1" applyBorder="1" applyProtection="1"/>
    <xf numFmtId="0" fontId="139" fillId="0" borderId="0" xfId="4496" applyFont="1" applyAlignment="1">
      <alignment vertical="center" wrapText="1"/>
    </xf>
    <xf numFmtId="49" fontId="98" fillId="0" borderId="0" xfId="4496" applyNumberFormat="1" applyFont="1" applyAlignment="1">
      <alignment horizontal="center"/>
    </xf>
    <xf numFmtId="182" fontId="98" fillId="0" borderId="6" xfId="4496" applyNumberFormat="1" applyFont="1" applyBorder="1"/>
    <xf numFmtId="0" fontId="98" fillId="0" borderId="0" xfId="4496" applyFont="1" applyAlignment="1">
      <alignment vertical="center"/>
    </xf>
    <xf numFmtId="182" fontId="98" fillId="0" borderId="0" xfId="4496" applyNumberFormat="1" applyFont="1" applyAlignment="1">
      <alignment vertical="center"/>
    </xf>
    <xf numFmtId="175" fontId="98" fillId="0" borderId="0" xfId="4499" applyNumberFormat="1" applyFont="1" applyFill="1" applyBorder="1" applyAlignment="1" applyProtection="1">
      <alignment horizontal="left" vertical="center"/>
    </xf>
    <xf numFmtId="9" fontId="98" fillId="0" borderId="0" xfId="4499" applyFont="1" applyFill="1" applyBorder="1" applyAlignment="1" applyProtection="1">
      <alignment vertical="center"/>
    </xf>
    <xf numFmtId="183" fontId="98" fillId="0" borderId="0" xfId="4496" applyNumberFormat="1" applyFont="1" applyAlignment="1">
      <alignment vertical="center" wrapText="1"/>
    </xf>
    <xf numFmtId="9" fontId="98" fillId="0" borderId="0" xfId="4499" applyFont="1" applyBorder="1" applyAlignment="1" applyProtection="1">
      <alignment vertical="center"/>
    </xf>
    <xf numFmtId="164" fontId="98" fillId="0" borderId="0" xfId="4496" applyNumberFormat="1" applyFont="1" applyAlignment="1">
      <alignment vertical="center" wrapText="1"/>
    </xf>
    <xf numFmtId="0" fontId="98" fillId="0" borderId="0" xfId="4496" applyFont="1" applyAlignment="1">
      <alignment horizontal="center" vertical="center"/>
    </xf>
    <xf numFmtId="182" fontId="98" fillId="0" borderId="11" xfId="8721" applyNumberFormat="1" applyFont="1" applyBorder="1" applyProtection="1"/>
    <xf numFmtId="182" fontId="98" fillId="0" borderId="11" xfId="4496" applyNumberFormat="1" applyFont="1" applyBorder="1"/>
    <xf numFmtId="164" fontId="98" fillId="0" borderId="0" xfId="4496" applyNumberFormat="1" applyFont="1" applyAlignment="1">
      <alignment wrapText="1"/>
    </xf>
    <xf numFmtId="49" fontId="98" fillId="0" borderId="0" xfId="4496" applyNumberFormat="1" applyFont="1" applyAlignment="1">
      <alignment horizontal="left"/>
    </xf>
    <xf numFmtId="0" fontId="140" fillId="0" borderId="0" xfId="4496" applyFont="1"/>
    <xf numFmtId="9" fontId="98" fillId="0" borderId="11" xfId="4494" applyFont="1" applyFill="1" applyBorder="1" applyAlignment="1" applyProtection="1">
      <alignment horizontal="right"/>
    </xf>
    <xf numFmtId="1" fontId="98" fillId="0" borderId="0" xfId="4496" applyNumberFormat="1" applyFont="1"/>
    <xf numFmtId="0" fontId="137" fillId="45" borderId="3" xfId="4496" applyFont="1" applyFill="1" applyBorder="1" applyAlignment="1">
      <alignment horizontal="left" indent="1"/>
    </xf>
    <xf numFmtId="0" fontId="98" fillId="45" borderId="4" xfId="4496" applyFont="1" applyFill="1" applyBorder="1"/>
    <xf numFmtId="2" fontId="98" fillId="45" borderId="5" xfId="4496" applyNumberFormat="1" applyFont="1" applyFill="1" applyBorder="1"/>
    <xf numFmtId="181" fontId="98" fillId="0" borderId="0" xfId="4496" applyNumberFormat="1" applyFont="1"/>
    <xf numFmtId="165" fontId="138" fillId="0" borderId="0" xfId="4499" applyNumberFormat="1" applyFont="1" applyFill="1" applyBorder="1" applyProtection="1"/>
    <xf numFmtId="9" fontId="98" fillId="0" borderId="0" xfId="4494" applyFont="1" applyFill="1" applyProtection="1"/>
    <xf numFmtId="0" fontId="98" fillId="0" borderId="11" xfId="4496" applyFont="1" applyBorder="1" applyAlignment="1">
      <alignment horizontal="center"/>
    </xf>
    <xf numFmtId="2" fontId="98" fillId="0" borderId="11" xfId="4496" applyNumberFormat="1" applyFont="1" applyBorder="1" applyAlignment="1">
      <alignment horizontal="center"/>
    </xf>
    <xf numFmtId="0" fontId="98" fillId="0" borderId="0" xfId="4496" applyFont="1" applyAlignment="1">
      <alignment vertical="top" wrapText="1"/>
    </xf>
    <xf numFmtId="0" fontId="98" fillId="0" borderId="11" xfId="4496" applyFont="1" applyBorder="1" applyAlignment="1">
      <alignment horizontal="center" vertical="top" wrapText="1"/>
    </xf>
    <xf numFmtId="182" fontId="98" fillId="0" borderId="0" xfId="8721" applyNumberFormat="1" applyFont="1" applyBorder="1" applyProtection="1"/>
    <xf numFmtId="0" fontId="98" fillId="0" borderId="0" xfId="4496" applyFont="1" applyAlignment="1">
      <alignment horizontal="left" indent="1"/>
    </xf>
    <xf numFmtId="182" fontId="98" fillId="0" borderId="0" xfId="4496" applyNumberFormat="1" applyFont="1"/>
    <xf numFmtId="184" fontId="98" fillId="0" borderId="0" xfId="4496" applyNumberFormat="1" applyFont="1"/>
    <xf numFmtId="0" fontId="98" fillId="0" borderId="0" xfId="4496" applyFont="1" applyAlignment="1">
      <alignment horizontal="left"/>
    </xf>
    <xf numFmtId="0" fontId="98" fillId="0" borderId="0" xfId="4496" applyFont="1" applyAlignment="1">
      <alignment horizontal="center"/>
    </xf>
    <xf numFmtId="3" fontId="22" fillId="0" borderId="11" xfId="271" applyNumberFormat="1" applyFont="1" applyBorder="1" applyAlignment="1">
      <alignment horizontal="center"/>
    </xf>
    <xf numFmtId="3" fontId="22" fillId="43" borderId="11" xfId="271" applyNumberFormat="1" applyFont="1" applyFill="1" applyBorder="1" applyProtection="1">
      <protection locked="0"/>
    </xf>
    <xf numFmtId="0" fontId="98" fillId="0" borderId="0" xfId="4496" applyFont="1" applyAlignment="1">
      <alignment horizontal="right"/>
    </xf>
    <xf numFmtId="168" fontId="26" fillId="0" borderId="0" xfId="0" applyNumberFormat="1" applyFont="1"/>
    <xf numFmtId="0" fontId="98" fillId="0" borderId="15" xfId="4496" applyFont="1" applyBorder="1" applyAlignment="1">
      <alignment horizontal="center" vertical="top" wrapText="1"/>
    </xf>
    <xf numFmtId="2" fontId="98" fillId="0" borderId="15" xfId="4496" applyNumberFormat="1" applyFont="1" applyBorder="1" applyAlignment="1">
      <alignment horizontal="center"/>
    </xf>
    <xf numFmtId="0" fontId="98" fillId="0" borderId="15" xfId="4496" applyFont="1" applyBorder="1" applyAlignment="1">
      <alignment horizontal="center"/>
    </xf>
    <xf numFmtId="0" fontId="137" fillId="0" borderId="68" xfId="4496" applyFont="1" applyBorder="1" applyAlignment="1">
      <alignment horizontal="center" vertical="top" wrapText="1"/>
    </xf>
    <xf numFmtId="0" fontId="137" fillId="0" borderId="68" xfId="4496" applyFont="1" applyBorder="1" applyAlignment="1">
      <alignment horizontal="center"/>
    </xf>
    <xf numFmtId="0" fontId="151" fillId="0" borderId="0" xfId="4496" applyFont="1" applyAlignment="1">
      <alignment horizontal="right" vertical="center"/>
    </xf>
    <xf numFmtId="175" fontId="98" fillId="0" borderId="0" xfId="4499" applyNumberFormat="1" applyFont="1" applyFill="1" applyBorder="1" applyAlignment="1" applyProtection="1">
      <alignment horizontal="right" vertical="center"/>
    </xf>
    <xf numFmtId="5" fontId="98" fillId="0" borderId="6" xfId="4496" applyNumberFormat="1" applyFont="1" applyBorder="1" applyAlignment="1">
      <alignment vertical="center"/>
    </xf>
    <xf numFmtId="0" fontId="98" fillId="0" borderId="66" xfId="4496" applyFont="1" applyBorder="1" applyAlignment="1">
      <alignment vertical="center"/>
    </xf>
    <xf numFmtId="0" fontId="98" fillId="0" borderId="41" xfId="4496" applyFont="1" applyBorder="1" applyAlignment="1">
      <alignment vertical="center"/>
    </xf>
    <xf numFmtId="182" fontId="98" fillId="0" borderId="73" xfId="4496" applyNumberFormat="1" applyFont="1" applyBorder="1" applyAlignment="1">
      <alignment vertical="center"/>
    </xf>
    <xf numFmtId="175" fontId="98" fillId="0" borderId="42" xfId="4499" applyNumberFormat="1" applyFont="1" applyFill="1" applyBorder="1" applyAlignment="1" applyProtection="1">
      <alignment horizontal="left" vertical="center"/>
    </xf>
    <xf numFmtId="0" fontId="98" fillId="0" borderId="42" xfId="4496" applyFont="1" applyBorder="1" applyAlignment="1">
      <alignment vertical="center"/>
    </xf>
    <xf numFmtId="0" fontId="98" fillId="0" borderId="44" xfId="4496" applyFont="1" applyBorder="1" applyAlignment="1">
      <alignment vertical="center"/>
    </xf>
    <xf numFmtId="49" fontId="98" fillId="0" borderId="0" xfId="4496" applyNumberFormat="1" applyFont="1" applyAlignment="1">
      <alignment horizontal="center" vertical="center"/>
    </xf>
    <xf numFmtId="0" fontId="98" fillId="0" borderId="65" xfId="4496" applyFont="1" applyBorder="1" applyAlignment="1">
      <alignment vertical="center"/>
    </xf>
    <xf numFmtId="0" fontId="98" fillId="0" borderId="29" xfId="4496" applyFont="1" applyBorder="1" applyAlignment="1">
      <alignment vertical="center"/>
    </xf>
    <xf numFmtId="0" fontId="98" fillId="0" borderId="29" xfId="4496" applyFont="1" applyBorder="1" applyAlignment="1">
      <alignment horizontal="right" vertical="center"/>
    </xf>
    <xf numFmtId="5" fontId="98" fillId="0" borderId="29" xfId="4496" applyNumberFormat="1" applyFont="1" applyBorder="1" applyAlignment="1">
      <alignment vertical="center"/>
    </xf>
    <xf numFmtId="0" fontId="98" fillId="0" borderId="31" xfId="4496" applyFont="1" applyBorder="1" applyAlignment="1">
      <alignment vertical="center"/>
    </xf>
    <xf numFmtId="175" fontId="137" fillId="0" borderId="42" xfId="4494" applyNumberFormat="1" applyFont="1" applyFill="1" applyBorder="1" applyAlignment="1" applyProtection="1">
      <alignment horizontal="center" vertical="center"/>
    </xf>
    <xf numFmtId="0" fontId="137" fillId="0" borderId="29" xfId="4496" applyFont="1" applyBorder="1" applyAlignment="1">
      <alignment vertical="center"/>
    </xf>
    <xf numFmtId="0" fontId="137" fillId="0" borderId="0" xfId="4496" applyFont="1" applyAlignment="1">
      <alignment vertical="center"/>
    </xf>
    <xf numFmtId="0" fontId="137" fillId="0" borderId="42" xfId="4496" applyFont="1" applyBorder="1" applyAlignment="1">
      <alignment vertical="center"/>
    </xf>
    <xf numFmtId="9" fontId="137" fillId="0" borderId="42" xfId="4499" applyFont="1" applyFill="1" applyBorder="1" applyAlignment="1" applyProtection="1">
      <alignment vertical="center"/>
    </xf>
    <xf numFmtId="182" fontId="137" fillId="0" borderId="68" xfId="8721" applyNumberFormat="1" applyFont="1" applyBorder="1" applyProtection="1"/>
    <xf numFmtId="182" fontId="137" fillId="0" borderId="68" xfId="4496" applyNumberFormat="1" applyFont="1" applyBorder="1"/>
    <xf numFmtId="0" fontId="151" fillId="0" borderId="0" xfId="4496" applyFont="1" applyAlignment="1">
      <alignment horizontal="right"/>
    </xf>
    <xf numFmtId="0" fontId="98" fillId="0" borderId="0" xfId="4496" applyFont="1" applyAlignment="1">
      <alignment horizontal="right" vertical="top" wrapText="1" indent="1"/>
    </xf>
    <xf numFmtId="182" fontId="98" fillId="0" borderId="6" xfId="8721" applyNumberFormat="1" applyFont="1" applyBorder="1" applyAlignment="1" applyProtection="1">
      <alignment horizontal="center"/>
    </xf>
    <xf numFmtId="0" fontId="98" fillId="0" borderId="0" xfId="4496" applyFont="1" applyAlignment="1">
      <alignment horizontal="right" indent="1"/>
    </xf>
    <xf numFmtId="0" fontId="98" fillId="0" borderId="0" xfId="4496" applyFont="1" applyAlignment="1">
      <alignment horizontal="right" vertical="top"/>
    </xf>
    <xf numFmtId="0" fontId="137" fillId="0" borderId="0" xfId="4496" applyFont="1" applyAlignment="1">
      <alignment horizontal="right"/>
    </xf>
    <xf numFmtId="182" fontId="137" fillId="0" borderId="0" xfId="8721" applyNumberFormat="1" applyFont="1" applyBorder="1" applyAlignment="1" applyProtection="1">
      <alignment horizontal="center"/>
    </xf>
    <xf numFmtId="10" fontId="98" fillId="0" borderId="0" xfId="4494" applyNumberFormat="1" applyFont="1" applyBorder="1" applyAlignment="1" applyProtection="1">
      <alignment horizontal="center"/>
    </xf>
    <xf numFmtId="184" fontId="98" fillId="0" borderId="6" xfId="4496" applyNumberFormat="1" applyFont="1" applyBorder="1"/>
    <xf numFmtId="0" fontId="137" fillId="0" borderId="0" xfId="4496" applyFont="1" applyAlignment="1">
      <alignment horizontal="right" vertical="top"/>
    </xf>
    <xf numFmtId="182" fontId="137" fillId="0" borderId="0" xfId="4496" applyNumberFormat="1" applyFont="1"/>
    <xf numFmtId="182" fontId="98" fillId="0" borderId="6" xfId="8721" applyNumberFormat="1" applyFont="1" applyBorder="1" applyProtection="1"/>
    <xf numFmtId="184" fontId="98" fillId="0" borderId="0" xfId="4496" applyNumberFormat="1" applyFont="1" applyAlignment="1">
      <alignment horizontal="center"/>
    </xf>
    <xf numFmtId="0" fontId="98" fillId="0" borderId="6" xfId="4496" applyFont="1" applyBorder="1" applyAlignment="1">
      <alignment horizontal="right" vertical="top" wrapText="1" indent="1"/>
    </xf>
    <xf numFmtId="0" fontId="98" fillId="0" borderId="67" xfId="4496" applyFont="1" applyBorder="1" applyAlignment="1">
      <alignment horizontal="right" indent="1"/>
    </xf>
    <xf numFmtId="0" fontId="98" fillId="0" borderId="72" xfId="4496" applyFont="1" applyBorder="1" applyAlignment="1">
      <alignment horizontal="right" indent="1"/>
    </xf>
    <xf numFmtId="0" fontId="98" fillId="0" borderId="72" xfId="4496" quotePrefix="1" applyFont="1" applyBorder="1" applyAlignment="1">
      <alignment horizontal="right" indent="1"/>
    </xf>
    <xf numFmtId="0" fontId="98" fillId="0" borderId="69" xfId="4496" applyFont="1" applyBorder="1" applyAlignment="1">
      <alignment horizontal="right" indent="1"/>
    </xf>
    <xf numFmtId="182" fontId="98" fillId="0" borderId="71" xfId="4496" applyNumberFormat="1" applyFont="1" applyBorder="1"/>
    <xf numFmtId="182" fontId="98" fillId="0" borderId="76" xfId="4496" applyNumberFormat="1" applyFont="1" applyBorder="1"/>
    <xf numFmtId="182" fontId="98" fillId="0" borderId="77" xfId="4496" applyNumberFormat="1" applyFont="1" applyBorder="1"/>
    <xf numFmtId="175" fontId="24" fillId="0" borderId="0" xfId="543" applyNumberFormat="1" applyFont="1" applyAlignment="1">
      <alignment vertical="center"/>
    </xf>
    <xf numFmtId="10" fontId="137" fillId="0" borderId="0" xfId="4494" applyNumberFormat="1" applyFont="1" applyProtection="1"/>
    <xf numFmtId="0" fontId="24" fillId="0" borderId="0" xfId="1192" applyFont="1" applyAlignment="1">
      <alignment horizontal="left" indent="1"/>
    </xf>
    <xf numFmtId="168" fontId="98" fillId="0" borderId="11" xfId="4499" applyNumberFormat="1" applyFont="1" applyFill="1" applyBorder="1" applyAlignment="1" applyProtection="1">
      <alignment horizontal="left" vertical="center" indent="1"/>
    </xf>
    <xf numFmtId="168" fontId="137" fillId="0" borderId="68" xfId="4499" applyNumberFormat="1" applyFont="1" applyFill="1" applyBorder="1" applyAlignment="1" applyProtection="1">
      <alignment horizontal="left" vertical="center" indent="1"/>
    </xf>
    <xf numFmtId="182" fontId="98" fillId="0" borderId="13" xfId="4496" applyNumberFormat="1" applyFont="1" applyBorder="1"/>
    <xf numFmtId="182" fontId="98" fillId="0" borderId="70" xfId="4496" applyNumberFormat="1" applyFont="1" applyBorder="1"/>
    <xf numFmtId="0" fontId="35" fillId="0" borderId="0" xfId="4495" applyFont="1" applyAlignment="1">
      <alignment vertical="center"/>
    </xf>
    <xf numFmtId="0" fontId="122" fillId="0" borderId="0" xfId="4496" applyFont="1" applyAlignment="1">
      <alignment vertical="center" wrapText="1"/>
    </xf>
    <xf numFmtId="0" fontId="22" fillId="43" borderId="0" xfId="1192" applyFont="1" applyFill="1"/>
    <xf numFmtId="3" fontId="68" fillId="43" borderId="6" xfId="1192" applyNumberFormat="1" applyFont="1" applyFill="1" applyBorder="1"/>
    <xf numFmtId="0" fontId="153" fillId="0" borderId="0" xfId="0" applyFont="1"/>
    <xf numFmtId="0" fontId="22" fillId="0" borderId="11" xfId="253" applyFont="1" applyBorder="1" applyAlignment="1" applyProtection="1">
      <alignment horizontal="center" wrapText="1"/>
      <protection locked="0"/>
    </xf>
    <xf numFmtId="0" fontId="154" fillId="0" borderId="0" xfId="0" applyFont="1"/>
    <xf numFmtId="0" fontId="155" fillId="0" borderId="0" xfId="0" applyFont="1" applyAlignment="1">
      <alignment horizontal="center"/>
    </xf>
    <xf numFmtId="0" fontId="53" fillId="5" borderId="11" xfId="0" applyFont="1" applyFill="1" applyBorder="1" applyAlignment="1" applyProtection="1">
      <alignment horizontal="right" vertical="top" wrapText="1"/>
      <protection locked="0"/>
    </xf>
    <xf numFmtId="0" fontId="17" fillId="43" borderId="3" xfId="569" applyFill="1" applyBorder="1"/>
    <xf numFmtId="0" fontId="158" fillId="0" borderId="0" xfId="0" applyFont="1" applyAlignment="1">
      <alignment horizontal="right"/>
    </xf>
    <xf numFmtId="1" fontId="25" fillId="0" borderId="0" xfId="4495" applyNumberFormat="1" applyFont="1"/>
    <xf numFmtId="0" fontId="24" fillId="0" borderId="4" xfId="569" applyFont="1" applyBorder="1" applyAlignment="1">
      <alignment horizontal="center"/>
    </xf>
    <xf numFmtId="43" fontId="24" fillId="0" borderId="0" xfId="4503" applyFont="1" applyAlignment="1" applyProtection="1">
      <alignment horizontal="center"/>
    </xf>
    <xf numFmtId="0" fontId="24" fillId="0" borderId="0" xfId="569" applyFont="1" applyAlignment="1">
      <alignment horizontal="center" vertical="center"/>
    </xf>
    <xf numFmtId="0" fontId="24" fillId="0" borderId="16" xfId="569" applyFont="1" applyBorder="1" applyAlignment="1">
      <alignment horizontal="center"/>
    </xf>
    <xf numFmtId="49" fontId="24" fillId="0" borderId="4" xfId="569" applyNumberFormat="1" applyFont="1" applyBorder="1" applyAlignment="1">
      <alignment horizontal="center"/>
    </xf>
    <xf numFmtId="4" fontId="24" fillId="0" borderId="0" xfId="569" applyNumberFormat="1" applyFont="1" applyAlignment="1">
      <alignment horizontal="center"/>
    </xf>
    <xf numFmtId="0" fontId="17" fillId="0" borderId="0" xfId="569" applyAlignment="1">
      <alignment horizontal="center" wrapText="1"/>
    </xf>
    <xf numFmtId="0" fontId="98" fillId="0" borderId="6" xfId="4496" applyFont="1" applyBorder="1" applyAlignment="1">
      <alignment horizontal="left" vertical="top"/>
    </xf>
    <xf numFmtId="0" fontId="17" fillId="0" borderId="0" xfId="0" applyFont="1" applyAlignment="1">
      <alignment vertical="center" wrapText="1"/>
    </xf>
    <xf numFmtId="3" fontId="22" fillId="43" borderId="11" xfId="271" applyNumberFormat="1" applyFont="1" applyFill="1" applyBorder="1" applyAlignment="1" applyProtection="1">
      <alignment horizontal="left"/>
      <protection locked="0"/>
    </xf>
    <xf numFmtId="0" fontId="98" fillId="43" borderId="6" xfId="4496" applyFont="1" applyFill="1" applyBorder="1" applyProtection="1">
      <protection locked="0"/>
    </xf>
    <xf numFmtId="1" fontId="98" fillId="0" borderId="0" xfId="4496" applyNumberFormat="1" applyFont="1" applyProtection="1">
      <protection locked="0"/>
    </xf>
    <xf numFmtId="182" fontId="163" fillId="0" borderId="11" xfId="4496" applyNumberFormat="1" applyFont="1" applyBorder="1"/>
    <xf numFmtId="44" fontId="98" fillId="0" borderId="0" xfId="4496" applyNumberFormat="1" applyFont="1"/>
    <xf numFmtId="182" fontId="22" fillId="0" borderId="11" xfId="4496" applyNumberFormat="1" applyFont="1" applyBorder="1"/>
    <xf numFmtId="9" fontId="98" fillId="0" borderId="0" xfId="4494" applyFont="1"/>
    <xf numFmtId="182" fontId="98" fillId="43" borderId="6" xfId="8721" applyNumberFormat="1" applyFont="1" applyFill="1" applyBorder="1" applyProtection="1">
      <protection locked="0"/>
    </xf>
    <xf numFmtId="0" fontId="17" fillId="0" borderId="0" xfId="4495" applyFont="1" applyAlignment="1">
      <alignment wrapText="1"/>
    </xf>
    <xf numFmtId="168" fontId="175" fillId="48" borderId="79" xfId="700" applyNumberFormat="1" applyFont="1" applyFill="1" applyBorder="1" applyAlignment="1" applyProtection="1">
      <protection locked="0"/>
    </xf>
    <xf numFmtId="3" fontId="45" fillId="10" borderId="0" xfId="543" applyNumberFormat="1" applyFont="1" applyFill="1" applyAlignment="1">
      <alignment vertical="center" wrapText="1"/>
    </xf>
    <xf numFmtId="0" fontId="182" fillId="0" borderId="0" xfId="543" applyFont="1" applyAlignment="1">
      <alignment horizontal="left" vertical="center"/>
    </xf>
    <xf numFmtId="0" fontId="183" fillId="0" borderId="0" xfId="543" applyFont="1" applyAlignment="1">
      <alignment horizontal="right" vertical="top" wrapText="1"/>
    </xf>
    <xf numFmtId="168" fontId="183" fillId="0" borderId="0" xfId="543" applyNumberFormat="1" applyFont="1" applyAlignment="1">
      <alignment horizontal="center" vertical="center"/>
    </xf>
    <xf numFmtId="0" fontId="184" fillId="0" borderId="0" xfId="543" applyFont="1" applyAlignment="1">
      <alignment horizontal="left" vertical="center"/>
    </xf>
    <xf numFmtId="0" fontId="184" fillId="0" borderId="0" xfId="543" applyFont="1" applyAlignment="1">
      <alignment horizontal="right" vertical="top" wrapText="1"/>
    </xf>
    <xf numFmtId="168" fontId="183" fillId="0" borderId="104" xfId="543" applyNumberFormat="1" applyFont="1" applyBorder="1" applyAlignment="1">
      <alignment horizontal="center" vertical="center"/>
    </xf>
    <xf numFmtId="0" fontId="184" fillId="0" borderId="106" xfId="543" applyFont="1" applyBorder="1" applyAlignment="1">
      <alignment horizontal="right" vertical="top" wrapText="1"/>
    </xf>
    <xf numFmtId="0" fontId="24" fillId="0" borderId="0" xfId="4495" applyFont="1" applyAlignment="1">
      <alignment wrapText="1"/>
    </xf>
    <xf numFmtId="182" fontId="17" fillId="0" borderId="0" xfId="700" applyNumberFormat="1" applyFont="1"/>
    <xf numFmtId="9" fontId="17" fillId="0" borderId="0" xfId="1022" applyFont="1"/>
    <xf numFmtId="168" fontId="17"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2" fillId="0" borderId="0" xfId="8733"/>
    <xf numFmtId="0" fontId="103" fillId="0" borderId="0" xfId="8733" applyFont="1"/>
    <xf numFmtId="0" fontId="2" fillId="47" borderId="66" xfId="8733" applyFill="1" applyBorder="1"/>
    <xf numFmtId="0" fontId="2" fillId="47" borderId="0" xfId="8733" applyFill="1"/>
    <xf numFmtId="0" fontId="102" fillId="47" borderId="41" xfId="8733" applyFont="1" applyFill="1" applyBorder="1" applyAlignment="1">
      <alignment horizontal="center"/>
    </xf>
    <xf numFmtId="0" fontId="102" fillId="47" borderId="0" xfId="8733" applyFont="1" applyFill="1"/>
    <xf numFmtId="182" fontId="174" fillId="47" borderId="0" xfId="8734" applyNumberFormat="1" applyFont="1" applyFill="1" applyBorder="1" applyAlignment="1"/>
    <xf numFmtId="0" fontId="2" fillId="47" borderId="41" xfId="8733" applyFill="1" applyBorder="1"/>
    <xf numFmtId="0" fontId="103" fillId="47" borderId="0" xfId="8733" applyFont="1" applyFill="1"/>
    <xf numFmtId="0" fontId="178" fillId="47" borderId="0" xfId="8733" applyFont="1" applyFill="1"/>
    <xf numFmtId="0" fontId="102" fillId="47" borderId="41" xfId="8733" applyFont="1" applyFill="1" applyBorder="1"/>
    <xf numFmtId="0" fontId="102" fillId="0" borderId="0" xfId="8733" applyFont="1"/>
    <xf numFmtId="0" fontId="102" fillId="54" borderId="100" xfId="8733" applyFont="1" applyFill="1" applyBorder="1"/>
    <xf numFmtId="0" fontId="2" fillId="53" borderId="99" xfId="8733" applyFill="1" applyBorder="1"/>
    <xf numFmtId="0" fontId="2" fillId="52" borderId="99" xfId="8733" applyFill="1" applyBorder="1"/>
    <xf numFmtId="0" fontId="102" fillId="45" borderId="65" xfId="8733" applyFont="1" applyFill="1" applyBorder="1"/>
    <xf numFmtId="0" fontId="2" fillId="45" borderId="80" xfId="8733" applyFill="1" applyBorder="1"/>
    <xf numFmtId="0" fontId="2" fillId="45" borderId="79" xfId="8733" applyFill="1" applyBorder="1"/>
    <xf numFmtId="0" fontId="2" fillId="45" borderId="78" xfId="8733" applyFill="1" applyBorder="1"/>
    <xf numFmtId="0" fontId="102" fillId="45" borderId="0" xfId="8733" applyFont="1" applyFill="1"/>
    <xf numFmtId="0" fontId="102" fillId="45" borderId="12" xfId="8733" applyFont="1" applyFill="1" applyBorder="1"/>
    <xf numFmtId="0" fontId="102" fillId="45" borderId="29" xfId="8733" applyFont="1" applyFill="1" applyBorder="1"/>
    <xf numFmtId="0" fontId="102" fillId="45" borderId="80" xfId="8733" applyFont="1" applyFill="1" applyBorder="1"/>
    <xf numFmtId="0" fontId="102" fillId="45" borderId="79" xfId="8733" applyFont="1" applyFill="1" applyBorder="1"/>
    <xf numFmtId="0" fontId="102" fillId="45" borderId="78" xfId="8733" applyFont="1" applyFill="1" applyBorder="1"/>
    <xf numFmtId="0" fontId="102" fillId="45" borderId="93" xfId="8733" applyFont="1" applyFill="1" applyBorder="1"/>
    <xf numFmtId="0" fontId="102" fillId="45" borderId="6" xfId="8733" applyFont="1" applyFill="1" applyBorder="1"/>
    <xf numFmtId="0" fontId="102" fillId="45" borderId="10" xfId="8733" applyFont="1" applyFill="1" applyBorder="1"/>
    <xf numFmtId="0" fontId="2" fillId="45" borderId="29" xfId="8733" applyFill="1" applyBorder="1"/>
    <xf numFmtId="0" fontId="2" fillId="45" borderId="31" xfId="8733" applyFill="1" applyBorder="1"/>
    <xf numFmtId="0" fontId="102" fillId="45" borderId="92" xfId="8733" applyFont="1" applyFill="1" applyBorder="1"/>
    <xf numFmtId="0" fontId="102" fillId="45" borderId="74" xfId="8733" applyFont="1" applyFill="1" applyBorder="1"/>
    <xf numFmtId="0" fontId="173" fillId="45" borderId="87" xfId="8733" applyFont="1" applyFill="1" applyBorder="1"/>
    <xf numFmtId="0" fontId="2" fillId="45" borderId="87" xfId="8733" applyFill="1" applyBorder="1"/>
    <xf numFmtId="0" fontId="2" fillId="45" borderId="86" xfId="8733" applyFill="1" applyBorder="1"/>
    <xf numFmtId="0" fontId="2" fillId="45" borderId="95" xfId="8733" applyFill="1" applyBorder="1"/>
    <xf numFmtId="0" fontId="180" fillId="47" borderId="0" xfId="8733" applyFont="1" applyFill="1"/>
    <xf numFmtId="0" fontId="102" fillId="45" borderId="31" xfId="8733" applyFont="1" applyFill="1" applyBorder="1"/>
    <xf numFmtId="0" fontId="2" fillId="47" borderId="0" xfId="8733" applyFill="1" applyAlignment="1">
      <alignment horizontal="left"/>
    </xf>
    <xf numFmtId="0" fontId="172" fillId="51" borderId="11" xfId="8733" applyFont="1" applyFill="1" applyBorder="1"/>
    <xf numFmtId="0" fontId="172" fillId="51" borderId="76" xfId="8733" applyFont="1" applyFill="1" applyBorder="1"/>
    <xf numFmtId="0" fontId="173" fillId="51" borderId="11" xfId="8733" applyFont="1" applyFill="1" applyBorder="1" applyAlignment="1">
      <alignment horizontal="center"/>
    </xf>
    <xf numFmtId="0" fontId="173" fillId="51" borderId="76" xfId="8733" applyFont="1" applyFill="1" applyBorder="1" applyAlignment="1">
      <alignment horizontal="center"/>
    </xf>
    <xf numFmtId="0" fontId="2" fillId="48" borderId="66" xfId="8733" applyFill="1" applyBorder="1"/>
    <xf numFmtId="0" fontId="2" fillId="48" borderId="0" xfId="8733" applyFill="1"/>
    <xf numFmtId="0" fontId="2" fillId="48" borderId="78" xfId="8733" applyFill="1" applyBorder="1"/>
    <xf numFmtId="0" fontId="102" fillId="47" borderId="66" xfId="8733" applyFont="1" applyFill="1" applyBorder="1"/>
    <xf numFmtId="49" fontId="102" fillId="47" borderId="66" xfId="8733" applyNumberFormat="1" applyFont="1" applyFill="1" applyBorder="1" applyAlignment="1">
      <alignment horizontal="right" vertical="top"/>
    </xf>
    <xf numFmtId="0" fontId="2" fillId="47" borderId="73" xfId="8733" applyFill="1" applyBorder="1"/>
    <xf numFmtId="0" fontId="2" fillId="47" borderId="42" xfId="8733" applyFill="1" applyBorder="1"/>
    <xf numFmtId="0" fontId="2" fillId="47" borderId="44" xfId="8733" applyFill="1" applyBorder="1"/>
    <xf numFmtId="0" fontId="2" fillId="44" borderId="66" xfId="8733" applyFill="1" applyBorder="1"/>
    <xf numFmtId="0" fontId="2" fillId="44" borderId="0" xfId="8733" applyFill="1"/>
    <xf numFmtId="0" fontId="2" fillId="44" borderId="41" xfId="8733" applyFill="1" applyBorder="1"/>
    <xf numFmtId="0" fontId="2" fillId="44" borderId="0" xfId="8733" applyFill="1" applyAlignment="1">
      <alignment horizontal="left"/>
    </xf>
    <xf numFmtId="0" fontId="2" fillId="44" borderId="73" xfId="8733" applyFill="1" applyBorder="1"/>
    <xf numFmtId="0" fontId="2" fillId="44" borderId="42" xfId="8733" applyFill="1" applyBorder="1"/>
    <xf numFmtId="0" fontId="2" fillId="44" borderId="44" xfId="8733" applyFill="1" applyBorder="1"/>
    <xf numFmtId="0" fontId="164" fillId="0" borderId="0" xfId="8733" applyFont="1"/>
    <xf numFmtId="168" fontId="0" fillId="0" borderId="0" xfId="0" applyNumberFormat="1"/>
    <xf numFmtId="0" fontId="122" fillId="52" borderId="113" xfId="0" applyFont="1" applyFill="1" applyBorder="1"/>
    <xf numFmtId="0" fontId="122" fillId="53" borderId="113" xfId="0" applyFont="1" applyFill="1" applyBorder="1"/>
    <xf numFmtId="1" fontId="0" fillId="0" borderId="0" xfId="0" applyNumberFormat="1"/>
    <xf numFmtId="0" fontId="18"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8" fillId="0" borderId="0" xfId="244" applyAlignment="1">
      <alignment horizontal="left" vertical="top"/>
    </xf>
    <xf numFmtId="9" fontId="17" fillId="0" borderId="0" xfId="0" applyNumberFormat="1" applyFont="1"/>
    <xf numFmtId="0" fontId="169" fillId="0" borderId="0" xfId="8733" applyFont="1"/>
    <xf numFmtId="0" fontId="166" fillId="0" borderId="0" xfId="8733" applyFont="1"/>
    <xf numFmtId="185" fontId="169" fillId="0" borderId="0" xfId="698" applyNumberFormat="1" applyFont="1"/>
    <xf numFmtId="10" fontId="169" fillId="0" borderId="0" xfId="1022" applyNumberFormat="1" applyFont="1"/>
    <xf numFmtId="0" fontId="23" fillId="3" borderId="0" xfId="0" applyFont="1" applyFill="1" applyAlignment="1">
      <alignment horizontal="center" vertical="center" wrapText="1"/>
    </xf>
    <xf numFmtId="0" fontId="23" fillId="3" borderId="16" xfId="0" applyFont="1" applyFill="1" applyBorder="1" applyAlignment="1">
      <alignment horizontal="center" vertical="center" wrapText="1"/>
    </xf>
    <xf numFmtId="0" fontId="17" fillId="0" borderId="0" xfId="0" applyFont="1" applyAlignment="1">
      <alignment horizontal="left" vertical="top" wrapText="1"/>
    </xf>
    <xf numFmtId="0" fontId="105" fillId="0" borderId="0" xfId="0" applyFont="1" applyAlignment="1">
      <alignment horizontal="left" vertical="top" wrapText="1"/>
    </xf>
    <xf numFmtId="0" fontId="18" fillId="0" borderId="0" xfId="244" applyAlignment="1">
      <alignment horizontal="left" vertical="top"/>
    </xf>
    <xf numFmtId="0" fontId="46" fillId="0" borderId="0" xfId="0" applyFont="1" applyAlignment="1">
      <alignment horizontal="left" vertical="top" wrapText="1"/>
    </xf>
    <xf numFmtId="0" fontId="113" fillId="0" borderId="0" xfId="0" applyFont="1" applyAlignment="1">
      <alignment horizontal="left" wrapText="1"/>
    </xf>
    <xf numFmtId="0" fontId="17" fillId="0" borderId="0" xfId="0" applyFont="1" applyAlignment="1">
      <alignment horizontal="left" wrapText="1"/>
    </xf>
    <xf numFmtId="0" fontId="26" fillId="0" borderId="0" xfId="0" applyFont="1" applyAlignment="1">
      <alignment horizontal="left" wrapText="1"/>
    </xf>
    <xf numFmtId="0" fontId="18" fillId="0" borderId="0" xfId="244" applyAlignment="1" applyProtection="1">
      <alignment horizontal="left"/>
    </xf>
    <xf numFmtId="0" fontId="18" fillId="0" borderId="0" xfId="244"/>
    <xf numFmtId="0" fontId="0" fillId="0" borderId="0" xfId="0"/>
    <xf numFmtId="0" fontId="17" fillId="0" borderId="0" xfId="1192" applyAlignment="1">
      <alignment horizontal="left" vertical="top" wrapText="1"/>
    </xf>
    <xf numFmtId="0" fontId="24" fillId="0" borderId="0" xfId="0" applyFont="1" applyAlignment="1">
      <alignment horizontal="left" vertical="top" wrapText="1"/>
    </xf>
    <xf numFmtId="0" fontId="114" fillId="0" borderId="0" xfId="569" applyFont="1" applyAlignment="1">
      <alignment horizontal="center"/>
    </xf>
    <xf numFmtId="0" fontId="115" fillId="0" borderId="0" xfId="569" applyFont="1"/>
    <xf numFmtId="0" fontId="17" fillId="0" borderId="0" xfId="569" applyAlignment="1">
      <alignment wrapText="1"/>
    </xf>
    <xf numFmtId="0" fontId="24" fillId="0" borderId="0" xfId="569" applyFont="1" applyAlignment="1">
      <alignment wrapText="1"/>
    </xf>
    <xf numFmtId="0" fontId="32" fillId="0" borderId="0" xfId="569" applyFont="1" applyAlignment="1">
      <alignment horizontal="center"/>
    </xf>
    <xf numFmtId="0" fontId="17" fillId="0" borderId="0" xfId="569"/>
    <xf numFmtId="0" fontId="17" fillId="0" borderId="0" xfId="1192" applyAlignment="1">
      <alignment vertical="top" wrapText="1"/>
    </xf>
    <xf numFmtId="4" fontId="17" fillId="0" borderId="0" xfId="569" applyNumberFormat="1" applyAlignment="1">
      <alignment horizontal="left"/>
    </xf>
    <xf numFmtId="0" fontId="35" fillId="0" borderId="0" xfId="569" applyFont="1" applyAlignment="1">
      <alignment horizontal="left" vertical="top"/>
    </xf>
    <xf numFmtId="4" fontId="35" fillId="0" borderId="0" xfId="0" applyNumberFormat="1" applyFont="1" applyAlignment="1">
      <alignment horizontal="left"/>
    </xf>
    <xf numFmtId="4" fontId="17" fillId="0" borderId="0" xfId="0" applyNumberFormat="1" applyFont="1" applyAlignment="1">
      <alignment horizontal="left"/>
    </xf>
    <xf numFmtId="0" fontId="24" fillId="0" borderId="4" xfId="0" applyFont="1" applyBorder="1" applyAlignment="1">
      <alignment horizontal="left"/>
    </xf>
    <xf numFmtId="0" fontId="35" fillId="0" borderId="0" xfId="0" applyFont="1" applyAlignment="1">
      <alignment horizontal="left" vertical="top"/>
    </xf>
    <xf numFmtId="0" fontId="17" fillId="0" borderId="0" xfId="0" applyFont="1" applyAlignment="1">
      <alignment horizontal="left" vertical="top"/>
    </xf>
    <xf numFmtId="0" fontId="17" fillId="0" borderId="0" xfId="0" applyFont="1" applyAlignment="1">
      <alignment horizontal="left"/>
    </xf>
    <xf numFmtId="49" fontId="17" fillId="0" borderId="0" xfId="0" applyNumberFormat="1" applyFont="1" applyAlignment="1">
      <alignment horizontal="left" vertical="top" wrapText="1"/>
    </xf>
    <xf numFmtId="0" fontId="17" fillId="0" borderId="0" xfId="0" applyFont="1" applyAlignment="1">
      <alignment horizontal="left" vertical="center" wrapText="1"/>
    </xf>
    <xf numFmtId="0" fontId="17" fillId="0" borderId="0" xfId="569" applyAlignment="1">
      <alignment horizontal="left" wrapText="1"/>
    </xf>
    <xf numFmtId="0" fontId="17" fillId="0" borderId="0" xfId="0" applyFont="1" applyAlignment="1">
      <alignment vertical="top" wrapText="1"/>
    </xf>
    <xf numFmtId="0" fontId="18" fillId="0" borderId="0" xfId="244" applyFill="1" applyBorder="1" applyAlignment="1">
      <alignment horizontal="left" vertical="top" wrapText="1"/>
    </xf>
    <xf numFmtId="4" fontId="17" fillId="0" borderId="0" xfId="0" applyNumberFormat="1" applyFont="1" applyAlignment="1">
      <alignment horizontal="left" vertical="top" wrapText="1"/>
    </xf>
    <xf numFmtId="0" fontId="35" fillId="0" borderId="0" xfId="0" applyFont="1" applyAlignment="1">
      <alignment horizontal="left"/>
    </xf>
    <xf numFmtId="0" fontId="24" fillId="0" borderId="0" xfId="0" applyFont="1" applyAlignment="1">
      <alignment vertical="top" wrapText="1"/>
    </xf>
    <xf numFmtId="0" fontId="24" fillId="0" borderId="0" xfId="1192" applyFont="1" applyAlignment="1">
      <alignment horizontal="left" vertical="top" wrapText="1"/>
    </xf>
    <xf numFmtId="4" fontId="35" fillId="0" borderId="0" xfId="569" applyNumberFormat="1" applyFont="1" applyAlignment="1">
      <alignment horizontal="left" vertical="top" wrapText="1"/>
    </xf>
    <xf numFmtId="0" fontId="17" fillId="0" borderId="0" xfId="569" applyAlignment="1">
      <alignment horizontal="left"/>
    </xf>
    <xf numFmtId="0" fontId="24" fillId="0" borderId="4" xfId="569" applyFont="1" applyBorder="1" applyAlignment="1">
      <alignment horizontal="left" vertical="top"/>
    </xf>
    <xf numFmtId="0" fontId="17" fillId="0" borderId="0" xfId="569" applyAlignment="1">
      <alignment horizontal="left" vertical="top" wrapText="1"/>
    </xf>
    <xf numFmtId="0" fontId="18" fillId="0" borderId="0" xfId="244" quotePrefix="1" applyAlignment="1" applyProtection="1">
      <alignment horizontal="left"/>
    </xf>
    <xf numFmtId="0" fontId="17" fillId="0" borderId="0" xfId="569" applyAlignment="1">
      <alignment horizontal="left" vertical="top"/>
    </xf>
    <xf numFmtId="0" fontId="17" fillId="0" borderId="0" xfId="0" quotePrefix="1" applyFont="1" applyAlignment="1">
      <alignment horizontal="left" vertical="top"/>
    </xf>
    <xf numFmtId="0" fontId="35" fillId="0" borderId="0" xfId="0" applyFont="1" applyAlignment="1">
      <alignment horizontal="left" vertical="top" wrapText="1"/>
    </xf>
    <xf numFmtId="0" fontId="17" fillId="0" borderId="0" xfId="0" quotePrefix="1" applyFont="1" applyAlignment="1">
      <alignment horizontal="left" vertical="top" wrapText="1"/>
    </xf>
    <xf numFmtId="4" fontId="17" fillId="0" borderId="0" xfId="569" applyNumberFormat="1" applyAlignment="1">
      <alignment horizontal="left" vertical="top" wrapText="1"/>
    </xf>
    <xf numFmtId="0" fontId="24" fillId="0" borderId="4" xfId="569" applyFont="1" applyBorder="1" applyAlignment="1">
      <alignment horizontal="left"/>
    </xf>
    <xf numFmtId="0" fontId="35" fillId="0" borderId="0" xfId="569" applyFont="1" applyAlignment="1">
      <alignment horizontal="left"/>
    </xf>
    <xf numFmtId="0" fontId="17" fillId="0" borderId="0" xfId="1192" applyAlignment="1" applyProtection="1">
      <alignment horizontal="left" vertical="top" wrapText="1"/>
      <protection locked="0"/>
    </xf>
    <xf numFmtId="0" fontId="0" fillId="0" borderId="0" xfId="0" applyAlignment="1">
      <alignment horizontal="left" vertical="top" wrapText="1"/>
    </xf>
    <xf numFmtId="0" fontId="35" fillId="0" borderId="0" xfId="1192" applyFont="1" applyAlignment="1">
      <alignment horizontal="left" vertical="top" wrapText="1"/>
    </xf>
    <xf numFmtId="4" fontId="17" fillId="0" borderId="0" xfId="1192" applyNumberFormat="1" applyAlignment="1">
      <alignment horizontal="left" vertical="top" wrapText="1"/>
    </xf>
    <xf numFmtId="0" fontId="17" fillId="0" borderId="0" xfId="569" applyAlignment="1">
      <alignment vertical="top" wrapText="1"/>
    </xf>
    <xf numFmtId="4" fontId="35" fillId="0" borderId="0" xfId="0" applyNumberFormat="1" applyFont="1" applyAlignment="1">
      <alignment horizontal="left" vertical="top" wrapText="1"/>
    </xf>
    <xf numFmtId="0" fontId="24" fillId="0" borderId="4" xfId="0" applyFont="1" applyBorder="1" applyAlignment="1">
      <alignment horizontal="left" vertical="top"/>
    </xf>
    <xf numFmtId="0" fontId="35" fillId="0" borderId="0" xfId="569" applyFont="1" applyAlignment="1">
      <alignment horizontal="left" vertical="top" wrapText="1"/>
    </xf>
    <xf numFmtId="0" fontId="17" fillId="0" borderId="0" xfId="1192" applyAlignment="1">
      <alignment horizontal="left"/>
    </xf>
    <xf numFmtId="0" fontId="24" fillId="0" borderId="0" xfId="569" applyFont="1" applyAlignment="1">
      <alignment horizontal="center"/>
    </xf>
    <xf numFmtId="0" fontId="18" fillId="0" borderId="0" xfId="244" applyNumberFormat="1" applyFill="1" applyAlignment="1" applyProtection="1">
      <alignment horizontal="left"/>
    </xf>
    <xf numFmtId="0" fontId="35" fillId="0" borderId="0" xfId="569" applyFont="1" applyAlignment="1">
      <alignment horizontal="left" wrapText="1"/>
    </xf>
    <xf numFmtId="0" fontId="35" fillId="0" borderId="0" xfId="569" applyFont="1" applyAlignment="1">
      <alignment horizontal="center" wrapText="1"/>
    </xf>
    <xf numFmtId="49" fontId="17" fillId="0" borderId="0" xfId="1192" applyNumberFormat="1" applyAlignment="1">
      <alignment horizontal="left" vertical="top" wrapText="1"/>
    </xf>
    <xf numFmtId="0" fontId="17" fillId="0" borderId="0" xfId="569" applyAlignment="1">
      <alignment horizontal="left" vertical="center" wrapText="1"/>
    </xf>
    <xf numFmtId="0" fontId="24" fillId="0" borderId="0" xfId="0" applyFont="1" applyAlignment="1">
      <alignment horizontal="left" vertical="top"/>
    </xf>
    <xf numFmtId="0" fontId="24" fillId="0" borderId="0" xfId="569" applyFont="1" applyAlignment="1">
      <alignment horizontal="left"/>
    </xf>
    <xf numFmtId="0" fontId="35" fillId="0" borderId="0" xfId="1192" applyFont="1" applyAlignment="1">
      <alignment horizontal="left"/>
    </xf>
    <xf numFmtId="0" fontId="17" fillId="0" borderId="27" xfId="569" applyBorder="1" applyAlignment="1">
      <alignment horizontal="left"/>
    </xf>
    <xf numFmtId="0" fontId="24" fillId="0" borderId="16" xfId="569" applyFont="1" applyBorder="1" applyAlignment="1">
      <alignment horizontal="left"/>
    </xf>
    <xf numFmtId="0" fontId="18" fillId="0" borderId="0" xfId="244" applyAlignment="1" applyProtection="1">
      <alignment horizontal="left" vertical="top" wrapText="1"/>
    </xf>
    <xf numFmtId="0" fontId="35" fillId="0" borderId="0" xfId="569" applyFont="1" applyAlignment="1">
      <alignment horizontal="center"/>
    </xf>
    <xf numFmtId="0" fontId="0" fillId="0" borderId="0" xfId="0" applyAlignment="1">
      <alignment horizontal="center"/>
    </xf>
    <xf numFmtId="0" fontId="0" fillId="5" borderId="6" xfId="0" applyFill="1" applyBorder="1" applyAlignment="1" applyProtection="1">
      <alignment horizontal="center"/>
      <protection locked="0"/>
    </xf>
    <xf numFmtId="0" fontId="26" fillId="0" borderId="0" xfId="543" applyFont="1" applyAlignment="1">
      <alignment horizontal="center"/>
    </xf>
    <xf numFmtId="0" fontId="17" fillId="0" borderId="0" xfId="0" applyFont="1" applyAlignment="1">
      <alignment vertical="center" wrapText="1"/>
    </xf>
    <xf numFmtId="0" fontId="17" fillId="0" borderId="0" xfId="543" applyAlignment="1">
      <alignment wrapText="1"/>
    </xf>
    <xf numFmtId="166" fontId="26" fillId="5" borderId="4" xfId="0" applyNumberFormat="1" applyFont="1" applyFill="1" applyBorder="1" applyAlignment="1" applyProtection="1">
      <alignment horizontal="left"/>
      <protection locked="0"/>
    </xf>
    <xf numFmtId="0" fontId="0" fillId="5" borderId="6" xfId="0" applyFill="1" applyBorder="1" applyAlignment="1" applyProtection="1">
      <alignment horizontal="left"/>
      <protection locked="0"/>
    </xf>
    <xf numFmtId="9" fontId="26" fillId="5" borderId="3" xfId="0" applyNumberFormat="1" applyFont="1" applyFill="1" applyBorder="1" applyAlignment="1" applyProtection="1">
      <alignment horizontal="center"/>
      <protection locked="0"/>
    </xf>
    <xf numFmtId="9" fontId="26" fillId="5" borderId="4" xfId="0" applyNumberFormat="1" applyFont="1" applyFill="1" applyBorder="1" applyAlignment="1" applyProtection="1">
      <alignment horizontal="center"/>
      <protection locked="0"/>
    </xf>
    <xf numFmtId="9" fontId="26" fillId="5" borderId="5" xfId="0" applyNumberFormat="1" applyFont="1" applyFill="1" applyBorder="1" applyAlignment="1" applyProtection="1">
      <alignment horizontal="center"/>
      <protection locked="0"/>
    </xf>
    <xf numFmtId="168" fontId="26" fillId="5" borderId="3" xfId="0" applyNumberFormat="1" applyFont="1" applyFill="1" applyBorder="1" applyAlignment="1" applyProtection="1">
      <alignment horizontal="center"/>
      <protection locked="0"/>
    </xf>
    <xf numFmtId="168" fontId="26" fillId="5" borderId="4" xfId="0" applyNumberFormat="1" applyFont="1" applyFill="1" applyBorder="1" applyAlignment="1" applyProtection="1">
      <alignment horizontal="center"/>
      <protection locked="0"/>
    </xf>
    <xf numFmtId="168" fontId="26" fillId="5" borderId="5" xfId="0" applyNumberFormat="1" applyFont="1" applyFill="1" applyBorder="1" applyAlignment="1" applyProtection="1">
      <alignment horizontal="center"/>
      <protection locked="0"/>
    </xf>
    <xf numFmtId="1" fontId="26" fillId="5" borderId="3" xfId="0" applyNumberFormat="1" applyFont="1" applyFill="1" applyBorder="1" applyAlignment="1" applyProtection="1">
      <alignment horizontal="center"/>
      <protection locked="0"/>
    </xf>
    <xf numFmtId="1" fontId="26" fillId="5" borderId="4" xfId="0" applyNumberFormat="1" applyFont="1" applyFill="1" applyBorder="1" applyAlignment="1" applyProtection="1">
      <alignment horizontal="center"/>
      <protection locked="0"/>
    </xf>
    <xf numFmtId="1" fontId="26" fillId="5" borderId="5" xfId="0" applyNumberFormat="1" applyFont="1" applyFill="1" applyBorder="1" applyAlignment="1" applyProtection="1">
      <alignment horizontal="center"/>
      <protection locked="0"/>
    </xf>
    <xf numFmtId="0" fontId="26" fillId="5" borderId="3" xfId="0" applyFont="1" applyFill="1" applyBorder="1" applyAlignment="1" applyProtection="1">
      <alignment horizontal="center"/>
      <protection locked="0"/>
    </xf>
    <xf numFmtId="0" fontId="26" fillId="5" borderId="4" xfId="0" applyFont="1" applyFill="1" applyBorder="1" applyAlignment="1" applyProtection="1">
      <alignment horizontal="center"/>
      <protection locked="0"/>
    </xf>
    <xf numFmtId="0" fontId="26" fillId="5" borderId="5" xfId="0" applyFont="1" applyFill="1" applyBorder="1" applyAlignment="1" applyProtection="1">
      <alignment horizontal="center"/>
      <protection locked="0"/>
    </xf>
    <xf numFmtId="0" fontId="0" fillId="5" borderId="4" xfId="0" applyFill="1" applyBorder="1" applyAlignment="1" applyProtection="1">
      <alignment horizontal="left"/>
      <protection locked="0"/>
    </xf>
    <xf numFmtId="168" fontId="26" fillId="0" borderId="3" xfId="0" applyNumberFormat="1" applyFont="1" applyBorder="1" applyAlignment="1">
      <alignment horizontal="center"/>
    </xf>
    <xf numFmtId="168" fontId="26" fillId="0" borderId="4" xfId="0" applyNumberFormat="1" applyFont="1" applyBorder="1" applyAlignment="1">
      <alignment horizontal="center"/>
    </xf>
    <xf numFmtId="168" fontId="26" fillId="0" borderId="5" xfId="0" applyNumberFormat="1" applyFont="1" applyBorder="1" applyAlignment="1">
      <alignment horizontal="center"/>
    </xf>
    <xf numFmtId="165" fontId="26" fillId="0" borderId="1" xfId="0" applyNumberFormat="1" applyFont="1" applyBorder="1" applyAlignment="1">
      <alignment horizontal="right"/>
    </xf>
    <xf numFmtId="165" fontId="26" fillId="0" borderId="2" xfId="0" applyNumberFormat="1" applyFont="1" applyBorder="1" applyAlignment="1">
      <alignment horizontal="right"/>
    </xf>
    <xf numFmtId="165" fontId="26" fillId="0" borderId="7" xfId="0" applyNumberFormat="1" applyFont="1" applyBorder="1" applyAlignment="1">
      <alignment horizontal="right"/>
    </xf>
    <xf numFmtId="0" fontId="0" fillId="0" borderId="6"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26" fillId="0" borderId="1" xfId="0" applyFont="1" applyBorder="1" applyAlignment="1">
      <alignment horizontal="center" vertical="top" wrapText="1"/>
    </xf>
    <xf numFmtId="0" fontId="26" fillId="0" borderId="2" xfId="0" applyFont="1" applyBorder="1" applyAlignment="1">
      <alignment horizontal="center" vertical="top" wrapText="1"/>
    </xf>
    <xf numFmtId="0" fontId="26" fillId="0" borderId="7" xfId="0" applyFont="1" applyBorder="1" applyAlignment="1">
      <alignment horizontal="center" vertical="top" wrapText="1"/>
    </xf>
    <xf numFmtId="0" fontId="26" fillId="0" borderId="8" xfId="0" applyFont="1" applyBorder="1" applyAlignment="1">
      <alignment horizontal="center" vertical="top" wrapText="1"/>
    </xf>
    <xf numFmtId="0" fontId="26" fillId="0" borderId="0" xfId="0" applyFont="1" applyAlignment="1">
      <alignment horizontal="center" vertical="top" wrapText="1"/>
    </xf>
    <xf numFmtId="0" fontId="26" fillId="0" borderId="12" xfId="0" applyFont="1" applyBorder="1" applyAlignment="1">
      <alignment horizontal="center" vertical="top" wrapText="1"/>
    </xf>
    <xf numFmtId="0" fontId="26" fillId="0" borderId="9" xfId="0" applyFont="1" applyBorder="1" applyAlignment="1">
      <alignment horizontal="center" vertical="top" wrapText="1"/>
    </xf>
    <xf numFmtId="0" fontId="26" fillId="0" borderId="6" xfId="0" applyFont="1" applyBorder="1" applyAlignment="1">
      <alignment horizontal="center" vertical="top" wrapText="1"/>
    </xf>
    <xf numFmtId="0" fontId="26" fillId="0" borderId="10" xfId="0" applyFont="1" applyBorder="1" applyAlignment="1">
      <alignment horizontal="center" vertical="top" wrapText="1"/>
    </xf>
    <xf numFmtId="0" fontId="24" fillId="0" borderId="0" xfId="0" applyFont="1" applyAlignment="1">
      <alignment horizontal="center"/>
    </xf>
    <xf numFmtId="0" fontId="159" fillId="0" borderId="8" xfId="543" applyFont="1" applyBorder="1" applyAlignment="1">
      <alignment horizontal="center" wrapText="1"/>
    </xf>
    <xf numFmtId="0" fontId="159" fillId="0" borderId="0" xfId="543" applyFont="1" applyAlignment="1">
      <alignment horizontal="center" wrapText="1"/>
    </xf>
    <xf numFmtId="0" fontId="159" fillId="0" borderId="12" xfId="543" applyFont="1" applyBorder="1" applyAlignment="1">
      <alignment horizontal="center" wrapText="1"/>
    </xf>
    <xf numFmtId="0" fontId="159" fillId="0" borderId="9" xfId="543" applyFont="1" applyBorder="1" applyAlignment="1">
      <alignment horizontal="center" wrapText="1"/>
    </xf>
    <xf numFmtId="0" fontId="159" fillId="0" borderId="6" xfId="543" applyFont="1" applyBorder="1" applyAlignment="1">
      <alignment horizontal="center" wrapText="1"/>
    </xf>
    <xf numFmtId="0" fontId="159" fillId="0" borderId="10" xfId="543" applyFont="1" applyBorder="1" applyAlignment="1">
      <alignment horizontal="center" wrapText="1"/>
    </xf>
    <xf numFmtId="0" fontId="159" fillId="0" borderId="8" xfId="543" applyFont="1" applyBorder="1" applyAlignment="1">
      <alignment horizontal="center" vertical="top" wrapText="1"/>
    </xf>
    <xf numFmtId="0" fontId="159" fillId="0" borderId="0" xfId="543" applyFont="1" applyAlignment="1">
      <alignment horizontal="center" vertical="top" wrapText="1"/>
    </xf>
    <xf numFmtId="0" fontId="159" fillId="0" borderId="12" xfId="543" applyFont="1" applyBorder="1" applyAlignment="1">
      <alignment horizontal="center" vertical="top" wrapText="1"/>
    </xf>
    <xf numFmtId="0" fontId="159" fillId="0" borderId="9" xfId="543" applyFont="1" applyBorder="1" applyAlignment="1">
      <alignment horizontal="center" vertical="top" wrapText="1"/>
    </xf>
    <xf numFmtId="0" fontId="159" fillId="0" borderId="6" xfId="543" applyFont="1" applyBorder="1" applyAlignment="1">
      <alignment horizontal="center" vertical="top" wrapText="1"/>
    </xf>
    <xf numFmtId="0" fontId="159" fillId="0" borderId="10" xfId="543" applyFont="1" applyBorder="1" applyAlignment="1">
      <alignment horizontal="center" vertical="top" wrapText="1"/>
    </xf>
    <xf numFmtId="0" fontId="156" fillId="0" borderId="0" xfId="0" applyFont="1" applyAlignment="1">
      <alignment horizontal="center" vertical="center" wrapText="1"/>
    </xf>
    <xf numFmtId="0" fontId="17" fillId="0" borderId="3" xfId="543" applyBorder="1" applyAlignment="1">
      <alignment horizontal="center"/>
    </xf>
    <xf numFmtId="0" fontId="17" fillId="0" borderId="4" xfId="543" applyBorder="1" applyAlignment="1">
      <alignment horizontal="center"/>
    </xf>
    <xf numFmtId="0" fontId="17" fillId="0" borderId="5" xfId="543" applyBorder="1" applyAlignment="1">
      <alignment horizontal="center"/>
    </xf>
    <xf numFmtId="1" fontId="17" fillId="0" borderId="3" xfId="543" applyNumberFormat="1" applyBorder="1" applyAlignment="1">
      <alignment horizontal="center"/>
    </xf>
    <xf numFmtId="1" fontId="17" fillId="0" borderId="4" xfId="543" applyNumberFormat="1" applyBorder="1" applyAlignment="1">
      <alignment horizontal="center"/>
    </xf>
    <xf numFmtId="1" fontId="17" fillId="0" borderId="5" xfId="543" applyNumberFormat="1" applyBorder="1" applyAlignment="1">
      <alignment horizontal="center"/>
    </xf>
    <xf numFmtId="168" fontId="17" fillId="0" borderId="1" xfId="543" applyNumberFormat="1" applyBorder="1" applyAlignment="1">
      <alignment horizontal="center" vertical="center"/>
    </xf>
    <xf numFmtId="168" fontId="17" fillId="0" borderId="2" xfId="543" applyNumberFormat="1" applyBorder="1" applyAlignment="1">
      <alignment horizontal="center" vertical="center"/>
    </xf>
    <xf numFmtId="168" fontId="17" fillId="0" borderId="7" xfId="543" applyNumberFormat="1" applyBorder="1" applyAlignment="1">
      <alignment horizontal="center" vertical="center"/>
    </xf>
    <xf numFmtId="168" fontId="17" fillId="0" borderId="8" xfId="543" applyNumberFormat="1" applyBorder="1" applyAlignment="1">
      <alignment horizontal="center" vertical="center"/>
    </xf>
    <xf numFmtId="168" fontId="17" fillId="0" borderId="0" xfId="543" applyNumberFormat="1" applyAlignment="1">
      <alignment horizontal="center" vertical="center"/>
    </xf>
    <xf numFmtId="168" fontId="17" fillId="0" borderId="12" xfId="543" applyNumberFormat="1" applyBorder="1" applyAlignment="1">
      <alignment horizontal="center" vertical="center"/>
    </xf>
    <xf numFmtId="168" fontId="17" fillId="0" borderId="9" xfId="543" applyNumberFormat="1" applyBorder="1" applyAlignment="1">
      <alignment horizontal="center" vertical="center"/>
    </xf>
    <xf numFmtId="168" fontId="17" fillId="0" borderId="6" xfId="543" applyNumberFormat="1" applyBorder="1" applyAlignment="1">
      <alignment horizontal="center" vertical="center"/>
    </xf>
    <xf numFmtId="168" fontId="17"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38" fillId="0" borderId="3" xfId="543" applyFont="1" applyBorder="1" applyAlignment="1">
      <alignment horizontal="center"/>
    </xf>
    <xf numFmtId="0" fontId="38" fillId="0" borderId="4" xfId="543" applyFont="1" applyBorder="1" applyAlignment="1">
      <alignment horizontal="center"/>
    </xf>
    <xf numFmtId="0" fontId="38" fillId="0" borderId="5" xfId="543" applyFont="1" applyBorder="1" applyAlignment="1">
      <alignment horizontal="center"/>
    </xf>
    <xf numFmtId="168" fontId="17" fillId="0" borderId="11" xfId="543" applyNumberFormat="1" applyBorder="1" applyAlignment="1">
      <alignment horizontal="center"/>
    </xf>
    <xf numFmtId="168" fontId="17" fillId="10" borderId="3" xfId="543" applyNumberFormat="1" applyFill="1" applyBorder="1" applyAlignment="1">
      <alignment horizontal="center"/>
    </xf>
    <xf numFmtId="168" fontId="17" fillId="10" borderId="4" xfId="543" applyNumberFormat="1" applyFill="1" applyBorder="1" applyAlignment="1">
      <alignment horizontal="center"/>
    </xf>
    <xf numFmtId="168" fontId="17" fillId="10" borderId="5" xfId="543" applyNumberFormat="1" applyFill="1" applyBorder="1" applyAlignment="1">
      <alignment horizontal="center"/>
    </xf>
    <xf numFmtId="0" fontId="53" fillId="5" borderId="3" xfId="0" applyFont="1" applyFill="1" applyBorder="1" applyAlignment="1" applyProtection="1">
      <alignment horizontal="right"/>
      <protection locked="0"/>
    </xf>
    <xf numFmtId="0" fontId="53" fillId="5" borderId="4" xfId="0" applyFont="1" applyFill="1" applyBorder="1" applyAlignment="1" applyProtection="1">
      <alignment horizontal="right"/>
      <protection locked="0"/>
    </xf>
    <xf numFmtId="0" fontId="53" fillId="5" borderId="5" xfId="0" applyFont="1" applyFill="1" applyBorder="1" applyAlignment="1" applyProtection="1">
      <alignment horizontal="right"/>
      <protection locked="0"/>
    </xf>
    <xf numFmtId="168" fontId="17" fillId="5" borderId="3" xfId="0" applyNumberFormat="1" applyFont="1" applyFill="1" applyBorder="1" applyAlignment="1" applyProtection="1">
      <alignment horizontal="right"/>
      <protection locked="0"/>
    </xf>
    <xf numFmtId="168" fontId="17" fillId="5" borderId="4" xfId="0" applyNumberFormat="1" applyFont="1" applyFill="1" applyBorder="1" applyAlignment="1" applyProtection="1">
      <alignment horizontal="right"/>
      <protection locked="0"/>
    </xf>
    <xf numFmtId="168" fontId="17" fillId="5" borderId="5" xfId="0" applyNumberFormat="1" applyFont="1" applyFill="1" applyBorder="1" applyAlignment="1" applyProtection="1">
      <alignment horizontal="right"/>
      <protection locked="0"/>
    </xf>
    <xf numFmtId="182" fontId="25" fillId="43" borderId="11" xfId="8721" applyNumberFormat="1" applyFont="1" applyFill="1" applyBorder="1" applyAlignment="1" applyProtection="1">
      <alignment horizontal="center" vertical="center" wrapText="1"/>
      <protection locked="0"/>
    </xf>
    <xf numFmtId="0" fontId="50" fillId="0" borderId="0" xfId="0" applyFont="1" applyAlignment="1">
      <alignment horizontal="center"/>
    </xf>
    <xf numFmtId="0" fontId="17" fillId="0" borderId="0" xfId="0" applyFont="1" applyAlignment="1">
      <alignment horizontal="center"/>
    </xf>
    <xf numFmtId="0" fontId="32" fillId="0" borderId="0" xfId="0" applyFont="1" applyAlignment="1">
      <alignment horizontal="center"/>
    </xf>
    <xf numFmtId="0" fontId="17" fillId="0" borderId="0" xfId="0" applyFont="1" applyAlignment="1">
      <alignment wrapText="1"/>
    </xf>
    <xf numFmtId="0" fontId="17" fillId="0" borderId="0" xfId="0" applyFont="1" applyAlignment="1">
      <alignment horizontal="center" vertical="top"/>
    </xf>
    <xf numFmtId="0" fontId="26" fillId="0" borderId="0" xfId="0" applyFont="1" applyAlignment="1">
      <alignment horizontal="left" vertical="top" wrapText="1"/>
    </xf>
    <xf numFmtId="0" fontId="17" fillId="5" borderId="6" xfId="0" applyFont="1" applyFill="1" applyBorder="1" applyAlignment="1" applyProtection="1">
      <alignment horizontal="left"/>
      <protection locked="0"/>
    </xf>
    <xf numFmtId="0" fontId="26" fillId="5" borderId="6" xfId="0" applyFont="1" applyFill="1" applyBorder="1" applyAlignment="1" applyProtection="1">
      <alignment horizontal="left"/>
      <protection locked="0"/>
    </xf>
    <xf numFmtId="168" fontId="26" fillId="0" borderId="6" xfId="0" applyNumberFormat="1" applyFont="1" applyBorder="1" applyAlignment="1">
      <alignment horizontal="center"/>
    </xf>
    <xf numFmtId="0" fontId="17" fillId="5" borderId="6" xfId="0" applyFont="1" applyFill="1" applyBorder="1" applyAlignment="1" applyProtection="1">
      <alignment horizontal="left" wrapText="1"/>
      <protection locked="0"/>
    </xf>
    <xf numFmtId="0" fontId="26" fillId="5" borderId="6" xfId="0" applyFont="1" applyFill="1" applyBorder="1" applyAlignment="1" applyProtection="1">
      <alignment horizontal="left" wrapText="1"/>
      <protection locked="0"/>
    </xf>
    <xf numFmtId="0" fontId="25" fillId="0" borderId="0" xfId="0" applyFont="1" applyAlignment="1">
      <alignment horizontal="center"/>
    </xf>
    <xf numFmtId="0" fontId="23" fillId="3" borderId="0" xfId="0" applyFont="1" applyFill="1" applyAlignment="1">
      <alignment horizontal="center" vertical="center"/>
    </xf>
    <xf numFmtId="166" fontId="26"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6" fillId="5" borderId="4" xfId="0" applyFont="1" applyFill="1" applyBorder="1" applyAlignment="1" applyProtection="1">
      <alignment wrapText="1"/>
      <protection locked="0"/>
    </xf>
    <xf numFmtId="0" fontId="24" fillId="0" borderId="2"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0" xfId="0" applyFont="1" applyAlignment="1">
      <alignment horizontal="center" vertical="center" wrapText="1"/>
    </xf>
    <xf numFmtId="0" fontId="24" fillId="0" borderId="1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0" xfId="0" applyFont="1" applyBorder="1" applyAlignment="1">
      <alignment horizontal="center" vertical="center" wrapText="1"/>
    </xf>
    <xf numFmtId="0" fontId="26" fillId="5" borderId="4" xfId="0" applyFont="1" applyFill="1" applyBorder="1" applyAlignment="1" applyProtection="1">
      <alignment horizontal="left"/>
      <protection locked="0"/>
    </xf>
    <xf numFmtId="175" fontId="17" fillId="43" borderId="3" xfId="0" applyNumberFormat="1" applyFont="1" applyFill="1" applyBorder="1" applyAlignment="1" applyProtection="1">
      <alignment horizontal="center"/>
      <protection locked="0"/>
    </xf>
    <xf numFmtId="175" fontId="17" fillId="43" borderId="4" xfId="0" applyNumberFormat="1" applyFont="1" applyFill="1" applyBorder="1" applyAlignment="1" applyProtection="1">
      <alignment horizontal="center"/>
      <protection locked="0"/>
    </xf>
    <xf numFmtId="175" fontId="17"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4" fillId="0" borderId="11" xfId="0" applyFont="1" applyBorder="1" applyAlignment="1">
      <alignment horizontal="center" vertical="center" wrapText="1"/>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75" fontId="17" fillId="43" borderId="3" xfId="0" applyNumberFormat="1" applyFont="1" applyFill="1" applyBorder="1" applyAlignment="1" applyProtection="1">
      <alignment horizontal="center" vertical="center"/>
      <protection locked="0"/>
    </xf>
    <xf numFmtId="175" fontId="17" fillId="43" borderId="4" xfId="0" applyNumberFormat="1" applyFont="1" applyFill="1" applyBorder="1" applyAlignment="1" applyProtection="1">
      <alignment horizontal="center" vertical="center"/>
      <protection locked="0"/>
    </xf>
    <xf numFmtId="175" fontId="17" fillId="43" borderId="5" xfId="0" applyNumberFormat="1" applyFont="1" applyFill="1" applyBorder="1" applyAlignment="1" applyProtection="1">
      <alignment horizontal="center" vertical="center"/>
      <protection locked="0"/>
    </xf>
    <xf numFmtId="0" fontId="24" fillId="0" borderId="9" xfId="0" applyFont="1" applyBorder="1" applyAlignment="1">
      <alignment horizontal="right"/>
    </xf>
    <xf numFmtId="0" fontId="24" fillId="0" borderId="6" xfId="0" applyFont="1" applyBorder="1" applyAlignment="1">
      <alignment horizontal="right"/>
    </xf>
    <xf numFmtId="0" fontId="24" fillId="0" borderId="10" xfId="0" applyFont="1" applyBorder="1" applyAlignment="1">
      <alignment horizontal="right"/>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80" fontId="25" fillId="43" borderId="3" xfId="0" applyNumberFormat="1" applyFont="1" applyFill="1" applyBorder="1" applyAlignment="1" applyProtection="1">
      <alignment horizontal="center" vertical="center"/>
      <protection locked="0"/>
    </xf>
    <xf numFmtId="180" fontId="25" fillId="43" borderId="4" xfId="0" applyNumberFormat="1" applyFont="1" applyFill="1" applyBorder="1" applyAlignment="1" applyProtection="1">
      <alignment horizontal="center" vertical="center"/>
      <protection locked="0"/>
    </xf>
    <xf numFmtId="180" fontId="25" fillId="43" borderId="5" xfId="0" applyNumberFormat="1" applyFont="1" applyFill="1" applyBorder="1" applyAlignment="1" applyProtection="1">
      <alignment horizontal="center" vertical="center"/>
      <protection locked="0"/>
    </xf>
    <xf numFmtId="0" fontId="0" fillId="0" borderId="11" xfId="0" applyBorder="1" applyAlignment="1">
      <alignment horizontal="center"/>
    </xf>
    <xf numFmtId="0" fontId="0" fillId="43" borderId="4" xfId="0" applyFill="1" applyBorder="1" applyAlignment="1" applyProtection="1">
      <alignment horizontal="center"/>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6" fillId="45" borderId="11" xfId="0" applyFont="1" applyFill="1" applyBorder="1" applyAlignment="1">
      <alignment horizontal="center"/>
    </xf>
    <xf numFmtId="0" fontId="17" fillId="0" borderId="11" xfId="0" applyFont="1" applyBorder="1" applyAlignment="1">
      <alignment horizontal="center"/>
    </xf>
    <xf numFmtId="0" fontId="26" fillId="2" borderId="11" xfId="0" applyFont="1" applyFill="1" applyBorder="1" applyAlignment="1">
      <alignment horizontal="center"/>
    </xf>
    <xf numFmtId="0" fontId="17" fillId="0" borderId="11" xfId="543" applyBorder="1" applyAlignment="1">
      <alignment horizontal="center"/>
    </xf>
    <xf numFmtId="0" fontId="26" fillId="0" borderId="3" xfId="0" applyFont="1" applyBorder="1" applyAlignment="1">
      <alignment horizontal="center"/>
    </xf>
    <xf numFmtId="0" fontId="26" fillId="0" borderId="5" xfId="0" applyFont="1" applyBorder="1" applyAlignment="1">
      <alignment horizontal="center"/>
    </xf>
    <xf numFmtId="0" fontId="17" fillId="0" borderId="3" xfId="0" applyFont="1" applyBorder="1" applyAlignment="1">
      <alignment horizontal="center"/>
    </xf>
    <xf numFmtId="0" fontId="17" fillId="0" borderId="5" xfId="0" applyFont="1" applyBorder="1" applyAlignment="1">
      <alignment horizontal="center"/>
    </xf>
    <xf numFmtId="0" fontId="26" fillId="45" borderId="3" xfId="0" applyFont="1" applyFill="1" applyBorder="1" applyAlignment="1">
      <alignment horizontal="center"/>
    </xf>
    <xf numFmtId="0" fontId="26" fillId="45" borderId="4" xfId="0" applyFont="1" applyFill="1" applyBorder="1" applyAlignment="1">
      <alignment horizontal="center"/>
    </xf>
    <xf numFmtId="0" fontId="26" fillId="45" borderId="5" xfId="0" applyFont="1" applyFill="1" applyBorder="1" applyAlignment="1">
      <alignment horizontal="center"/>
    </xf>
    <xf numFmtId="0" fontId="17" fillId="0" borderId="4" xfId="0" applyFont="1" applyBorder="1" applyAlignment="1">
      <alignment horizontal="center"/>
    </xf>
    <xf numFmtId="0" fontId="40" fillId="0" borderId="3" xfId="0" applyFont="1" applyBorder="1" applyAlignment="1">
      <alignment horizontal="center"/>
    </xf>
    <xf numFmtId="0" fontId="40" fillId="0" borderId="4" xfId="0" applyFont="1" applyBorder="1" applyAlignment="1">
      <alignment horizontal="center"/>
    </xf>
    <xf numFmtId="0" fontId="40" fillId="0" borderId="5" xfId="0" applyFont="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0" fontId="25" fillId="5" borderId="3" xfId="543" applyFont="1"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7" fillId="2" borderId="3" xfId="543" applyFill="1" applyBorder="1" applyAlignment="1">
      <alignment horizontal="center"/>
    </xf>
    <xf numFmtId="0" fontId="17" fillId="2" borderId="4" xfId="543" applyFill="1" applyBorder="1" applyAlignment="1">
      <alignment horizontal="center"/>
    </xf>
    <xf numFmtId="0" fontId="17" fillId="2" borderId="5" xfId="543" applyFill="1" applyBorder="1" applyAlignment="1">
      <alignment horizontal="center"/>
    </xf>
    <xf numFmtId="0" fontId="24" fillId="0" borderId="8" xfId="543" applyFont="1" applyBorder="1" applyAlignment="1">
      <alignment horizontal="left" vertical="center" wrapText="1"/>
    </xf>
    <xf numFmtId="0" fontId="24" fillId="0" borderId="0" xfId="543" applyFont="1" applyAlignment="1">
      <alignment horizontal="left" vertical="center" wrapText="1"/>
    </xf>
    <xf numFmtId="0" fontId="24" fillId="0" borderId="12" xfId="543" applyFont="1" applyBorder="1" applyAlignment="1">
      <alignment horizontal="left" vertical="center" wrapText="1"/>
    </xf>
    <xf numFmtId="0" fontId="24" fillId="10" borderId="3" xfId="543" applyFont="1" applyFill="1" applyBorder="1" applyAlignment="1">
      <alignment horizontal="center"/>
    </xf>
    <xf numFmtId="0" fontId="24" fillId="10" borderId="4" xfId="543" applyFont="1" applyFill="1" applyBorder="1" applyAlignment="1">
      <alignment horizontal="center"/>
    </xf>
    <xf numFmtId="0" fontId="24" fillId="10" borderId="5" xfId="543" applyFont="1" applyFill="1" applyBorder="1" applyAlignment="1">
      <alignment horizontal="center"/>
    </xf>
    <xf numFmtId="0" fontId="36" fillId="5" borderId="3" xfId="543" applyFont="1" applyFill="1" applyBorder="1" applyAlignment="1" applyProtection="1">
      <alignment horizontal="center" vertical="top"/>
      <protection locked="0"/>
    </xf>
    <xf numFmtId="0" fontId="36" fillId="5" borderId="5" xfId="543" applyFont="1" applyFill="1" applyBorder="1" applyAlignment="1" applyProtection="1">
      <alignment horizontal="center" vertical="top"/>
      <protection locked="0"/>
    </xf>
    <xf numFmtId="0" fontId="36" fillId="5" borderId="3" xfId="543" applyFont="1" applyFill="1" applyBorder="1" applyAlignment="1" applyProtection="1">
      <alignment horizontal="center"/>
      <protection locked="0"/>
    </xf>
    <xf numFmtId="0" fontId="36" fillId="5" borderId="5" xfId="543" applyFont="1" applyFill="1" applyBorder="1" applyAlignment="1" applyProtection="1">
      <alignment horizontal="center"/>
      <protection locked="0"/>
    </xf>
    <xf numFmtId="0" fontId="24" fillId="0" borderId="1" xfId="543" applyFont="1" applyBorder="1" applyAlignment="1">
      <alignment horizontal="left" vertical="center" wrapText="1"/>
    </xf>
    <xf numFmtId="0" fontId="24" fillId="0" borderId="2" xfId="543" applyFont="1" applyBorder="1" applyAlignment="1">
      <alignment horizontal="left" vertical="center" wrapText="1"/>
    </xf>
    <xf numFmtId="0" fontId="24" fillId="0" borderId="7" xfId="543" applyFont="1" applyBorder="1" applyAlignment="1">
      <alignment horizontal="left" vertical="center" wrapText="1"/>
    </xf>
    <xf numFmtId="0" fontId="17" fillId="0" borderId="8" xfId="543" applyBorder="1" applyAlignment="1">
      <alignment horizontal="left" vertical="top" wrapText="1"/>
    </xf>
    <xf numFmtId="0" fontId="17" fillId="0" borderId="0" xfId="543" applyAlignment="1">
      <alignment horizontal="left" vertical="top" wrapText="1"/>
    </xf>
    <xf numFmtId="0" fontId="17" fillId="0" borderId="12" xfId="543" applyBorder="1" applyAlignment="1">
      <alignment horizontal="left" vertical="top" wrapText="1"/>
    </xf>
    <xf numFmtId="0" fontId="17" fillId="0" borderId="9" xfId="543" applyBorder="1" applyAlignment="1">
      <alignment horizontal="left" vertical="top" wrapText="1"/>
    </xf>
    <xf numFmtId="0" fontId="17" fillId="0" borderId="6" xfId="543" applyBorder="1" applyAlignment="1">
      <alignment horizontal="left" vertical="top" wrapText="1"/>
    </xf>
    <xf numFmtId="0" fontId="17" fillId="0" borderId="10" xfId="543" applyBorder="1" applyAlignment="1">
      <alignment horizontal="left" vertical="top" wrapText="1"/>
    </xf>
    <xf numFmtId="0" fontId="44" fillId="0" borderId="8" xfId="543" applyFont="1" applyBorder="1" applyAlignment="1">
      <alignment horizontal="center" vertical="center" wrapText="1"/>
    </xf>
    <xf numFmtId="0" fontId="44" fillId="0" borderId="0" xfId="543" applyFont="1" applyAlignment="1">
      <alignment horizontal="center" vertical="center" wrapText="1"/>
    </xf>
    <xf numFmtId="0" fontId="44" fillId="0" borderId="12" xfId="543" applyFont="1" applyBorder="1" applyAlignment="1">
      <alignment horizontal="center" vertical="center" wrapText="1"/>
    </xf>
    <xf numFmtId="0" fontId="17" fillId="0" borderId="8" xfId="0" applyFont="1" applyBorder="1" applyAlignment="1">
      <alignment horizontal="left" wrapText="1"/>
    </xf>
    <xf numFmtId="0" fontId="17" fillId="0" borderId="12" xfId="0" applyFont="1" applyBorder="1" applyAlignment="1">
      <alignment horizontal="left" wrapText="1"/>
    </xf>
    <xf numFmtId="0" fontId="17" fillId="0" borderId="9" xfId="0" applyFont="1" applyBorder="1" applyAlignment="1">
      <alignment horizontal="left" wrapText="1"/>
    </xf>
    <xf numFmtId="0" fontId="17" fillId="0" borderId="6" xfId="0" applyFont="1" applyBorder="1" applyAlignment="1">
      <alignment horizontal="left" wrapText="1"/>
    </xf>
    <xf numFmtId="0" fontId="17" fillId="0" borderId="10" xfId="0" applyFont="1" applyBorder="1" applyAlignment="1">
      <alignment horizontal="left" wrapText="1"/>
    </xf>
    <xf numFmtId="0" fontId="24" fillId="0" borderId="1" xfId="543" applyFont="1" applyBorder="1" applyAlignment="1">
      <alignment horizontal="left" vertical="top" wrapText="1"/>
    </xf>
    <xf numFmtId="0" fontId="24" fillId="0" borderId="2" xfId="543" applyFont="1" applyBorder="1" applyAlignment="1">
      <alignment horizontal="left" vertical="top" wrapText="1"/>
    </xf>
    <xf numFmtId="0" fontId="24" fillId="0" borderId="7" xfId="543" applyFont="1" applyBorder="1" applyAlignment="1">
      <alignment horizontal="left" vertical="top" wrapText="1"/>
    </xf>
    <xf numFmtId="0" fontId="24" fillId="0" borderId="8" xfId="543" applyFont="1" applyBorder="1" applyAlignment="1">
      <alignment horizontal="left" vertical="top" wrapText="1"/>
    </xf>
    <xf numFmtId="0" fontId="24" fillId="0" borderId="0" xfId="543" applyFont="1" applyAlignment="1">
      <alignment horizontal="left" vertical="top" wrapText="1"/>
    </xf>
    <xf numFmtId="0" fontId="24" fillId="0" borderId="12" xfId="543" applyFont="1" applyBorder="1" applyAlignment="1">
      <alignment horizontal="left" vertical="top" wrapText="1"/>
    </xf>
    <xf numFmtId="0" fontId="152" fillId="0" borderId="8" xfId="543" applyFont="1" applyBorder="1" applyAlignment="1">
      <alignment horizontal="center" vertical="center" wrapText="1"/>
    </xf>
    <xf numFmtId="0" fontId="152" fillId="0" borderId="0" xfId="543" applyFont="1" applyAlignment="1">
      <alignment horizontal="center" vertical="center" wrapText="1"/>
    </xf>
    <xf numFmtId="0" fontId="152" fillId="0" borderId="12" xfId="543" applyFont="1" applyBorder="1" applyAlignment="1">
      <alignment horizontal="center" vertical="center" wrapText="1"/>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25" fillId="5" borderId="3" xfId="0" applyNumberFormat="1" applyFont="1" applyFill="1" applyBorder="1" applyAlignment="1" applyProtection="1">
      <alignment horizontal="left"/>
      <protection locked="0"/>
    </xf>
    <xf numFmtId="164" fontId="36" fillId="5" borderId="4" xfId="0" applyNumberFormat="1" applyFont="1" applyFill="1" applyBorder="1" applyAlignment="1" applyProtection="1">
      <alignment horizontal="left"/>
      <protection locked="0"/>
    </xf>
    <xf numFmtId="164" fontId="36" fillId="5" borderId="5" xfId="0" applyNumberFormat="1" applyFont="1" applyFill="1" applyBorder="1" applyAlignment="1" applyProtection="1">
      <alignment horizontal="left"/>
      <protection locked="0"/>
    </xf>
    <xf numFmtId="0" fontId="17" fillId="0" borderId="8" xfId="543" applyBorder="1" applyAlignment="1">
      <alignment horizontal="left" vertical="center" wrapText="1"/>
    </xf>
    <xf numFmtId="0" fontId="17" fillId="0" borderId="0" xfId="543" applyAlignment="1">
      <alignment horizontal="left" vertical="center" wrapText="1"/>
    </xf>
    <xf numFmtId="0" fontId="17" fillId="0" borderId="12" xfId="543" applyBorder="1" applyAlignment="1">
      <alignment horizontal="left" vertical="center" wrapText="1"/>
    </xf>
    <xf numFmtId="0" fontId="17" fillId="0" borderId="9" xfId="543" applyBorder="1" applyAlignment="1">
      <alignment horizontal="left" vertical="center" wrapText="1"/>
    </xf>
    <xf numFmtId="0" fontId="17" fillId="0" borderId="6" xfId="543" applyBorder="1" applyAlignment="1">
      <alignment horizontal="left" vertical="center" wrapText="1"/>
    </xf>
    <xf numFmtId="0" fontId="17" fillId="0" borderId="10" xfId="543" applyBorder="1" applyAlignment="1">
      <alignment horizontal="left" vertical="center" wrapText="1"/>
    </xf>
    <xf numFmtId="0" fontId="17" fillId="5" borderId="3" xfId="0" applyFont="1" applyFill="1" applyBorder="1" applyAlignment="1" applyProtection="1">
      <alignment horizontal="left"/>
      <protection locked="0"/>
    </xf>
    <xf numFmtId="0" fontId="17" fillId="5" borderId="4" xfId="0" applyFont="1" applyFill="1" applyBorder="1" applyAlignment="1" applyProtection="1">
      <alignment horizontal="left"/>
      <protection locked="0"/>
    </xf>
    <xf numFmtId="0" fontId="17" fillId="5" borderId="5" xfId="0" applyFont="1" applyFill="1" applyBorder="1" applyAlignment="1" applyProtection="1">
      <alignment horizontal="lef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5" fillId="5" borderId="3" xfId="0" applyFont="1" applyFill="1" applyBorder="1" applyAlignment="1" applyProtection="1">
      <alignment horizontal="left"/>
      <protection locked="0"/>
    </xf>
    <xf numFmtId="0" fontId="25" fillId="5" borderId="4" xfId="0" applyFont="1" applyFill="1" applyBorder="1" applyAlignment="1" applyProtection="1">
      <alignment horizontal="left"/>
      <protection locked="0"/>
    </xf>
    <xf numFmtId="0" fontId="25" fillId="5" borderId="5" xfId="0" applyFont="1" applyFill="1" applyBorder="1" applyAlignment="1" applyProtection="1">
      <alignment horizontal="left"/>
      <protection locked="0"/>
    </xf>
    <xf numFmtId="0" fontId="37" fillId="0" borderId="4" xfId="543" applyFont="1" applyBorder="1" applyAlignment="1">
      <alignment horizontal="right" vertical="top" wrapText="1"/>
    </xf>
    <xf numFmtId="0" fontId="37" fillId="0" borderId="5" xfId="543" applyFont="1" applyBorder="1" applyAlignment="1">
      <alignment horizontal="right" vertical="top" wrapText="1"/>
    </xf>
    <xf numFmtId="0" fontId="25" fillId="0" borderId="3" xfId="543" applyFont="1" applyBorder="1" applyAlignment="1">
      <alignment horizontal="center"/>
    </xf>
    <xf numFmtId="0" fontId="25" fillId="0" borderId="5" xfId="543" applyFont="1" applyBorder="1" applyAlignment="1">
      <alignment horizontal="center"/>
    </xf>
    <xf numFmtId="1" fontId="25" fillId="0" borderId="3" xfId="543" applyNumberFormat="1" applyFont="1" applyBorder="1" applyAlignment="1">
      <alignment horizontal="center"/>
    </xf>
    <xf numFmtId="1" fontId="25" fillId="0" borderId="5" xfId="543" applyNumberFormat="1" applyFont="1" applyBorder="1" applyAlignment="1">
      <alignment horizontal="center"/>
    </xf>
    <xf numFmtId="0" fontId="36" fillId="0" borderId="3" xfId="543" applyFont="1" applyBorder="1" applyAlignment="1">
      <alignment horizontal="center"/>
    </xf>
    <xf numFmtId="0" fontId="36" fillId="0" borderId="5" xfId="543" applyFont="1" applyBorder="1" applyAlignment="1">
      <alignment horizontal="center"/>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4" fillId="0" borderId="3" xfId="543" applyNumberFormat="1" applyFont="1" applyBorder="1" applyAlignment="1">
      <alignment horizontal="center" vertical="center"/>
    </xf>
    <xf numFmtId="168" fontId="24" fillId="0" borderId="4" xfId="543" applyNumberFormat="1" applyFont="1" applyBorder="1" applyAlignment="1">
      <alignment horizontal="center" vertical="center"/>
    </xf>
    <xf numFmtId="168" fontId="24" fillId="0" borderId="5" xfId="543" applyNumberFormat="1" applyFont="1" applyBorder="1" applyAlignment="1">
      <alignment horizontal="center" vertical="center"/>
    </xf>
    <xf numFmtId="0" fontId="36" fillId="5" borderId="9" xfId="543" applyFont="1" applyFill="1" applyBorder="1" applyAlignment="1" applyProtection="1">
      <alignment horizontal="center"/>
      <protection locked="0"/>
    </xf>
    <xf numFmtId="0" fontId="36" fillId="5" borderId="10" xfId="543" applyFont="1" applyFill="1" applyBorder="1" applyAlignment="1" applyProtection="1">
      <alignment horizontal="center"/>
      <protection locked="0"/>
    </xf>
    <xf numFmtId="168" fontId="17"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5" fillId="5" borderId="4" xfId="0" applyNumberFormat="1" applyFont="1" applyFill="1" applyBorder="1" applyAlignment="1" applyProtection="1">
      <alignment horizontal="left"/>
      <protection locked="0"/>
    </xf>
    <xf numFmtId="164" fontId="25"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4" fillId="0" borderId="8" xfId="0" applyFont="1" applyBorder="1" applyAlignment="1">
      <alignment horizontal="center" wrapText="1"/>
    </xf>
    <xf numFmtId="0" fontId="24" fillId="0" borderId="0" xfId="0" applyFont="1" applyAlignment="1">
      <alignment horizontal="center" wrapText="1"/>
    </xf>
    <xf numFmtId="0" fontId="24" fillId="0" borderId="12" xfId="0" applyFont="1" applyBorder="1" applyAlignment="1">
      <alignment horizontal="center" wrapText="1"/>
    </xf>
    <xf numFmtId="0" fontId="24" fillId="0" borderId="9" xfId="0" applyFont="1" applyBorder="1" applyAlignment="1">
      <alignment horizontal="center" wrapText="1"/>
    </xf>
    <xf numFmtId="0" fontId="24" fillId="0" borderId="6" xfId="0" applyFont="1" applyBorder="1" applyAlignment="1">
      <alignment horizontal="center" wrapText="1"/>
    </xf>
    <xf numFmtId="0" fontId="24"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0" fontId="0" fillId="0" borderId="9" xfId="0" applyBorder="1" applyAlignment="1">
      <alignment horizontal="left"/>
    </xf>
    <xf numFmtId="9" fontId="17" fillId="5" borderId="3" xfId="0" applyNumberFormat="1" applyFont="1" applyFill="1" applyBorder="1" applyAlignment="1" applyProtection="1">
      <alignment horizontal="right"/>
      <protection locked="0"/>
    </xf>
    <xf numFmtId="0" fontId="24" fillId="0" borderId="3" xfId="543" applyFont="1" applyBorder="1" applyAlignment="1">
      <alignment horizontal="right"/>
    </xf>
    <xf numFmtId="0" fontId="24" fillId="0" borderId="4" xfId="543" applyFont="1" applyBorder="1" applyAlignment="1">
      <alignment horizontal="right"/>
    </xf>
    <xf numFmtId="0" fontId="24" fillId="0" borderId="5" xfId="543" applyFont="1" applyBorder="1" applyAlignment="1">
      <alignment horizontal="right"/>
    </xf>
    <xf numFmtId="0" fontId="17" fillId="5" borderId="3" xfId="543" applyFill="1" applyBorder="1" applyAlignment="1" applyProtection="1">
      <alignment horizontal="left" vertical="top" wrapText="1"/>
      <protection locked="0"/>
    </xf>
    <xf numFmtId="0" fontId="26" fillId="5" borderId="4" xfId="543" applyFont="1" applyFill="1" applyBorder="1" applyAlignment="1" applyProtection="1">
      <alignment horizontal="left" vertical="top" wrapText="1"/>
      <protection locked="0"/>
    </xf>
    <xf numFmtId="0" fontId="26" fillId="5" borderId="5" xfId="543" applyFont="1" applyFill="1" applyBorder="1" applyAlignment="1" applyProtection="1">
      <alignment horizontal="left" vertical="top" wrapText="1"/>
      <protection locked="0"/>
    </xf>
    <xf numFmtId="0" fontId="37" fillId="0" borderId="1" xfId="543" applyFont="1" applyBorder="1" applyAlignment="1">
      <alignment horizontal="right"/>
    </xf>
    <xf numFmtId="0" fontId="37" fillId="0" borderId="2" xfId="543" applyFont="1" applyBorder="1" applyAlignment="1">
      <alignment horizontal="right"/>
    </xf>
    <xf numFmtId="0" fontId="37" fillId="0" borderId="7" xfId="543" applyFont="1" applyBorder="1" applyAlignment="1">
      <alignment horizontal="right"/>
    </xf>
    <xf numFmtId="165" fontId="24" fillId="0" borderId="3" xfId="271" applyNumberFormat="1" applyFont="1" applyBorder="1" applyAlignment="1">
      <alignment horizontal="center"/>
    </xf>
    <xf numFmtId="165" fontId="24" fillId="0" borderId="4" xfId="271" applyNumberFormat="1" applyFont="1" applyBorder="1" applyAlignment="1">
      <alignment horizontal="center"/>
    </xf>
    <xf numFmtId="165" fontId="24" fillId="0" borderId="5" xfId="271" applyNumberFormat="1" applyFont="1" applyBorder="1" applyAlignment="1">
      <alignment horizontal="center"/>
    </xf>
    <xf numFmtId="1" fontId="26" fillId="5" borderId="11" xfId="0" applyNumberFormat="1" applyFont="1" applyFill="1" applyBorder="1" applyAlignment="1" applyProtection="1">
      <alignment horizontal="center"/>
      <protection locked="0"/>
    </xf>
    <xf numFmtId="0" fontId="26" fillId="5" borderId="6" xfId="271" applyFill="1" applyBorder="1" applyProtection="1">
      <protection locked="0"/>
    </xf>
    <xf numFmtId="0" fontId="24"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6" fillId="0" borderId="11" xfId="0" applyFont="1" applyBorder="1" applyAlignment="1">
      <alignment horizontal="center" vertical="top" wrapText="1"/>
    </xf>
    <xf numFmtId="0" fontId="24" fillId="0" borderId="0" xfId="0" applyFont="1" applyAlignment="1">
      <alignment horizontal="center" vertical="center"/>
    </xf>
    <xf numFmtId="0" fontId="0" fillId="0" borderId="3" xfId="0" applyBorder="1" applyAlignment="1">
      <alignment horizontal="left"/>
    </xf>
    <xf numFmtId="0" fontId="0" fillId="0" borderId="4" xfId="0" applyBorder="1" applyAlignment="1">
      <alignment horizontal="left"/>
    </xf>
    <xf numFmtId="0" fontId="17" fillId="43" borderId="11" xfId="0" applyFont="1" applyFill="1" applyBorder="1" applyAlignment="1" applyProtection="1">
      <alignment horizontal="center"/>
      <protection locked="0"/>
    </xf>
    <xf numFmtId="0" fontId="17" fillId="0" borderId="0" xfId="543" applyAlignment="1">
      <alignment horizontal="center"/>
    </xf>
    <xf numFmtId="2" fontId="17"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4" fillId="5" borderId="3" xfId="0" applyFont="1" applyFill="1" applyBorder="1" applyAlignment="1" applyProtection="1">
      <alignment horizontal="right"/>
      <protection locked="0"/>
    </xf>
    <xf numFmtId="0" fontId="24" fillId="5" borderId="4" xfId="0" applyFont="1" applyFill="1" applyBorder="1" applyAlignment="1" applyProtection="1">
      <alignment horizontal="right"/>
      <protection locked="0"/>
    </xf>
    <xf numFmtId="0" fontId="24" fillId="5" borderId="5" xfId="0"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center"/>
      <protection locked="0"/>
    </xf>
    <xf numFmtId="168" fontId="17" fillId="5" borderId="3" xfId="0" applyNumberFormat="1" applyFont="1" applyFill="1" applyBorder="1" applyAlignment="1" applyProtection="1">
      <alignment horizontal="left"/>
      <protection locked="0"/>
    </xf>
    <xf numFmtId="168" fontId="17" fillId="5" borderId="4" xfId="0" applyNumberFormat="1" applyFont="1" applyFill="1" applyBorder="1" applyAlignment="1" applyProtection="1">
      <alignment horizontal="left"/>
      <protection locked="0"/>
    </xf>
    <xf numFmtId="168" fontId="17" fillId="5" borderId="5" xfId="0" applyNumberFormat="1" applyFont="1" applyFill="1" applyBorder="1" applyAlignment="1" applyProtection="1">
      <alignment horizontal="left"/>
      <protection locked="0"/>
    </xf>
    <xf numFmtId="0" fontId="24" fillId="0" borderId="2" xfId="0" applyFont="1" applyBorder="1" applyAlignment="1">
      <alignment horizontal="right"/>
    </xf>
    <xf numFmtId="0" fontId="24" fillId="0" borderId="7" xfId="0" applyFont="1" applyBorder="1" applyAlignment="1">
      <alignment horizontal="right"/>
    </xf>
    <xf numFmtId="0" fontId="24" fillId="0" borderId="1" xfId="0" applyFont="1" applyBorder="1" applyAlignment="1">
      <alignment horizontal="center"/>
    </xf>
    <xf numFmtId="0" fontId="24" fillId="0" borderId="2" xfId="0" applyFont="1" applyBorder="1" applyAlignment="1">
      <alignment horizontal="center"/>
    </xf>
    <xf numFmtId="0" fontId="24" fillId="0" borderId="7" xfId="0" applyFont="1" applyBorder="1" applyAlignment="1">
      <alignment horizontal="center"/>
    </xf>
    <xf numFmtId="168" fontId="0" fillId="0" borderId="11" xfId="0" applyNumberFormat="1" applyBorder="1" applyAlignment="1">
      <alignment horizontal="right"/>
    </xf>
    <xf numFmtId="168" fontId="0" fillId="5" borderId="11" xfId="0" applyNumberFormat="1" applyFill="1" applyBorder="1" applyProtection="1">
      <protection locked="0"/>
    </xf>
    <xf numFmtId="0" fontId="26" fillId="0" borderId="3" xfId="0" applyFont="1" applyBorder="1" applyAlignment="1">
      <alignment horizontal="left"/>
    </xf>
    <xf numFmtId="0" fontId="24" fillId="0" borderId="3" xfId="0" applyFont="1" applyBorder="1" applyAlignment="1">
      <alignment horizontal="right"/>
    </xf>
    <xf numFmtId="0" fontId="24" fillId="0" borderId="4" xfId="0" applyFont="1" applyBorder="1" applyAlignment="1">
      <alignment horizontal="right"/>
    </xf>
    <xf numFmtId="0" fontId="24" fillId="0" borderId="5" xfId="0" applyFont="1" applyBorder="1" applyAlignment="1">
      <alignment horizontal="right"/>
    </xf>
    <xf numFmtId="0" fontId="36" fillId="5" borderId="3" xfId="543" applyFont="1" applyFill="1" applyBorder="1" applyAlignment="1">
      <alignment horizontal="center"/>
    </xf>
    <xf numFmtId="0" fontId="36" fillId="5" borderId="4" xfId="543" applyFont="1" applyFill="1" applyBorder="1" applyAlignment="1">
      <alignment horizontal="center"/>
    </xf>
    <xf numFmtId="0" fontId="36" fillId="5" borderId="5" xfId="543" applyFont="1" applyFill="1" applyBorder="1" applyAlignment="1">
      <alignment horizontal="center"/>
    </xf>
    <xf numFmtId="49" fontId="17" fillId="5" borderId="3" xfId="543" applyNumberFormat="1" applyFill="1" applyBorder="1" applyAlignment="1">
      <alignment horizontal="center"/>
    </xf>
    <xf numFmtId="49" fontId="17" fillId="5" borderId="5" xfId="543" applyNumberFormat="1" applyFill="1" applyBorder="1" applyAlignment="1">
      <alignment horizontal="center"/>
    </xf>
    <xf numFmtId="0" fontId="17" fillId="0" borderId="1" xfId="0" applyFont="1" applyBorder="1" applyAlignment="1">
      <alignment horizontal="center" vertical="top" wrapText="1"/>
    </xf>
    <xf numFmtId="171" fontId="17" fillId="0" borderId="0" xfId="543" applyNumberFormat="1" applyAlignment="1">
      <alignment horizontal="center"/>
    </xf>
    <xf numFmtId="0" fontId="17" fillId="5" borderId="11" xfId="0" applyFont="1" applyFill="1" applyBorder="1" applyAlignment="1" applyProtection="1">
      <alignment horizontal="left" wrapText="1"/>
      <protection locked="0"/>
    </xf>
    <xf numFmtId="0" fontId="54" fillId="0" borderId="1" xfId="0" applyFont="1" applyBorder="1" applyAlignment="1">
      <alignment horizontal="center" vertical="center" wrapText="1"/>
    </xf>
    <xf numFmtId="0" fontId="54" fillId="0" borderId="2" xfId="0" applyFont="1" applyBorder="1" applyAlignment="1">
      <alignment horizontal="center" vertical="center" wrapText="1"/>
    </xf>
    <xf numFmtId="0" fontId="54" fillId="0" borderId="7" xfId="0" applyFont="1" applyBorder="1" applyAlignment="1">
      <alignment horizontal="center" vertical="center" wrapText="1"/>
    </xf>
    <xf numFmtId="0" fontId="54" fillId="0" borderId="8" xfId="0" applyFont="1" applyBorder="1" applyAlignment="1">
      <alignment horizontal="center" vertical="center" wrapText="1"/>
    </xf>
    <xf numFmtId="0" fontId="54" fillId="0" borderId="0" xfId="0" applyFont="1" applyAlignment="1">
      <alignment horizontal="center" vertical="center" wrapText="1"/>
    </xf>
    <xf numFmtId="0" fontId="54" fillId="0" borderId="12" xfId="0" applyFont="1" applyBorder="1" applyAlignment="1">
      <alignment horizontal="center" vertical="center" wrapText="1"/>
    </xf>
    <xf numFmtId="0" fontId="54" fillId="0" borderId="9" xfId="0" applyFont="1" applyBorder="1" applyAlignment="1">
      <alignment horizontal="center" vertical="center" wrapText="1"/>
    </xf>
    <xf numFmtId="0" fontId="54" fillId="0" borderId="6" xfId="0" applyFont="1" applyBorder="1" applyAlignment="1">
      <alignment horizontal="center" vertical="center" wrapText="1"/>
    </xf>
    <xf numFmtId="0" fontId="54" fillId="0" borderId="10" xfId="0" applyFont="1" applyBorder="1" applyAlignment="1">
      <alignment horizontal="center" vertical="center" wrapText="1"/>
    </xf>
    <xf numFmtId="10" fontId="0" fillId="5" borderId="4" xfId="0" applyNumberFormat="1" applyFill="1" applyBorder="1" applyAlignment="1" applyProtection="1">
      <alignment horizontal="center"/>
      <protection locked="0"/>
    </xf>
    <xf numFmtId="0" fontId="24" fillId="0" borderId="1"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0" fillId="0" borderId="12" xfId="0" applyBorder="1" applyAlignment="1">
      <alignment horizontal="center"/>
    </xf>
    <xf numFmtId="0" fontId="17" fillId="5" borderId="11" xfId="0" applyFont="1" applyFill="1" applyBorder="1" applyAlignment="1" applyProtection="1">
      <alignment horizontal="left" vertical="center" wrapText="1"/>
      <protection locked="0"/>
    </xf>
    <xf numFmtId="166" fontId="17" fillId="5" borderId="4" xfId="0" applyNumberFormat="1" applyFont="1" applyFill="1" applyBorder="1" applyAlignment="1" applyProtection="1">
      <alignment horizontal="left"/>
      <protection locked="0"/>
    </xf>
    <xf numFmtId="1" fontId="26" fillId="5" borderId="3" xfId="0" applyNumberFormat="1" applyFont="1" applyFill="1" applyBorder="1" applyAlignment="1" applyProtection="1">
      <alignment horizontal="right" vertical="top"/>
      <protection locked="0"/>
    </xf>
    <xf numFmtId="1" fontId="26" fillId="5" borderId="4" xfId="0" applyNumberFormat="1" applyFont="1" applyFill="1" applyBorder="1" applyAlignment="1" applyProtection="1">
      <alignment horizontal="right" vertical="top"/>
      <protection locked="0"/>
    </xf>
    <xf numFmtId="1" fontId="26" fillId="5" borderId="5" xfId="0" applyNumberFormat="1" applyFont="1" applyFill="1" applyBorder="1" applyAlignment="1" applyProtection="1">
      <alignment horizontal="right" vertical="top"/>
      <protection locked="0"/>
    </xf>
    <xf numFmtId="0" fontId="17" fillId="5" borderId="4" xfId="0" applyFont="1" applyFill="1" applyBorder="1" applyAlignment="1" applyProtection="1">
      <alignment wrapText="1"/>
      <protection locked="0"/>
    </xf>
    <xf numFmtId="0" fontId="24" fillId="0" borderId="11" xfId="0" applyFont="1" applyBorder="1" applyAlignment="1">
      <alignment horizontal="center" vertical="center"/>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68" fontId="26" fillId="5" borderId="3" xfId="0" applyNumberFormat="1" applyFont="1" applyFill="1" applyBorder="1" applyAlignment="1" applyProtection="1">
      <alignment horizontal="left" vertical="top"/>
      <protection locked="0"/>
    </xf>
    <xf numFmtId="168" fontId="26" fillId="5" borderId="4" xfId="0" applyNumberFormat="1" applyFont="1" applyFill="1" applyBorder="1" applyAlignment="1" applyProtection="1">
      <alignment horizontal="left" vertical="top"/>
      <protection locked="0"/>
    </xf>
    <xf numFmtId="168" fontId="26" fillId="5" borderId="5" xfId="0" applyNumberFormat="1" applyFont="1" applyFill="1" applyBorder="1" applyAlignment="1" applyProtection="1">
      <alignment horizontal="left" vertical="top"/>
      <protection locked="0"/>
    </xf>
    <xf numFmtId="0" fontId="17" fillId="5" borderId="11" xfId="0" applyFont="1" applyFill="1" applyBorder="1" applyAlignment="1" applyProtection="1">
      <alignment vertical="center" wrapText="1"/>
      <protection locked="0"/>
    </xf>
    <xf numFmtId="168" fontId="17" fillId="43" borderId="3" xfId="0" applyNumberFormat="1" applyFont="1" applyFill="1" applyBorder="1" applyAlignment="1" applyProtection="1">
      <alignment horizontal="center" vertical="center"/>
      <protection locked="0"/>
    </xf>
    <xf numFmtId="168" fontId="17" fillId="43" borderId="4" xfId="0" applyNumberFormat="1" applyFont="1" applyFill="1" applyBorder="1" applyAlignment="1" applyProtection="1">
      <alignment horizontal="center" vertical="center"/>
      <protection locked="0"/>
    </xf>
    <xf numFmtId="168" fontId="17" fillId="43" borderId="5" xfId="0" applyNumberFormat="1" applyFont="1" applyFill="1" applyBorder="1" applyAlignment="1" applyProtection="1">
      <alignment horizontal="center" vertical="center"/>
      <protection locked="0"/>
    </xf>
    <xf numFmtId="175" fontId="0" fillId="5" borderId="4" xfId="0" applyNumberFormat="1" applyFill="1" applyBorder="1" applyAlignment="1" applyProtection="1">
      <alignment horizontal="left" vertical="center" wrapText="1"/>
      <protection locked="0"/>
    </xf>
    <xf numFmtId="0" fontId="26" fillId="5" borderId="9" xfId="0" applyFont="1" applyFill="1" applyBorder="1" applyAlignment="1" applyProtection="1">
      <alignment horizontal="center"/>
      <protection locked="0"/>
    </xf>
    <xf numFmtId="0" fontId="26" fillId="5" borderId="6" xfId="0" applyFont="1" applyFill="1" applyBorder="1" applyAlignment="1" applyProtection="1">
      <alignment horizontal="center"/>
      <protection locked="0"/>
    </xf>
    <xf numFmtId="0" fontId="25"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3" fontId="26" fillId="5" borderId="11" xfId="0" applyNumberFormat="1" applyFont="1" applyFill="1" applyBorder="1" applyAlignment="1" applyProtection="1">
      <alignment horizontal="center"/>
      <protection locked="0"/>
    </xf>
    <xf numFmtId="10" fontId="26" fillId="5" borderId="4" xfId="0" applyNumberFormat="1" applyFont="1" applyFill="1" applyBorder="1" applyAlignment="1" applyProtection="1">
      <alignment horizontal="right"/>
      <protection locked="0"/>
    </xf>
    <xf numFmtId="172" fontId="24" fillId="0" borderId="11" xfId="0" applyNumberFormat="1" applyFont="1" applyBorder="1" applyAlignment="1">
      <alignment horizontal="center" vertic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0" xfId="0" applyFont="1" applyAlignment="1">
      <alignment horizontal="center" vertical="center" wrapText="1"/>
    </xf>
    <xf numFmtId="0" fontId="33" fillId="0" borderId="12"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10" xfId="0" applyFont="1" applyBorder="1" applyAlignment="1">
      <alignment horizontal="center" vertical="center" wrapText="1"/>
    </xf>
    <xf numFmtId="14" fontId="0" fillId="5" borderId="4" xfId="0" applyNumberFormat="1" applyFill="1" applyBorder="1" applyAlignment="1" applyProtection="1">
      <alignment horizontal="center"/>
      <protection locked="0"/>
    </xf>
    <xf numFmtId="1" fontId="17" fillId="0" borderId="3" xfId="0" applyNumberFormat="1" applyFont="1" applyBorder="1" applyAlignment="1">
      <alignment horizontal="center"/>
    </xf>
    <xf numFmtId="1" fontId="26" fillId="0" borderId="4" xfId="0" applyNumberFormat="1" applyFont="1" applyBorder="1" applyAlignment="1">
      <alignment horizontal="center"/>
    </xf>
    <xf numFmtId="1" fontId="26" fillId="0" borderId="5" xfId="0" applyNumberFormat="1" applyFont="1" applyBorder="1" applyAlignment="1">
      <alignment horizontal="center"/>
    </xf>
    <xf numFmtId="0" fontId="17" fillId="0" borderId="3" xfId="0" applyFont="1" applyBorder="1"/>
    <xf numFmtId="0" fontId="17" fillId="0" borderId="4" xfId="0" applyFont="1" applyBorder="1"/>
    <xf numFmtId="0" fontId="17" fillId="0" borderId="5" xfId="0" applyFont="1" applyBorder="1"/>
    <xf numFmtId="0" fontId="17" fillId="5" borderId="3" xfId="0" applyFont="1" applyFill="1" applyBorder="1" applyProtection="1">
      <protection locked="0"/>
    </xf>
    <xf numFmtId="0" fontId="26" fillId="0" borderId="4" xfId="0" applyFont="1" applyBorder="1" applyProtection="1">
      <protection locked="0"/>
    </xf>
    <xf numFmtId="0" fontId="26"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71" fontId="17" fillId="0" borderId="0" xfId="543" applyNumberFormat="1" applyAlignment="1">
      <alignment horizontal="right"/>
    </xf>
    <xf numFmtId="0" fontId="24" fillId="0" borderId="6" xfId="0" applyFont="1" applyBorder="1" applyAlignment="1">
      <alignment horizontal="center"/>
    </xf>
    <xf numFmtId="0" fontId="24" fillId="0" borderId="1" xfId="0" applyFont="1" applyBorder="1" applyAlignment="1">
      <alignment horizontal="center" wrapText="1"/>
    </xf>
    <xf numFmtId="0" fontId="24" fillId="0" borderId="2" xfId="0" applyFont="1" applyBorder="1" applyAlignment="1">
      <alignment horizontal="center" wrapText="1"/>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0" fontId="0" fillId="5" borderId="3" xfId="0" quotePrefix="1" applyFill="1" applyBorder="1" applyAlignment="1" applyProtection="1">
      <alignment horizontal="right"/>
      <protection locked="0"/>
    </xf>
    <xf numFmtId="0" fontId="26" fillId="0" borderId="4" xfId="0" applyFont="1" applyBorder="1" applyAlignment="1">
      <alignment horizontal="center"/>
    </xf>
    <xf numFmtId="0" fontId="26" fillId="0" borderId="11" xfId="0" applyFont="1" applyBorder="1" applyAlignment="1">
      <alignment horizontal="center"/>
    </xf>
    <xf numFmtId="168" fontId="17" fillId="5" borderId="10" xfId="0" applyNumberFormat="1" applyFont="1" applyFill="1" applyBorder="1" applyAlignment="1" applyProtection="1">
      <alignment horizontal="right"/>
      <protection locked="0"/>
    </xf>
    <xf numFmtId="168" fontId="17" fillId="5" borderId="13" xfId="0" applyNumberFormat="1" applyFont="1" applyFill="1" applyBorder="1" applyAlignment="1" applyProtection="1">
      <alignment horizontal="right"/>
      <protection locked="0"/>
    </xf>
    <xf numFmtId="9" fontId="17" fillId="0" borderId="0" xfId="543" applyNumberFormat="1" applyAlignment="1">
      <alignment horizontal="center" vertical="center"/>
    </xf>
    <xf numFmtId="0" fontId="17"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68" fontId="0" fillId="0" borderId="11" xfId="0" applyNumberFormat="1" applyBorder="1"/>
    <xf numFmtId="14" fontId="0" fillId="5" borderId="3" xfId="0" quotePrefix="1" applyNumberFormat="1" applyFill="1" applyBorder="1" applyAlignment="1" applyProtection="1">
      <alignment horizontal="right"/>
      <protection locked="0"/>
    </xf>
    <xf numFmtId="0" fontId="24" fillId="5" borderId="11" xfId="0" applyFont="1" applyFill="1" applyBorder="1" applyAlignment="1" applyProtection="1">
      <alignment horizontal="center"/>
      <protection locked="0"/>
    </xf>
    <xf numFmtId="168" fontId="156" fillId="0" borderId="0" xfId="0" applyNumberFormat="1" applyFont="1" applyAlignment="1">
      <alignment horizontal="center" vertical="center" wrapText="1"/>
    </xf>
    <xf numFmtId="0" fontId="24" fillId="0" borderId="7" xfId="0" applyFont="1" applyBorder="1" applyAlignment="1">
      <alignment horizontal="center" wrapText="1"/>
    </xf>
    <xf numFmtId="0" fontId="17" fillId="0" borderId="3" xfId="0" applyFont="1" applyBorder="1" applyAlignment="1">
      <alignment horizontal="left"/>
    </xf>
    <xf numFmtId="0" fontId="17" fillId="0" borderId="4" xfId="0" applyFont="1" applyBorder="1" applyAlignment="1">
      <alignment horizontal="left"/>
    </xf>
    <xf numFmtId="0" fontId="17" fillId="0" borderId="5" xfId="0" applyFont="1" applyBorder="1" applyAlignment="1">
      <alignment horizontal="left"/>
    </xf>
    <xf numFmtId="168" fontId="53" fillId="0" borderId="2" xfId="0" applyNumberFormat="1" applyFont="1" applyBorder="1" applyAlignment="1">
      <alignment horizontal="left" vertical="top" wrapText="1"/>
    </xf>
    <xf numFmtId="168" fontId="53"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6" fillId="5" borderId="4" xfId="0" applyNumberFormat="1" applyFont="1" applyFill="1" applyBorder="1" applyAlignment="1" applyProtection="1">
      <alignment horizontal="right"/>
      <protection locked="0"/>
    </xf>
    <xf numFmtId="0" fontId="24" fillId="0" borderId="9" xfId="0" applyFont="1" applyBorder="1" applyAlignment="1">
      <alignment horizontal="center"/>
    </xf>
    <xf numFmtId="0" fontId="17"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26" fillId="0" borderId="3" xfId="0" applyNumberFormat="1" applyFont="1" applyBorder="1" applyAlignment="1">
      <alignment horizontal="left" vertical="top"/>
    </xf>
    <xf numFmtId="168" fontId="26" fillId="0" borderId="4" xfId="0" applyNumberFormat="1" applyFont="1" applyBorder="1" applyAlignment="1">
      <alignment horizontal="left" vertical="top"/>
    </xf>
    <xf numFmtId="168" fontId="26" fillId="0" borderId="5" xfId="0" applyNumberFormat="1" applyFont="1" applyBorder="1" applyAlignment="1">
      <alignment horizontal="left" vertical="top"/>
    </xf>
    <xf numFmtId="168" fontId="17" fillId="0" borderId="3" xfId="0" applyNumberFormat="1" applyFont="1" applyBorder="1" applyAlignment="1">
      <alignment horizontal="left" vertical="top"/>
    </xf>
    <xf numFmtId="0" fontId="24" fillId="0" borderId="3" xfId="0" applyFont="1" applyBorder="1" applyAlignment="1">
      <alignment horizontal="center"/>
    </xf>
    <xf numFmtId="0" fontId="24" fillId="0" borderId="4" xfId="0" applyFont="1" applyBorder="1" applyAlignment="1">
      <alignment horizontal="center"/>
    </xf>
    <xf numFmtId="0" fontId="24" fillId="0" borderId="5" xfId="0" applyFont="1" applyBorder="1" applyAlignment="1">
      <alignment horizontal="center"/>
    </xf>
    <xf numFmtId="0" fontId="17" fillId="0" borderId="3" xfId="271" applyFont="1" applyBorder="1" applyAlignment="1">
      <alignment horizontal="left"/>
    </xf>
    <xf numFmtId="0" fontId="17" fillId="0" borderId="4" xfId="271" applyFont="1" applyBorder="1" applyAlignment="1">
      <alignment horizontal="left"/>
    </xf>
    <xf numFmtId="0" fontId="17" fillId="0" borderId="5" xfId="271" applyFont="1" applyBorder="1" applyAlignment="1">
      <alignment horizontal="left"/>
    </xf>
    <xf numFmtId="0" fontId="17" fillId="5" borderId="1" xfId="0" applyFont="1"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6" fillId="5" borderId="6" xfId="271" applyNumberFormat="1" applyFill="1" applyBorder="1" applyAlignment="1" applyProtection="1">
      <alignment horizontal="left"/>
      <protection locked="0"/>
    </xf>
    <xf numFmtId="166" fontId="26"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6"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7" fillId="5" borderId="6" xfId="244" applyFont="1" applyFill="1" applyBorder="1" applyAlignment="1" applyProtection="1">
      <alignment horizontal="left"/>
      <protection locked="0"/>
    </xf>
    <xf numFmtId="0" fontId="17" fillId="5" borderId="0" xfId="244" applyFont="1" applyFill="1" applyBorder="1" applyAlignment="1" applyProtection="1">
      <alignment horizontal="left"/>
      <protection locked="0"/>
    </xf>
    <xf numFmtId="0" fontId="0" fillId="0" borderId="0" xfId="0" applyAlignment="1">
      <alignment wrapText="1"/>
    </xf>
    <xf numFmtId="0" fontId="17" fillId="0" borderId="0" xfId="271" applyFont="1" applyAlignment="1">
      <alignment horizontal="left" vertical="top" wrapText="1"/>
    </xf>
    <xf numFmtId="0" fontId="17"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6"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7" fillId="0" borderId="0" xfId="0" applyFont="1" applyAlignment="1" applyProtection="1">
      <alignment horizontal="left"/>
      <protection locked="0"/>
    </xf>
    <xf numFmtId="9" fontId="25" fillId="0" borderId="3" xfId="4494" applyFont="1" applyBorder="1" applyAlignment="1" applyProtection="1">
      <alignment horizontal="center"/>
    </xf>
    <xf numFmtId="9" fontId="25" fillId="0" borderId="5" xfId="4494" applyFont="1" applyBorder="1" applyAlignment="1" applyProtection="1">
      <alignment horizontal="center"/>
    </xf>
    <xf numFmtId="166" fontId="17" fillId="5" borderId="6" xfId="271" applyNumberFormat="1" applyFont="1" applyFill="1" applyBorder="1" applyAlignment="1" applyProtection="1">
      <alignment horizontal="left"/>
      <protection locked="0"/>
    </xf>
    <xf numFmtId="0" fontId="25" fillId="43" borderId="6" xfId="0" applyFont="1" applyFill="1" applyBorder="1" applyAlignment="1" applyProtection="1">
      <alignment horizontal="left"/>
      <protection locked="0"/>
    </xf>
    <xf numFmtId="0" fontId="153" fillId="0" borderId="0" xfId="0" applyFont="1" applyAlignment="1" applyProtection="1">
      <alignment horizontal="left" vertical="top" wrapText="1"/>
      <protection locked="0"/>
    </xf>
    <xf numFmtId="0" fontId="17" fillId="0" borderId="6" xfId="0" applyFont="1" applyBorder="1" applyAlignment="1" applyProtection="1">
      <alignment horizontal="left"/>
      <protection locked="0"/>
    </xf>
    <xf numFmtId="0" fontId="18" fillId="0" borderId="0" xfId="244" applyFill="1" applyAlignment="1" applyProtection="1">
      <alignment horizontal="left"/>
      <protection locked="0"/>
    </xf>
    <xf numFmtId="168" fontId="17" fillId="0" borderId="6" xfId="0" applyNumberFormat="1" applyFont="1" applyBorder="1" applyAlignment="1">
      <alignment horizontal="center"/>
    </xf>
    <xf numFmtId="0" fontId="17"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0" fillId="0" borderId="0" xfId="0" applyAlignment="1">
      <alignment vertical="top" wrapText="1"/>
    </xf>
    <xf numFmtId="0" fontId="0" fillId="5" borderId="6" xfId="0" applyFill="1" applyBorder="1" applyProtection="1">
      <protection locked="0"/>
    </xf>
    <xf numFmtId="0" fontId="26" fillId="0" borderId="4" xfId="0" applyFont="1" applyBorder="1" applyAlignment="1" applyProtection="1">
      <alignment horizontal="left"/>
      <protection locked="0"/>
    </xf>
    <xf numFmtId="0" fontId="17" fillId="43" borderId="6" xfId="0" applyFont="1" applyFill="1" applyBorder="1" applyAlignment="1" applyProtection="1">
      <alignment vertical="center"/>
      <protection locked="0"/>
    </xf>
    <xf numFmtId="0" fontId="26" fillId="43" borderId="6" xfId="0" applyFont="1" applyFill="1" applyBorder="1" applyAlignment="1" applyProtection="1">
      <alignment horizontal="left"/>
      <protection locked="0"/>
    </xf>
    <xf numFmtId="0" fontId="17" fillId="0" borderId="6" xfId="0" applyFont="1" applyBorder="1" applyAlignment="1">
      <alignment horizontal="left"/>
    </xf>
    <xf numFmtId="168" fontId="26" fillId="0" borderId="11" xfId="0" applyNumberFormat="1" applyFont="1" applyBorder="1" applyAlignment="1">
      <alignment horizontal="center"/>
    </xf>
    <xf numFmtId="0" fontId="26" fillId="5" borderId="0" xfId="0" applyFont="1" applyFill="1" applyAlignment="1" applyProtection="1">
      <alignment horizontal="left" vertical="top" wrapText="1"/>
      <protection locked="0"/>
    </xf>
    <xf numFmtId="0" fontId="26"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0" fontId="26" fillId="5" borderId="11" xfId="0" applyFont="1" applyFill="1" applyBorder="1" applyAlignment="1" applyProtection="1">
      <alignment horizontal="center"/>
      <protection locked="0"/>
    </xf>
    <xf numFmtId="1" fontId="26" fillId="5" borderId="6" xfId="0" applyNumberFormat="1" applyFont="1" applyFill="1" applyBorder="1" applyAlignment="1" applyProtection="1">
      <alignment horizontal="right"/>
      <protection locked="0"/>
    </xf>
    <xf numFmtId="168" fontId="26" fillId="5" borderId="6" xfId="0" applyNumberFormat="1" applyFont="1" applyFill="1" applyBorder="1" applyAlignment="1" applyProtection="1">
      <alignment horizontal="right"/>
      <protection locked="0"/>
    </xf>
    <xf numFmtId="10" fontId="26" fillId="0" borderId="11" xfId="0" applyNumberFormat="1" applyFont="1" applyBorder="1" applyAlignment="1">
      <alignment horizontal="center"/>
    </xf>
    <xf numFmtId="168" fontId="0" fillId="43" borderId="6" xfId="0" applyNumberFormat="1" applyFill="1" applyBorder="1" applyAlignment="1" applyProtection="1">
      <alignment horizontal="right"/>
      <protection locked="0"/>
    </xf>
    <xf numFmtId="178" fontId="26" fillId="5" borderId="4" xfId="0" applyNumberFormat="1" applyFont="1" applyFill="1" applyBorder="1" applyAlignment="1" applyProtection="1">
      <alignment horizontal="right"/>
      <protection locked="0"/>
    </xf>
    <xf numFmtId="0" fontId="36"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26"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7" fillId="43" borderId="4" xfId="0" applyFont="1" applyFill="1" applyBorder="1" applyAlignment="1" applyProtection="1">
      <alignment horizontal="left" wrapText="1"/>
      <protection locked="0"/>
    </xf>
    <xf numFmtId="0" fontId="26" fillId="5" borderId="4" xfId="0" applyFont="1" applyFill="1" applyBorder="1" applyAlignment="1" applyProtection="1">
      <alignment horizontal="right"/>
      <protection locked="0"/>
    </xf>
    <xf numFmtId="168" fontId="26" fillId="5" borderId="4" xfId="0" applyNumberFormat="1" applyFont="1" applyFill="1" applyBorder="1" applyAlignment="1" applyProtection="1">
      <alignment horizontal="right"/>
      <protection locked="0"/>
    </xf>
    <xf numFmtId="165" fontId="26" fillId="5" borderId="3" xfId="0" applyNumberFormat="1" applyFont="1" applyFill="1" applyBorder="1" applyAlignment="1" applyProtection="1">
      <alignment horizontal="center"/>
      <protection locked="0"/>
    </xf>
    <xf numFmtId="165" fontId="26" fillId="5" borderId="4" xfId="0" applyNumberFormat="1" applyFont="1" applyFill="1" applyBorder="1" applyAlignment="1" applyProtection="1">
      <alignment horizontal="center"/>
      <protection locked="0"/>
    </xf>
    <xf numFmtId="165" fontId="26"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4" fillId="0" borderId="10" xfId="0" applyFont="1" applyBorder="1" applyAlignment="1">
      <alignment horizontal="center"/>
    </xf>
    <xf numFmtId="0" fontId="0" fillId="43" borderId="10" xfId="0" applyFill="1" applyBorder="1" applyAlignment="1" applyProtection="1">
      <alignment horizontal="left"/>
      <protection locked="0"/>
    </xf>
    <xf numFmtId="0" fontId="17" fillId="5" borderId="9" xfId="569" applyFill="1" applyBorder="1" applyAlignment="1" applyProtection="1">
      <alignment horizontal="center"/>
      <protection locked="0"/>
    </xf>
    <xf numFmtId="0" fontId="17" fillId="5" borderId="6" xfId="569" applyFill="1" applyBorder="1" applyAlignment="1" applyProtection="1">
      <alignment horizontal="center"/>
      <protection locked="0"/>
    </xf>
    <xf numFmtId="0" fontId="17" fillId="5" borderId="4" xfId="569" applyFill="1" applyBorder="1" applyAlignment="1" applyProtection="1">
      <alignment horizontal="center"/>
      <protection locked="0"/>
    </xf>
    <xf numFmtId="0" fontId="17" fillId="5" borderId="5" xfId="569" applyFill="1" applyBorder="1" applyAlignment="1" applyProtection="1">
      <alignment horizontal="center"/>
      <protection locked="0"/>
    </xf>
    <xf numFmtId="3" fontId="26" fillId="0" borderId="11" xfId="0" applyNumberFormat="1" applyFont="1" applyBorder="1" applyAlignment="1">
      <alignment horizontal="center"/>
    </xf>
    <xf numFmtId="0" fontId="17" fillId="5" borderId="3" xfId="569" applyFill="1" applyBorder="1" applyAlignment="1" applyProtection="1">
      <alignment horizontal="center"/>
      <protection locked="0"/>
    </xf>
    <xf numFmtId="0" fontId="17"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7" fillId="0" borderId="4" xfId="0" applyNumberFormat="1" applyFont="1" applyBorder="1" applyAlignment="1">
      <alignment horizontal="left" vertical="top"/>
    </xf>
    <xf numFmtId="168" fontId="17" fillId="0" borderId="5" xfId="0" applyNumberFormat="1" applyFont="1" applyBorder="1" applyAlignment="1">
      <alignment horizontal="left" vertical="top"/>
    </xf>
    <xf numFmtId="168" fontId="184" fillId="0" borderId="105" xfId="543" applyNumberFormat="1" applyFont="1" applyBorder="1" applyAlignment="1">
      <alignment horizontal="right" vertical="center" wrapText="1"/>
    </xf>
    <xf numFmtId="175" fontId="184" fillId="0" borderId="107" xfId="543" applyNumberFormat="1" applyFont="1" applyBorder="1" applyAlignment="1">
      <alignment horizontal="center" vertical="center" wrapText="1"/>
    </xf>
    <xf numFmtId="175" fontId="184" fillId="0" borderId="108" xfId="543" applyNumberFormat="1" applyFont="1" applyBorder="1" applyAlignment="1">
      <alignment horizontal="center" vertical="center" wrapText="1"/>
    </xf>
    <xf numFmtId="175" fontId="184" fillId="0" borderId="109" xfId="543" applyNumberFormat="1" applyFont="1" applyBorder="1" applyAlignment="1">
      <alignment horizontal="center" vertical="center" wrapText="1"/>
    </xf>
    <xf numFmtId="0" fontId="183"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7" fillId="43" borderId="6" xfId="569" applyFill="1" applyBorder="1" applyAlignment="1" applyProtection="1">
      <alignment horizontal="left"/>
      <protection locked="0"/>
    </xf>
    <xf numFmtId="0" fontId="58" fillId="2" borderId="3" xfId="0" applyFont="1" applyFill="1" applyBorder="1" applyAlignment="1">
      <alignment horizontal="center" vertical="top"/>
    </xf>
    <xf numFmtId="0" fontId="58" fillId="2" borderId="4" xfId="0" applyFont="1" applyFill="1" applyBorder="1" applyAlignment="1">
      <alignment horizontal="center" vertical="top"/>
    </xf>
    <xf numFmtId="0" fontId="58" fillId="2" borderId="5" xfId="0" applyFont="1" applyFill="1" applyBorder="1" applyAlignment="1">
      <alignment horizontal="center" vertical="top"/>
    </xf>
    <xf numFmtId="0" fontId="26" fillId="0" borderId="6" xfId="0" applyFont="1" applyBorder="1" applyAlignment="1">
      <alignment vertical="top" wrapText="1"/>
    </xf>
    <xf numFmtId="177" fontId="26" fillId="5" borderId="6" xfId="0" applyNumberFormat="1" applyFont="1" applyFill="1" applyBorder="1" applyAlignment="1" applyProtection="1">
      <alignment horizontal="left" vertical="top" wrapText="1"/>
      <protection locked="0"/>
    </xf>
    <xf numFmtId="0" fontId="26" fillId="0" borderId="2" xfId="0" applyFont="1" applyBorder="1" applyAlignment="1">
      <alignment vertical="top" wrapText="1"/>
    </xf>
    <xf numFmtId="0" fontId="53" fillId="0" borderId="0" xfId="0" applyFont="1" applyAlignment="1">
      <alignment vertical="top" wrapText="1"/>
    </xf>
    <xf numFmtId="0" fontId="26" fillId="0" borderId="2" xfId="0" applyFont="1" applyBorder="1" applyAlignment="1">
      <alignment horizontal="left" vertical="top" wrapText="1"/>
    </xf>
    <xf numFmtId="0" fontId="54" fillId="0" borderId="0" xfId="0" applyFont="1" applyAlignment="1">
      <alignment vertical="top" wrapText="1"/>
    </xf>
    <xf numFmtId="0" fontId="26" fillId="0" borderId="0" xfId="0" applyFont="1" applyAlignment="1">
      <alignment vertical="top" wrapText="1"/>
    </xf>
    <xf numFmtId="0" fontId="26" fillId="0" borderId="6" xfId="0" applyFont="1" applyBorder="1" applyAlignment="1">
      <alignment horizontal="right" vertical="top" wrapText="1"/>
    </xf>
    <xf numFmtId="0" fontId="54" fillId="0" borderId="0" xfId="569" applyFont="1" applyAlignment="1">
      <alignment vertical="top" wrapText="1"/>
    </xf>
    <xf numFmtId="0" fontId="17" fillId="0" borderId="0" xfId="569" applyAlignment="1">
      <alignment horizontal="right" vertical="top" wrapText="1"/>
    </xf>
    <xf numFmtId="0" fontId="23" fillId="3" borderId="3" xfId="0" applyFont="1" applyFill="1" applyBorder="1" applyAlignment="1">
      <alignment horizontal="left" vertical="top"/>
    </xf>
    <xf numFmtId="0" fontId="23" fillId="3" borderId="4" xfId="0" applyFont="1" applyFill="1" applyBorder="1" applyAlignment="1">
      <alignment horizontal="left" vertical="top"/>
    </xf>
    <xf numFmtId="0" fontId="23" fillId="3" borderId="5" xfId="0" applyFont="1" applyFill="1" applyBorder="1" applyAlignment="1">
      <alignment horizontal="left" vertical="top"/>
    </xf>
    <xf numFmtId="0" fontId="102" fillId="44" borderId="0" xfId="8733" applyFont="1" applyFill="1" applyAlignment="1">
      <alignment horizontal="left"/>
    </xf>
    <xf numFmtId="0" fontId="2" fillId="48" borderId="80" xfId="8733" applyFill="1" applyBorder="1" applyAlignment="1" applyProtection="1">
      <alignment horizontal="left"/>
      <protection locked="0"/>
    </xf>
    <xf numFmtId="0" fontId="2" fillId="48" borderId="79" xfId="8733" applyFill="1" applyBorder="1" applyAlignment="1" applyProtection="1">
      <alignment horizontal="left"/>
      <protection locked="0"/>
    </xf>
    <xf numFmtId="0" fontId="2" fillId="48" borderId="78" xfId="8733" applyFill="1" applyBorder="1" applyAlignment="1" applyProtection="1">
      <alignment horizontal="left"/>
      <protection locked="0"/>
    </xf>
    <xf numFmtId="0" fontId="165" fillId="44" borderId="0" xfId="8733" applyFont="1" applyFill="1" applyAlignment="1">
      <alignment horizontal="left" vertical="top"/>
    </xf>
    <xf numFmtId="0" fontId="102" fillId="44" borderId="0" xfId="8730" applyFont="1" applyFill="1" applyBorder="1" applyAlignment="1">
      <alignment horizontal="left" vertical="top"/>
    </xf>
    <xf numFmtId="14" fontId="2" fillId="48" borderId="80" xfId="8733" applyNumberFormat="1" applyFill="1" applyBorder="1" applyAlignment="1" applyProtection="1">
      <alignment horizontal="center"/>
      <protection locked="0"/>
    </xf>
    <xf numFmtId="14" fontId="2" fillId="48" borderId="79" xfId="8733" applyNumberFormat="1" applyFill="1" applyBorder="1" applyAlignment="1" applyProtection="1">
      <alignment horizontal="center"/>
      <protection locked="0"/>
    </xf>
    <xf numFmtId="14" fontId="2" fillId="48" borderId="78" xfId="8733" applyNumberFormat="1" applyFill="1" applyBorder="1" applyAlignment="1" applyProtection="1">
      <alignment horizontal="center"/>
      <protection locked="0"/>
    </xf>
    <xf numFmtId="0" fontId="166" fillId="47" borderId="0" xfId="8733" applyFont="1" applyFill="1" applyAlignment="1">
      <alignment horizontal="left" vertical="top" wrapText="1"/>
    </xf>
    <xf numFmtId="0" fontId="102" fillId="47" borderId="42" xfId="8733" applyFont="1" applyFill="1" applyBorder="1" applyAlignment="1">
      <alignment horizontal="center"/>
    </xf>
    <xf numFmtId="0" fontId="2" fillId="48" borderId="80" xfId="8733" applyFill="1" applyBorder="1" applyAlignment="1" applyProtection="1">
      <alignment horizontal="center"/>
      <protection locked="0"/>
    </xf>
    <xf numFmtId="0" fontId="2" fillId="48" borderId="79" xfId="8733" applyFill="1" applyBorder="1" applyAlignment="1" applyProtection="1">
      <alignment horizontal="center"/>
      <protection locked="0"/>
    </xf>
    <xf numFmtId="0" fontId="2" fillId="48" borderId="78" xfId="8733" applyFill="1" applyBorder="1" applyAlignment="1" applyProtection="1">
      <alignment horizontal="center"/>
      <protection locked="0"/>
    </xf>
    <xf numFmtId="0" fontId="167" fillId="47" borderId="65" xfId="8733" applyFont="1" applyFill="1" applyBorder="1" applyAlignment="1">
      <alignment horizontal="center"/>
    </xf>
    <xf numFmtId="0" fontId="167" fillId="47" borderId="29" xfId="8733" applyFont="1" applyFill="1" applyBorder="1" applyAlignment="1">
      <alignment horizontal="center"/>
    </xf>
    <xf numFmtId="0" fontId="167" fillId="47" borderId="31" xfId="8733" applyFont="1" applyFill="1" applyBorder="1" applyAlignment="1">
      <alignment horizontal="center"/>
    </xf>
    <xf numFmtId="0" fontId="2" fillId="47" borderId="66" xfId="8733" applyFill="1" applyBorder="1" applyAlignment="1">
      <alignment horizontal="center"/>
    </xf>
    <xf numFmtId="0" fontId="2" fillId="47" borderId="0" xfId="8733" applyFill="1" applyAlignment="1">
      <alignment horizontal="center"/>
    </xf>
    <xf numFmtId="0" fontId="2" fillId="47" borderId="41" xfId="8733" applyFill="1" applyBorder="1" applyAlignment="1">
      <alignment horizontal="center"/>
    </xf>
    <xf numFmtId="0" fontId="166" fillId="47" borderId="66" xfId="8733" applyFont="1" applyFill="1" applyBorder="1" applyAlignment="1">
      <alignment horizontal="center"/>
    </xf>
    <xf numFmtId="0" fontId="166" fillId="47" borderId="0" xfId="8733" applyFont="1" applyFill="1" applyAlignment="1">
      <alignment horizontal="center"/>
    </xf>
    <xf numFmtId="0" fontId="166" fillId="47" borderId="41" xfId="8733" applyFont="1" applyFill="1" applyBorder="1" applyAlignment="1">
      <alignment horizontal="center"/>
    </xf>
    <xf numFmtId="0" fontId="102" fillId="47" borderId="66" xfId="8733" applyFont="1" applyFill="1" applyBorder="1" applyAlignment="1">
      <alignment horizontal="center"/>
    </xf>
    <xf numFmtId="0" fontId="102" fillId="47" borderId="0" xfId="8733" applyFont="1" applyFill="1" applyAlignment="1">
      <alignment horizontal="center"/>
    </xf>
    <xf numFmtId="0" fontId="102" fillId="47" borderId="41" xfId="8733" applyFont="1" applyFill="1" applyBorder="1" applyAlignment="1">
      <alignment horizontal="center"/>
    </xf>
    <xf numFmtId="0" fontId="102" fillId="47" borderId="0" xfId="8733" applyFont="1" applyFill="1" applyAlignment="1">
      <alignment horizontal="left"/>
    </xf>
    <xf numFmtId="0" fontId="168" fillId="50" borderId="3" xfId="698" applyNumberFormat="1" applyFont="1" applyFill="1" applyBorder="1" applyAlignment="1" applyProtection="1">
      <alignment horizontal="center"/>
      <protection locked="0"/>
    </xf>
    <xf numFmtId="0" fontId="168" fillId="50" borderId="4" xfId="698" applyNumberFormat="1" applyFont="1" applyFill="1" applyBorder="1" applyAlignment="1" applyProtection="1">
      <alignment horizontal="center"/>
      <protection locked="0"/>
    </xf>
    <xf numFmtId="0" fontId="168" fillId="50" borderId="81" xfId="698" applyNumberFormat="1" applyFont="1" applyFill="1" applyBorder="1" applyAlignment="1" applyProtection="1">
      <alignment horizontal="center"/>
      <protection locked="0"/>
    </xf>
    <xf numFmtId="43" fontId="166" fillId="49" borderId="72" xfId="698" applyFont="1" applyFill="1" applyBorder="1" applyAlignment="1" applyProtection="1">
      <alignment horizontal="right"/>
      <protection hidden="1"/>
    </xf>
    <xf numFmtId="43" fontId="166" fillId="49" borderId="11" xfId="698" applyFont="1" applyFill="1" applyBorder="1" applyAlignment="1" applyProtection="1">
      <alignment horizontal="right"/>
      <protection hidden="1"/>
    </xf>
    <xf numFmtId="44" fontId="166" fillId="0" borderId="11" xfId="700" applyFont="1" applyBorder="1" applyAlignment="1" applyProtection="1">
      <alignment horizontal="center"/>
      <protection hidden="1"/>
    </xf>
    <xf numFmtId="168" fontId="166" fillId="0" borderId="11" xfId="700" applyNumberFormat="1" applyFont="1" applyBorder="1" applyAlignment="1" applyProtection="1">
      <alignment horizontal="center"/>
      <protection hidden="1"/>
    </xf>
    <xf numFmtId="9" fontId="166" fillId="0" borderId="11" xfId="4494" applyFont="1" applyBorder="1" applyAlignment="1" applyProtection="1">
      <alignment horizontal="center"/>
      <protection hidden="1"/>
    </xf>
    <xf numFmtId="43" fontId="166" fillId="49" borderId="3" xfId="698" applyFont="1" applyFill="1" applyBorder="1" applyAlignment="1" applyProtection="1">
      <alignment horizontal="center"/>
      <protection hidden="1"/>
    </xf>
    <xf numFmtId="43" fontId="166" fillId="49" borderId="4" xfId="698" applyFont="1" applyFill="1" applyBorder="1" applyAlignment="1" applyProtection="1">
      <alignment horizontal="center"/>
      <protection hidden="1"/>
    </xf>
    <xf numFmtId="43" fontId="166" fillId="49" borderId="81" xfId="698" applyFont="1" applyFill="1" applyBorder="1" applyAlignment="1" applyProtection="1">
      <alignment horizontal="center"/>
      <protection hidden="1"/>
    </xf>
    <xf numFmtId="0" fontId="169" fillId="49" borderId="72" xfId="698" applyNumberFormat="1" applyFont="1" applyFill="1" applyBorder="1" applyAlignment="1" applyProtection="1">
      <alignment horizontal="center"/>
      <protection hidden="1"/>
    </xf>
    <xf numFmtId="0" fontId="169" fillId="49" borderId="11" xfId="698" applyNumberFormat="1" applyFont="1" applyFill="1" applyBorder="1" applyAlignment="1" applyProtection="1">
      <alignment horizontal="center"/>
      <protection hidden="1"/>
    </xf>
    <xf numFmtId="0" fontId="169" fillId="48" borderId="11" xfId="0" applyFont="1" applyFill="1" applyBorder="1" applyAlignment="1" applyProtection="1">
      <alignment horizontal="center"/>
      <protection locked="0"/>
    </xf>
    <xf numFmtId="14" fontId="168" fillId="48" borderId="11" xfId="700" applyNumberFormat="1" applyFont="1" applyFill="1" applyBorder="1" applyAlignment="1" applyProtection="1">
      <alignment horizontal="center"/>
      <protection locked="0"/>
    </xf>
    <xf numFmtId="168" fontId="169" fillId="48" borderId="11" xfId="700" applyNumberFormat="1" applyFont="1" applyFill="1" applyBorder="1" applyAlignment="1" applyProtection="1">
      <alignment horizontal="center"/>
      <protection locked="0"/>
    </xf>
    <xf numFmtId="9" fontId="169" fillId="48" borderId="11" xfId="1022" applyFont="1" applyFill="1" applyBorder="1" applyAlignment="1" applyProtection="1">
      <alignment horizontal="center"/>
      <protection locked="0"/>
    </xf>
    <xf numFmtId="44" fontId="168" fillId="48" borderId="11" xfId="700" applyFont="1" applyFill="1" applyBorder="1" applyAlignment="1" applyProtection="1">
      <alignment horizontal="center"/>
      <protection locked="0"/>
    </xf>
    <xf numFmtId="0" fontId="171" fillId="45" borderId="11" xfId="8733" applyFont="1" applyFill="1" applyBorder="1" applyAlignment="1">
      <alignment horizontal="left" wrapText="1"/>
    </xf>
    <xf numFmtId="43" fontId="166" fillId="45" borderId="80" xfId="698" applyFont="1" applyFill="1" applyBorder="1" applyAlignment="1" applyProtection="1">
      <alignment horizontal="center"/>
      <protection hidden="1"/>
    </xf>
    <xf numFmtId="43" fontId="166" fillId="45" borderId="79" xfId="698" applyFont="1" applyFill="1" applyBorder="1" applyAlignment="1" applyProtection="1">
      <alignment horizontal="center"/>
      <protection hidden="1"/>
    </xf>
    <xf numFmtId="43" fontId="166" fillId="45" borderId="78" xfId="698" applyFont="1" applyFill="1" applyBorder="1" applyAlignment="1" applyProtection="1">
      <alignment horizontal="center"/>
      <protection hidden="1"/>
    </xf>
    <xf numFmtId="43" fontId="170" fillId="49" borderId="66" xfId="698" applyFont="1" applyFill="1" applyBorder="1" applyAlignment="1" applyProtection="1">
      <alignment horizontal="center" wrapText="1"/>
      <protection hidden="1"/>
    </xf>
    <xf numFmtId="43" fontId="170" fillId="49" borderId="0" xfId="698" applyFont="1" applyFill="1" applyBorder="1" applyAlignment="1" applyProtection="1">
      <alignment horizontal="center" wrapText="1"/>
      <protection hidden="1"/>
    </xf>
    <xf numFmtId="43" fontId="170" fillId="49" borderId="12" xfId="698" applyFont="1" applyFill="1" applyBorder="1" applyAlignment="1" applyProtection="1">
      <alignment horizontal="center" wrapText="1"/>
      <protection hidden="1"/>
    </xf>
    <xf numFmtId="43" fontId="170" fillId="49" borderId="83" xfId="698" applyFont="1" applyFill="1" applyBorder="1" applyAlignment="1" applyProtection="1">
      <alignment horizontal="center" wrapText="1"/>
      <protection hidden="1"/>
    </xf>
    <xf numFmtId="43" fontId="170" fillId="49" borderId="6" xfId="698" applyFont="1" applyFill="1" applyBorder="1" applyAlignment="1" applyProtection="1">
      <alignment horizontal="center" wrapText="1"/>
      <protection hidden="1"/>
    </xf>
    <xf numFmtId="43" fontId="170" fillId="49" borderId="10" xfId="698" applyFont="1" applyFill="1" applyBorder="1" applyAlignment="1" applyProtection="1">
      <alignment horizontal="center" wrapText="1"/>
      <protection hidden="1"/>
    </xf>
    <xf numFmtId="43" fontId="170" fillId="49" borderId="8" xfId="698" applyFont="1" applyFill="1" applyBorder="1" applyAlignment="1" applyProtection="1">
      <alignment horizontal="center" wrapText="1"/>
      <protection hidden="1"/>
    </xf>
    <xf numFmtId="43" fontId="170" fillId="49" borderId="9" xfId="698" applyFont="1" applyFill="1" applyBorder="1" applyAlignment="1" applyProtection="1">
      <alignment horizontal="center" wrapText="1"/>
      <protection hidden="1"/>
    </xf>
    <xf numFmtId="14" fontId="170" fillId="0" borderId="8" xfId="700" applyNumberFormat="1" applyFont="1" applyFill="1" applyBorder="1" applyAlignment="1" applyProtection="1">
      <alignment horizontal="center" wrapText="1"/>
      <protection hidden="1"/>
    </xf>
    <xf numFmtId="14" fontId="170" fillId="0" borderId="0" xfId="700" applyNumberFormat="1" applyFont="1" applyFill="1" applyBorder="1" applyAlignment="1" applyProtection="1">
      <alignment horizontal="center" wrapText="1"/>
      <protection hidden="1"/>
    </xf>
    <xf numFmtId="14" fontId="170" fillId="0" borderId="12" xfId="700" applyNumberFormat="1" applyFont="1" applyFill="1" applyBorder="1" applyAlignment="1" applyProtection="1">
      <alignment horizontal="center" wrapText="1"/>
      <protection hidden="1"/>
    </xf>
    <xf numFmtId="14" fontId="170" fillId="0" borderId="9" xfId="700" applyNumberFormat="1" applyFont="1" applyFill="1" applyBorder="1" applyAlignment="1" applyProtection="1">
      <alignment horizontal="center" wrapText="1"/>
      <protection hidden="1"/>
    </xf>
    <xf numFmtId="14" fontId="170" fillId="0" borderId="6" xfId="700" applyNumberFormat="1" applyFont="1" applyFill="1" applyBorder="1" applyAlignment="1" applyProtection="1">
      <alignment horizontal="center" wrapText="1"/>
      <protection hidden="1"/>
    </xf>
    <xf numFmtId="14" fontId="170" fillId="0" borderId="10" xfId="700" applyNumberFormat="1" applyFont="1" applyFill="1" applyBorder="1" applyAlignment="1" applyProtection="1">
      <alignment horizontal="center" wrapText="1"/>
      <protection hidden="1"/>
    </xf>
    <xf numFmtId="44" fontId="170" fillId="0" borderId="8" xfId="700" applyFont="1" applyBorder="1" applyAlignment="1" applyProtection="1">
      <alignment horizontal="center" wrapText="1"/>
      <protection hidden="1"/>
    </xf>
    <xf numFmtId="44" fontId="170" fillId="0" borderId="0" xfId="700" applyFont="1" applyBorder="1" applyAlignment="1" applyProtection="1">
      <alignment horizontal="center" wrapText="1"/>
      <protection hidden="1"/>
    </xf>
    <xf numFmtId="44" fontId="170" fillId="0" borderId="12" xfId="700" applyFont="1" applyBorder="1" applyAlignment="1" applyProtection="1">
      <alignment horizontal="center" wrapText="1"/>
      <protection hidden="1"/>
    </xf>
    <xf numFmtId="44" fontId="170" fillId="0" borderId="9" xfId="700" applyFont="1" applyBorder="1" applyAlignment="1" applyProtection="1">
      <alignment horizontal="center" wrapText="1"/>
      <protection hidden="1"/>
    </xf>
    <xf numFmtId="44" fontId="170" fillId="0" borderId="6" xfId="700" applyFont="1" applyBorder="1" applyAlignment="1" applyProtection="1">
      <alignment horizontal="center" wrapText="1"/>
      <protection hidden="1"/>
    </xf>
    <xf numFmtId="44" fontId="170" fillId="0" borderId="10" xfId="700" applyFont="1" applyBorder="1" applyAlignment="1" applyProtection="1">
      <alignment horizontal="center" wrapText="1"/>
      <protection hidden="1"/>
    </xf>
    <xf numFmtId="43" fontId="170" fillId="49" borderId="41" xfId="698" applyFont="1" applyFill="1" applyBorder="1" applyAlignment="1" applyProtection="1">
      <alignment horizontal="center" wrapText="1"/>
      <protection hidden="1"/>
    </xf>
    <xf numFmtId="43" fontId="170" fillId="49" borderId="82" xfId="698" applyFont="1" applyFill="1" applyBorder="1" applyAlignment="1" applyProtection="1">
      <alignment horizontal="center" wrapText="1"/>
      <protection hidden="1"/>
    </xf>
    <xf numFmtId="0" fontId="172" fillId="45" borderId="11" xfId="8733" applyFont="1" applyFill="1" applyBorder="1" applyAlignment="1">
      <alignment horizontal="left"/>
    </xf>
    <xf numFmtId="182" fontId="2" fillId="48" borderId="11" xfId="700" applyNumberFormat="1" applyFont="1" applyFill="1" applyBorder="1" applyAlignment="1" applyProtection="1">
      <alignment horizontal="center"/>
      <protection locked="0"/>
    </xf>
    <xf numFmtId="10" fontId="172" fillId="48" borderId="11" xfId="1022" applyNumberFormat="1" applyFont="1" applyFill="1" applyBorder="1" applyAlignment="1" applyProtection="1">
      <alignment horizontal="center"/>
      <protection locked="0"/>
    </xf>
    <xf numFmtId="182" fontId="2" fillId="0" borderId="13" xfId="8733" applyNumberFormat="1" applyBorder="1" applyAlignment="1">
      <alignment horizontal="center"/>
    </xf>
    <xf numFmtId="0" fontId="2" fillId="0" borderId="13" xfId="8733" applyBorder="1" applyAlignment="1">
      <alignment horizontal="center"/>
    </xf>
    <xf numFmtId="0" fontId="165" fillId="45" borderId="80" xfId="0" applyFont="1" applyFill="1" applyBorder="1" applyAlignment="1" applyProtection="1">
      <alignment horizontal="center" wrapText="1"/>
      <protection hidden="1"/>
    </xf>
    <xf numFmtId="0" fontId="165" fillId="45" borderId="79" xfId="0" applyFont="1" applyFill="1" applyBorder="1" applyAlignment="1" applyProtection="1">
      <alignment horizontal="center" wrapText="1"/>
      <protection hidden="1"/>
    </xf>
    <xf numFmtId="0" fontId="165" fillId="45" borderId="78" xfId="0" applyFont="1" applyFill="1" applyBorder="1" applyAlignment="1" applyProtection="1">
      <alignment horizontal="center" wrapText="1"/>
      <protection hidden="1"/>
    </xf>
    <xf numFmtId="0" fontId="165" fillId="45" borderId="13" xfId="0" applyFont="1" applyFill="1" applyBorder="1" applyAlignment="1" applyProtection="1">
      <alignment horizontal="left" wrapText="1"/>
      <protection hidden="1"/>
    </xf>
    <xf numFmtId="0" fontId="165" fillId="45" borderId="13" xfId="0" applyFont="1" applyFill="1" applyBorder="1" applyAlignment="1" applyProtection="1">
      <alignment horizontal="center" wrapText="1"/>
      <protection hidden="1"/>
    </xf>
    <xf numFmtId="0" fontId="174" fillId="45" borderId="67" xfId="8733" applyFont="1" applyFill="1" applyBorder="1" applyAlignment="1">
      <alignment horizontal="right"/>
    </xf>
    <xf numFmtId="0" fontId="174" fillId="45" borderId="68" xfId="8733" applyFont="1" applyFill="1" applyBorder="1" applyAlignment="1">
      <alignment horizontal="right"/>
    </xf>
    <xf numFmtId="168" fontId="169" fillId="44" borderId="68" xfId="700" applyNumberFormat="1" applyFont="1" applyFill="1" applyBorder="1" applyAlignment="1">
      <alignment horizontal="left"/>
    </xf>
    <xf numFmtId="168" fontId="169" fillId="44" borderId="71" xfId="700" applyNumberFormat="1" applyFont="1" applyFill="1" applyBorder="1" applyAlignment="1">
      <alignment horizontal="left"/>
    </xf>
    <xf numFmtId="0" fontId="171" fillId="48" borderId="66" xfId="8733" applyFont="1" applyFill="1" applyBorder="1" applyAlignment="1">
      <alignment horizontal="left" wrapText="1"/>
    </xf>
    <xf numFmtId="0" fontId="171" fillId="48" borderId="0" xfId="8733" applyFont="1" applyFill="1" applyAlignment="1">
      <alignment horizontal="left" wrapText="1"/>
    </xf>
    <xf numFmtId="0" fontId="171" fillId="48" borderId="41" xfId="8733" applyFont="1" applyFill="1" applyBorder="1" applyAlignment="1">
      <alignment horizontal="left" wrapText="1"/>
    </xf>
    <xf numFmtId="0" fontId="171" fillId="48" borderId="73" xfId="8733" applyFont="1" applyFill="1" applyBorder="1" applyAlignment="1">
      <alignment horizontal="left" wrapText="1"/>
    </xf>
    <xf numFmtId="0" fontId="171" fillId="48" borderId="42" xfId="8733" applyFont="1" applyFill="1" applyBorder="1" applyAlignment="1">
      <alignment horizontal="left" wrapText="1"/>
    </xf>
    <xf numFmtId="0" fontId="171" fillId="48" borderId="44" xfId="8733" applyFont="1" applyFill="1" applyBorder="1" applyAlignment="1">
      <alignment horizontal="left" wrapText="1"/>
    </xf>
    <xf numFmtId="0" fontId="173" fillId="45" borderId="69" xfId="8733" applyFont="1" applyFill="1" applyBorder="1" applyAlignment="1">
      <alignment horizontal="right"/>
    </xf>
    <xf numFmtId="0" fontId="173" fillId="45" borderId="70" xfId="8733" applyFont="1" applyFill="1" applyBorder="1" applyAlignment="1">
      <alignment horizontal="right"/>
    </xf>
    <xf numFmtId="0" fontId="165" fillId="44" borderId="70" xfId="700" applyNumberFormat="1" applyFont="1" applyFill="1" applyBorder="1" applyAlignment="1">
      <alignment horizontal="left"/>
    </xf>
    <xf numFmtId="168" fontId="165" fillId="44" borderId="70" xfId="700" applyNumberFormat="1" applyFont="1" applyFill="1" applyBorder="1" applyAlignment="1">
      <alignment horizontal="left"/>
    </xf>
    <xf numFmtId="168" fontId="165" fillId="44" borderId="77" xfId="700" applyNumberFormat="1" applyFont="1" applyFill="1" applyBorder="1" applyAlignment="1">
      <alignment horizontal="left"/>
    </xf>
    <xf numFmtId="0" fontId="166" fillId="47" borderId="0" xfId="8733" applyFont="1" applyFill="1" applyAlignment="1">
      <alignment horizontal="right"/>
    </xf>
    <xf numFmtId="168" fontId="170" fillId="47" borderId="0" xfId="700" applyNumberFormat="1" applyFont="1" applyFill="1" applyBorder="1" applyAlignment="1" applyProtection="1">
      <alignment horizontal="left"/>
      <protection locked="0"/>
    </xf>
    <xf numFmtId="0" fontId="172" fillId="48" borderId="87" xfId="8733" applyFont="1" applyFill="1" applyBorder="1" applyAlignment="1" applyProtection="1">
      <alignment horizontal="center"/>
      <protection locked="0"/>
    </xf>
    <xf numFmtId="0" fontId="172" fillId="48" borderId="86" xfId="8733" applyFont="1" applyFill="1" applyBorder="1" applyAlignment="1" applyProtection="1">
      <alignment horizontal="center"/>
      <protection locked="0"/>
    </xf>
    <xf numFmtId="0" fontId="174" fillId="48" borderId="70" xfId="8733" applyFont="1" applyFill="1" applyBorder="1" applyAlignment="1" applyProtection="1">
      <alignment horizontal="left"/>
      <protection locked="0"/>
    </xf>
    <xf numFmtId="0" fontId="174" fillId="48" borderId="77" xfId="8733" applyFont="1" applyFill="1" applyBorder="1" applyAlignment="1" applyProtection="1">
      <alignment horizontal="left"/>
      <protection locked="0"/>
    </xf>
    <xf numFmtId="168" fontId="172" fillId="48" borderId="86" xfId="700" applyNumberFormat="1" applyFont="1" applyFill="1" applyBorder="1" applyAlignment="1" applyProtection="1">
      <alignment horizontal="left"/>
      <protection locked="0"/>
    </xf>
    <xf numFmtId="168" fontId="172" fillId="48" borderId="85" xfId="700" applyNumberFormat="1" applyFont="1" applyFill="1" applyBorder="1" applyAlignment="1" applyProtection="1">
      <alignment horizontal="left"/>
      <protection locked="0"/>
    </xf>
    <xf numFmtId="0" fontId="172" fillId="48" borderId="87" xfId="8733" applyFont="1" applyFill="1" applyBorder="1" applyAlignment="1" applyProtection="1">
      <alignment horizontal="left"/>
      <protection locked="0"/>
    </xf>
    <xf numFmtId="0" fontId="172" fillId="48" borderId="86" xfId="8733" applyFont="1" applyFill="1" applyBorder="1" applyAlignment="1" applyProtection="1">
      <alignment horizontal="left"/>
      <protection locked="0"/>
    </xf>
    <xf numFmtId="0" fontId="172" fillId="48" borderId="85" xfId="8733" applyFont="1" applyFill="1" applyBorder="1" applyAlignment="1" applyProtection="1">
      <alignment horizontal="left"/>
      <protection locked="0"/>
    </xf>
    <xf numFmtId="0" fontId="102" fillId="48" borderId="80" xfId="8733" applyFont="1" applyFill="1" applyBorder="1" applyAlignment="1">
      <alignment horizontal="left"/>
    </xf>
    <xf numFmtId="0" fontId="102" fillId="48" borderId="79" xfId="8733" applyFont="1" applyFill="1" applyBorder="1" applyAlignment="1">
      <alignment horizontal="left"/>
    </xf>
    <xf numFmtId="44" fontId="2" fillId="48" borderId="84" xfId="700" applyFont="1" applyFill="1" applyBorder="1" applyAlignment="1" applyProtection="1">
      <alignment horizontal="center"/>
      <protection locked="0"/>
    </xf>
    <xf numFmtId="0" fontId="172" fillId="48" borderId="72" xfId="8733" applyFont="1" applyFill="1" applyBorder="1" applyAlignment="1" applyProtection="1">
      <alignment horizontal="center"/>
      <protection locked="0"/>
    </xf>
    <xf numFmtId="0" fontId="172" fillId="48" borderId="11" xfId="8733"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168" fontId="172" fillId="48" borderId="11" xfId="700" applyNumberFormat="1" applyFont="1" applyFill="1" applyBorder="1" applyAlignment="1" applyProtection="1">
      <alignment horizontal="left"/>
      <protection locked="0"/>
    </xf>
    <xf numFmtId="0" fontId="172" fillId="48" borderId="11" xfId="8733" applyFont="1" applyFill="1" applyBorder="1" applyAlignment="1" applyProtection="1">
      <alignment horizontal="left"/>
      <protection locked="0"/>
    </xf>
    <xf numFmtId="0" fontId="172" fillId="48" borderId="76" xfId="8733" applyFont="1" applyFill="1" applyBorder="1" applyAlignment="1" applyProtection="1">
      <alignment horizontal="left"/>
      <protection locked="0"/>
    </xf>
    <xf numFmtId="0" fontId="2" fillId="48" borderId="1" xfId="8733" applyFill="1" applyBorder="1" applyAlignment="1">
      <alignment horizontal="center"/>
    </xf>
    <xf numFmtId="0" fontId="2" fillId="48" borderId="2" xfId="8733" applyFill="1" applyBorder="1" applyAlignment="1">
      <alignment horizontal="center"/>
    </xf>
    <xf numFmtId="0" fontId="2" fillId="48" borderId="112" xfId="8733" applyFill="1" applyBorder="1" applyAlignment="1">
      <alignment horizontal="center"/>
    </xf>
    <xf numFmtId="0" fontId="174" fillId="48" borderId="72" xfId="8733" applyFont="1" applyFill="1" applyBorder="1" applyAlignment="1" applyProtection="1">
      <alignment horizontal="center"/>
      <protection locked="0"/>
    </xf>
    <xf numFmtId="0" fontId="174" fillId="48" borderId="11" xfId="8733" applyFont="1" applyFill="1" applyBorder="1" applyAlignment="1" applyProtection="1">
      <alignment horizontal="center"/>
      <protection locked="0"/>
    </xf>
    <xf numFmtId="43" fontId="169" fillId="50" borderId="72" xfId="698" applyFont="1" applyFill="1" applyBorder="1" applyAlignment="1" applyProtection="1">
      <alignment horizontal="left" wrapText="1"/>
      <protection hidden="1"/>
    </xf>
    <xf numFmtId="43" fontId="169" fillId="50" borderId="11" xfId="698" applyFont="1" applyFill="1" applyBorder="1" applyAlignment="1" applyProtection="1">
      <alignment horizontal="left" wrapText="1"/>
      <protection hidden="1"/>
    </xf>
    <xf numFmtId="44" fontId="2" fillId="48" borderId="11" xfId="700" applyFont="1" applyFill="1" applyBorder="1" applyAlignment="1" applyProtection="1">
      <alignment horizontal="center"/>
      <protection hidden="1"/>
    </xf>
    <xf numFmtId="43" fontId="166" fillId="50" borderId="111" xfId="698" applyFont="1" applyFill="1" applyBorder="1" applyAlignment="1" applyProtection="1">
      <alignment horizontal="center"/>
      <protection hidden="1"/>
    </xf>
    <xf numFmtId="43" fontId="166" fillId="50" borderId="84" xfId="698" applyFont="1" applyFill="1" applyBorder="1" applyAlignment="1" applyProtection="1">
      <alignment horizontal="center"/>
      <protection hidden="1"/>
    </xf>
    <xf numFmtId="43" fontId="166" fillId="50" borderId="102" xfId="698" applyFont="1" applyFill="1" applyBorder="1" applyAlignment="1" applyProtection="1">
      <alignment horizontal="center"/>
      <protection hidden="1"/>
    </xf>
    <xf numFmtId="0" fontId="172" fillId="45" borderId="72" xfId="8733" applyFont="1" applyFill="1" applyBorder="1" applyAlignment="1">
      <alignment horizontal="right"/>
    </xf>
    <xf numFmtId="0" fontId="172" fillId="45" borderId="11" xfId="8733" applyFont="1" applyFill="1" applyBorder="1" applyAlignment="1">
      <alignment horizontal="right"/>
    </xf>
    <xf numFmtId="43" fontId="169" fillId="50" borderId="98" xfId="698" applyFont="1" applyFill="1" applyBorder="1" applyAlignment="1" applyProtection="1">
      <alignment horizontal="left"/>
      <protection hidden="1"/>
    </xf>
    <xf numFmtId="43" fontId="169" fillId="50" borderId="13" xfId="698" applyFont="1" applyFill="1" applyBorder="1" applyAlignment="1" applyProtection="1">
      <alignment horizontal="left"/>
      <protection hidden="1"/>
    </xf>
    <xf numFmtId="44" fontId="2" fillId="48" borderId="13" xfId="700" applyFont="1" applyFill="1" applyBorder="1" applyAlignment="1" applyProtection="1">
      <alignment horizontal="center"/>
      <protection locked="0"/>
    </xf>
    <xf numFmtId="0" fontId="172" fillId="48" borderId="9" xfId="8733" applyFont="1" applyFill="1" applyBorder="1" applyAlignment="1">
      <alignment horizontal="center"/>
    </xf>
    <xf numFmtId="0" fontId="172" fillId="48" borderId="6" xfId="8733" applyFont="1" applyFill="1" applyBorder="1" applyAlignment="1">
      <alignment horizontal="center"/>
    </xf>
    <xf numFmtId="0" fontId="172" fillId="48" borderId="82" xfId="8733" applyFont="1" applyFill="1" applyBorder="1" applyAlignment="1">
      <alignment horizontal="center"/>
    </xf>
    <xf numFmtId="0" fontId="2" fillId="48" borderId="3" xfId="8733" applyFill="1" applyBorder="1" applyAlignment="1">
      <alignment horizontal="center"/>
    </xf>
    <xf numFmtId="0" fontId="2" fillId="48" borderId="4" xfId="8733" applyFill="1" applyBorder="1" applyAlignment="1">
      <alignment horizontal="center"/>
    </xf>
    <xf numFmtId="0" fontId="2" fillId="48" borderId="81" xfId="8733" applyFill="1" applyBorder="1" applyAlignment="1">
      <alignment horizontal="center"/>
    </xf>
    <xf numFmtId="168" fontId="174" fillId="44" borderId="11" xfId="700" applyNumberFormat="1" applyFont="1" applyFill="1" applyBorder="1" applyAlignment="1">
      <alignment horizontal="left"/>
    </xf>
    <xf numFmtId="0" fontId="102" fillId="45" borderId="65" xfId="8733" applyFont="1" applyFill="1" applyBorder="1" applyAlignment="1">
      <alignment horizontal="left" wrapText="1"/>
    </xf>
    <xf numFmtId="0" fontId="102" fillId="45" borderId="29" xfId="8733" applyFont="1" applyFill="1" applyBorder="1" applyAlignment="1">
      <alignment horizontal="left" wrapText="1"/>
    </xf>
    <xf numFmtId="0" fontId="102" fillId="45" borderId="31" xfId="8733" applyFont="1" applyFill="1" applyBorder="1" applyAlignment="1">
      <alignment horizontal="left" wrapText="1"/>
    </xf>
    <xf numFmtId="0" fontId="102" fillId="45" borderId="73" xfId="8733" applyFont="1" applyFill="1" applyBorder="1" applyAlignment="1">
      <alignment horizontal="left" wrapText="1"/>
    </xf>
    <xf numFmtId="0" fontId="102" fillId="45" borderId="42" xfId="8733" applyFont="1" applyFill="1" applyBorder="1" applyAlignment="1">
      <alignment horizontal="left" wrapText="1"/>
    </xf>
    <xf numFmtId="0" fontId="102" fillId="45" borderId="44" xfId="8733" applyFont="1" applyFill="1" applyBorder="1" applyAlignment="1">
      <alignment horizontal="left" wrapText="1"/>
    </xf>
    <xf numFmtId="43" fontId="169" fillId="50" borderId="72" xfId="698" applyFont="1" applyFill="1" applyBorder="1" applyAlignment="1" applyProtection="1">
      <alignment horizontal="left"/>
      <protection hidden="1"/>
    </xf>
    <xf numFmtId="43" fontId="169" fillId="50" borderId="11" xfId="698" applyFont="1" applyFill="1" applyBorder="1" applyAlignment="1" applyProtection="1">
      <alignment horizontal="left"/>
      <protection hidden="1"/>
    </xf>
    <xf numFmtId="44" fontId="2" fillId="48" borderId="11" xfId="700" applyFont="1" applyFill="1" applyBorder="1" applyAlignment="1" applyProtection="1">
      <alignment horizontal="center"/>
      <protection locked="0"/>
    </xf>
    <xf numFmtId="0" fontId="102" fillId="45" borderId="67" xfId="8733" applyFont="1" applyFill="1" applyBorder="1" applyAlignment="1">
      <alignment horizontal="center"/>
    </xf>
    <xf numFmtId="0" fontId="102" fillId="45" borderId="68" xfId="8733" applyFont="1" applyFill="1" applyBorder="1" applyAlignment="1">
      <alignment horizontal="center"/>
    </xf>
    <xf numFmtId="0" fontId="166" fillId="45" borderId="68" xfId="8733" applyFont="1" applyFill="1" applyBorder="1" applyAlignment="1">
      <alignment horizontal="center"/>
    </xf>
    <xf numFmtId="0" fontId="166" fillId="45" borderId="71" xfId="8733" applyFont="1" applyFill="1" applyBorder="1" applyAlignment="1">
      <alignment horizontal="center"/>
    </xf>
    <xf numFmtId="0" fontId="173" fillId="51" borderId="11" xfId="8733" applyFont="1" applyFill="1" applyBorder="1" applyAlignment="1">
      <alignment horizontal="center"/>
    </xf>
    <xf numFmtId="0" fontId="173" fillId="51" borderId="76" xfId="8733" applyFont="1" applyFill="1" applyBorder="1" applyAlignment="1">
      <alignment horizontal="center"/>
    </xf>
    <xf numFmtId="0" fontId="174" fillId="45" borderId="72" xfId="8733" applyFont="1" applyFill="1" applyBorder="1" applyAlignment="1">
      <alignment horizontal="right"/>
    </xf>
    <xf numFmtId="0" fontId="174" fillId="45" borderId="11" xfId="8733" applyFont="1" applyFill="1" applyBorder="1" applyAlignment="1">
      <alignment horizontal="right"/>
    </xf>
    <xf numFmtId="168" fontId="174" fillId="48" borderId="11" xfId="700" applyNumberFormat="1" applyFont="1" applyFill="1" applyBorder="1" applyAlignment="1" applyProtection="1">
      <alignment horizontal="left"/>
      <protection locked="0"/>
    </xf>
    <xf numFmtId="168" fontId="172" fillId="44" borderId="11" xfId="700" applyNumberFormat="1" applyFont="1" applyFill="1" applyBorder="1" applyAlignment="1" applyProtection="1">
      <alignment horizontal="left"/>
      <protection locked="0"/>
    </xf>
    <xf numFmtId="0" fontId="102" fillId="45" borderId="71" xfId="8733" applyFont="1" applyFill="1" applyBorder="1" applyAlignment="1">
      <alignment horizontal="center"/>
    </xf>
    <xf numFmtId="0" fontId="166" fillId="45" borderId="67" xfId="8733" applyFont="1" applyFill="1" applyBorder="1" applyAlignment="1">
      <alignment horizontal="left"/>
    </xf>
    <xf numFmtId="0" fontId="166" fillId="45" borderId="68" xfId="8733" applyFont="1" applyFill="1" applyBorder="1" applyAlignment="1">
      <alignment horizontal="left"/>
    </xf>
    <xf numFmtId="0" fontId="166" fillId="45" borderId="71" xfId="8733" applyFont="1" applyFill="1" applyBorder="1" applyAlignment="1">
      <alignment horizontal="left"/>
    </xf>
    <xf numFmtId="0" fontId="102" fillId="45" borderId="72" xfId="8733" applyFont="1" applyFill="1" applyBorder="1" applyAlignment="1">
      <alignment horizontal="center"/>
    </xf>
    <xf numFmtId="0" fontId="102" fillId="45" borderId="11" xfId="8733" applyFont="1" applyFill="1" applyBorder="1" applyAlignment="1">
      <alignment horizontal="center"/>
    </xf>
    <xf numFmtId="0" fontId="102" fillId="45" borderId="76" xfId="8733" applyFont="1" applyFill="1" applyBorder="1" applyAlignment="1">
      <alignment horizontal="center"/>
    </xf>
    <xf numFmtId="0" fontId="172" fillId="48" borderId="72" xfId="8733" applyFont="1" applyFill="1" applyBorder="1" applyAlignment="1" applyProtection="1">
      <alignment horizontal="left" vertical="top"/>
      <protection locked="0"/>
    </xf>
    <xf numFmtId="0" fontId="172" fillId="48" borderId="11" xfId="8733" applyFont="1" applyFill="1" applyBorder="1" applyAlignment="1" applyProtection="1">
      <alignment horizontal="left" vertical="top"/>
      <protection locked="0"/>
    </xf>
    <xf numFmtId="0" fontId="172" fillId="48" borderId="76" xfId="8733" applyFont="1" applyFill="1" applyBorder="1" applyAlignment="1" applyProtection="1">
      <alignment horizontal="left" vertical="top"/>
      <protection locked="0"/>
    </xf>
    <xf numFmtId="0" fontId="172" fillId="48" borderId="69" xfId="8733" applyFont="1" applyFill="1" applyBorder="1" applyAlignment="1" applyProtection="1">
      <alignment horizontal="left" vertical="top"/>
      <protection locked="0"/>
    </xf>
    <xf numFmtId="0" fontId="172" fillId="48" borderId="70" xfId="8733" applyFont="1" applyFill="1" applyBorder="1" applyAlignment="1" applyProtection="1">
      <alignment horizontal="left" vertical="top"/>
      <protection locked="0"/>
    </xf>
    <xf numFmtId="0" fontId="172" fillId="48" borderId="77" xfId="8733" applyFont="1" applyFill="1" applyBorder="1" applyAlignment="1" applyProtection="1">
      <alignment horizontal="left" vertical="top"/>
      <protection locked="0"/>
    </xf>
    <xf numFmtId="14" fontId="172" fillId="48" borderId="11" xfId="8733" applyNumberFormat="1" applyFont="1" applyFill="1" applyBorder="1" applyAlignment="1" applyProtection="1">
      <alignment horizontal="center"/>
      <protection locked="0"/>
    </xf>
    <xf numFmtId="14" fontId="172" fillId="48" borderId="76" xfId="8733" applyNumberFormat="1" applyFont="1" applyFill="1" applyBorder="1" applyAlignment="1" applyProtection="1">
      <alignment horizontal="center"/>
      <protection locked="0"/>
    </xf>
    <xf numFmtId="0" fontId="172" fillId="48" borderId="69" xfId="8733" applyFont="1" applyFill="1" applyBorder="1" applyAlignment="1" applyProtection="1">
      <alignment horizontal="center"/>
      <protection locked="0"/>
    </xf>
    <xf numFmtId="0" fontId="172" fillId="48" borderId="70" xfId="8733" applyFont="1" applyFill="1" applyBorder="1" applyAlignment="1" applyProtection="1">
      <alignment horizontal="center"/>
      <protection locked="0"/>
    </xf>
    <xf numFmtId="14" fontId="172" fillId="48" borderId="70" xfId="8733" applyNumberFormat="1" applyFont="1" applyFill="1" applyBorder="1" applyAlignment="1" applyProtection="1">
      <alignment horizontal="center"/>
      <protection locked="0"/>
    </xf>
    <xf numFmtId="14" fontId="172"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center"/>
    </xf>
    <xf numFmtId="0" fontId="171" fillId="45" borderId="11" xfId="8733" applyFont="1" applyFill="1" applyBorder="1" applyAlignment="1">
      <alignment horizontal="center"/>
    </xf>
    <xf numFmtId="0" fontId="175" fillId="48" borderId="11" xfId="8733" applyFont="1" applyFill="1" applyBorder="1" applyAlignment="1" applyProtection="1">
      <alignment horizontal="left"/>
      <protection locked="0"/>
    </xf>
    <xf numFmtId="14" fontId="174" fillId="48" borderId="11" xfId="8733" applyNumberFormat="1" applyFont="1" applyFill="1" applyBorder="1" applyAlignment="1" applyProtection="1">
      <alignment horizontal="center"/>
      <protection locked="0"/>
    </xf>
    <xf numFmtId="168" fontId="174" fillId="48" borderId="11" xfId="8734" applyNumberFormat="1" applyFont="1" applyFill="1" applyBorder="1" applyAlignment="1" applyProtection="1">
      <alignment horizontal="center"/>
      <protection locked="0"/>
    </xf>
    <xf numFmtId="168" fontId="174" fillId="48" borderId="76" xfId="8734" applyNumberFormat="1" applyFont="1" applyFill="1" applyBorder="1" applyAlignment="1" applyProtection="1">
      <alignment horizontal="center"/>
      <protection locked="0"/>
    </xf>
    <xf numFmtId="0" fontId="171" fillId="45" borderId="69" xfId="8733" applyFont="1" applyFill="1" applyBorder="1" applyAlignment="1">
      <alignment horizontal="center"/>
    </xf>
    <xf numFmtId="0" fontId="171" fillId="45" borderId="70" xfId="8733" applyFont="1" applyFill="1" applyBorder="1" applyAlignment="1">
      <alignment horizontal="center"/>
    </xf>
    <xf numFmtId="0" fontId="175" fillId="48" borderId="70" xfId="8733" applyFont="1" applyFill="1" applyBorder="1" applyAlignment="1" applyProtection="1">
      <alignment horizontal="left"/>
      <protection locked="0"/>
    </xf>
    <xf numFmtId="0" fontId="174" fillId="48" borderId="70" xfId="8733" applyFont="1" applyFill="1" applyBorder="1" applyAlignment="1" applyProtection="1">
      <alignment horizontal="center"/>
      <protection locked="0"/>
    </xf>
    <xf numFmtId="14" fontId="174" fillId="48" borderId="70" xfId="8733" applyNumberFormat="1" applyFont="1" applyFill="1" applyBorder="1" applyAlignment="1" applyProtection="1">
      <alignment horizontal="center"/>
      <protection locked="0"/>
    </xf>
    <xf numFmtId="168" fontId="174" fillId="48" borderId="70" xfId="8734" applyNumberFormat="1" applyFont="1" applyFill="1" applyBorder="1" applyAlignment="1" applyProtection="1">
      <alignment horizontal="center"/>
      <protection locked="0"/>
    </xf>
    <xf numFmtId="168" fontId="174" fillId="48" borderId="77" xfId="8734" applyNumberFormat="1" applyFont="1" applyFill="1" applyBorder="1" applyAlignment="1" applyProtection="1">
      <alignment horizontal="center"/>
      <protection locked="0"/>
    </xf>
    <xf numFmtId="0" fontId="176" fillId="45" borderId="69" xfId="8733" applyFont="1" applyFill="1" applyBorder="1" applyAlignment="1">
      <alignment horizontal="left"/>
    </xf>
    <xf numFmtId="0" fontId="176" fillId="45" borderId="70" xfId="8733" applyFont="1" applyFill="1" applyBorder="1" applyAlignment="1">
      <alignment horizontal="left"/>
    </xf>
    <xf numFmtId="0" fontId="2" fillId="48" borderId="70" xfId="8733" applyFill="1" applyBorder="1" applyAlignment="1" applyProtection="1">
      <alignment horizontal="center"/>
      <protection locked="0"/>
    </xf>
    <xf numFmtId="0" fontId="2" fillId="48" borderId="77" xfId="8733" applyFill="1" applyBorder="1" applyAlignment="1" applyProtection="1">
      <alignment horizontal="center"/>
      <protection locked="0"/>
    </xf>
    <xf numFmtId="0" fontId="166" fillId="45" borderId="67" xfId="8733" applyFont="1" applyFill="1" applyBorder="1" applyAlignment="1">
      <alignment horizontal="center"/>
    </xf>
    <xf numFmtId="0" fontId="165" fillId="45" borderId="11" xfId="8733" applyFont="1" applyFill="1" applyBorder="1" applyAlignment="1">
      <alignment horizontal="center"/>
    </xf>
    <xf numFmtId="0" fontId="176" fillId="45" borderId="72" xfId="8733" applyFont="1" applyFill="1" applyBorder="1" applyAlignment="1">
      <alignment horizontal="left"/>
    </xf>
    <xf numFmtId="0" fontId="176" fillId="45" borderId="11" xfId="8733" applyFont="1" applyFill="1" applyBorder="1" applyAlignment="1">
      <alignment horizontal="left"/>
    </xf>
    <xf numFmtId="0" fontId="2" fillId="48" borderId="11" xfId="8733" applyFill="1" applyBorder="1" applyAlignment="1" applyProtection="1">
      <alignment horizontal="center"/>
      <protection locked="0"/>
    </xf>
    <xf numFmtId="0" fontId="2" fillId="48" borderId="76" xfId="8733" applyFill="1" applyBorder="1" applyAlignment="1" applyProtection="1">
      <alignment horizontal="center"/>
      <protection locked="0"/>
    </xf>
    <xf numFmtId="0" fontId="165" fillId="45" borderId="11" xfId="8733" applyFont="1" applyFill="1" applyBorder="1" applyAlignment="1">
      <alignment horizontal="center" wrapText="1"/>
    </xf>
    <xf numFmtId="0" fontId="165" fillId="45" borderId="76" xfId="8733" applyFont="1" applyFill="1" applyBorder="1" applyAlignment="1">
      <alignment horizontal="center" wrapText="1"/>
    </xf>
    <xf numFmtId="0" fontId="165" fillId="48" borderId="90" xfId="8733" applyFont="1" applyFill="1" applyBorder="1" applyAlignment="1">
      <alignment horizontal="left"/>
    </xf>
    <xf numFmtId="0" fontId="165" fillId="48" borderId="4" xfId="8733" applyFont="1" applyFill="1" applyBorder="1" applyAlignment="1">
      <alignment horizontal="left"/>
    </xf>
    <xf numFmtId="0" fontId="165" fillId="48" borderId="5" xfId="8733" applyFont="1" applyFill="1" applyBorder="1" applyAlignment="1">
      <alignment horizontal="left"/>
    </xf>
    <xf numFmtId="0" fontId="169" fillId="48" borderId="68" xfId="8733" applyFont="1" applyFill="1" applyBorder="1" applyAlignment="1" applyProtection="1">
      <alignment horizontal="left"/>
      <protection locked="0"/>
    </xf>
    <xf numFmtId="0" fontId="169" fillId="48" borderId="71" xfId="8733" applyFont="1" applyFill="1" applyBorder="1" applyAlignment="1" applyProtection="1">
      <alignment horizontal="left"/>
      <protection locked="0"/>
    </xf>
    <xf numFmtId="0" fontId="165" fillId="45" borderId="72" xfId="8733" applyFont="1" applyFill="1" applyBorder="1" applyAlignment="1">
      <alignment horizontal="left"/>
    </xf>
    <xf numFmtId="0" fontId="165" fillId="45" borderId="11" xfId="8733" applyFont="1" applyFill="1" applyBorder="1" applyAlignment="1">
      <alignment horizontal="left"/>
    </xf>
    <xf numFmtId="0" fontId="177" fillId="48" borderId="11" xfId="8733" applyFont="1" applyFill="1" applyBorder="1" applyAlignment="1" applyProtection="1">
      <alignment horizontal="left"/>
      <protection locked="0"/>
    </xf>
    <xf numFmtId="0" fontId="177" fillId="48" borderId="76" xfId="8733" applyFont="1" applyFill="1" applyBorder="1" applyAlignment="1" applyProtection="1">
      <alignment horizontal="left"/>
      <protection locked="0"/>
    </xf>
    <xf numFmtId="0" fontId="174" fillId="48" borderId="72" xfId="8733" applyFont="1" applyFill="1" applyBorder="1" applyAlignment="1" applyProtection="1">
      <alignment horizontal="left" vertical="top"/>
      <protection locked="0"/>
    </xf>
    <xf numFmtId="0" fontId="174" fillId="48" borderId="11" xfId="8733" applyFont="1" applyFill="1" applyBorder="1" applyAlignment="1" applyProtection="1">
      <alignment horizontal="left" vertical="top"/>
      <protection locked="0"/>
    </xf>
    <xf numFmtId="0" fontId="174" fillId="48" borderId="76" xfId="8733" applyFont="1" applyFill="1" applyBorder="1" applyAlignment="1" applyProtection="1">
      <alignment horizontal="left" vertical="top"/>
      <protection locked="0"/>
    </xf>
    <xf numFmtId="0" fontId="174" fillId="48" borderId="69" xfId="8733" applyFont="1" applyFill="1" applyBorder="1" applyAlignment="1" applyProtection="1">
      <alignment horizontal="left" vertical="top"/>
      <protection locked="0"/>
    </xf>
    <xf numFmtId="0" fontId="174" fillId="48" borderId="70" xfId="8733" applyFont="1" applyFill="1" applyBorder="1" applyAlignment="1" applyProtection="1">
      <alignment horizontal="left" vertical="top"/>
      <protection locked="0"/>
    </xf>
    <xf numFmtId="0" fontId="174" fillId="48" borderId="77" xfId="8733" applyFont="1" applyFill="1" applyBorder="1" applyAlignment="1" applyProtection="1">
      <alignment horizontal="left" vertical="top"/>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9" fillId="48" borderId="3" xfId="8733" applyFont="1" applyFill="1" applyBorder="1" applyAlignment="1" applyProtection="1">
      <alignment horizontal="center"/>
      <protection locked="0"/>
    </xf>
    <xf numFmtId="0" fontId="169" fillId="48" borderId="4" xfId="8733" applyFont="1" applyFill="1" applyBorder="1" applyAlignment="1" applyProtection="1">
      <alignment horizontal="center"/>
      <protection locked="0"/>
    </xf>
    <xf numFmtId="0" fontId="169" fillId="48" borderId="81" xfId="8733" applyFont="1" applyFill="1" applyBorder="1" applyAlignment="1" applyProtection="1">
      <alignment horizontal="center"/>
      <protection locked="0"/>
    </xf>
    <xf numFmtId="0" fontId="166" fillId="45" borderId="93" xfId="8733" applyFont="1" applyFill="1" applyBorder="1" applyAlignment="1">
      <alignment horizontal="center"/>
    </xf>
    <xf numFmtId="0" fontId="166" fillId="45" borderId="92" xfId="8733" applyFont="1" applyFill="1" applyBorder="1" applyAlignment="1">
      <alignment horizontal="center"/>
    </xf>
    <xf numFmtId="0" fontId="166" fillId="45" borderId="91" xfId="8733" applyFont="1" applyFill="1" applyBorder="1" applyAlignment="1">
      <alignment horizontal="center"/>
    </xf>
    <xf numFmtId="0" fontId="173" fillId="45" borderId="11" xfId="8733" applyFont="1" applyFill="1" applyBorder="1" applyAlignment="1">
      <alignment horizontal="center"/>
    </xf>
    <xf numFmtId="0" fontId="179" fillId="45" borderId="11" xfId="8733" applyFont="1" applyFill="1" applyBorder="1" applyAlignment="1">
      <alignment horizontal="left"/>
    </xf>
    <xf numFmtId="0" fontId="179" fillId="45" borderId="76" xfId="8733" applyFont="1" applyFill="1" applyBorder="1" applyAlignment="1">
      <alignment horizontal="left"/>
    </xf>
    <xf numFmtId="0" fontId="2" fillId="51" borderId="70" xfId="8733" applyFill="1" applyBorder="1" applyAlignment="1" applyProtection="1">
      <alignment horizontal="center"/>
      <protection locked="0"/>
    </xf>
    <xf numFmtId="0" fontId="2" fillId="51" borderId="77" xfId="8733" applyFill="1" applyBorder="1" applyAlignment="1" applyProtection="1">
      <alignment horizontal="center"/>
      <protection locked="0"/>
    </xf>
    <xf numFmtId="0" fontId="102" fillId="45" borderId="67" xfId="8733" applyFont="1" applyFill="1" applyBorder="1" applyAlignment="1" applyProtection="1">
      <alignment horizontal="left" vertical="center" wrapText="1"/>
      <protection locked="0"/>
    </xf>
    <xf numFmtId="0" fontId="102" fillId="45" borderId="68" xfId="8733" applyFont="1" applyFill="1" applyBorder="1" applyAlignment="1" applyProtection="1">
      <alignment horizontal="left" vertical="center" wrapText="1"/>
      <protection locked="0"/>
    </xf>
    <xf numFmtId="0" fontId="102" fillId="45" borderId="72" xfId="8733" applyFont="1" applyFill="1" applyBorder="1" applyAlignment="1" applyProtection="1">
      <alignment horizontal="left" vertical="center" wrapText="1"/>
      <protection locked="0"/>
    </xf>
    <xf numFmtId="0" fontId="102" fillId="45" borderId="11" xfId="8733" applyFont="1" applyFill="1" applyBorder="1" applyAlignment="1" applyProtection="1">
      <alignment horizontal="left" vertical="center" wrapText="1"/>
      <protection locked="0"/>
    </xf>
    <xf numFmtId="0" fontId="169" fillId="48" borderId="68" xfId="8733" applyFont="1" applyFill="1" applyBorder="1" applyAlignment="1" applyProtection="1">
      <alignment horizontal="left" vertical="center" wrapText="1"/>
      <protection locked="0"/>
    </xf>
    <xf numFmtId="0" fontId="169" fillId="48" borderId="71" xfId="8733" applyFont="1" applyFill="1" applyBorder="1" applyAlignment="1" applyProtection="1">
      <alignment horizontal="left" vertical="center" wrapText="1"/>
      <protection locked="0"/>
    </xf>
    <xf numFmtId="0" fontId="169" fillId="48" borderId="11" xfId="8733" applyFont="1" applyFill="1" applyBorder="1" applyAlignment="1" applyProtection="1">
      <alignment horizontal="left" vertical="center" wrapText="1"/>
      <protection locked="0"/>
    </xf>
    <xf numFmtId="0" fontId="169" fillId="48" borderId="76" xfId="8733" applyFont="1" applyFill="1" applyBorder="1" applyAlignment="1" applyProtection="1">
      <alignment horizontal="left" vertical="center" wrapText="1"/>
      <protection locked="0"/>
    </xf>
    <xf numFmtId="0" fontId="172" fillId="48" borderId="72" xfId="8733" applyFont="1" applyFill="1" applyBorder="1" applyAlignment="1" applyProtection="1">
      <alignment horizontal="left" vertical="top" wrapText="1"/>
      <protection locked="0"/>
    </xf>
    <xf numFmtId="0" fontId="172" fillId="48" borderId="11" xfId="8733" applyFont="1" applyFill="1" applyBorder="1" applyAlignment="1" applyProtection="1">
      <alignment horizontal="left" vertical="top" wrapText="1"/>
      <protection locked="0"/>
    </xf>
    <xf numFmtId="0" fontId="172" fillId="48" borderId="69" xfId="8733" applyFont="1" applyFill="1" applyBorder="1" applyAlignment="1" applyProtection="1">
      <alignment horizontal="left" vertical="top" wrapText="1"/>
      <protection locked="0"/>
    </xf>
    <xf numFmtId="0" fontId="172" fillId="48" borderId="70" xfId="8733" applyFont="1" applyFill="1" applyBorder="1" applyAlignment="1" applyProtection="1">
      <alignment horizontal="left" vertical="top" wrapText="1"/>
      <protection locked="0"/>
    </xf>
    <xf numFmtId="0" fontId="169" fillId="48" borderId="11" xfId="8733" applyFont="1" applyFill="1" applyBorder="1" applyAlignment="1" applyProtection="1">
      <alignment horizontal="center" vertical="center" wrapText="1"/>
      <protection locked="0"/>
    </xf>
    <xf numFmtId="0" fontId="169" fillId="48" borderId="76" xfId="8733" applyFont="1" applyFill="1" applyBorder="1" applyAlignment="1" applyProtection="1">
      <alignment horizontal="center" vertical="center" wrapText="1"/>
      <protection locked="0"/>
    </xf>
    <xf numFmtId="0" fontId="169" fillId="48" borderId="70" xfId="8733" applyFont="1" applyFill="1" applyBorder="1" applyAlignment="1" applyProtection="1">
      <alignment horizontal="center" vertical="center" wrapText="1"/>
      <protection locked="0"/>
    </xf>
    <xf numFmtId="0" fontId="169" fillId="48" borderId="77" xfId="8733" applyFont="1" applyFill="1" applyBorder="1" applyAlignment="1" applyProtection="1">
      <alignment horizontal="center" vertical="center" wrapText="1"/>
      <protection locked="0"/>
    </xf>
    <xf numFmtId="0" fontId="102" fillId="45" borderId="67" xfId="8733" applyFont="1" applyFill="1" applyBorder="1" applyAlignment="1">
      <alignment horizontal="left" wrapText="1"/>
    </xf>
    <xf numFmtId="0" fontId="102" fillId="45" borderId="68" xfId="8733" applyFont="1" applyFill="1" applyBorder="1" applyAlignment="1">
      <alignment horizontal="left" wrapText="1"/>
    </xf>
    <xf numFmtId="0" fontId="102" fillId="45" borderId="71" xfId="8733" applyFont="1" applyFill="1" applyBorder="1" applyAlignment="1">
      <alignment horizontal="left" wrapText="1"/>
    </xf>
    <xf numFmtId="0" fontId="102" fillId="45" borderId="72" xfId="8733" applyFont="1" applyFill="1" applyBorder="1" applyAlignment="1">
      <alignment horizontal="left" wrapText="1"/>
    </xf>
    <xf numFmtId="0" fontId="102" fillId="45" borderId="11" xfId="8733" applyFont="1" applyFill="1" applyBorder="1" applyAlignment="1">
      <alignment horizontal="left" wrapText="1"/>
    </xf>
    <xf numFmtId="0" fontId="102" fillId="45" borderId="76" xfId="8733" applyFont="1" applyFill="1" applyBorder="1" applyAlignment="1">
      <alignment horizontal="left" wrapText="1"/>
    </xf>
    <xf numFmtId="0" fontId="102" fillId="45" borderId="65" xfId="8733" applyFont="1" applyFill="1" applyBorder="1" applyAlignment="1">
      <alignment horizontal="center"/>
    </xf>
    <xf numFmtId="0" fontId="102" fillId="45" borderId="29" xfId="8733" applyFont="1" applyFill="1" applyBorder="1" applyAlignment="1">
      <alignment horizontal="center"/>
    </xf>
    <xf numFmtId="0" fontId="102" fillId="45" borderId="31" xfId="8733" applyFont="1" applyFill="1" applyBorder="1" applyAlignment="1">
      <alignment horizontal="center"/>
    </xf>
    <xf numFmtId="0" fontId="173" fillId="45" borderId="69" xfId="8733" applyFont="1" applyFill="1" applyBorder="1" applyAlignment="1">
      <alignment horizontal="center"/>
    </xf>
    <xf numFmtId="0" fontId="173" fillId="45" borderId="70" xfId="8733" applyFont="1" applyFill="1" applyBorder="1" applyAlignment="1">
      <alignment horizontal="center"/>
    </xf>
    <xf numFmtId="0" fontId="173" fillId="45" borderId="72" xfId="8733" applyFont="1" applyFill="1" applyBorder="1" applyAlignment="1">
      <alignment horizontal="center"/>
    </xf>
    <xf numFmtId="10" fontId="2" fillId="48" borderId="94" xfId="8733" applyNumberFormat="1" applyFill="1" applyBorder="1" applyAlignment="1" applyProtection="1">
      <alignment horizontal="center"/>
      <protection locked="0"/>
    </xf>
    <xf numFmtId="10" fontId="2" fillId="48" borderId="86" xfId="8733" applyNumberFormat="1" applyFill="1" applyBorder="1" applyAlignment="1" applyProtection="1">
      <alignment horizontal="center"/>
      <protection locked="0"/>
    </xf>
    <xf numFmtId="10" fontId="2" fillId="48" borderId="85" xfId="8733" applyNumberFormat="1" applyFill="1" applyBorder="1" applyAlignment="1" applyProtection="1">
      <alignment horizontal="center"/>
      <protection locked="0"/>
    </xf>
    <xf numFmtId="0" fontId="173" fillId="45" borderId="11" xfId="8733" applyFont="1" applyFill="1" applyBorder="1" applyAlignment="1">
      <alignment horizontal="center" wrapText="1"/>
    </xf>
    <xf numFmtId="0" fontId="165" fillId="45" borderId="76" xfId="8733" applyFont="1" applyFill="1" applyBorder="1" applyAlignment="1">
      <alignment horizontal="center"/>
    </xf>
    <xf numFmtId="0" fontId="169" fillId="48" borderId="68" xfId="8733" applyFont="1" applyFill="1" applyBorder="1" applyAlignment="1" applyProtection="1">
      <alignment horizontal="left" wrapText="1"/>
      <protection locked="0"/>
    </xf>
    <xf numFmtId="0" fontId="169" fillId="48" borderId="71" xfId="8733" applyFont="1" applyFill="1" applyBorder="1" applyAlignment="1" applyProtection="1">
      <alignment horizontal="left" wrapText="1"/>
      <protection locked="0"/>
    </xf>
    <xf numFmtId="0" fontId="169" fillId="48" borderId="11" xfId="8733" applyFont="1" applyFill="1" applyBorder="1" applyAlignment="1" applyProtection="1">
      <alignment horizontal="left" wrapText="1"/>
      <protection locked="0"/>
    </xf>
    <xf numFmtId="0" fontId="169" fillId="48" borderId="76" xfId="8733" applyFont="1" applyFill="1" applyBorder="1" applyAlignment="1" applyProtection="1">
      <alignment horizontal="left" wrapText="1"/>
      <protection locked="0"/>
    </xf>
    <xf numFmtId="0" fontId="2" fillId="48" borderId="9" xfId="8733" applyFill="1" applyBorder="1" applyAlignment="1" applyProtection="1">
      <alignment horizontal="center"/>
      <protection locked="0"/>
    </xf>
    <xf numFmtId="0" fontId="2" fillId="48" borderId="6" xfId="8733" applyFill="1" applyBorder="1" applyAlignment="1" applyProtection="1">
      <alignment horizontal="center"/>
      <protection locked="0"/>
    </xf>
    <xf numFmtId="0" fontId="2" fillId="48" borderId="82" xfId="8733" applyFill="1" applyBorder="1" applyAlignment="1" applyProtection="1">
      <alignment horizontal="center"/>
      <protection locked="0"/>
    </xf>
    <xf numFmtId="0" fontId="173" fillId="45" borderId="97" xfId="8733" applyFont="1" applyFill="1" applyBorder="1" applyAlignment="1">
      <alignment horizontal="left"/>
    </xf>
    <xf numFmtId="0" fontId="173" fillId="45" borderId="2" xfId="8733" applyFont="1" applyFill="1" applyBorder="1" applyAlignment="1">
      <alignment horizontal="left"/>
    </xf>
    <xf numFmtId="0" fontId="173" fillId="45" borderId="7" xfId="8733" applyFont="1" applyFill="1" applyBorder="1" applyAlignment="1">
      <alignment horizontal="left"/>
    </xf>
    <xf numFmtId="10" fontId="2" fillId="0" borderId="94" xfId="8733" applyNumberFormat="1" applyBorder="1" applyAlignment="1">
      <alignment horizontal="center"/>
    </xf>
    <xf numFmtId="10" fontId="2" fillId="0" borderId="86" xfId="8733" applyNumberFormat="1" applyBorder="1" applyAlignment="1">
      <alignment horizontal="center"/>
    </xf>
    <xf numFmtId="10" fontId="2" fillId="0" borderId="85" xfId="8733" applyNumberFormat="1" applyBorder="1" applyAlignment="1">
      <alignment horizontal="center"/>
    </xf>
    <xf numFmtId="0" fontId="173" fillId="45" borderId="73" xfId="8733" applyFont="1" applyFill="1" applyBorder="1" applyAlignment="1">
      <alignment horizontal="left"/>
    </xf>
    <xf numFmtId="0" fontId="173" fillId="45" borderId="42" xfId="8733" applyFont="1" applyFill="1" applyBorder="1" applyAlignment="1">
      <alignment horizontal="left"/>
    </xf>
    <xf numFmtId="0" fontId="173" fillId="45" borderId="96" xfId="8733" applyFont="1" applyFill="1" applyBorder="1" applyAlignment="1">
      <alignment horizontal="left"/>
    </xf>
    <xf numFmtId="0" fontId="102" fillId="45" borderId="67" xfId="8733" applyFont="1" applyFill="1" applyBorder="1" applyAlignment="1">
      <alignment horizontal="center" wrapText="1"/>
    </xf>
    <xf numFmtId="0" fontId="102" fillId="45" borderId="68" xfId="8733" applyFont="1" applyFill="1" applyBorder="1" applyAlignment="1">
      <alignment horizontal="center" wrapText="1"/>
    </xf>
    <xf numFmtId="0" fontId="102" fillId="45" borderId="71" xfId="8733" applyFont="1" applyFill="1" applyBorder="1" applyAlignment="1">
      <alignment horizontal="center" wrapText="1"/>
    </xf>
    <xf numFmtId="0" fontId="174" fillId="48" borderId="72" xfId="8733" applyFont="1" applyFill="1" applyBorder="1" applyAlignment="1" applyProtection="1">
      <alignment horizontal="right"/>
      <protection locked="0"/>
    </xf>
    <xf numFmtId="0" fontId="174" fillId="48" borderId="11" xfId="8733" applyFont="1" applyFill="1" applyBorder="1" applyAlignment="1" applyProtection="1">
      <alignment horizontal="right"/>
      <protection locked="0"/>
    </xf>
    <xf numFmtId="168" fontId="174" fillId="48" borderId="76" xfId="700" applyNumberFormat="1" applyFont="1" applyFill="1" applyBorder="1" applyAlignment="1" applyProtection="1">
      <alignment horizontal="left"/>
      <protection locked="0"/>
    </xf>
    <xf numFmtId="0" fontId="166" fillId="45" borderId="98" xfId="8733" applyFont="1" applyFill="1" applyBorder="1" applyAlignment="1">
      <alignment horizontal="center"/>
    </xf>
    <xf numFmtId="0" fontId="166" fillId="45" borderId="13" xfId="8733" applyFont="1" applyFill="1" applyBorder="1" applyAlignment="1">
      <alignment horizontal="center"/>
    </xf>
    <xf numFmtId="0" fontId="172" fillId="48" borderId="72" xfId="8733" applyFont="1" applyFill="1" applyBorder="1" applyAlignment="1" applyProtection="1">
      <alignment horizontal="right"/>
      <protection locked="0"/>
    </xf>
    <xf numFmtId="0" fontId="172" fillId="48" borderId="11" xfId="8733" applyFont="1" applyFill="1" applyBorder="1" applyAlignment="1" applyProtection="1">
      <alignment horizontal="right"/>
      <protection locked="0"/>
    </xf>
    <xf numFmtId="0" fontId="166" fillId="45" borderId="89" xfId="8733" applyFont="1" applyFill="1" applyBorder="1" applyAlignment="1">
      <alignment horizontal="right"/>
    </xf>
    <xf numFmtId="0" fontId="166" fillId="45" borderId="43" xfId="8733" applyFont="1" applyFill="1" applyBorder="1" applyAlignment="1">
      <alignment horizontal="right"/>
    </xf>
    <xf numFmtId="168" fontId="166" fillId="45" borderId="43" xfId="8733" applyNumberFormat="1" applyFont="1" applyFill="1" applyBorder="1" applyAlignment="1">
      <alignment horizontal="left"/>
    </xf>
    <xf numFmtId="168" fontId="166" fillId="45" borderId="88" xfId="8733" applyNumberFormat="1" applyFont="1" applyFill="1" applyBorder="1" applyAlignment="1">
      <alignment horizontal="left"/>
    </xf>
    <xf numFmtId="0" fontId="172" fillId="48" borderId="68" xfId="8733" applyFont="1" applyFill="1" applyBorder="1" applyAlignment="1" applyProtection="1">
      <alignment horizontal="left"/>
      <protection locked="0"/>
    </xf>
    <xf numFmtId="0" fontId="172" fillId="48" borderId="71" xfId="8733" applyFont="1" applyFill="1" applyBorder="1" applyAlignment="1" applyProtection="1">
      <alignment horizontal="left"/>
      <protection locked="0"/>
    </xf>
    <xf numFmtId="0" fontId="166" fillId="45" borderId="69" xfId="8733" applyFont="1" applyFill="1" applyBorder="1" applyAlignment="1">
      <alignment horizontal="center"/>
    </xf>
    <xf numFmtId="0" fontId="166" fillId="45" borderId="70" xfId="8733" applyFont="1" applyFill="1" applyBorder="1" applyAlignment="1">
      <alignment horizontal="center"/>
    </xf>
    <xf numFmtId="0" fontId="172" fillId="48" borderId="70" xfId="8733" applyFont="1" applyFill="1" applyBorder="1" applyAlignment="1" applyProtection="1">
      <alignment horizontal="left"/>
      <protection locked="0"/>
    </xf>
    <xf numFmtId="0" fontId="172" fillId="48" borderId="77" xfId="8733" applyFont="1" applyFill="1" applyBorder="1" applyAlignment="1" applyProtection="1">
      <alignment horizontal="left"/>
      <protection locked="0"/>
    </xf>
    <xf numFmtId="0" fontId="169" fillId="48" borderId="74" xfId="8733" applyFont="1" applyFill="1" applyBorder="1" applyAlignment="1" applyProtection="1">
      <alignment horizontal="left"/>
      <protection locked="0"/>
    </xf>
    <xf numFmtId="0" fontId="166" fillId="45" borderId="72" xfId="8733" applyFont="1" applyFill="1" applyBorder="1" applyAlignment="1">
      <alignment horizontal="center"/>
    </xf>
    <xf numFmtId="0" fontId="166" fillId="45" borderId="11" xfId="8733" applyFont="1" applyFill="1" applyBorder="1" applyAlignment="1">
      <alignment horizontal="center"/>
    </xf>
    <xf numFmtId="0" fontId="166" fillId="45" borderId="3" xfId="8733" applyFont="1" applyFill="1" applyBorder="1" applyAlignment="1">
      <alignment horizontal="center"/>
    </xf>
    <xf numFmtId="0" fontId="166" fillId="45" borderId="4" xfId="8733" applyFont="1" applyFill="1" applyBorder="1" applyAlignment="1">
      <alignment horizontal="center"/>
    </xf>
    <xf numFmtId="0" fontId="166" fillId="45" borderId="81" xfId="8733" applyFont="1" applyFill="1" applyBorder="1" applyAlignment="1">
      <alignment horizontal="center"/>
    </xf>
    <xf numFmtId="0" fontId="102" fillId="45" borderId="69" xfId="8733" applyFont="1" applyFill="1" applyBorder="1" applyAlignment="1">
      <alignment horizontal="center"/>
    </xf>
    <xf numFmtId="0" fontId="102" fillId="45" borderId="70" xfId="8733" applyFont="1" applyFill="1" applyBorder="1" applyAlignment="1">
      <alignment horizontal="center"/>
    </xf>
    <xf numFmtId="0" fontId="172" fillId="44" borderId="72" xfId="8733" applyFont="1" applyFill="1" applyBorder="1" applyAlignment="1" applyProtection="1">
      <alignment horizontal="right"/>
      <protection locked="0"/>
    </xf>
    <xf numFmtId="0" fontId="172" fillId="44" borderId="11" xfId="8733" applyFont="1" applyFill="1" applyBorder="1" applyAlignment="1" applyProtection="1">
      <alignment horizontal="right"/>
      <protection locked="0"/>
    </xf>
    <xf numFmtId="0" fontId="172" fillId="44" borderId="76" xfId="8733" applyFont="1" applyFill="1" applyBorder="1" applyAlignment="1" applyProtection="1">
      <alignment horizontal="right"/>
      <protection locked="0"/>
    </xf>
    <xf numFmtId="0" fontId="172" fillId="48" borderId="5" xfId="8733" applyFont="1" applyFill="1" applyBorder="1" applyAlignment="1" applyProtection="1">
      <alignment horizontal="left"/>
      <protection locked="0"/>
    </xf>
    <xf numFmtId="0" fontId="172" fillId="44" borderId="69" xfId="8733" applyFont="1" applyFill="1" applyBorder="1" applyAlignment="1" applyProtection="1">
      <alignment horizontal="right"/>
      <protection locked="0"/>
    </xf>
    <xf numFmtId="0" fontId="172" fillId="44" borderId="70" xfId="8733" applyFont="1" applyFill="1" applyBorder="1" applyAlignment="1" applyProtection="1">
      <alignment horizontal="right"/>
      <protection locked="0"/>
    </xf>
    <xf numFmtId="0" fontId="172" fillId="44" borderId="77" xfId="8733" applyFont="1" applyFill="1" applyBorder="1" applyAlignment="1" applyProtection="1">
      <alignment horizontal="right"/>
      <protection locked="0"/>
    </xf>
    <xf numFmtId="0" fontId="172" fillId="48" borderId="95" xfId="8733" applyFont="1" applyFill="1" applyBorder="1" applyAlignment="1" applyProtection="1">
      <alignment horizontal="left"/>
      <protection locked="0"/>
    </xf>
    <xf numFmtId="0" fontId="166" fillId="45" borderId="65" xfId="8733" applyFont="1" applyFill="1" applyBorder="1" applyAlignment="1">
      <alignment horizontal="center"/>
    </xf>
    <xf numFmtId="0" fontId="166" fillId="45" borderId="29" xfId="8733" applyFont="1" applyFill="1" applyBorder="1" applyAlignment="1">
      <alignment horizontal="center"/>
    </xf>
    <xf numFmtId="0" fontId="166" fillId="45" borderId="31" xfId="8733" applyFont="1" applyFill="1" applyBorder="1" applyAlignment="1">
      <alignment horizontal="center"/>
    </xf>
    <xf numFmtId="168" fontId="172" fillId="48" borderId="11" xfId="8734" applyNumberFormat="1" applyFont="1" applyFill="1" applyBorder="1" applyAlignment="1" applyProtection="1">
      <alignment horizontal="center"/>
      <protection locked="0"/>
    </xf>
    <xf numFmtId="1" fontId="172" fillId="48" borderId="11" xfId="8733" applyNumberFormat="1" applyFont="1" applyFill="1" applyBorder="1" applyAlignment="1" applyProtection="1">
      <alignment horizontal="center"/>
      <protection locked="0"/>
    </xf>
    <xf numFmtId="0" fontId="172" fillId="48" borderId="11" xfId="700" applyNumberFormat="1" applyFont="1" applyFill="1" applyBorder="1" applyAlignment="1" applyProtection="1">
      <alignment horizontal="left"/>
      <protection locked="0"/>
    </xf>
    <xf numFmtId="0" fontId="172" fillId="48" borderId="76" xfId="700" applyNumberFormat="1" applyFont="1" applyFill="1" applyBorder="1" applyAlignment="1" applyProtection="1">
      <alignment horizontal="left"/>
      <protection locked="0"/>
    </xf>
    <xf numFmtId="168" fontId="173" fillId="45" borderId="70" xfId="8734" applyNumberFormat="1" applyFont="1" applyFill="1" applyBorder="1" applyAlignment="1">
      <alignment horizontal="center"/>
    </xf>
    <xf numFmtId="1" fontId="173" fillId="45" borderId="70" xfId="8734" applyNumberFormat="1" applyFont="1" applyFill="1" applyBorder="1" applyAlignment="1">
      <alignment horizontal="center"/>
    </xf>
    <xf numFmtId="0" fontId="173" fillId="45" borderId="70" xfId="8734" applyNumberFormat="1" applyFont="1" applyFill="1" applyBorder="1" applyAlignment="1">
      <alignment horizontal="center"/>
    </xf>
    <xf numFmtId="0" fontId="173" fillId="45" borderId="77" xfId="8734" applyNumberFormat="1" applyFont="1" applyFill="1" applyBorder="1" applyAlignment="1">
      <alignment horizontal="center"/>
    </xf>
    <xf numFmtId="0" fontId="165" fillId="45" borderId="11" xfId="8733" applyFont="1" applyFill="1" applyBorder="1" applyAlignment="1">
      <alignment horizontal="center" vertical="center" wrapText="1"/>
    </xf>
    <xf numFmtId="0" fontId="165" fillId="45" borderId="76" xfId="8733" applyFont="1" applyFill="1" applyBorder="1" applyAlignment="1">
      <alignment horizontal="center" vertical="center" wrapText="1"/>
    </xf>
    <xf numFmtId="1" fontId="177" fillId="48" borderId="70" xfId="8733" applyNumberFormat="1" applyFont="1" applyFill="1" applyBorder="1" applyAlignment="1" applyProtection="1">
      <alignment horizontal="center"/>
      <protection locked="0"/>
    </xf>
    <xf numFmtId="1" fontId="177" fillId="48" borderId="94" xfId="8733" applyNumberFormat="1" applyFont="1" applyFill="1" applyBorder="1" applyAlignment="1" applyProtection="1">
      <alignment horizontal="center"/>
      <protection locked="0"/>
    </xf>
    <xf numFmtId="1" fontId="177" fillId="48" borderId="86" xfId="8733" applyNumberFormat="1" applyFont="1" applyFill="1" applyBorder="1" applyAlignment="1" applyProtection="1">
      <alignment horizontal="center"/>
      <protection locked="0"/>
    </xf>
    <xf numFmtId="1" fontId="177" fillId="48" borderId="95" xfId="8733" applyNumberFormat="1" applyFont="1" applyFill="1" applyBorder="1" applyAlignment="1" applyProtection="1">
      <alignment horizontal="center"/>
      <protection locked="0"/>
    </xf>
    <xf numFmtId="1" fontId="177" fillId="48" borderId="3" xfId="8733" applyNumberFormat="1" applyFont="1" applyFill="1" applyBorder="1" applyAlignment="1" applyProtection="1">
      <alignment horizontal="center"/>
      <protection locked="0"/>
    </xf>
    <xf numFmtId="1" fontId="177" fillId="48" borderId="4" xfId="8733" applyNumberFormat="1" applyFont="1" applyFill="1" applyBorder="1" applyAlignment="1" applyProtection="1">
      <alignment horizontal="center"/>
      <protection locked="0"/>
    </xf>
    <xf numFmtId="1" fontId="177" fillId="48" borderId="5" xfId="8733" applyNumberFormat="1" applyFont="1" applyFill="1" applyBorder="1" applyAlignment="1" applyProtection="1">
      <alignment horizontal="center"/>
      <protection locked="0"/>
    </xf>
    <xf numFmtId="1" fontId="165" fillId="44" borderId="3" xfId="8733" applyNumberFormat="1" applyFont="1" applyFill="1" applyBorder="1" applyAlignment="1">
      <alignment horizontal="center"/>
    </xf>
    <xf numFmtId="1" fontId="165" fillId="44" borderId="4" xfId="8733" applyNumberFormat="1" applyFont="1" applyFill="1" applyBorder="1" applyAlignment="1">
      <alignment horizontal="center"/>
    </xf>
    <xf numFmtId="1" fontId="165" fillId="44" borderId="5" xfId="8733" applyNumberFormat="1" applyFont="1" applyFill="1" applyBorder="1" applyAlignment="1">
      <alignment horizontal="center"/>
    </xf>
    <xf numFmtId="9" fontId="165" fillId="44" borderId="3" xfId="8735" applyFont="1" applyFill="1" applyBorder="1" applyAlignment="1">
      <alignment horizontal="center"/>
    </xf>
    <xf numFmtId="9" fontId="165" fillId="44" borderId="4" xfId="8735" applyFont="1" applyFill="1" applyBorder="1" applyAlignment="1">
      <alignment horizontal="center"/>
    </xf>
    <xf numFmtId="9" fontId="165" fillId="44" borderId="81" xfId="8735" applyFont="1" applyFill="1" applyBorder="1" applyAlignment="1">
      <alignment horizontal="center"/>
    </xf>
    <xf numFmtId="0" fontId="172" fillId="48" borderId="69" xfId="8733" applyFont="1" applyFill="1" applyBorder="1" applyAlignment="1" applyProtection="1">
      <alignment horizontal="right"/>
      <protection locked="0"/>
    </xf>
    <xf numFmtId="0" fontId="172" fillId="48" borderId="70" xfId="8733" applyFont="1" applyFill="1" applyBorder="1" applyAlignment="1" applyProtection="1">
      <alignment horizontal="right"/>
      <protection locked="0"/>
    </xf>
    <xf numFmtId="0" fontId="177" fillId="48" borderId="70" xfId="8733" applyFont="1" applyFill="1" applyBorder="1" applyAlignment="1" applyProtection="1">
      <alignment horizontal="center"/>
      <protection locked="0"/>
    </xf>
    <xf numFmtId="9" fontId="165" fillId="44" borderId="94" xfId="8735" applyFont="1" applyFill="1" applyBorder="1" applyAlignment="1">
      <alignment horizontal="center"/>
    </xf>
    <xf numFmtId="9" fontId="165" fillId="44" borderId="86" xfId="8735" applyFont="1" applyFill="1" applyBorder="1" applyAlignment="1">
      <alignment horizontal="center"/>
    </xf>
    <xf numFmtId="9" fontId="165" fillId="44" borderId="85" xfId="8735" applyFont="1" applyFill="1" applyBorder="1" applyAlignment="1">
      <alignment horizontal="center"/>
    </xf>
    <xf numFmtId="0" fontId="177" fillId="48" borderId="11" xfId="8733" applyFont="1" applyFill="1" applyBorder="1" applyAlignment="1" applyProtection="1">
      <alignment horizontal="center"/>
      <protection locked="0"/>
    </xf>
    <xf numFmtId="1" fontId="177" fillId="48" borderId="11" xfId="8733" applyNumberFormat="1" applyFont="1" applyFill="1" applyBorder="1" applyAlignment="1" applyProtection="1">
      <alignment horizontal="center"/>
      <protection locked="0"/>
    </xf>
    <xf numFmtId="0" fontId="173" fillId="44" borderId="101" xfId="8733" applyFont="1" applyFill="1" applyBorder="1" applyAlignment="1">
      <alignment horizontal="center"/>
    </xf>
    <xf numFmtId="0" fontId="173" fillId="44" borderId="42" xfId="8733" applyFont="1" applyFill="1" applyBorder="1" applyAlignment="1">
      <alignment horizontal="center"/>
    </xf>
    <xf numFmtId="0" fontId="173" fillId="44" borderId="96" xfId="8733" applyFont="1" applyFill="1" applyBorder="1" applyAlignment="1">
      <alignment horizontal="center"/>
    </xf>
    <xf numFmtId="9" fontId="173" fillId="44" borderId="101" xfId="1022" applyFont="1" applyFill="1" applyBorder="1" applyAlignment="1">
      <alignment horizontal="center"/>
    </xf>
    <xf numFmtId="9" fontId="173" fillId="44" borderId="42" xfId="1022" applyFont="1" applyFill="1" applyBorder="1" applyAlignment="1">
      <alignment horizontal="center"/>
    </xf>
    <xf numFmtId="9" fontId="173" fillId="44" borderId="44" xfId="1022" applyFont="1" applyFill="1" applyBorder="1" applyAlignment="1">
      <alignment horizontal="center"/>
    </xf>
    <xf numFmtId="0" fontId="166" fillId="45" borderId="80" xfId="8733" applyFont="1" applyFill="1" applyBorder="1" applyAlignment="1">
      <alignment horizontal="center"/>
    </xf>
    <xf numFmtId="0" fontId="166" fillId="45" borderId="79" xfId="8733" applyFont="1" applyFill="1" applyBorder="1" applyAlignment="1">
      <alignment horizontal="center"/>
    </xf>
    <xf numFmtId="0" fontId="166" fillId="45" borderId="78" xfId="8733" applyFont="1" applyFill="1" applyBorder="1" applyAlignment="1">
      <alignment horizontal="center"/>
    </xf>
    <xf numFmtId="0" fontId="165" fillId="45" borderId="98" xfId="8733" applyFont="1" applyFill="1" applyBorder="1" applyAlignment="1">
      <alignment horizontal="center" vertical="center" wrapText="1"/>
    </xf>
    <xf numFmtId="0" fontId="165" fillId="45" borderId="13" xfId="8733" applyFont="1" applyFill="1" applyBorder="1" applyAlignment="1">
      <alignment horizontal="center" vertical="center"/>
    </xf>
    <xf numFmtId="0" fontId="165" fillId="45" borderId="72" xfId="8733" applyFont="1" applyFill="1" applyBorder="1" applyAlignment="1">
      <alignment horizontal="center" vertical="center"/>
    </xf>
    <xf numFmtId="0" fontId="165" fillId="45" borderId="11" xfId="8733" applyFont="1" applyFill="1" applyBorder="1" applyAlignment="1">
      <alignment horizontal="center" vertical="center"/>
    </xf>
    <xf numFmtId="0" fontId="173" fillId="45" borderId="13" xfId="8733" applyFont="1" applyFill="1" applyBorder="1" applyAlignment="1">
      <alignment horizontal="center" vertical="center" wrapText="1"/>
    </xf>
    <xf numFmtId="0" fontId="173" fillId="45" borderId="13" xfId="8733" applyFont="1" applyFill="1" applyBorder="1" applyAlignment="1">
      <alignment horizontal="center" vertical="center"/>
    </xf>
    <xf numFmtId="0" fontId="173" fillId="45" borderId="11" xfId="8733" applyFont="1" applyFill="1" applyBorder="1" applyAlignment="1">
      <alignment horizontal="center" vertical="center"/>
    </xf>
    <xf numFmtId="0" fontId="173" fillId="45" borderId="9" xfId="8733" applyFont="1" applyFill="1" applyBorder="1" applyAlignment="1">
      <alignment horizontal="center" vertical="center"/>
    </xf>
    <xf numFmtId="0" fontId="173" fillId="45" borderId="3" xfId="8733" applyFont="1" applyFill="1" applyBorder="1" applyAlignment="1">
      <alignment horizontal="center" vertic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5" fillId="45" borderId="65" xfId="8733" applyFont="1" applyFill="1" applyBorder="1" applyAlignment="1">
      <alignment horizontal="center" vertical="center" wrapText="1"/>
    </xf>
    <xf numFmtId="0" fontId="165" fillId="45" borderId="29" xfId="8733" applyFont="1" applyFill="1" applyBorder="1" applyAlignment="1">
      <alignment horizontal="center" vertical="center" wrapText="1"/>
    </xf>
    <xf numFmtId="0" fontId="165" fillId="45" borderId="31" xfId="8733" applyFont="1" applyFill="1" applyBorder="1" applyAlignment="1">
      <alignment horizontal="center" vertical="center" wrapText="1"/>
    </xf>
    <xf numFmtId="0" fontId="165" fillId="45" borderId="73" xfId="8733" applyFont="1" applyFill="1" applyBorder="1" applyAlignment="1">
      <alignment horizontal="center" vertical="center" wrapText="1"/>
    </xf>
    <xf numFmtId="0" fontId="165" fillId="45" borderId="42" xfId="8733" applyFont="1" applyFill="1" applyBorder="1" applyAlignment="1">
      <alignment horizontal="center" vertical="center" wrapText="1"/>
    </xf>
    <xf numFmtId="0" fontId="165" fillId="45" borderId="44" xfId="8733" applyFont="1" applyFill="1" applyBorder="1" applyAlignment="1">
      <alignment horizontal="center" vertical="center" wrapText="1"/>
    </xf>
    <xf numFmtId="9" fontId="173" fillId="48" borderId="13" xfId="8733" applyNumberFormat="1" applyFont="1" applyFill="1" applyBorder="1" applyAlignment="1" applyProtection="1">
      <alignment horizontal="center"/>
      <protection locked="0"/>
    </xf>
    <xf numFmtId="0" fontId="173" fillId="44" borderId="73" xfId="8733" applyFont="1" applyFill="1" applyBorder="1" applyAlignment="1">
      <alignment horizontal="center"/>
    </xf>
    <xf numFmtId="0" fontId="165" fillId="44" borderId="9" xfId="8733" applyFont="1" applyFill="1" applyBorder="1" applyAlignment="1">
      <alignment horizontal="center"/>
    </xf>
    <xf numFmtId="0" fontId="165" fillId="44" borderId="6" xfId="8733" applyFont="1" applyFill="1" applyBorder="1" applyAlignment="1">
      <alignment horizontal="center"/>
    </xf>
    <xf numFmtId="0" fontId="165" fillId="44" borderId="82" xfId="8733" applyFont="1" applyFill="1" applyBorder="1" applyAlignment="1">
      <alignment horizontal="center"/>
    </xf>
    <xf numFmtId="9" fontId="173" fillId="48" borderId="9" xfId="8733" applyNumberFormat="1" applyFont="1" applyFill="1" applyBorder="1" applyAlignment="1" applyProtection="1">
      <alignment horizontal="center"/>
      <protection locked="0"/>
    </xf>
    <xf numFmtId="9" fontId="173" fillId="48" borderId="6" xfId="8733" applyNumberFormat="1" applyFont="1" applyFill="1" applyBorder="1" applyAlignment="1" applyProtection="1">
      <alignment horizontal="center"/>
      <protection locked="0"/>
    </xf>
    <xf numFmtId="9" fontId="173" fillId="48" borderId="10" xfId="8733" applyNumberFormat="1" applyFont="1" applyFill="1" applyBorder="1" applyAlignment="1" applyProtection="1">
      <alignment horizontal="center"/>
      <protection locked="0"/>
    </xf>
    <xf numFmtId="9" fontId="165" fillId="48" borderId="9" xfId="8733" applyNumberFormat="1" applyFont="1" applyFill="1" applyBorder="1" applyAlignment="1" applyProtection="1">
      <alignment horizontal="center"/>
      <protection locked="0"/>
    </xf>
    <xf numFmtId="9" fontId="165" fillId="48" borderId="6" xfId="8733" applyNumberFormat="1" applyFont="1" applyFill="1" applyBorder="1" applyAlignment="1" applyProtection="1">
      <alignment horizontal="center"/>
      <protection locked="0"/>
    </xf>
    <xf numFmtId="9" fontId="165" fillId="48" borderId="10" xfId="8733" applyNumberFormat="1" applyFont="1" applyFill="1" applyBorder="1" applyAlignment="1" applyProtection="1">
      <alignment horizontal="center"/>
      <protection locked="0"/>
    </xf>
    <xf numFmtId="0" fontId="165" fillId="44" borderId="10" xfId="8733" applyFont="1" applyFill="1" applyBorder="1" applyAlignment="1">
      <alignment horizontal="center"/>
    </xf>
    <xf numFmtId="0" fontId="172" fillId="48" borderId="3" xfId="8733" applyFont="1" applyFill="1" applyBorder="1" applyAlignment="1" applyProtection="1">
      <alignment horizontal="center"/>
      <protection locked="0"/>
    </xf>
    <xf numFmtId="0" fontId="172" fillId="48" borderId="4" xfId="8733" applyFont="1" applyFill="1" applyBorder="1" applyAlignment="1" applyProtection="1">
      <alignment horizontal="center"/>
      <protection locked="0"/>
    </xf>
    <xf numFmtId="0" fontId="172" fillId="48" borderId="5" xfId="8733" applyFont="1" applyFill="1" applyBorder="1" applyAlignment="1" applyProtection="1">
      <alignment horizontal="center"/>
      <protection locked="0"/>
    </xf>
    <xf numFmtId="9" fontId="173" fillId="44" borderId="3" xfId="8733" applyNumberFormat="1" applyFont="1" applyFill="1" applyBorder="1" applyAlignment="1">
      <alignment horizontal="center"/>
    </xf>
    <xf numFmtId="9" fontId="173" fillId="44" borderId="4" xfId="8733" applyNumberFormat="1" applyFont="1" applyFill="1" applyBorder="1" applyAlignment="1">
      <alignment horizontal="center"/>
    </xf>
    <xf numFmtId="9" fontId="173" fillId="44" borderId="81" xfId="8733" applyNumberFormat="1" applyFont="1" applyFill="1" applyBorder="1" applyAlignment="1">
      <alignment horizontal="center"/>
    </xf>
    <xf numFmtId="0" fontId="173" fillId="44" borderId="87" xfId="8733" applyFont="1" applyFill="1" applyBorder="1" applyAlignment="1">
      <alignment horizontal="center"/>
    </xf>
    <xf numFmtId="0" fontId="173" fillId="44" borderId="86" xfId="8733" applyFont="1" applyFill="1" applyBorder="1" applyAlignment="1">
      <alignment horizontal="center"/>
    </xf>
    <xf numFmtId="0" fontId="173" fillId="44" borderId="95" xfId="8733" applyFont="1" applyFill="1" applyBorder="1" applyAlignment="1">
      <alignment horizontal="center"/>
    </xf>
    <xf numFmtId="0" fontId="172" fillId="44" borderId="94"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9" fontId="173" fillId="44" borderId="94" xfId="8733" applyNumberFormat="1" applyFont="1" applyFill="1" applyBorder="1" applyAlignment="1">
      <alignment horizontal="center"/>
    </xf>
    <xf numFmtId="9" fontId="173" fillId="44" borderId="86" xfId="8733" applyNumberFormat="1" applyFont="1" applyFill="1" applyBorder="1" applyAlignment="1">
      <alignment horizontal="center"/>
    </xf>
    <xf numFmtId="9" fontId="173" fillId="44" borderId="85" xfId="8733" applyNumberFormat="1" applyFont="1" applyFill="1" applyBorder="1" applyAlignment="1">
      <alignment horizontal="center"/>
    </xf>
    <xf numFmtId="9" fontId="172" fillId="48" borderId="90" xfId="8733" applyNumberFormat="1" applyFont="1" applyFill="1" applyBorder="1" applyAlignment="1" applyProtection="1">
      <alignment horizontal="center"/>
      <protection locked="0"/>
    </xf>
    <xf numFmtId="9" fontId="172" fillId="48" borderId="4" xfId="8733" applyNumberFormat="1" applyFont="1" applyFill="1" applyBorder="1" applyAlignment="1" applyProtection="1">
      <alignment horizontal="center"/>
      <protection locked="0"/>
    </xf>
    <xf numFmtId="9" fontId="172" fillId="48" borderId="5" xfId="8733" applyNumberFormat="1" applyFont="1" applyFill="1" applyBorder="1" applyAlignment="1" applyProtection="1">
      <alignment horizontal="center"/>
      <protection locked="0"/>
    </xf>
    <xf numFmtId="0" fontId="172" fillId="44" borderId="3" xfId="8733" applyFont="1" applyFill="1" applyBorder="1" applyAlignment="1">
      <alignment horizontal="center"/>
    </xf>
    <xf numFmtId="0" fontId="172" fillId="44" borderId="4" xfId="8733" applyFont="1" applyFill="1" applyBorder="1" applyAlignment="1">
      <alignment horizontal="center"/>
    </xf>
    <xf numFmtId="0" fontId="172" fillId="44" borderId="5" xfId="8733" applyFont="1" applyFill="1" applyBorder="1" applyAlignment="1">
      <alignment horizontal="center"/>
    </xf>
    <xf numFmtId="0" fontId="102" fillId="45" borderId="80" xfId="8733" applyFont="1" applyFill="1" applyBorder="1" applyAlignment="1">
      <alignment horizontal="right"/>
    </xf>
    <xf numFmtId="0" fontId="102" fillId="45" borderId="79" xfId="8733" applyFont="1" applyFill="1" applyBorder="1" applyAlignment="1">
      <alignment horizontal="right"/>
    </xf>
    <xf numFmtId="0" fontId="102" fillId="45" borderId="103" xfId="8733" applyFont="1" applyFill="1" applyBorder="1" applyAlignment="1">
      <alignment horizontal="right"/>
    </xf>
    <xf numFmtId="0" fontId="2" fillId="44" borderId="84" xfId="8733" applyFill="1" applyBorder="1" applyAlignment="1">
      <alignment horizontal="center"/>
    </xf>
    <xf numFmtId="0" fontId="2" fillId="44" borderId="102" xfId="8733" applyFill="1" applyBorder="1" applyAlignment="1">
      <alignment horizontal="center"/>
    </xf>
    <xf numFmtId="0" fontId="173" fillId="45" borderId="11" xfId="8733" applyFont="1" applyFill="1" applyBorder="1" applyAlignment="1">
      <alignment horizontal="right"/>
    </xf>
    <xf numFmtId="14" fontId="169" fillId="48" borderId="11" xfId="8733" applyNumberFormat="1" applyFont="1" applyFill="1" applyBorder="1" applyAlignment="1" applyProtection="1">
      <alignment horizontal="center" vertical="center"/>
      <protection locked="0"/>
    </xf>
    <xf numFmtId="0" fontId="169" fillId="48" borderId="11" xfId="8733" applyFont="1" applyFill="1" applyBorder="1" applyAlignment="1" applyProtection="1">
      <alignment horizontal="center" vertical="center"/>
      <protection locked="0"/>
    </xf>
    <xf numFmtId="0" fontId="173" fillId="45" borderId="97" xfId="8733" applyFont="1" applyFill="1" applyBorder="1" applyAlignment="1">
      <alignment horizontal="center"/>
    </xf>
    <xf numFmtId="0" fontId="173" fillId="45" borderId="2" xfId="8733" applyFont="1" applyFill="1" applyBorder="1" applyAlignment="1">
      <alignment horizontal="center"/>
    </xf>
    <xf numFmtId="0" fontId="173" fillId="45" borderId="7" xfId="8733" applyFont="1" applyFill="1" applyBorder="1" applyAlignment="1">
      <alignment horizontal="center"/>
    </xf>
    <xf numFmtId="0" fontId="173" fillId="45" borderId="3" xfId="8733" applyFont="1" applyFill="1" applyBorder="1" applyAlignment="1">
      <alignment horizontal="center"/>
    </xf>
    <xf numFmtId="0" fontId="173" fillId="45" borderId="4" xfId="8733" applyFont="1" applyFill="1" applyBorder="1" applyAlignment="1">
      <alignment horizontal="center"/>
    </xf>
    <xf numFmtId="0" fontId="173" fillId="45" borderId="5" xfId="8733" applyFont="1" applyFill="1" applyBorder="1" applyAlignment="1">
      <alignment horizontal="center"/>
    </xf>
    <xf numFmtId="0" fontId="173" fillId="45" borderId="81" xfId="8733" applyFont="1" applyFill="1" applyBorder="1" applyAlignment="1">
      <alignment horizontal="center"/>
    </xf>
    <xf numFmtId="0" fontId="102" fillId="45" borderId="80" xfId="8733" applyFont="1" applyFill="1" applyBorder="1" applyAlignment="1">
      <alignment horizontal="center"/>
    </xf>
    <xf numFmtId="0" fontId="102" fillId="45" borderId="79" xfId="8733" applyFont="1" applyFill="1" applyBorder="1" applyAlignment="1">
      <alignment horizontal="center"/>
    </xf>
    <xf numFmtId="0" fontId="102" fillId="45" borderId="78" xfId="8733" applyFont="1" applyFill="1" applyBorder="1" applyAlignment="1">
      <alignment horizontal="center"/>
    </xf>
    <xf numFmtId="0" fontId="169" fillId="48" borderId="80" xfId="8733" applyFont="1" applyFill="1" applyBorder="1" applyAlignment="1" applyProtection="1">
      <alignment horizontal="center"/>
      <protection locked="0"/>
    </xf>
    <xf numFmtId="0" fontId="169" fillId="48" borderId="79" xfId="8733" applyFont="1" applyFill="1" applyBorder="1" applyAlignment="1" applyProtection="1">
      <alignment horizontal="center"/>
      <protection locked="0"/>
    </xf>
    <xf numFmtId="0" fontId="169" fillId="48" borderId="78" xfId="8733" applyFont="1" applyFill="1" applyBorder="1" applyAlignment="1" applyProtection="1">
      <alignment horizontal="center"/>
      <protection locked="0"/>
    </xf>
    <xf numFmtId="1" fontId="2" fillId="44" borderId="11" xfId="8733" applyNumberFormat="1" applyFill="1" applyBorder="1" applyAlignment="1">
      <alignment horizontal="center"/>
    </xf>
    <xf numFmtId="0" fontId="2" fillId="44" borderId="11" xfId="8733" applyFill="1" applyBorder="1" applyAlignment="1">
      <alignment horizontal="center"/>
    </xf>
    <xf numFmtId="0" fontId="170" fillId="45" borderId="11" xfId="8733" applyFont="1" applyFill="1" applyBorder="1" applyAlignment="1">
      <alignment horizontal="right" wrapText="1"/>
    </xf>
    <xf numFmtId="0" fontId="176" fillId="45" borderId="11" xfId="8733" applyFont="1" applyFill="1" applyBorder="1" applyAlignment="1">
      <alignment horizontal="right"/>
    </xf>
    <xf numFmtId="14" fontId="169" fillId="48" borderId="11" xfId="8733" applyNumberFormat="1" applyFont="1" applyFill="1" applyBorder="1" applyAlignment="1" applyProtection="1">
      <alignment horizontal="center"/>
      <protection locked="0"/>
    </xf>
    <xf numFmtId="0" fontId="169" fillId="48" borderId="11" xfId="8733" applyFont="1" applyFill="1" applyBorder="1" applyAlignment="1" applyProtection="1">
      <alignment horizontal="center"/>
      <protection locked="0"/>
    </xf>
    <xf numFmtId="168" fontId="174" fillId="44" borderId="11" xfId="8734" applyNumberFormat="1" applyFont="1" applyFill="1" applyBorder="1" applyAlignment="1" applyProtection="1">
      <alignment horizontal="left"/>
    </xf>
    <xf numFmtId="0" fontId="169" fillId="44" borderId="80" xfId="8733" applyFont="1" applyFill="1" applyBorder="1" applyAlignment="1">
      <alignment horizontal="left"/>
    </xf>
    <xf numFmtId="0" fontId="169" fillId="44" borderId="79" xfId="8733" applyFont="1" applyFill="1" applyBorder="1" applyAlignment="1">
      <alignment horizontal="left"/>
    </xf>
    <xf numFmtId="0" fontId="169" fillId="44" borderId="78" xfId="8733" applyFont="1" applyFill="1" applyBorder="1" applyAlignment="1">
      <alignment horizontal="left"/>
    </xf>
    <xf numFmtId="0" fontId="170" fillId="45" borderId="11" xfId="8733" applyFont="1" applyFill="1" applyBorder="1" applyAlignment="1">
      <alignment horizontal="right"/>
    </xf>
    <xf numFmtId="1" fontId="169" fillId="48" borderId="11" xfId="8733" applyNumberFormat="1" applyFont="1" applyFill="1" applyBorder="1" applyAlignment="1" applyProtection="1">
      <alignment horizontal="center"/>
      <protection locked="0"/>
    </xf>
    <xf numFmtId="0" fontId="2" fillId="44" borderId="80" xfId="8733" applyFill="1" applyBorder="1" applyAlignment="1">
      <alignment horizontal="center"/>
    </xf>
    <xf numFmtId="0" fontId="2" fillId="44" borderId="79" xfId="8733" applyFill="1" applyBorder="1" applyAlignment="1">
      <alignment horizontal="center"/>
    </xf>
    <xf numFmtId="0" fontId="2" fillId="44" borderId="78" xfId="8733" applyFill="1" applyBorder="1" applyAlignment="1">
      <alignment horizontal="center"/>
    </xf>
    <xf numFmtId="0" fontId="181" fillId="51" borderId="65" xfId="8733" applyFont="1" applyFill="1" applyBorder="1" applyAlignment="1">
      <alignment horizontal="center"/>
    </xf>
    <xf numFmtId="0" fontId="181" fillId="51" borderId="29" xfId="8733" applyFont="1" applyFill="1" applyBorder="1" applyAlignment="1">
      <alignment horizontal="center"/>
    </xf>
    <xf numFmtId="0" fontId="181" fillId="51" borderId="31" xfId="8733" applyFont="1" applyFill="1" applyBorder="1" applyAlignment="1">
      <alignment horizontal="center"/>
    </xf>
    <xf numFmtId="0" fontId="166" fillId="48" borderId="66" xfId="8733" applyFont="1" applyFill="1" applyBorder="1" applyAlignment="1">
      <alignment horizontal="center"/>
    </xf>
    <xf numFmtId="0" fontId="166" fillId="48" borderId="0" xfId="8733" applyFont="1" applyFill="1" applyAlignment="1">
      <alignment horizontal="center"/>
    </xf>
    <xf numFmtId="0" fontId="166" fillId="48" borderId="41" xfId="8733" applyFont="1" applyFill="1" applyBorder="1" applyAlignment="1">
      <alignment horizontal="center"/>
    </xf>
    <xf numFmtId="168" fontId="17" fillId="0" borderId="11" xfId="569" applyNumberFormat="1" applyBorder="1"/>
    <xf numFmtId="168" fontId="17" fillId="0" borderId="3" xfId="569" applyNumberFormat="1" applyBorder="1"/>
    <xf numFmtId="168" fontId="17" fillId="0" borderId="4" xfId="569" applyNumberFormat="1" applyBorder="1"/>
    <xf numFmtId="168" fontId="17" fillId="0" borderId="5" xfId="569" applyNumberFormat="1" applyBorder="1"/>
    <xf numFmtId="168" fontId="17" fillId="0" borderId="11" xfId="569" applyNumberFormat="1" applyBorder="1" applyAlignment="1">
      <alignment wrapText="1"/>
    </xf>
    <xf numFmtId="168" fontId="17" fillId="0" borderId="11" xfId="569" applyNumberFormat="1" applyBorder="1" applyAlignment="1">
      <alignment horizontal="right"/>
    </xf>
    <xf numFmtId="9" fontId="17" fillId="0" borderId="15" xfId="569" applyNumberFormat="1" applyBorder="1" applyAlignment="1">
      <alignment horizontal="center"/>
    </xf>
    <xf numFmtId="168" fontId="17" fillId="0" borderId="11" xfId="569" applyNumberFormat="1" applyBorder="1" applyAlignment="1">
      <alignment horizontal="center"/>
    </xf>
    <xf numFmtId="0" fontId="17" fillId="0" borderId="11" xfId="569" applyBorder="1" applyAlignment="1">
      <alignment horizontal="center"/>
    </xf>
    <xf numFmtId="176" fontId="17" fillId="5" borderId="3" xfId="569" applyNumberFormat="1" applyFill="1" applyBorder="1" applyAlignment="1" applyProtection="1">
      <alignment horizontal="right"/>
      <protection locked="0"/>
    </xf>
    <xf numFmtId="176" fontId="17" fillId="5" borderId="4" xfId="569" applyNumberFormat="1" applyFill="1" applyBorder="1" applyAlignment="1" applyProtection="1">
      <alignment horizontal="right"/>
      <protection locked="0"/>
    </xf>
    <xf numFmtId="176" fontId="17" fillId="5" borderId="5" xfId="569" applyNumberFormat="1" applyFill="1" applyBorder="1" applyAlignment="1" applyProtection="1">
      <alignment horizontal="right"/>
      <protection locked="0"/>
    </xf>
    <xf numFmtId="0" fontId="107" fillId="0" borderId="0" xfId="0" applyFont="1" applyAlignment="1">
      <alignment horizontal="left" vertical="top" wrapText="1"/>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0" fontId="24" fillId="0" borderId="6" xfId="569" applyFont="1" applyBorder="1" applyAlignment="1">
      <alignment horizontal="center"/>
    </xf>
    <xf numFmtId="168" fontId="17" fillId="0" borderId="3" xfId="569" applyNumberFormat="1" applyBorder="1" applyAlignment="1">
      <alignment horizontal="center"/>
    </xf>
    <xf numFmtId="0" fontId="17" fillId="0" borderId="4" xfId="569" applyBorder="1" applyAlignment="1">
      <alignment horizontal="center"/>
    </xf>
    <xf numFmtId="0" fontId="17" fillId="0" borderId="5" xfId="569" applyBorder="1" applyAlignment="1">
      <alignment horizontal="center"/>
    </xf>
    <xf numFmtId="0" fontId="107" fillId="0" borderId="0" xfId="569" applyFont="1" applyAlignment="1">
      <alignment horizontal="left" wrapText="1"/>
    </xf>
    <xf numFmtId="168" fontId="17" fillId="0" borderId="3" xfId="569" applyNumberFormat="1" applyBorder="1" applyAlignment="1">
      <alignment horizontal="right"/>
    </xf>
    <xf numFmtId="168" fontId="17" fillId="0" borderId="4" xfId="569" applyNumberFormat="1" applyBorder="1" applyAlignment="1">
      <alignment horizontal="right"/>
    </xf>
    <xf numFmtId="168" fontId="17" fillId="0" borderId="5" xfId="569" applyNumberFormat="1" applyBorder="1" applyAlignment="1">
      <alignment horizontal="right"/>
    </xf>
    <xf numFmtId="0" fontId="24" fillId="0" borderId="16" xfId="271" applyFont="1" applyBorder="1" applyAlignment="1">
      <alignment horizontal="center"/>
    </xf>
    <xf numFmtId="168" fontId="17" fillId="0" borderId="4" xfId="569" applyNumberFormat="1" applyBorder="1" applyAlignment="1">
      <alignment horizontal="center"/>
    </xf>
    <xf numFmtId="168" fontId="17" fillId="0" borderId="5" xfId="569" applyNumberFormat="1" applyBorder="1" applyAlignment="1">
      <alignment horizontal="center"/>
    </xf>
    <xf numFmtId="0" fontId="24" fillId="0" borderId="11" xfId="569" applyFont="1" applyBorder="1" applyAlignment="1">
      <alignment horizontal="center" wrapText="1"/>
    </xf>
    <xf numFmtId="0" fontId="24" fillId="0" borderId="11" xfId="569" applyFont="1" applyBorder="1" applyAlignment="1">
      <alignment horizontal="center"/>
    </xf>
    <xf numFmtId="165" fontId="17" fillId="0" borderId="11" xfId="569" applyNumberFormat="1" applyBorder="1" applyAlignment="1" applyProtection="1">
      <alignment horizontal="center"/>
      <protection locked="0"/>
    </xf>
    <xf numFmtId="0" fontId="53" fillId="0" borderId="0" xfId="569" applyFont="1" applyAlignment="1">
      <alignment horizontal="left"/>
    </xf>
    <xf numFmtId="5" fontId="17" fillId="0" borderId="5" xfId="569" applyNumberFormat="1" applyBorder="1" applyAlignment="1">
      <alignment horizontal="center"/>
    </xf>
    <xf numFmtId="5" fontId="17" fillId="0" borderId="11" xfId="569" applyNumberFormat="1" applyBorder="1" applyAlignment="1">
      <alignment horizontal="center"/>
    </xf>
    <xf numFmtId="5" fontId="17" fillId="0" borderId="3" xfId="569" applyNumberFormat="1" applyBorder="1" applyAlignment="1">
      <alignment horizontal="center"/>
    </xf>
    <xf numFmtId="5" fontId="17" fillId="0" borderId="4" xfId="569" applyNumberFormat="1" applyBorder="1" applyAlignment="1">
      <alignment horizontal="center"/>
    </xf>
    <xf numFmtId="168" fontId="17" fillId="5" borderId="5" xfId="569" applyNumberFormat="1" applyFill="1" applyBorder="1" applyAlignment="1" applyProtection="1">
      <alignment horizontal="center"/>
      <protection locked="0"/>
    </xf>
    <xf numFmtId="168" fontId="17" fillId="5" borderId="11" xfId="569" applyNumberFormat="1" applyFill="1" applyBorder="1" applyAlignment="1" applyProtection="1">
      <alignment horizontal="center"/>
      <protection locked="0"/>
    </xf>
    <xf numFmtId="9" fontId="17" fillId="0" borderId="5" xfId="569" applyNumberFormat="1" applyBorder="1" applyAlignment="1">
      <alignment horizontal="center"/>
    </xf>
    <xf numFmtId="9" fontId="17" fillId="0" borderId="11" xfId="569" applyNumberFormat="1" applyBorder="1" applyAlignment="1">
      <alignment horizontal="center"/>
    </xf>
    <xf numFmtId="9" fontId="17" fillId="0" borderId="9" xfId="569" applyNumberFormat="1" applyBorder="1" applyAlignment="1">
      <alignment horizontal="center" vertical="center"/>
    </xf>
    <xf numFmtId="9" fontId="17" fillId="0" borderId="6" xfId="569" applyNumberFormat="1" applyBorder="1" applyAlignment="1">
      <alignment horizontal="center" vertical="center"/>
    </xf>
    <xf numFmtId="9" fontId="17" fillId="0" borderId="10" xfId="569" applyNumberFormat="1" applyBorder="1" applyAlignment="1">
      <alignment horizontal="center" vertical="center"/>
    </xf>
    <xf numFmtId="168" fontId="17" fillId="2" borderId="3" xfId="569" applyNumberFormat="1" applyFill="1" applyBorder="1" applyAlignment="1">
      <alignment horizontal="center"/>
    </xf>
    <xf numFmtId="168" fontId="17" fillId="2" borderId="4" xfId="569" applyNumberFormat="1" applyFill="1" applyBorder="1" applyAlignment="1">
      <alignment horizontal="center"/>
    </xf>
    <xf numFmtId="168" fontId="17" fillId="2" borderId="5" xfId="569" applyNumberFormat="1" applyFill="1" applyBorder="1" applyAlignment="1">
      <alignment horizontal="center"/>
    </xf>
    <xf numFmtId="168" fontId="17" fillId="5" borderId="10" xfId="569" applyNumberFormat="1" applyFill="1" applyBorder="1" applyAlignment="1" applyProtection="1">
      <alignment horizontal="center"/>
      <protection locked="0"/>
    </xf>
    <xf numFmtId="168" fontId="17" fillId="5" borderId="13" xfId="569" applyNumberFormat="1" applyFill="1" applyBorder="1" applyAlignment="1" applyProtection="1">
      <alignment horizontal="center"/>
      <protection locked="0"/>
    </xf>
    <xf numFmtId="0" fontId="23" fillId="3" borderId="2" xfId="569" applyFont="1" applyFill="1" applyBorder="1" applyAlignment="1">
      <alignment horizontal="center" vertical="center"/>
    </xf>
    <xf numFmtId="0" fontId="23" fillId="3" borderId="16" xfId="569" applyFont="1" applyFill="1" applyBorder="1" applyAlignment="1">
      <alignment horizontal="center" vertical="center"/>
    </xf>
    <xf numFmtId="168" fontId="17" fillId="0" borderId="7" xfId="569" applyNumberFormat="1" applyBorder="1" applyAlignment="1">
      <alignment horizontal="center"/>
    </xf>
    <xf numFmtId="168" fontId="17" fillId="0" borderId="15" xfId="569" applyNumberFormat="1" applyBorder="1" applyAlignment="1">
      <alignment horizontal="center"/>
    </xf>
    <xf numFmtId="0" fontId="24" fillId="0" borderId="3" xfId="569" applyFont="1" applyBorder="1" applyAlignment="1">
      <alignment horizontal="left"/>
    </xf>
    <xf numFmtId="0" fontId="24" fillId="0" borderId="5" xfId="569" applyFont="1" applyBorder="1" applyAlignment="1">
      <alignment horizontal="left"/>
    </xf>
    <xf numFmtId="0" fontId="25" fillId="0" borderId="4" xfId="569" applyFont="1" applyBorder="1" applyAlignment="1">
      <alignment horizontal="left"/>
    </xf>
    <xf numFmtId="0" fontId="25" fillId="0" borderId="5" xfId="569" applyFont="1" applyBorder="1" applyAlignment="1">
      <alignment horizontal="left"/>
    </xf>
    <xf numFmtId="179" fontId="24" fillId="0" borderId="0" xfId="569" applyNumberFormat="1" applyFont="1" applyAlignment="1">
      <alignment horizontal="center" wrapText="1"/>
    </xf>
    <xf numFmtId="164" fontId="24" fillId="0" borderId="0" xfId="569" applyNumberFormat="1" applyFont="1" applyAlignment="1">
      <alignment horizontal="center" wrapText="1"/>
    </xf>
    <xf numFmtId="0" fontId="17" fillId="0" borderId="3" xfId="569" applyBorder="1" applyAlignment="1">
      <alignment horizontal="right"/>
    </xf>
    <xf numFmtId="0" fontId="17" fillId="0" borderId="4" xfId="569" applyBorder="1" applyAlignment="1">
      <alignment horizontal="right"/>
    </xf>
    <xf numFmtId="0" fontId="17" fillId="0" borderId="5" xfId="569" applyBorder="1" applyAlignment="1">
      <alignment horizontal="right"/>
    </xf>
    <xf numFmtId="0" fontId="25" fillId="0" borderId="3" xfId="569" applyFont="1" applyBorder="1" applyAlignment="1">
      <alignment horizontal="right"/>
    </xf>
    <xf numFmtId="0" fontId="25" fillId="0" borderId="4" xfId="569" applyFont="1" applyBorder="1" applyAlignment="1">
      <alignment horizontal="right"/>
    </xf>
    <xf numFmtId="0" fontId="25" fillId="0" borderId="5" xfId="569" applyFont="1" applyBorder="1" applyAlignment="1">
      <alignment horizontal="right"/>
    </xf>
    <xf numFmtId="165" fontId="122" fillId="0" borderId="55" xfId="4496" applyNumberFormat="1" applyFont="1" applyBorder="1" applyAlignment="1">
      <alignment horizontal="center" vertical="top" wrapText="1"/>
    </xf>
    <xf numFmtId="165" fontId="122" fillId="0" borderId="6" xfId="4496" applyNumberFormat="1" applyFont="1" applyBorder="1" applyAlignment="1">
      <alignment horizontal="center" vertical="top" wrapText="1"/>
    </xf>
    <xf numFmtId="165" fontId="122" fillId="0" borderId="60" xfId="4496" applyNumberFormat="1" applyFont="1" applyBorder="1" applyAlignment="1">
      <alignment horizontal="center" vertical="top" wrapText="1"/>
    </xf>
    <xf numFmtId="165" fontId="122" fillId="0" borderId="4" xfId="4496" applyNumberFormat="1" applyFont="1" applyBorder="1" applyAlignment="1">
      <alignment horizontal="center" vertical="top" wrapText="1"/>
    </xf>
    <xf numFmtId="0" fontId="122" fillId="5" borderId="60" xfId="4496" applyFont="1" applyFill="1" applyBorder="1" applyAlignment="1" applyProtection="1">
      <alignment horizontal="center"/>
      <protection locked="0"/>
    </xf>
    <xf numFmtId="0" fontId="122" fillId="5" borderId="4" xfId="4496" applyFont="1" applyFill="1" applyBorder="1" applyAlignment="1" applyProtection="1">
      <alignment horizontal="center"/>
      <protection locked="0"/>
    </xf>
    <xf numFmtId="0" fontId="122" fillId="5" borderId="6" xfId="4496" applyFont="1" applyFill="1" applyBorder="1" applyAlignment="1" applyProtection="1">
      <alignment horizontal="center"/>
      <protection locked="0"/>
    </xf>
    <xf numFmtId="0" fontId="17" fillId="0" borderId="50" xfId="4495" applyFont="1" applyBorder="1" applyAlignment="1">
      <alignment horizontal="left" vertical="center" wrapText="1"/>
    </xf>
    <xf numFmtId="0" fontId="17" fillId="0" borderId="51" xfId="4495" applyFont="1" applyBorder="1" applyAlignment="1">
      <alignment horizontal="left" vertical="center" wrapText="1"/>
    </xf>
    <xf numFmtId="0" fontId="17" fillId="0" borderId="52" xfId="4495" applyFont="1" applyBorder="1" applyAlignment="1">
      <alignment horizontal="left" vertical="center" wrapText="1"/>
    </xf>
    <xf numFmtId="0" fontId="17" fillId="0" borderId="57" xfId="4495" applyFont="1" applyBorder="1" applyAlignment="1">
      <alignment horizontal="left" vertical="center" wrapText="1"/>
    </xf>
    <xf numFmtId="0" fontId="17" fillId="0" borderId="58" xfId="4495" applyFont="1" applyBorder="1" applyAlignment="1">
      <alignment horizontal="left" vertical="center" wrapText="1"/>
    </xf>
    <xf numFmtId="0" fontId="17" fillId="0" borderId="59" xfId="4495" applyFont="1" applyBorder="1" applyAlignment="1">
      <alignment horizontal="left" vertical="center" wrapText="1"/>
    </xf>
    <xf numFmtId="0" fontId="17" fillId="0" borderId="53" xfId="4495" applyFont="1" applyBorder="1" applyAlignment="1">
      <alignment horizontal="left" vertical="center" wrapText="1"/>
    </xf>
    <xf numFmtId="0" fontId="17" fillId="0" borderId="0" xfId="4495" applyFont="1" applyAlignment="1">
      <alignment horizontal="left" vertical="center" wrapText="1"/>
    </xf>
    <xf numFmtId="0" fontId="17" fillId="0" borderId="54" xfId="4495" applyFont="1" applyBorder="1" applyAlignment="1">
      <alignment horizontal="left" vertical="center" wrapText="1"/>
    </xf>
    <xf numFmtId="0" fontId="24" fillId="0" borderId="0" xfId="4495" applyFont="1" applyAlignment="1">
      <alignment horizontal="right"/>
    </xf>
    <xf numFmtId="0" fontId="122" fillId="0" borderId="50" xfId="4496" applyFont="1" applyBorder="1" applyAlignment="1">
      <alignment horizontal="left" vertical="top" wrapText="1"/>
    </xf>
    <xf numFmtId="0" fontId="122" fillId="0" borderId="51" xfId="4496" applyFont="1" applyBorder="1" applyAlignment="1">
      <alignment horizontal="left" vertical="top" wrapText="1"/>
    </xf>
    <xf numFmtId="0" fontId="122" fillId="0" borderId="52" xfId="4496" applyFont="1" applyBorder="1" applyAlignment="1">
      <alignment horizontal="left" vertical="top" wrapText="1"/>
    </xf>
    <xf numFmtId="0" fontId="122" fillId="0" borderId="53" xfId="4496" applyFont="1" applyBorder="1" applyAlignment="1">
      <alignment horizontal="left" vertical="top" wrapText="1"/>
    </xf>
    <xf numFmtId="0" fontId="122" fillId="0" borderId="0" xfId="4496" applyFont="1" applyAlignment="1">
      <alignment horizontal="left" vertical="top" wrapText="1"/>
    </xf>
    <xf numFmtId="0" fontId="122" fillId="0" borderId="54" xfId="4496" applyFont="1" applyBorder="1" applyAlignment="1">
      <alignment horizontal="left" vertical="top" wrapText="1"/>
    </xf>
    <xf numFmtId="0" fontId="122" fillId="0" borderId="57" xfId="4496" applyFont="1" applyBorder="1" applyAlignment="1">
      <alignment horizontal="left" vertical="top" wrapText="1"/>
    </xf>
    <xf numFmtId="0" fontId="122" fillId="0" borderId="58" xfId="4496" applyFont="1" applyBorder="1" applyAlignment="1">
      <alignment horizontal="left" vertical="top" wrapText="1"/>
    </xf>
    <xf numFmtId="0" fontId="122" fillId="0" borderId="59" xfId="4496" applyFont="1" applyBorder="1" applyAlignment="1">
      <alignment horizontal="left" vertical="top" wrapText="1"/>
    </xf>
    <xf numFmtId="0" fontId="122" fillId="5" borderId="55" xfId="4496" applyFont="1" applyFill="1" applyBorder="1" applyAlignment="1" applyProtection="1">
      <alignment horizontal="center"/>
      <protection locked="0"/>
    </xf>
    <xf numFmtId="0" fontId="122" fillId="0" borderId="47" xfId="4496" applyFont="1" applyBorder="1"/>
    <xf numFmtId="0" fontId="122" fillId="0" borderId="48" xfId="4496" applyFont="1" applyBorder="1"/>
    <xf numFmtId="0" fontId="122" fillId="0" borderId="49" xfId="4496" applyFont="1" applyBorder="1"/>
    <xf numFmtId="0" fontId="17" fillId="0" borderId="47" xfId="4495" applyFont="1" applyBorder="1" applyAlignment="1">
      <alignment horizontal="left" vertical="center" wrapText="1"/>
    </xf>
    <xf numFmtId="0" fontId="17" fillId="0" borderId="48" xfId="4495" applyFont="1" applyBorder="1" applyAlignment="1">
      <alignment horizontal="left" vertical="center" wrapText="1"/>
    </xf>
    <xf numFmtId="0" fontId="17" fillId="0" borderId="49" xfId="4495" applyFont="1" applyBorder="1" applyAlignment="1">
      <alignment horizontal="left" vertical="center" wrapText="1"/>
    </xf>
    <xf numFmtId="0" fontId="122" fillId="0" borderId="55" xfId="4496" applyFont="1" applyBorder="1" applyAlignment="1">
      <alignment horizontal="center" vertical="top" wrapText="1"/>
    </xf>
    <xf numFmtId="0" fontId="122" fillId="0" borderId="6" xfId="4496" applyFont="1" applyBorder="1" applyAlignment="1">
      <alignment horizontal="center" vertical="top" wrapText="1"/>
    </xf>
    <xf numFmtId="0" fontId="23" fillId="3" borderId="2" xfId="4495" applyFont="1" applyFill="1" applyBorder="1" applyAlignment="1">
      <alignment horizontal="center" vertical="center"/>
    </xf>
    <xf numFmtId="0" fontId="23" fillId="3" borderId="16" xfId="4495" applyFont="1" applyFill="1" applyBorder="1" applyAlignment="1">
      <alignment horizontal="center" vertical="center"/>
    </xf>
    <xf numFmtId="0" fontId="24" fillId="0" borderId="48" xfId="4495" applyFont="1" applyBorder="1" applyAlignment="1">
      <alignment horizontal="left" vertical="top"/>
    </xf>
    <xf numFmtId="0" fontId="24" fillId="0" borderId="49" xfId="4495" applyFont="1" applyBorder="1" applyAlignment="1">
      <alignment horizontal="left" vertical="top"/>
    </xf>
    <xf numFmtId="1" fontId="17" fillId="0" borderId="3" xfId="4495" applyNumberFormat="1" applyFont="1" applyBorder="1" applyAlignment="1">
      <alignment horizontal="center"/>
    </xf>
    <xf numFmtId="1" fontId="17" fillId="0" borderId="4" xfId="4495" applyNumberFormat="1" applyFont="1" applyBorder="1" applyAlignment="1">
      <alignment horizontal="center"/>
    </xf>
    <xf numFmtId="1" fontId="17" fillId="0" borderId="5" xfId="4495" applyNumberFormat="1" applyFont="1" applyBorder="1" applyAlignment="1">
      <alignment horizontal="center"/>
    </xf>
    <xf numFmtId="0" fontId="17" fillId="0" borderId="50" xfId="4495" applyFont="1" applyBorder="1" applyAlignment="1">
      <alignment vertical="center" wrapText="1"/>
    </xf>
    <xf numFmtId="0" fontId="17" fillId="0" borderId="51" xfId="4495" applyFont="1" applyBorder="1" applyAlignment="1">
      <alignment vertical="center" wrapText="1"/>
    </xf>
    <xf numFmtId="0" fontId="17" fillId="0" borderId="52" xfId="4495" applyFont="1" applyBorder="1" applyAlignment="1">
      <alignment vertical="center" wrapText="1"/>
    </xf>
    <xf numFmtId="0" fontId="17" fillId="0" borderId="57" xfId="4495" applyFont="1" applyBorder="1" applyAlignment="1">
      <alignment vertical="center" wrapText="1"/>
    </xf>
    <xf numFmtId="0" fontId="17" fillId="0" borderId="58" xfId="4495" applyFont="1" applyBorder="1" applyAlignment="1">
      <alignment vertical="center" wrapText="1"/>
    </xf>
    <xf numFmtId="0" fontId="17" fillId="0" borderId="59" xfId="4495" applyFont="1" applyBorder="1" applyAlignment="1">
      <alignment vertical="center" wrapText="1"/>
    </xf>
    <xf numFmtId="0" fontId="122" fillId="43" borderId="55" xfId="4496" applyFont="1" applyFill="1" applyBorder="1" applyAlignment="1" applyProtection="1">
      <alignment horizontal="left" vertical="top" wrapText="1"/>
      <protection locked="0"/>
    </xf>
    <xf numFmtId="0" fontId="122" fillId="43" borderId="6" xfId="4496" applyFont="1" applyFill="1" applyBorder="1" applyAlignment="1" applyProtection="1">
      <alignment horizontal="left" vertical="top" wrapText="1"/>
      <protection locked="0"/>
    </xf>
    <xf numFmtId="0" fontId="122" fillId="43" borderId="56" xfId="4496" applyFont="1" applyFill="1" applyBorder="1" applyAlignment="1" applyProtection="1">
      <alignment horizontal="left" vertical="top" wrapText="1"/>
      <protection locked="0"/>
    </xf>
    <xf numFmtId="0" fontId="24" fillId="0" borderId="0" xfId="4495" applyFont="1" applyAlignment="1">
      <alignment horizontal="center" vertical="top"/>
    </xf>
    <xf numFmtId="0" fontId="17" fillId="5" borderId="6" xfId="4495" applyFont="1" applyFill="1" applyBorder="1" applyAlignment="1" applyProtection="1">
      <alignment horizontal="left"/>
      <protection locked="0"/>
    </xf>
    <xf numFmtId="168" fontId="122" fillId="0" borderId="55" xfId="4496" applyNumberFormat="1" applyFont="1" applyBorder="1" applyAlignment="1">
      <alignment horizontal="center" vertical="top"/>
    </xf>
    <xf numFmtId="168" fontId="122" fillId="0" borderId="6" xfId="4496" applyNumberFormat="1" applyFont="1" applyBorder="1" applyAlignment="1">
      <alignment horizontal="center" vertical="top"/>
    </xf>
    <xf numFmtId="10" fontId="122" fillId="0" borderId="3" xfId="4496" applyNumberFormat="1" applyFont="1" applyBorder="1" applyAlignment="1">
      <alignment horizontal="center" vertical="top" wrapText="1"/>
    </xf>
    <xf numFmtId="10" fontId="122" fillId="0" borderId="4" xfId="4496" applyNumberFormat="1" applyFont="1" applyBorder="1" applyAlignment="1">
      <alignment horizontal="center" vertical="top" wrapText="1"/>
    </xf>
    <xf numFmtId="10" fontId="122" fillId="0" borderId="5" xfId="4496" applyNumberFormat="1" applyFont="1" applyBorder="1" applyAlignment="1">
      <alignment horizontal="center" vertical="top" wrapText="1"/>
    </xf>
    <xf numFmtId="1" fontId="122" fillId="0" borderId="55" xfId="4496" applyNumberFormat="1" applyFont="1" applyBorder="1" applyAlignment="1">
      <alignment horizontal="center" vertical="top" wrapText="1"/>
    </xf>
    <xf numFmtId="1" fontId="122" fillId="0" borderId="6" xfId="4496" applyNumberFormat="1" applyFont="1" applyBorder="1" applyAlignment="1">
      <alignment horizontal="center" vertical="top" wrapText="1"/>
    </xf>
    <xf numFmtId="168" fontId="122" fillId="43" borderId="55" xfId="4496" applyNumberFormat="1" applyFont="1" applyFill="1" applyBorder="1" applyAlignment="1" applyProtection="1">
      <alignment horizontal="center" vertical="top" wrapText="1"/>
      <protection locked="0"/>
    </xf>
    <xf numFmtId="168" fontId="122" fillId="43" borderId="6" xfId="4496" applyNumberFormat="1" applyFont="1" applyFill="1" applyBorder="1" applyAlignment="1" applyProtection="1">
      <alignment horizontal="center" vertical="top" wrapText="1"/>
      <protection locked="0"/>
    </xf>
    <xf numFmtId="0" fontId="17" fillId="0" borderId="0" xfId="1192" applyAlignment="1">
      <alignment horizontal="right"/>
    </xf>
    <xf numFmtId="0" fontId="17" fillId="5" borderId="6" xfId="1192" applyFill="1" applyBorder="1" applyAlignment="1" applyProtection="1">
      <alignment horizontal="left"/>
      <protection locked="0"/>
    </xf>
    <xf numFmtId="168" fontId="17" fillId="43" borderId="6" xfId="4495" applyNumberFormat="1" applyFont="1" applyFill="1" applyBorder="1" applyAlignment="1" applyProtection="1">
      <alignment horizontal="right"/>
      <protection locked="0"/>
    </xf>
    <xf numFmtId="9" fontId="17" fillId="0" borderId="6" xfId="1192" applyNumberFormat="1" applyBorder="1" applyAlignment="1">
      <alignment horizontal="center"/>
    </xf>
    <xf numFmtId="9" fontId="17" fillId="0" borderId="6" xfId="1192" quotePrefix="1" applyNumberFormat="1" applyBorder="1" applyAlignment="1">
      <alignment horizontal="center"/>
    </xf>
    <xf numFmtId="9" fontId="17" fillId="0" borderId="0" xfId="1192" quotePrefix="1" applyNumberFormat="1" applyAlignment="1">
      <alignment horizontal="center"/>
    </xf>
    <xf numFmtId="1" fontId="17" fillId="5" borderId="2" xfId="1192" applyNumberFormat="1" applyFill="1" applyBorder="1" applyAlignment="1" applyProtection="1">
      <alignment horizontal="center"/>
      <protection locked="0"/>
    </xf>
    <xf numFmtId="9" fontId="17" fillId="5" borderId="4" xfId="1192" applyNumberFormat="1" applyFill="1" applyBorder="1" applyAlignment="1" applyProtection="1">
      <alignment horizontal="left"/>
      <protection locked="0"/>
    </xf>
    <xf numFmtId="168" fontId="17" fillId="0" borderId="0" xfId="1192" applyNumberFormat="1" applyAlignment="1">
      <alignment horizontal="right"/>
    </xf>
    <xf numFmtId="1" fontId="17" fillId="5" borderId="4" xfId="1192" applyNumberFormat="1" applyFill="1" applyBorder="1" applyAlignment="1" applyProtection="1">
      <alignment horizontal="center"/>
      <protection locked="0"/>
    </xf>
    <xf numFmtId="0" fontId="142" fillId="0" borderId="6" xfId="1192" applyFont="1" applyBorder="1" applyAlignment="1">
      <alignment horizontal="center"/>
    </xf>
    <xf numFmtId="168" fontId="17" fillId="5" borderId="4" xfId="1192" applyNumberFormat="1" applyFill="1" applyBorder="1" applyAlignment="1" applyProtection="1">
      <alignment horizontal="center"/>
      <protection locked="0"/>
    </xf>
    <xf numFmtId="0" fontId="17" fillId="0" borderId="6" xfId="1192" applyBorder="1" applyAlignment="1">
      <alignment horizontal="left"/>
    </xf>
    <xf numFmtId="2" fontId="17" fillId="0" borderId="0" xfId="1192" applyNumberFormat="1" applyAlignment="1">
      <alignment horizontal="right"/>
    </xf>
    <xf numFmtId="0" fontId="25" fillId="5" borderId="6" xfId="4495" applyFont="1" applyFill="1" applyBorder="1" applyAlignment="1" applyProtection="1">
      <alignment horizontal="left"/>
      <protection locked="0"/>
    </xf>
    <xf numFmtId="0" fontId="17" fillId="0" borderId="0" xfId="4495" applyFont="1" applyAlignment="1">
      <alignment horizontal="left"/>
    </xf>
    <xf numFmtId="0" fontId="53" fillId="5" borderId="6" xfId="4495" applyFont="1" applyFill="1" applyBorder="1" applyAlignment="1" applyProtection="1">
      <alignment horizontal="left"/>
      <protection locked="0"/>
    </xf>
    <xf numFmtId="0" fontId="17" fillId="5" borderId="6" xfId="4495" applyFont="1" applyFill="1" applyBorder="1" applyAlignment="1" applyProtection="1">
      <alignment horizontal="center"/>
      <protection locked="0"/>
    </xf>
    <xf numFmtId="0" fontId="17" fillId="44" borderId="6" xfId="4495" applyFont="1" applyFill="1" applyBorder="1" applyAlignment="1">
      <alignment horizontal="left"/>
    </xf>
    <xf numFmtId="1" fontId="17" fillId="0" borderId="11" xfId="4495" applyNumberFormat="1" applyFont="1" applyBorder="1" applyAlignment="1">
      <alignment horizontal="center"/>
    </xf>
    <xf numFmtId="0" fontId="17" fillId="0" borderId="11" xfId="4495" applyFont="1" applyBorder="1" applyAlignment="1">
      <alignment horizontal="center"/>
    </xf>
    <xf numFmtId="0" fontId="120" fillId="5" borderId="6" xfId="4495" applyFill="1" applyBorder="1" applyAlignment="1" applyProtection="1">
      <alignment horizontal="center"/>
      <protection locked="0"/>
    </xf>
    <xf numFmtId="0" fontId="24" fillId="0" borderId="0" xfId="4495" applyFont="1" applyAlignment="1">
      <alignment horizontal="left" vertical="top"/>
    </xf>
    <xf numFmtId="0" fontId="120" fillId="0" borderId="0" xfId="4495" applyAlignment="1" applyProtection="1">
      <alignment horizontal="center"/>
      <protection locked="0"/>
    </xf>
    <xf numFmtId="0" fontId="17" fillId="0" borderId="3" xfId="4495" applyFont="1" applyBorder="1" applyAlignment="1">
      <alignment horizontal="center"/>
    </xf>
    <xf numFmtId="0" fontId="17" fillId="0" borderId="4" xfId="4495" applyFont="1" applyBorder="1" applyAlignment="1">
      <alignment horizontal="center"/>
    </xf>
    <xf numFmtId="0" fontId="17" fillId="0" borderId="5" xfId="4495" applyFont="1" applyBorder="1" applyAlignment="1">
      <alignment horizontal="center"/>
    </xf>
    <xf numFmtId="168" fontId="17" fillId="0" borderId="6" xfId="4496" applyNumberFormat="1" applyFont="1" applyBorder="1" applyAlignment="1">
      <alignment horizontal="center"/>
    </xf>
    <xf numFmtId="9" fontId="17" fillId="0" borderId="4" xfId="543" applyNumberFormat="1" applyBorder="1" applyAlignment="1">
      <alignment horizontal="center"/>
    </xf>
    <xf numFmtId="0" fontId="17" fillId="0" borderId="4" xfId="4496" applyFont="1" applyBorder="1" applyAlignment="1">
      <alignment horizontal="center"/>
    </xf>
    <xf numFmtId="0" fontId="17" fillId="0" borderId="5" xfId="4496" applyFont="1" applyBorder="1" applyAlignment="1">
      <alignment horizontal="center"/>
    </xf>
    <xf numFmtId="168" fontId="17" fillId="0" borderId="6" xfId="4495" applyNumberFormat="1" applyFont="1" applyBorder="1" applyAlignment="1">
      <alignment horizontal="right"/>
    </xf>
    <xf numFmtId="168" fontId="118" fillId="0" borderId="6" xfId="4495" applyNumberFormat="1" applyFont="1" applyBorder="1" applyAlignment="1">
      <alignment horizontal="right"/>
    </xf>
    <xf numFmtId="6" fontId="17" fillId="0" borderId="3" xfId="1192" applyNumberFormat="1" applyBorder="1" applyAlignment="1">
      <alignment horizontal="right"/>
    </xf>
    <xf numFmtId="6" fontId="17" fillId="0" borderId="4" xfId="1192" applyNumberFormat="1" applyBorder="1" applyAlignment="1">
      <alignment horizontal="right"/>
    </xf>
    <xf numFmtId="6" fontId="17" fillId="0" borderId="5" xfId="1192" applyNumberFormat="1" applyBorder="1" applyAlignment="1">
      <alignment horizontal="right"/>
    </xf>
    <xf numFmtId="168" fontId="17" fillId="0" borderId="4" xfId="4495" applyNumberFormat="1" applyFont="1" applyBorder="1" applyAlignment="1">
      <alignment horizontal="right"/>
    </xf>
    <xf numFmtId="165" fontId="17" fillId="43" borderId="3" xfId="4495" applyNumberFormat="1" applyFont="1" applyFill="1" applyBorder="1" applyAlignment="1" applyProtection="1">
      <alignment horizontal="center"/>
      <protection locked="0"/>
    </xf>
    <xf numFmtId="165" fontId="17" fillId="43" borderId="4" xfId="4495" applyNumberFormat="1" applyFont="1" applyFill="1" applyBorder="1" applyAlignment="1" applyProtection="1">
      <alignment horizontal="center"/>
      <protection locked="0"/>
    </xf>
    <xf numFmtId="165" fontId="17" fillId="43" borderId="5" xfId="4495" applyNumberFormat="1" applyFont="1" applyFill="1" applyBorder="1" applyAlignment="1" applyProtection="1">
      <alignment horizontal="center"/>
      <protection locked="0"/>
    </xf>
    <xf numFmtId="165" fontId="17" fillId="0" borderId="6" xfId="1192" applyNumberFormat="1" applyBorder="1" applyAlignment="1">
      <alignment horizontal="right"/>
    </xf>
    <xf numFmtId="168" fontId="17" fillId="0" borderId="2" xfId="1192" applyNumberFormat="1" applyBorder="1" applyAlignment="1">
      <alignment horizontal="right"/>
    </xf>
    <xf numFmtId="165" fontId="17" fillId="0" borderId="0" xfId="1192" applyNumberFormat="1" applyAlignment="1">
      <alignment horizontal="right"/>
    </xf>
    <xf numFmtId="0" fontId="17" fillId="0" borderId="53" xfId="4495" applyFont="1" applyBorder="1" applyAlignment="1">
      <alignment horizontal="left" vertical="top" wrapText="1"/>
    </xf>
    <xf numFmtId="0" fontId="17" fillId="0" borderId="0" xfId="4495" applyFont="1" applyAlignment="1">
      <alignment horizontal="left" vertical="top" wrapText="1"/>
    </xf>
    <xf numFmtId="0" fontId="17" fillId="0" borderId="54" xfId="4495" applyFont="1" applyBorder="1" applyAlignment="1">
      <alignment horizontal="left" vertical="top" wrapText="1"/>
    </xf>
    <xf numFmtId="0" fontId="17" fillId="0" borderId="57" xfId="4495" applyFont="1" applyBorder="1" applyAlignment="1">
      <alignment horizontal="left" vertical="top" wrapText="1"/>
    </xf>
    <xf numFmtId="0" fontId="17" fillId="0" borderId="58" xfId="4495" applyFont="1" applyBorder="1" applyAlignment="1">
      <alignment horizontal="left" vertical="top" wrapText="1"/>
    </xf>
    <xf numFmtId="0" fontId="17" fillId="0" borderId="59" xfId="4495" applyFont="1" applyBorder="1" applyAlignment="1">
      <alignment horizontal="left" vertical="top" wrapText="1"/>
    </xf>
    <xf numFmtId="0" fontId="17" fillId="0" borderId="50" xfId="4495" applyFont="1" applyBorder="1" applyAlignment="1">
      <alignment horizontal="left" vertical="top" wrapText="1"/>
    </xf>
    <xf numFmtId="0" fontId="17" fillId="0" borderId="51" xfId="4495" applyFont="1" applyBorder="1" applyAlignment="1">
      <alignment horizontal="left" vertical="top" wrapText="1"/>
    </xf>
    <xf numFmtId="0" fontId="17" fillId="0" borderId="52" xfId="4495" applyFont="1" applyBorder="1" applyAlignment="1">
      <alignment horizontal="left" vertical="top" wrapText="1"/>
    </xf>
    <xf numFmtId="0" fontId="24" fillId="0" borderId="0" xfId="4495" applyFont="1"/>
    <xf numFmtId="0" fontId="17" fillId="43" borderId="53" xfId="4495" applyFont="1" applyFill="1" applyBorder="1" applyAlignment="1" applyProtection="1">
      <alignment vertical="top" wrapText="1"/>
      <protection locked="0"/>
    </xf>
    <xf numFmtId="0" fontId="17" fillId="43" borderId="0" xfId="4495" applyFont="1" applyFill="1" applyAlignment="1" applyProtection="1">
      <alignment vertical="top" wrapText="1"/>
      <protection locked="0"/>
    </xf>
    <xf numFmtId="0" fontId="17" fillId="43" borderId="54" xfId="4495" applyFont="1" applyFill="1" applyBorder="1" applyAlignment="1" applyProtection="1">
      <alignment vertical="top" wrapText="1"/>
      <protection locked="0"/>
    </xf>
    <xf numFmtId="0" fontId="17" fillId="43" borderId="55" xfId="4495" applyFont="1" applyFill="1" applyBorder="1" applyAlignment="1" applyProtection="1">
      <alignment vertical="top" wrapText="1"/>
      <protection locked="0"/>
    </xf>
    <xf numFmtId="0" fontId="17" fillId="43" borderId="6" xfId="4495" applyFont="1" applyFill="1" applyBorder="1" applyAlignment="1" applyProtection="1">
      <alignment vertical="top" wrapText="1"/>
      <protection locked="0"/>
    </xf>
    <xf numFmtId="0" fontId="17" fillId="43" borderId="56" xfId="4495" applyFont="1" applyFill="1" applyBorder="1" applyAlignment="1" applyProtection="1">
      <alignment vertical="top" wrapText="1"/>
      <protection locked="0"/>
    </xf>
    <xf numFmtId="0" fontId="17" fillId="43" borderId="0" xfId="4495" applyFont="1" applyFill="1" applyAlignment="1" applyProtection="1">
      <alignment horizontal="left" vertical="center" wrapText="1"/>
      <protection locked="0"/>
    </xf>
    <xf numFmtId="0" fontId="17" fillId="43" borderId="54" xfId="4495" applyFont="1" applyFill="1" applyBorder="1" applyAlignment="1" applyProtection="1">
      <alignment horizontal="left" vertical="center" wrapText="1"/>
      <protection locked="0"/>
    </xf>
    <xf numFmtId="0" fontId="17" fillId="43" borderId="6" xfId="4495" applyFont="1" applyFill="1" applyBorder="1" applyAlignment="1" applyProtection="1">
      <alignment horizontal="left" vertical="center" wrapText="1"/>
      <protection locked="0"/>
    </xf>
    <xf numFmtId="0" fontId="17" fillId="43" borderId="56" xfId="4495" applyFont="1" applyFill="1" applyBorder="1" applyAlignment="1" applyProtection="1">
      <alignment horizontal="left" vertical="center" wrapText="1"/>
      <protection locked="0"/>
    </xf>
    <xf numFmtId="0" fontId="130" fillId="0" borderId="0" xfId="4495" applyFont="1" applyAlignment="1">
      <alignment horizontal="left" vertical="top" wrapText="1"/>
    </xf>
    <xf numFmtId="0" fontId="120" fillId="5" borderId="55" xfId="4495" applyFill="1" applyBorder="1" applyAlignment="1" applyProtection="1">
      <alignment horizontal="center"/>
      <protection locked="0"/>
    </xf>
    <xf numFmtId="0" fontId="24" fillId="0" borderId="0" xfId="4495" applyFont="1" applyAlignment="1">
      <alignment horizontal="center"/>
    </xf>
    <xf numFmtId="0" fontId="24" fillId="0" borderId="54" xfId="4495" applyFont="1" applyBorder="1" applyAlignment="1">
      <alignment horizontal="center"/>
    </xf>
    <xf numFmtId="0" fontId="25" fillId="0" borderId="51" xfId="4495" applyFont="1" applyBorder="1" applyAlignment="1">
      <alignment horizontal="left" vertical="top" wrapText="1"/>
    </xf>
    <xf numFmtId="0" fontId="25" fillId="0" borderId="0" xfId="4495" applyFont="1" applyAlignment="1">
      <alignment horizontal="left" vertical="top" wrapText="1"/>
    </xf>
    <xf numFmtId="0" fontId="24" fillId="0" borderId="54" xfId="4495" applyFont="1" applyBorder="1" applyAlignment="1">
      <alignment horizontal="center" vertical="top"/>
    </xf>
    <xf numFmtId="0" fontId="120" fillId="5" borderId="62" xfId="4495" applyFill="1" applyBorder="1" applyAlignment="1" applyProtection="1">
      <alignment horizontal="center"/>
      <protection locked="0"/>
    </xf>
    <xf numFmtId="0" fontId="120" fillId="5" borderId="63" xfId="4495" applyFill="1" applyBorder="1" applyAlignment="1" applyProtection="1">
      <alignment horizontal="center"/>
      <protection locked="0"/>
    </xf>
    <xf numFmtId="0" fontId="17" fillId="0" borderId="0" xfId="4495" applyFont="1" applyAlignment="1">
      <alignment horizontal="left" vertical="center" wrapText="1" shrinkToFit="1"/>
    </xf>
    <xf numFmtId="0" fontId="17" fillId="5" borderId="6" xfId="4495" applyFont="1" applyFill="1" applyBorder="1" applyAlignment="1" applyProtection="1">
      <alignment horizontal="center" vertical="center" wrapText="1" shrinkToFit="1"/>
      <protection locked="0"/>
    </xf>
    <xf numFmtId="0" fontId="17" fillId="5" borderId="6" xfId="4495" applyFont="1" applyFill="1" applyBorder="1" applyAlignment="1" applyProtection="1">
      <alignment horizontal="left" wrapText="1" shrinkToFit="1"/>
      <protection locked="0"/>
    </xf>
    <xf numFmtId="0" fontId="17" fillId="43" borderId="6" xfId="1192" applyFill="1" applyBorder="1" applyAlignment="1" applyProtection="1">
      <alignment horizontal="left" vertical="top"/>
      <protection locked="0"/>
    </xf>
    <xf numFmtId="0" fontId="157" fillId="0" borderId="0" xfId="0" applyFont="1" applyAlignment="1" applyProtection="1">
      <alignment horizontal="left"/>
      <protection locked="0"/>
    </xf>
    <xf numFmtId="168" fontId="156" fillId="0" borderId="0" xfId="0" applyNumberFormat="1" applyFont="1" applyAlignment="1">
      <alignment horizontal="center" vertical="top" wrapText="1"/>
    </xf>
    <xf numFmtId="168" fontId="156" fillId="0" borderId="12" xfId="0" applyNumberFormat="1" applyFont="1" applyBorder="1" applyAlignment="1">
      <alignment horizontal="center" vertical="top" wrapText="1"/>
    </xf>
    <xf numFmtId="0" fontId="25" fillId="0" borderId="0" xfId="4495" applyFont="1" applyAlignment="1">
      <alignment horizontal="center"/>
    </xf>
    <xf numFmtId="0" fontId="17" fillId="0" borderId="0" xfId="4495" applyFont="1" applyAlignment="1">
      <alignment wrapText="1"/>
    </xf>
    <xf numFmtId="0" fontId="17" fillId="0" borderId="0" xfId="4495" applyFont="1" applyAlignment="1">
      <alignment horizontal="left" vertical="top" wrapText="1" shrinkToFit="1"/>
    </xf>
    <xf numFmtId="44" fontId="17" fillId="0" borderId="0" xfId="707" applyFont="1" applyFill="1" applyBorder="1" applyAlignment="1" applyProtection="1">
      <alignment horizontal="left" vertical="top" wrapText="1"/>
    </xf>
    <xf numFmtId="0" fontId="24" fillId="0" borderId="0" xfId="4495" applyFont="1" applyAlignment="1">
      <alignment horizontal="left" vertical="top" wrapText="1"/>
    </xf>
    <xf numFmtId="0" fontId="17" fillId="45" borderId="11" xfId="4495" applyFont="1" applyFill="1" applyBorder="1" applyAlignment="1">
      <alignment horizontal="center"/>
    </xf>
    <xf numFmtId="0" fontId="130" fillId="0" borderId="0" xfId="4495" applyFont="1" applyAlignment="1">
      <alignment horizontal="left" vertical="center" wrapText="1"/>
    </xf>
    <xf numFmtId="0" fontId="24" fillId="0" borderId="11" xfId="4495" applyFont="1" applyBorder="1" applyAlignment="1">
      <alignment horizontal="center"/>
    </xf>
    <xf numFmtId="0" fontId="25" fillId="0" borderId="58" xfId="4495" applyFont="1" applyBorder="1" applyAlignment="1">
      <alignment horizontal="left" vertical="top" wrapText="1"/>
    </xf>
    <xf numFmtId="0" fontId="24" fillId="0" borderId="51" xfId="4495" applyFont="1" applyBorder="1" applyAlignment="1">
      <alignment horizontal="center" vertical="top"/>
    </xf>
    <xf numFmtId="0" fontId="24" fillId="0" borderId="52" xfId="4495" applyFont="1" applyBorder="1" applyAlignment="1">
      <alignment horizontal="center" vertical="top"/>
    </xf>
    <xf numFmtId="0" fontId="120" fillId="5" borderId="50" xfId="4495" applyFill="1" applyBorder="1" applyAlignment="1">
      <alignment horizontal="center"/>
    </xf>
    <xf numFmtId="0" fontId="120" fillId="5" borderId="51" xfId="4495" applyFill="1" applyBorder="1" applyAlignment="1">
      <alignment horizontal="center"/>
    </xf>
    <xf numFmtId="0" fontId="53" fillId="0" borderId="51" xfId="4495" applyFont="1" applyBorder="1" applyAlignment="1">
      <alignment horizontal="left" wrapText="1"/>
    </xf>
    <xf numFmtId="0" fontId="53" fillId="0" borderId="0" xfId="4495" applyFont="1" applyAlignment="1">
      <alignment horizontal="left" wrapText="1"/>
    </xf>
    <xf numFmtId="0" fontId="120" fillId="5" borderId="53" xfId="4495" applyFill="1" applyBorder="1" applyAlignment="1">
      <alignment horizontal="center"/>
    </xf>
    <xf numFmtId="0" fontId="120" fillId="5" borderId="0" xfId="4495" applyFill="1" applyAlignment="1">
      <alignment horizontal="center"/>
    </xf>
    <xf numFmtId="0" fontId="120" fillId="5" borderId="55" xfId="4495" applyFill="1" applyBorder="1" applyAlignment="1">
      <alignment horizontal="center"/>
    </xf>
    <xf numFmtId="0" fontId="120" fillId="5" borderId="6" xfId="4495" applyFill="1" applyBorder="1" applyAlignment="1">
      <alignment horizontal="center"/>
    </xf>
    <xf numFmtId="0" fontId="25" fillId="5" borderId="0" xfId="4495" applyFont="1" applyFill="1" applyAlignment="1">
      <alignment horizontal="left" vertical="top" wrapText="1"/>
    </xf>
    <xf numFmtId="0" fontId="25" fillId="5" borderId="58" xfId="4495" applyFont="1" applyFill="1" applyBorder="1" applyAlignment="1">
      <alignment horizontal="left" vertical="top" wrapText="1"/>
    </xf>
    <xf numFmtId="0" fontId="24" fillId="0" borderId="4" xfId="4495" applyFont="1" applyBorder="1" applyAlignment="1">
      <alignment horizontal="left"/>
    </xf>
    <xf numFmtId="0" fontId="24" fillId="0" borderId="5" xfId="4495" applyFont="1" applyBorder="1" applyAlignment="1">
      <alignment horizontal="left"/>
    </xf>
    <xf numFmtId="1" fontId="24" fillId="0" borderId="4" xfId="4495" applyNumberFormat="1" applyFont="1" applyBorder="1" applyAlignment="1">
      <alignment horizontal="center" wrapText="1"/>
    </xf>
    <xf numFmtId="0" fontId="24" fillId="0" borderId="4" xfId="4495" applyFont="1" applyBorder="1" applyAlignment="1">
      <alignment horizontal="center" wrapText="1"/>
    </xf>
    <xf numFmtId="0" fontId="24" fillId="0" borderId="5" xfId="4495" applyFont="1" applyBorder="1" applyAlignment="1">
      <alignment horizontal="center" wrapText="1"/>
    </xf>
    <xf numFmtId="0" fontId="24" fillId="0" borderId="3" xfId="4495" applyFont="1" applyBorder="1" applyAlignment="1">
      <alignment horizontal="center" wrapText="1"/>
    </xf>
    <xf numFmtId="0" fontId="17" fillId="0" borderId="50" xfId="4496" applyFont="1" applyBorder="1" applyAlignment="1">
      <alignment horizontal="left" wrapText="1"/>
    </xf>
    <xf numFmtId="0" fontId="17" fillId="0" borderId="51" xfId="4496" applyFont="1" applyBorder="1" applyAlignment="1">
      <alignment horizontal="left" wrapText="1"/>
    </xf>
    <xf numFmtId="0" fontId="17" fillId="0" borderId="52" xfId="4496" applyFont="1" applyBorder="1" applyAlignment="1">
      <alignment horizontal="left" wrapText="1"/>
    </xf>
    <xf numFmtId="0" fontId="17" fillId="0" borderId="53" xfId="4496" applyFont="1" applyBorder="1" applyAlignment="1">
      <alignment horizontal="left" wrapText="1"/>
    </xf>
    <xf numFmtId="0" fontId="17" fillId="0" borderId="0" xfId="4496" applyFont="1" applyAlignment="1">
      <alignment horizontal="left" wrapText="1"/>
    </xf>
    <xf numFmtId="0" fontId="17" fillId="0" borderId="54" xfId="4496" applyFont="1" applyBorder="1" applyAlignment="1">
      <alignment horizontal="left" wrapText="1"/>
    </xf>
    <xf numFmtId="0" fontId="17" fillId="0" borderId="57" xfId="4496" applyFont="1" applyBorder="1" applyAlignment="1">
      <alignment horizontal="left" wrapText="1"/>
    </xf>
    <xf numFmtId="0" fontId="17" fillId="0" borderId="58" xfId="4496" applyFont="1" applyBorder="1" applyAlignment="1">
      <alignment horizontal="left" wrapText="1"/>
    </xf>
    <xf numFmtId="0" fontId="17" fillId="0" borderId="59" xfId="4496" applyFont="1" applyBorder="1" applyAlignment="1">
      <alignment horizontal="left" wrapText="1"/>
    </xf>
    <xf numFmtId="1" fontId="17" fillId="0" borderId="4" xfId="4496" applyNumberFormat="1" applyFont="1" applyBorder="1" applyAlignment="1">
      <alignment horizontal="center"/>
    </xf>
    <xf numFmtId="1" fontId="17" fillId="0" borderId="5" xfId="4496" applyNumberFormat="1" applyFont="1" applyBorder="1" applyAlignment="1">
      <alignment horizontal="center"/>
    </xf>
    <xf numFmtId="49" fontId="23" fillId="3" borderId="2" xfId="4495" applyNumberFormat="1" applyFont="1" applyFill="1" applyBorder="1" applyAlignment="1">
      <alignment horizontal="center" vertical="center" wrapText="1"/>
    </xf>
    <xf numFmtId="49" fontId="23" fillId="3" borderId="2" xfId="4495" applyNumberFormat="1" applyFont="1" applyFill="1" applyBorder="1" applyAlignment="1">
      <alignment horizontal="center" vertical="center"/>
    </xf>
    <xf numFmtId="49" fontId="23" fillId="3" borderId="0" xfId="4495" applyNumberFormat="1" applyFont="1" applyFill="1" applyAlignment="1">
      <alignment horizontal="center" vertical="center"/>
    </xf>
    <xf numFmtId="0" fontId="24" fillId="0" borderId="1" xfId="4495" applyFont="1" applyBorder="1" applyAlignment="1">
      <alignment horizontal="center" wrapText="1"/>
    </xf>
    <xf numFmtId="0" fontId="24" fillId="0" borderId="2" xfId="4495" applyFont="1" applyBorder="1" applyAlignment="1">
      <alignment horizontal="center" wrapText="1"/>
    </xf>
    <xf numFmtId="0" fontId="24" fillId="0" borderId="7" xfId="4495" applyFont="1" applyBorder="1" applyAlignment="1">
      <alignment horizontal="center" wrapText="1"/>
    </xf>
    <xf numFmtId="0" fontId="24" fillId="0" borderId="9" xfId="4495" applyFont="1" applyBorder="1" applyAlignment="1">
      <alignment horizontal="center" wrapText="1"/>
    </xf>
    <xf numFmtId="0" fontId="24" fillId="0" borderId="6" xfId="4495" applyFont="1" applyBorder="1" applyAlignment="1">
      <alignment horizontal="center" wrapText="1"/>
    </xf>
    <xf numFmtId="0" fontId="24" fillId="0" borderId="10" xfId="4495" applyFont="1" applyBorder="1" applyAlignment="1">
      <alignment horizontal="center" wrapText="1"/>
    </xf>
    <xf numFmtId="1" fontId="24" fillId="0" borderId="11" xfId="4495" applyNumberFormat="1" applyFont="1" applyBorder="1" applyAlignment="1">
      <alignment horizontal="center"/>
    </xf>
    <xf numFmtId="0" fontId="17" fillId="0" borderId="4" xfId="4495" applyFont="1" applyBorder="1" applyAlignment="1">
      <alignment horizontal="left"/>
    </xf>
    <xf numFmtId="0" fontId="17" fillId="0" borderId="5" xfId="4495" applyFont="1" applyBorder="1" applyAlignment="1">
      <alignment horizontal="left"/>
    </xf>
    <xf numFmtId="1" fontId="17" fillId="46" borderId="11" xfId="4495" applyNumberFormat="1" applyFont="1" applyFill="1" applyBorder="1" applyAlignment="1">
      <alignment horizontal="center"/>
    </xf>
    <xf numFmtId="0" fontId="24" fillId="0" borderId="3" xfId="4495" applyFont="1" applyBorder="1" applyAlignment="1">
      <alignment horizontal="left"/>
    </xf>
    <xf numFmtId="0" fontId="17" fillId="5" borderId="11" xfId="4495" applyFont="1" applyFill="1" applyBorder="1" applyAlignment="1" applyProtection="1">
      <alignment horizontal="center"/>
      <protection locked="0"/>
    </xf>
    <xf numFmtId="0" fontId="24" fillId="0" borderId="3" xfId="4495" applyFont="1" applyBorder="1" applyAlignment="1">
      <alignment horizontal="center"/>
    </xf>
    <xf numFmtId="0" fontId="24" fillId="0" borderId="4" xfId="4495" applyFont="1" applyBorder="1" applyAlignment="1">
      <alignment horizontal="center"/>
    </xf>
    <xf numFmtId="0" fontId="24" fillId="0" borderId="5" xfId="4495" applyFont="1" applyBorder="1" applyAlignment="1">
      <alignment horizontal="center"/>
    </xf>
    <xf numFmtId="164" fontId="64" fillId="0" borderId="1" xfId="4495" applyNumberFormat="1" applyFont="1" applyBorder="1" applyAlignment="1">
      <alignment horizontal="right" vertical="center"/>
    </xf>
    <xf numFmtId="164" fontId="64" fillId="0" borderId="2" xfId="4495" applyNumberFormat="1" applyFont="1" applyBorder="1" applyAlignment="1">
      <alignment horizontal="right" vertical="center"/>
    </xf>
    <xf numFmtId="164" fontId="64" fillId="0" borderId="7" xfId="4495" applyNumberFormat="1" applyFont="1" applyBorder="1" applyAlignment="1">
      <alignment horizontal="right" vertical="center"/>
    </xf>
    <xf numFmtId="164" fontId="64" fillId="0" borderId="9" xfId="4495" applyNumberFormat="1" applyFont="1" applyBorder="1" applyAlignment="1">
      <alignment horizontal="right" vertical="center"/>
    </xf>
    <xf numFmtId="164" fontId="64" fillId="0" borderId="6" xfId="4495" applyNumberFormat="1" applyFont="1" applyBorder="1" applyAlignment="1">
      <alignment horizontal="right" vertical="center"/>
    </xf>
    <xf numFmtId="164" fontId="64" fillId="0" borderId="10" xfId="4495" applyNumberFormat="1" applyFont="1" applyBorder="1" applyAlignment="1">
      <alignment horizontal="right" vertical="center"/>
    </xf>
    <xf numFmtId="180" fontId="64" fillId="0" borderId="1" xfId="4495" applyNumberFormat="1" applyFont="1" applyBorder="1" applyAlignment="1">
      <alignment horizontal="center" vertical="center"/>
    </xf>
    <xf numFmtId="180" fontId="64" fillId="0" borderId="2" xfId="4495" applyNumberFormat="1" applyFont="1" applyBorder="1" applyAlignment="1">
      <alignment horizontal="center" vertical="center"/>
    </xf>
    <xf numFmtId="180" fontId="64" fillId="0" borderId="7" xfId="4495" applyNumberFormat="1" applyFont="1" applyBorder="1" applyAlignment="1">
      <alignment horizontal="center" vertical="center"/>
    </xf>
    <xf numFmtId="180" fontId="64" fillId="0" borderId="9" xfId="4495" applyNumberFormat="1" applyFont="1" applyBorder="1" applyAlignment="1">
      <alignment horizontal="center" vertical="center"/>
    </xf>
    <xf numFmtId="180" fontId="64" fillId="0" borderId="6" xfId="4495" applyNumberFormat="1" applyFont="1" applyBorder="1" applyAlignment="1">
      <alignment horizontal="center" vertical="center"/>
    </xf>
    <xf numFmtId="180" fontId="64" fillId="0" borderId="10" xfId="4495" applyNumberFormat="1" applyFont="1" applyBorder="1" applyAlignment="1">
      <alignment horizontal="center" vertical="center"/>
    </xf>
    <xf numFmtId="0" fontId="17" fillId="0" borderId="6" xfId="1192" applyBorder="1" applyAlignment="1">
      <alignment horizontal="right"/>
    </xf>
    <xf numFmtId="0" fontId="122" fillId="0" borderId="50" xfId="4496" applyFont="1" applyBorder="1" applyAlignment="1">
      <alignment horizontal="left" wrapText="1"/>
    </xf>
    <xf numFmtId="0" fontId="122" fillId="0" borderId="51" xfId="4496" applyFont="1" applyBorder="1" applyAlignment="1">
      <alignment horizontal="left" wrapText="1"/>
    </xf>
    <xf numFmtId="0" fontId="122" fillId="0" borderId="52" xfId="4496" applyFont="1" applyBorder="1" applyAlignment="1">
      <alignment horizontal="left" wrapText="1"/>
    </xf>
    <xf numFmtId="0" fontId="122" fillId="0" borderId="57" xfId="4496" applyFont="1" applyBorder="1" applyAlignment="1">
      <alignment horizontal="left" wrapText="1"/>
    </xf>
    <xf numFmtId="0" fontId="122" fillId="0" borderId="58" xfId="4496" applyFont="1" applyBorder="1" applyAlignment="1">
      <alignment horizontal="left" wrapText="1"/>
    </xf>
    <xf numFmtId="0" fontId="122" fillId="0" borderId="59" xfId="4496" applyFont="1" applyBorder="1" applyAlignment="1">
      <alignment horizontal="left" wrapText="1"/>
    </xf>
    <xf numFmtId="0" fontId="120" fillId="0" borderId="53" xfId="4495" applyBorder="1" applyAlignment="1">
      <alignment horizontal="center"/>
    </xf>
    <xf numFmtId="0" fontId="120" fillId="0" borderId="0" xfId="4495" applyAlignment="1">
      <alignment horizontal="center"/>
    </xf>
    <xf numFmtId="0" fontId="25" fillId="5" borderId="0" xfId="4495" applyFont="1" applyFill="1" applyAlignment="1">
      <alignment horizontal="left" vertical="top"/>
    </xf>
    <xf numFmtId="168" fontId="17" fillId="0" borderId="6" xfId="1192" applyNumberFormat="1" applyBorder="1" applyAlignment="1">
      <alignment horizontal="right"/>
    </xf>
    <xf numFmtId="0" fontId="118" fillId="0" borderId="4" xfId="1192" applyFont="1" applyBorder="1" applyAlignment="1">
      <alignment horizontal="left"/>
    </xf>
    <xf numFmtId="168" fontId="17" fillId="43" borderId="6" xfId="543" applyNumberFormat="1" applyFill="1" applyBorder="1" applyAlignment="1" applyProtection="1">
      <alignment horizontal="center"/>
      <protection locked="0"/>
    </xf>
    <xf numFmtId="168" fontId="17" fillId="43" borderId="6" xfId="1192" applyNumberFormat="1" applyFill="1" applyBorder="1" applyAlignment="1" applyProtection="1">
      <alignment horizontal="right"/>
      <protection locked="0"/>
    </xf>
    <xf numFmtId="0" fontId="25" fillId="5" borderId="58" xfId="4495" applyFont="1" applyFill="1" applyBorder="1" applyAlignment="1">
      <alignment horizontal="left"/>
    </xf>
    <xf numFmtId="0" fontId="53" fillId="0" borderId="51" xfId="4495" applyFont="1" applyBorder="1" applyAlignment="1">
      <alignment horizontal="left" vertical="top" wrapText="1"/>
    </xf>
    <xf numFmtId="0" fontId="53" fillId="0" borderId="0" xfId="4495" applyFont="1" applyAlignment="1">
      <alignment horizontal="left" vertical="top" wrapText="1"/>
    </xf>
    <xf numFmtId="9" fontId="25" fillId="5" borderId="58" xfId="4495" applyNumberFormat="1" applyFont="1" applyFill="1" applyBorder="1" applyAlignment="1">
      <alignment horizontal="left"/>
    </xf>
    <xf numFmtId="9" fontId="25" fillId="5" borderId="6" xfId="4495" applyNumberFormat="1" applyFont="1" applyFill="1" applyBorder="1" applyAlignment="1">
      <alignment horizontal="left"/>
    </xf>
    <xf numFmtId="0" fontId="25" fillId="5" borderId="6" xfId="4495" applyFont="1" applyFill="1" applyBorder="1" applyAlignment="1">
      <alignment horizontal="left"/>
    </xf>
    <xf numFmtId="0" fontId="120" fillId="5" borderId="62" xfId="4495" applyFill="1" applyBorder="1" applyAlignment="1">
      <alignment horizontal="center"/>
    </xf>
    <xf numFmtId="0" fontId="120" fillId="5" borderId="63" xfId="4495" applyFill="1" applyBorder="1" applyAlignment="1">
      <alignment horizontal="center"/>
    </xf>
    <xf numFmtId="10" fontId="25" fillId="0" borderId="2" xfId="4495" applyNumberFormat="1" applyFont="1" applyBorder="1" applyAlignment="1">
      <alignment horizontal="center"/>
    </xf>
    <xf numFmtId="4" fontId="25" fillId="0" borderId="0" xfId="4495" applyNumberFormat="1" applyFont="1" applyAlignment="1">
      <alignment horizontal="center"/>
    </xf>
    <xf numFmtId="0" fontId="33" fillId="42" borderId="2" xfId="4495" applyFont="1" applyFill="1" applyBorder="1" applyAlignment="1">
      <alignment horizontal="center"/>
    </xf>
    <xf numFmtId="0" fontId="33" fillId="42" borderId="6" xfId="4495" applyFont="1" applyFill="1" applyBorder="1" applyAlignment="1">
      <alignment horizontal="center"/>
    </xf>
    <xf numFmtId="4" fontId="25" fillId="0" borderId="6" xfId="4495" applyNumberFormat="1" applyFont="1" applyBorder="1" applyAlignment="1">
      <alignment horizontal="center"/>
    </xf>
    <xf numFmtId="168" fontId="17" fillId="0" borderId="4" xfId="1192" applyNumberFormat="1" applyBorder="1" applyAlignment="1">
      <alignment horizontal="right"/>
    </xf>
    <xf numFmtId="168" fontId="17" fillId="0" borderId="4" xfId="4496" applyNumberFormat="1" applyFont="1" applyBorder="1" applyAlignment="1">
      <alignment horizontal="center"/>
    </xf>
    <xf numFmtId="9" fontId="17" fillId="0" borderId="4" xfId="4496" applyNumberFormat="1" applyFont="1" applyBorder="1" applyAlignment="1">
      <alignment horizontal="center"/>
    </xf>
    <xf numFmtId="0" fontId="24" fillId="0" borderId="0" xfId="4495" applyFont="1" applyAlignment="1">
      <alignment horizontal="left" wrapText="1"/>
    </xf>
    <xf numFmtId="164" fontId="17" fillId="0" borderId="50" xfId="4495" applyNumberFormat="1" applyFont="1" applyBorder="1" applyAlignment="1">
      <alignment horizontal="left" vertical="top" wrapText="1"/>
    </xf>
    <xf numFmtId="164" fontId="17" fillId="0" borderId="51" xfId="4495" applyNumberFormat="1" applyFont="1" applyBorder="1" applyAlignment="1">
      <alignment horizontal="left" vertical="top" wrapText="1"/>
    </xf>
    <xf numFmtId="164" fontId="17" fillId="0" borderId="52" xfId="4495" applyNumberFormat="1" applyFont="1" applyBorder="1" applyAlignment="1">
      <alignment horizontal="left" vertical="top" wrapText="1"/>
    </xf>
    <xf numFmtId="164" fontId="17" fillId="0" borderId="53" xfId="4495" applyNumberFormat="1" applyFont="1" applyBorder="1" applyAlignment="1">
      <alignment horizontal="left" vertical="top" wrapText="1"/>
    </xf>
    <xf numFmtId="164" fontId="17" fillId="0" borderId="0" xfId="4495" applyNumberFormat="1" applyFont="1" applyAlignment="1">
      <alignment horizontal="left" vertical="top" wrapText="1"/>
    </xf>
    <xf numFmtId="164" fontId="17" fillId="0" borderId="54" xfId="4495" applyNumberFormat="1" applyFont="1" applyBorder="1" applyAlignment="1">
      <alignment horizontal="left" vertical="top" wrapText="1"/>
    </xf>
    <xf numFmtId="164" fontId="17" fillId="0" borderId="57" xfId="4495" applyNumberFormat="1" applyFont="1" applyBorder="1" applyAlignment="1">
      <alignment horizontal="left" vertical="top" wrapText="1"/>
    </xf>
    <xf numFmtId="164" fontId="17" fillId="0" borderId="58" xfId="4495" applyNumberFormat="1" applyFont="1" applyBorder="1" applyAlignment="1">
      <alignment horizontal="left" vertical="top" wrapText="1"/>
    </xf>
    <xf numFmtId="164" fontId="17" fillId="0" borderId="59" xfId="4495" applyNumberFormat="1" applyFont="1" applyBorder="1" applyAlignment="1">
      <alignment horizontal="left" vertical="top" wrapText="1"/>
    </xf>
    <xf numFmtId="4" fontId="25" fillId="0" borderId="3" xfId="4495" applyNumberFormat="1" applyFont="1" applyBorder="1" applyAlignment="1">
      <alignment horizontal="center"/>
    </xf>
    <xf numFmtId="4" fontId="25" fillId="0" borderId="4" xfId="4495" applyNumberFormat="1" applyFont="1" applyBorder="1" applyAlignment="1">
      <alignment horizontal="center"/>
    </xf>
    <xf numFmtId="4" fontId="25" fillId="0" borderId="5" xfId="4495" applyNumberFormat="1" applyFont="1" applyBorder="1" applyAlignment="1">
      <alignment horizontal="center"/>
    </xf>
    <xf numFmtId="165" fontId="122" fillId="0" borderId="3" xfId="4496" applyNumberFormat="1" applyFont="1" applyBorder="1" applyAlignment="1">
      <alignment horizontal="center" vertical="top" wrapText="1"/>
    </xf>
    <xf numFmtId="165" fontId="122" fillId="0" borderId="5" xfId="4496" applyNumberFormat="1" applyFont="1" applyBorder="1" applyAlignment="1">
      <alignment horizontal="center" vertical="top" wrapText="1"/>
    </xf>
    <xf numFmtId="3" fontId="17" fillId="43" borderId="6" xfId="1192" applyNumberFormat="1" applyFill="1" applyBorder="1" applyAlignment="1" applyProtection="1">
      <alignment horizontal="right"/>
      <protection locked="0"/>
    </xf>
    <xf numFmtId="0" fontId="142" fillId="0" borderId="0" xfId="1192" applyFont="1" applyAlignment="1">
      <alignment horizontal="center"/>
    </xf>
    <xf numFmtId="0" fontId="98" fillId="0" borderId="69" xfId="4496" applyFont="1" applyBorder="1" applyAlignment="1">
      <alignment horizontal="right"/>
    </xf>
    <xf numFmtId="0" fontId="98" fillId="0" borderId="70" xfId="4496" applyFont="1" applyBorder="1" applyAlignment="1">
      <alignment horizontal="right"/>
    </xf>
    <xf numFmtId="0" fontId="98" fillId="0" borderId="11" xfId="4496" applyFont="1" applyBorder="1"/>
    <xf numFmtId="0" fontId="98" fillId="0" borderId="76" xfId="4496" applyFont="1" applyBorder="1"/>
    <xf numFmtId="0" fontId="98" fillId="0" borderId="70" xfId="4496" applyFont="1" applyBorder="1"/>
    <xf numFmtId="0" fontId="98" fillId="0" borderId="77" xfId="4496" applyFont="1" applyBorder="1"/>
    <xf numFmtId="0" fontId="98" fillId="0" borderId="68" xfId="4496" applyFont="1" applyBorder="1"/>
    <xf numFmtId="0" fontId="98" fillId="0" borderId="71" xfId="4496" applyFont="1" applyBorder="1"/>
    <xf numFmtId="0" fontId="98" fillId="0" borderId="67" xfId="4496" applyFont="1" applyBorder="1" applyAlignment="1">
      <alignment horizontal="right"/>
    </xf>
    <xf numFmtId="0" fontId="98" fillId="0" borderId="68" xfId="4496" applyFont="1" applyBorder="1" applyAlignment="1">
      <alignment horizontal="right"/>
    </xf>
    <xf numFmtId="0" fontId="98" fillId="0" borderId="0" xfId="4496" applyFont="1" applyAlignment="1">
      <alignment horizontal="left" wrapText="1" indent="1"/>
    </xf>
    <xf numFmtId="49" fontId="136" fillId="3" borderId="0" xfId="1192" applyNumberFormat="1" applyFont="1" applyFill="1" applyAlignment="1">
      <alignment horizontal="center" vertical="center"/>
    </xf>
    <xf numFmtId="0" fontId="98" fillId="0" borderId="11" xfId="4496" applyFont="1" applyBorder="1" applyAlignment="1">
      <alignment horizontal="left" indent="1"/>
    </xf>
    <xf numFmtId="0" fontId="98" fillId="0" borderId="11" xfId="4496" applyFont="1" applyBorder="1" applyAlignment="1">
      <alignment horizontal="left" indent="2"/>
    </xf>
    <xf numFmtId="0" fontId="137" fillId="45" borderId="3" xfId="4496" applyFont="1" applyFill="1" applyBorder="1" applyAlignment="1">
      <alignment horizontal="center" vertical="center"/>
    </xf>
    <xf numFmtId="0" fontId="137" fillId="45" borderId="4" xfId="4496" applyFont="1" applyFill="1" applyBorder="1" applyAlignment="1">
      <alignment horizontal="center" vertical="center"/>
    </xf>
    <xf numFmtId="0" fontId="137" fillId="45" borderId="5" xfId="4496" applyFont="1" applyFill="1" applyBorder="1" applyAlignment="1">
      <alignment horizontal="center" vertical="center"/>
    </xf>
    <xf numFmtId="9" fontId="137" fillId="45" borderId="3" xfId="4499" applyFont="1" applyFill="1" applyBorder="1" applyAlignment="1" applyProtection="1">
      <alignment horizontal="center" vertical="center"/>
    </xf>
    <xf numFmtId="9" fontId="137" fillId="45" borderId="4" xfId="4499" applyFont="1" applyFill="1" applyBorder="1" applyAlignment="1" applyProtection="1">
      <alignment horizontal="center" vertical="center"/>
    </xf>
    <xf numFmtId="9" fontId="137" fillId="45" borderId="5" xfId="4499" applyFont="1" applyFill="1" applyBorder="1" applyAlignment="1" applyProtection="1">
      <alignment horizontal="center" vertical="center"/>
    </xf>
    <xf numFmtId="168" fontId="98" fillId="0" borderId="11" xfId="4499" applyNumberFormat="1" applyFont="1" applyFill="1" applyBorder="1" applyAlignment="1" applyProtection="1">
      <alignment horizontal="left" vertical="center" indent="1"/>
    </xf>
    <xf numFmtId="49" fontId="98" fillId="45" borderId="15" xfId="4496" applyNumberFormat="1" applyFont="1" applyFill="1" applyBorder="1" applyAlignment="1">
      <alignment horizontal="center" vertical="center" wrapText="1"/>
    </xf>
    <xf numFmtId="49" fontId="98" fillId="45" borderId="13" xfId="4496" applyNumberFormat="1" applyFont="1" applyFill="1" applyBorder="1" applyAlignment="1">
      <alignment horizontal="center" vertical="center" wrapText="1"/>
    </xf>
    <xf numFmtId="0" fontId="137" fillId="0" borderId="68" xfId="4496" applyFont="1" applyBorder="1" applyAlignment="1">
      <alignment horizontal="left" indent="1"/>
    </xf>
    <xf numFmtId="168" fontId="98" fillId="0" borderId="70" xfId="4499" applyNumberFormat="1" applyFont="1" applyFill="1" applyBorder="1" applyAlignment="1" applyProtection="1">
      <alignment horizontal="left" vertical="center" indent="1"/>
    </xf>
    <xf numFmtId="0" fontId="98" fillId="0" borderId="72" xfId="4496" applyFont="1" applyBorder="1" applyAlignment="1">
      <alignment horizontal="right"/>
    </xf>
    <xf numFmtId="0" fontId="98" fillId="0" borderId="11" xfId="4496" applyFont="1" applyBorder="1" applyAlignment="1">
      <alignment horizontal="right"/>
    </xf>
    <xf numFmtId="168" fontId="98" fillId="0" borderId="13" xfId="4499" applyNumberFormat="1" applyFont="1" applyFill="1" applyBorder="1" applyAlignment="1" applyProtection="1">
      <alignment horizontal="left" vertical="center" indent="1"/>
    </xf>
    <xf numFmtId="0" fontId="98" fillId="0" borderId="3" xfId="4496" applyFont="1" applyBorder="1" applyAlignment="1">
      <alignment horizontal="left" indent="1"/>
    </xf>
    <xf numFmtId="0" fontId="98" fillId="0" borderId="4" xfId="4496" applyFont="1" applyBorder="1" applyAlignment="1">
      <alignment horizontal="left" indent="1"/>
    </xf>
    <xf numFmtId="0" fontId="98" fillId="0" borderId="5" xfId="4496" applyFont="1" applyBorder="1" applyAlignment="1">
      <alignment horizontal="left" indent="1"/>
    </xf>
    <xf numFmtId="0" fontId="98" fillId="0" borderId="3" xfId="4496" applyFont="1" applyBorder="1" applyAlignment="1">
      <alignment horizontal="left" indent="2"/>
    </xf>
    <xf numFmtId="0" fontId="98" fillId="0" borderId="4" xfId="4496" applyFont="1" applyBorder="1" applyAlignment="1">
      <alignment horizontal="left" indent="2"/>
    </xf>
    <xf numFmtId="0" fontId="98" fillId="0" borderId="5" xfId="4496" applyFont="1" applyBorder="1" applyAlignment="1">
      <alignment horizontal="left" indent="2"/>
    </xf>
    <xf numFmtId="0" fontId="98" fillId="0" borderId="0" xfId="4496" applyFont="1" applyAlignment="1">
      <alignment wrapText="1"/>
    </xf>
    <xf numFmtId="0" fontId="137" fillId="0" borderId="75" xfId="4496" applyFont="1" applyBorder="1" applyAlignment="1">
      <alignment horizontal="center" vertical="top" wrapText="1"/>
    </xf>
    <xf numFmtId="0" fontId="137" fillId="0" borderId="74" xfId="4496" applyFont="1" applyBorder="1" applyAlignment="1">
      <alignment horizontal="center" vertical="top" wrapText="1"/>
    </xf>
    <xf numFmtId="0" fontId="98" fillId="0" borderId="0" xfId="4496" applyFont="1" applyAlignment="1">
      <alignment horizontal="left" wrapText="1"/>
    </xf>
    <xf numFmtId="0" fontId="98" fillId="0" borderId="0" xfId="4496" applyFont="1" applyAlignment="1">
      <alignment horizontal="center" vertical="center" wrapText="1"/>
    </xf>
    <xf numFmtId="0" fontId="98" fillId="43" borderId="0" xfId="4496" applyFont="1" applyFill="1" applyAlignment="1" applyProtection="1">
      <alignment horizontal="left" vertical="top" wrapText="1"/>
      <protection locked="0"/>
    </xf>
    <xf numFmtId="0" fontId="98" fillId="43" borderId="6" xfId="4496" applyFont="1" applyFill="1" applyBorder="1" applyAlignment="1" applyProtection="1">
      <alignment horizontal="left" vertical="top" wrapText="1"/>
      <protection locked="0"/>
    </xf>
    <xf numFmtId="0" fontId="22" fillId="0" borderId="6" xfId="271" applyFont="1" applyBorder="1" applyAlignment="1">
      <alignment horizontal="center"/>
    </xf>
    <xf numFmtId="0" fontId="22" fillId="0" borderId="0" xfId="0" applyFont="1" applyAlignment="1" applyProtection="1">
      <alignment wrapText="1"/>
      <protection locked="0"/>
    </xf>
    <xf numFmtId="3" fontId="17" fillId="0" borderId="0" xfId="0" applyNumberFormat="1" applyFont="1" applyAlignment="1">
      <alignment horizontal="left" vertical="top" wrapText="1"/>
    </xf>
    <xf numFmtId="3" fontId="26" fillId="0" borderId="0" xfId="0" applyNumberFormat="1" applyFont="1" applyAlignment="1">
      <alignment horizontal="left" vertical="top" wrapText="1"/>
    </xf>
    <xf numFmtId="0" fontId="17" fillId="43" borderId="0" xfId="0" applyFont="1" applyFill="1" applyAlignment="1">
      <alignment horizontal="left"/>
    </xf>
  </cellXfs>
  <cellStyles count="17184">
    <cellStyle name="20% - Accent1" xfId="1" builtinId="30" customBuiltin="1"/>
    <cellStyle name="20% - Accent1 10" xfId="4504" xr:uid="{00000000-0005-0000-0000-000001000000}"/>
    <cellStyle name="20% - Accent1 10 2" xfId="12954" xr:uid="{6FE2860A-BB68-43AA-A8CA-9D015645987C}"/>
    <cellStyle name="20% - Accent1 11" xfId="8736" xr:uid="{EED1E971-EA85-48B2-977A-9CB6A2FD2179}"/>
    <cellStyle name="20% - Accent1 2" xfId="2" xr:uid="{00000000-0005-0000-0000-000002000000}"/>
    <cellStyle name="20% - Accent1 2 10" xfId="8737" xr:uid="{2B89472F-EEB6-477B-884E-A509404BBD7A}"/>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2 2 2" xfId="15516" xr:uid="{388C7093-8D0B-4C62-ABC4-56F61E9C8FD6}"/>
    <cellStyle name="20% - Accent1 2 2 2 2 2 3" xfId="11298" xr:uid="{129588C3-5E1B-4C24-B985-21E2AFB27388}"/>
    <cellStyle name="20% - Accent1 2 2 2 2 3" xfId="4921" xr:uid="{00000000-0005-0000-0000-000008000000}"/>
    <cellStyle name="20% - Accent1 2 2 2 2 3 2" xfId="13371" xr:uid="{78B4E216-4E59-4618-B679-205952B77ED8}"/>
    <cellStyle name="20% - Accent1 2 2 2 2 4" xfId="9153" xr:uid="{0204F1A9-C6AF-48C2-8BF5-4359254C5777}"/>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2 2 2" xfId="15929" xr:uid="{33F9CF05-DB06-4DFA-8075-01971FCFE68A}"/>
    <cellStyle name="20% - Accent1 2 2 2 3 2 3" xfId="11711" xr:uid="{22971586-7850-47B9-ABC2-C2807BE5C88F}"/>
    <cellStyle name="20% - Accent1 2 2 2 3 3" xfId="5334" xr:uid="{00000000-0005-0000-0000-00000C000000}"/>
    <cellStyle name="20% - Accent1 2 2 2 3 3 2" xfId="13784" xr:uid="{E9AC3D12-A992-437D-90B1-8E42555984EB}"/>
    <cellStyle name="20% - Accent1 2 2 2 3 4" xfId="9566" xr:uid="{3E67E8EE-30B7-4509-82BF-3824740D260C}"/>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2 2 2" xfId="16342" xr:uid="{41E4BDBD-C910-42D1-925E-A9585FB6E3FA}"/>
    <cellStyle name="20% - Accent1 2 2 2 4 2 3" xfId="12124" xr:uid="{8C08A809-10ED-4AEF-AEEC-A4EA3C05E488}"/>
    <cellStyle name="20% - Accent1 2 2 2 4 3" xfId="5747" xr:uid="{00000000-0005-0000-0000-000010000000}"/>
    <cellStyle name="20% - Accent1 2 2 2 4 3 2" xfId="14197" xr:uid="{0D9867D2-934B-4E57-8BB8-BB61F708F82B}"/>
    <cellStyle name="20% - Accent1 2 2 2 4 4" xfId="9979" xr:uid="{49479A78-715E-4FC6-920C-3D3F7DC1259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2 2 2" xfId="16755" xr:uid="{1455B6DC-49B4-40B6-A12D-4CF3D4102B09}"/>
    <cellStyle name="20% - Accent1 2 2 2 5 2 3" xfId="12537" xr:uid="{F84C1D5A-EA01-49CB-BEB1-99D6EC7D09D0}"/>
    <cellStyle name="20% - Accent1 2 2 2 5 3" xfId="6160" xr:uid="{00000000-0005-0000-0000-000014000000}"/>
    <cellStyle name="20% - Accent1 2 2 2 5 3 2" xfId="14610" xr:uid="{C08892AC-0E17-4E49-AF88-7B3DCCBF1992}"/>
    <cellStyle name="20% - Accent1 2 2 2 5 4" xfId="10392" xr:uid="{DCF2ABA6-2429-4294-841E-504FB04D7267}"/>
    <cellStyle name="20% - Accent1 2 2 2 6" xfId="2267" xr:uid="{00000000-0005-0000-0000-000015000000}"/>
    <cellStyle name="20% - Accent1 2 2 2 6 2" xfId="6573" xr:uid="{00000000-0005-0000-0000-000016000000}"/>
    <cellStyle name="20% - Accent1 2 2 2 6 2 2" xfId="15023" xr:uid="{13067DA4-84D1-47F9-966E-F3F2D228D1ED}"/>
    <cellStyle name="20% - Accent1 2 2 2 6 3" xfId="10805" xr:uid="{E36F3D9B-4698-4497-8F87-7E4E7EC06790}"/>
    <cellStyle name="20% - Accent1 2 2 2 7" xfId="4507" xr:uid="{00000000-0005-0000-0000-000017000000}"/>
    <cellStyle name="20% - Accent1 2 2 2 7 2" xfId="12957" xr:uid="{09022EEA-78F0-4BE3-8B32-58BEA25723B8}"/>
    <cellStyle name="20% - Accent1 2 2 2 8" xfId="8739" xr:uid="{6317C7BB-C826-495B-A574-180211B8A377}"/>
    <cellStyle name="20% - Accent1 2 2 3" xfId="572" xr:uid="{00000000-0005-0000-0000-000018000000}"/>
    <cellStyle name="20% - Accent1 2 2 3 2" xfId="2843" xr:uid="{00000000-0005-0000-0000-000019000000}"/>
    <cellStyle name="20% - Accent1 2 2 3 2 2" xfId="7065" xr:uid="{00000000-0005-0000-0000-00001A000000}"/>
    <cellStyle name="20% - Accent1 2 2 3 2 2 2" xfId="15515" xr:uid="{DA540600-D2FA-4060-87C1-20DBC9FF8870}"/>
    <cellStyle name="20% - Accent1 2 2 3 2 3" xfId="11297" xr:uid="{6BA8603D-65B1-4F6B-8F5E-0751C2F3D542}"/>
    <cellStyle name="20% - Accent1 2 2 3 3" xfId="4920" xr:uid="{00000000-0005-0000-0000-00001B000000}"/>
    <cellStyle name="20% - Accent1 2 2 3 3 2" xfId="13370" xr:uid="{1D6CDB30-174B-4637-BCF9-17FFBD688864}"/>
    <cellStyle name="20% - Accent1 2 2 3 4" xfId="9152" xr:uid="{910A3B82-51E0-45AB-AA5A-5E61942B0F42}"/>
    <cellStyle name="20% - Accent1 2 2 4" xfId="1025" xr:uid="{00000000-0005-0000-0000-00001C000000}"/>
    <cellStyle name="20% - Accent1 2 2 4 2" xfId="3256" xr:uid="{00000000-0005-0000-0000-00001D000000}"/>
    <cellStyle name="20% - Accent1 2 2 4 2 2" xfId="7478" xr:uid="{00000000-0005-0000-0000-00001E000000}"/>
    <cellStyle name="20% - Accent1 2 2 4 2 2 2" xfId="15928" xr:uid="{4EC61279-14DF-4A17-AF06-1F2C6A98331E}"/>
    <cellStyle name="20% - Accent1 2 2 4 2 3" xfId="11710" xr:uid="{8DF59A53-7611-4367-9518-71DD917F0897}"/>
    <cellStyle name="20% - Accent1 2 2 4 3" xfId="5333" xr:uid="{00000000-0005-0000-0000-00001F000000}"/>
    <cellStyle name="20% - Accent1 2 2 4 3 2" xfId="13783" xr:uid="{B9AC223A-675C-4F42-84D8-0886401CD791}"/>
    <cellStyle name="20% - Accent1 2 2 4 4" xfId="9565" xr:uid="{3D2CD272-3BBF-434E-9BE0-138C723BF643}"/>
    <cellStyle name="20% - Accent1 2 2 5" xfId="1439" xr:uid="{00000000-0005-0000-0000-000020000000}"/>
    <cellStyle name="20% - Accent1 2 2 5 2" xfId="3669" xr:uid="{00000000-0005-0000-0000-000021000000}"/>
    <cellStyle name="20% - Accent1 2 2 5 2 2" xfId="7891" xr:uid="{00000000-0005-0000-0000-000022000000}"/>
    <cellStyle name="20% - Accent1 2 2 5 2 2 2" xfId="16341" xr:uid="{CA460161-F33F-4766-84EA-531B451A9871}"/>
    <cellStyle name="20% - Accent1 2 2 5 2 3" xfId="12123" xr:uid="{7801A5FD-7344-496F-87E0-8E4D943C4FBA}"/>
    <cellStyle name="20% - Accent1 2 2 5 3" xfId="5746" xr:uid="{00000000-0005-0000-0000-000023000000}"/>
    <cellStyle name="20% - Accent1 2 2 5 3 2" xfId="14196" xr:uid="{726C7DDB-4B02-4E0E-9303-AC7F7CDDD085}"/>
    <cellStyle name="20% - Accent1 2 2 5 4" xfId="9978" xr:uid="{1945F57D-CFE6-4764-8234-D26F05E2D76E}"/>
    <cellStyle name="20% - Accent1 2 2 6" xfId="1853" xr:uid="{00000000-0005-0000-0000-000024000000}"/>
    <cellStyle name="20% - Accent1 2 2 6 2" xfId="4082" xr:uid="{00000000-0005-0000-0000-000025000000}"/>
    <cellStyle name="20% - Accent1 2 2 6 2 2" xfId="8304" xr:uid="{00000000-0005-0000-0000-000026000000}"/>
    <cellStyle name="20% - Accent1 2 2 6 2 2 2" xfId="16754" xr:uid="{7A339DB1-C719-4EEF-BC57-8BC8E21405E8}"/>
    <cellStyle name="20% - Accent1 2 2 6 2 3" xfId="12536" xr:uid="{8BF6C342-0AF9-43A0-85F3-0BED270C4ADF}"/>
    <cellStyle name="20% - Accent1 2 2 6 3" xfId="6159" xr:uid="{00000000-0005-0000-0000-000027000000}"/>
    <cellStyle name="20% - Accent1 2 2 6 3 2" xfId="14609" xr:uid="{9CF07349-2C8E-4288-A89C-BDCCFE6FC79E}"/>
    <cellStyle name="20% - Accent1 2 2 6 4" xfId="10391" xr:uid="{D7372BD6-ABFF-473E-AA02-F5DEAB3C2008}"/>
    <cellStyle name="20% - Accent1 2 2 7" xfId="2266" xr:uid="{00000000-0005-0000-0000-000028000000}"/>
    <cellStyle name="20% - Accent1 2 2 7 2" xfId="6572" xr:uid="{00000000-0005-0000-0000-000029000000}"/>
    <cellStyle name="20% - Accent1 2 2 7 2 2" xfId="15022" xr:uid="{83C530C7-8028-41F6-9991-BCEA3CAE55F1}"/>
    <cellStyle name="20% - Accent1 2 2 7 3" xfId="10804" xr:uid="{42EBAB2F-50BF-4627-893A-8B9377245E1A}"/>
    <cellStyle name="20% - Accent1 2 2 8" xfId="4506" xr:uid="{00000000-0005-0000-0000-00002A000000}"/>
    <cellStyle name="20% - Accent1 2 2 8 2" xfId="12956" xr:uid="{4DEDBE1B-4E5F-4430-9F3F-89C85F06A6B9}"/>
    <cellStyle name="20% - Accent1 2 2 9" xfId="8738" xr:uid="{578E757D-58E7-4401-B9A2-FF3BEAFE1046}"/>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2 2 2" xfId="15517" xr:uid="{C6CFE1CF-A85E-444F-8A24-CDAD417A0D43}"/>
    <cellStyle name="20% - Accent1 2 3 2 2 3" xfId="11299" xr:uid="{80FF8D52-5817-4876-A2DC-E9D2955F999B}"/>
    <cellStyle name="20% - Accent1 2 3 2 3" xfId="4922" xr:uid="{00000000-0005-0000-0000-00002F000000}"/>
    <cellStyle name="20% - Accent1 2 3 2 3 2" xfId="13372" xr:uid="{970D2381-36F8-4086-9992-881A641272CE}"/>
    <cellStyle name="20% - Accent1 2 3 2 4" xfId="9154" xr:uid="{92B83E21-7415-4985-A648-5441471AD234}"/>
    <cellStyle name="20% - Accent1 2 3 3" xfId="1027" xr:uid="{00000000-0005-0000-0000-000030000000}"/>
    <cellStyle name="20% - Accent1 2 3 3 2" xfId="3258" xr:uid="{00000000-0005-0000-0000-000031000000}"/>
    <cellStyle name="20% - Accent1 2 3 3 2 2" xfId="7480" xr:uid="{00000000-0005-0000-0000-000032000000}"/>
    <cellStyle name="20% - Accent1 2 3 3 2 2 2" xfId="15930" xr:uid="{78A46698-71DB-4481-8262-09A5E9534EEB}"/>
    <cellStyle name="20% - Accent1 2 3 3 2 3" xfId="11712" xr:uid="{D1700AA3-8670-43F2-BC8A-14993A3E0DFA}"/>
    <cellStyle name="20% - Accent1 2 3 3 3" xfId="5335" xr:uid="{00000000-0005-0000-0000-000033000000}"/>
    <cellStyle name="20% - Accent1 2 3 3 3 2" xfId="13785" xr:uid="{3FB1291E-EB4D-4880-9CB1-356C23C24AFB}"/>
    <cellStyle name="20% - Accent1 2 3 3 4" xfId="9567" xr:uid="{668172FC-2D36-46A5-B48A-EB99D5A05D22}"/>
    <cellStyle name="20% - Accent1 2 3 4" xfId="1441" xr:uid="{00000000-0005-0000-0000-000034000000}"/>
    <cellStyle name="20% - Accent1 2 3 4 2" xfId="3671" xr:uid="{00000000-0005-0000-0000-000035000000}"/>
    <cellStyle name="20% - Accent1 2 3 4 2 2" xfId="7893" xr:uid="{00000000-0005-0000-0000-000036000000}"/>
    <cellStyle name="20% - Accent1 2 3 4 2 2 2" xfId="16343" xr:uid="{DE4811A3-C665-473B-BACF-9ED51AF4BFEF}"/>
    <cellStyle name="20% - Accent1 2 3 4 2 3" xfId="12125" xr:uid="{62EE76AF-4E09-4B49-98C7-894BAAC8E4F7}"/>
    <cellStyle name="20% - Accent1 2 3 4 3" xfId="5748" xr:uid="{00000000-0005-0000-0000-000037000000}"/>
    <cellStyle name="20% - Accent1 2 3 4 3 2" xfId="14198" xr:uid="{070E19A4-3FE0-49B0-A41B-7852384340D7}"/>
    <cellStyle name="20% - Accent1 2 3 4 4" xfId="9980" xr:uid="{BB397034-51A4-4F81-9F69-9ED6204BBBEE}"/>
    <cellStyle name="20% - Accent1 2 3 5" xfId="1855" xr:uid="{00000000-0005-0000-0000-000038000000}"/>
    <cellStyle name="20% - Accent1 2 3 5 2" xfId="4084" xr:uid="{00000000-0005-0000-0000-000039000000}"/>
    <cellStyle name="20% - Accent1 2 3 5 2 2" xfId="8306" xr:uid="{00000000-0005-0000-0000-00003A000000}"/>
    <cellStyle name="20% - Accent1 2 3 5 2 2 2" xfId="16756" xr:uid="{FA6A55C0-AF0A-410D-A2BA-71412002CB69}"/>
    <cellStyle name="20% - Accent1 2 3 5 2 3" xfId="12538" xr:uid="{2F70B805-9256-4537-8D71-443ECD21C541}"/>
    <cellStyle name="20% - Accent1 2 3 5 3" xfId="6161" xr:uid="{00000000-0005-0000-0000-00003B000000}"/>
    <cellStyle name="20% - Accent1 2 3 5 3 2" xfId="14611" xr:uid="{2B0EEF2A-EC6D-45B7-9C1C-1F72722BC4B6}"/>
    <cellStyle name="20% - Accent1 2 3 5 4" xfId="10393" xr:uid="{69EAFF63-9381-4093-A85F-C3B99FFC5C25}"/>
    <cellStyle name="20% - Accent1 2 3 6" xfId="2268" xr:uid="{00000000-0005-0000-0000-00003C000000}"/>
    <cellStyle name="20% - Accent1 2 3 6 2" xfId="6574" xr:uid="{00000000-0005-0000-0000-00003D000000}"/>
    <cellStyle name="20% - Accent1 2 3 6 2 2" xfId="15024" xr:uid="{DED8AB64-B634-42EA-B211-D1CB9990D70B}"/>
    <cellStyle name="20% - Accent1 2 3 6 3" xfId="10806" xr:uid="{0C9D71E3-68EC-4A58-A5E8-67813C87D5FF}"/>
    <cellStyle name="20% - Accent1 2 3 7" xfId="4508" xr:uid="{00000000-0005-0000-0000-00003E000000}"/>
    <cellStyle name="20% - Accent1 2 3 7 2" xfId="12958" xr:uid="{CA85EF4C-2E81-435B-8C8B-6A146ED8B285}"/>
    <cellStyle name="20% - Accent1 2 3 8" xfId="8740" xr:uid="{11C4A88A-8572-4681-9037-3C5ED7E41603}"/>
    <cellStyle name="20% - Accent1 2 4" xfId="571" xr:uid="{00000000-0005-0000-0000-00003F000000}"/>
    <cellStyle name="20% - Accent1 2 4 2" xfId="2842" xr:uid="{00000000-0005-0000-0000-000040000000}"/>
    <cellStyle name="20% - Accent1 2 4 2 2" xfId="7064" xr:uid="{00000000-0005-0000-0000-000041000000}"/>
    <cellStyle name="20% - Accent1 2 4 2 2 2" xfId="15514" xr:uid="{2C687A07-0797-4A22-82FE-81E466CB24ED}"/>
    <cellStyle name="20% - Accent1 2 4 2 3" xfId="11296" xr:uid="{B7CEDDB4-4C73-4B12-8108-8E4FAAE47A30}"/>
    <cellStyle name="20% - Accent1 2 4 3" xfId="4919" xr:uid="{00000000-0005-0000-0000-000042000000}"/>
    <cellStyle name="20% - Accent1 2 4 3 2" xfId="13369" xr:uid="{87F73B52-0807-4818-A62F-BEBEF9585D95}"/>
    <cellStyle name="20% - Accent1 2 4 4" xfId="9151" xr:uid="{256C4145-2FAD-4943-BE53-17947A939E8C}"/>
    <cellStyle name="20% - Accent1 2 5" xfId="1024" xr:uid="{00000000-0005-0000-0000-000043000000}"/>
    <cellStyle name="20% - Accent1 2 5 2" xfId="3255" xr:uid="{00000000-0005-0000-0000-000044000000}"/>
    <cellStyle name="20% - Accent1 2 5 2 2" xfId="7477" xr:uid="{00000000-0005-0000-0000-000045000000}"/>
    <cellStyle name="20% - Accent1 2 5 2 2 2" xfId="15927" xr:uid="{A5324B9D-611C-4F23-A35B-1C00D4535E44}"/>
    <cellStyle name="20% - Accent1 2 5 2 3" xfId="11709" xr:uid="{F7C22341-BEAB-4739-BE3C-2A0852DED691}"/>
    <cellStyle name="20% - Accent1 2 5 3" xfId="5332" xr:uid="{00000000-0005-0000-0000-000046000000}"/>
    <cellStyle name="20% - Accent1 2 5 3 2" xfId="13782" xr:uid="{8CC7FF6B-46BB-44E9-929D-1F821BB477D2}"/>
    <cellStyle name="20% - Accent1 2 5 4" xfId="9564" xr:uid="{3F94AAEC-094A-49D8-AD06-B8DECCFDB73B}"/>
    <cellStyle name="20% - Accent1 2 6" xfId="1438" xr:uid="{00000000-0005-0000-0000-000047000000}"/>
    <cellStyle name="20% - Accent1 2 6 2" xfId="3668" xr:uid="{00000000-0005-0000-0000-000048000000}"/>
    <cellStyle name="20% - Accent1 2 6 2 2" xfId="7890" xr:uid="{00000000-0005-0000-0000-000049000000}"/>
    <cellStyle name="20% - Accent1 2 6 2 2 2" xfId="16340" xr:uid="{54E795D9-135E-469B-B9C7-ABA0A77CB4F5}"/>
    <cellStyle name="20% - Accent1 2 6 2 3" xfId="12122" xr:uid="{4D529BA4-E6BD-4035-8EBA-341680809CB9}"/>
    <cellStyle name="20% - Accent1 2 6 3" xfId="5745" xr:uid="{00000000-0005-0000-0000-00004A000000}"/>
    <cellStyle name="20% - Accent1 2 6 3 2" xfId="14195" xr:uid="{2A39E848-B4FC-4A64-BDC1-C915C46F19AD}"/>
    <cellStyle name="20% - Accent1 2 6 4" xfId="9977" xr:uid="{A2CB2601-8E03-4366-96F7-4C443319D10F}"/>
    <cellStyle name="20% - Accent1 2 7" xfId="1852" xr:uid="{00000000-0005-0000-0000-00004B000000}"/>
    <cellStyle name="20% - Accent1 2 7 2" xfId="4081" xr:uid="{00000000-0005-0000-0000-00004C000000}"/>
    <cellStyle name="20% - Accent1 2 7 2 2" xfId="8303" xr:uid="{00000000-0005-0000-0000-00004D000000}"/>
    <cellStyle name="20% - Accent1 2 7 2 2 2" xfId="16753" xr:uid="{1259F7A5-E74E-497B-A4E1-EBD9D66C345B}"/>
    <cellStyle name="20% - Accent1 2 7 2 3" xfId="12535" xr:uid="{BFBFA3FB-BDFE-45D6-9E97-6730006DF5F1}"/>
    <cellStyle name="20% - Accent1 2 7 3" xfId="6158" xr:uid="{00000000-0005-0000-0000-00004E000000}"/>
    <cellStyle name="20% - Accent1 2 7 3 2" xfId="14608" xr:uid="{048B532F-C25B-4729-B3D0-2DB6F4E023E1}"/>
    <cellStyle name="20% - Accent1 2 7 4" xfId="10390" xr:uid="{4DBE28F6-D41E-4C31-A62D-27963E0B31B2}"/>
    <cellStyle name="20% - Accent1 2 8" xfId="2265" xr:uid="{00000000-0005-0000-0000-00004F000000}"/>
    <cellStyle name="20% - Accent1 2 8 2" xfId="6571" xr:uid="{00000000-0005-0000-0000-000050000000}"/>
    <cellStyle name="20% - Accent1 2 8 2 2" xfId="15021" xr:uid="{38B504D8-A2E0-4F71-908A-EFEE732DD233}"/>
    <cellStyle name="20% - Accent1 2 8 3" xfId="10803" xr:uid="{A24D0D15-34F9-4B67-84A5-FEA72135CA84}"/>
    <cellStyle name="20% - Accent1 2 9" xfId="4505" xr:uid="{00000000-0005-0000-0000-000051000000}"/>
    <cellStyle name="20% - Accent1 2 9 2" xfId="12955" xr:uid="{7F51ED1D-8436-4BC9-871D-A6456D228D87}"/>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2 2 2" xfId="15519" xr:uid="{15EFCAB2-5FBE-48C5-8E3A-08073D1F4A89}"/>
    <cellStyle name="20% - Accent1 3 2 2 2 3" xfId="11301" xr:uid="{EC7EFABC-9877-4D68-AE38-8E2DC83F6637}"/>
    <cellStyle name="20% - Accent1 3 2 2 3" xfId="4924" xr:uid="{00000000-0005-0000-0000-000057000000}"/>
    <cellStyle name="20% - Accent1 3 2 2 3 2" xfId="13374" xr:uid="{6127210F-EDE3-4A3F-AACA-1EDDD49ADE0A}"/>
    <cellStyle name="20% - Accent1 3 2 2 4" xfId="9156" xr:uid="{7527502F-7844-4DB6-A65F-C25AFB378520}"/>
    <cellStyle name="20% - Accent1 3 2 3" xfId="1029" xr:uid="{00000000-0005-0000-0000-000058000000}"/>
    <cellStyle name="20% - Accent1 3 2 3 2" xfId="3260" xr:uid="{00000000-0005-0000-0000-000059000000}"/>
    <cellStyle name="20% - Accent1 3 2 3 2 2" xfId="7482" xr:uid="{00000000-0005-0000-0000-00005A000000}"/>
    <cellStyle name="20% - Accent1 3 2 3 2 2 2" xfId="15932" xr:uid="{1D5BFA84-549F-4728-8085-6F7F44FA957D}"/>
    <cellStyle name="20% - Accent1 3 2 3 2 3" xfId="11714" xr:uid="{B7876280-9946-4B34-8EA4-CBC96DEB94EB}"/>
    <cellStyle name="20% - Accent1 3 2 3 3" xfId="5337" xr:uid="{00000000-0005-0000-0000-00005B000000}"/>
    <cellStyle name="20% - Accent1 3 2 3 3 2" xfId="13787" xr:uid="{0E08BE1A-3017-4F63-B6DC-EFDEFF1717A6}"/>
    <cellStyle name="20% - Accent1 3 2 3 4" xfId="9569" xr:uid="{F772EC21-4B50-4104-847B-4EE05956B0E9}"/>
    <cellStyle name="20% - Accent1 3 2 4" xfId="1443" xr:uid="{00000000-0005-0000-0000-00005C000000}"/>
    <cellStyle name="20% - Accent1 3 2 4 2" xfId="3673" xr:uid="{00000000-0005-0000-0000-00005D000000}"/>
    <cellStyle name="20% - Accent1 3 2 4 2 2" xfId="7895" xr:uid="{00000000-0005-0000-0000-00005E000000}"/>
    <cellStyle name="20% - Accent1 3 2 4 2 2 2" xfId="16345" xr:uid="{30FD2DAC-8D9A-48EE-B64E-E3705C791052}"/>
    <cellStyle name="20% - Accent1 3 2 4 2 3" xfId="12127" xr:uid="{D3FC2E7D-ECD1-42E8-BDED-F75FD60C9625}"/>
    <cellStyle name="20% - Accent1 3 2 4 3" xfId="5750" xr:uid="{00000000-0005-0000-0000-00005F000000}"/>
    <cellStyle name="20% - Accent1 3 2 4 3 2" xfId="14200" xr:uid="{0AF80628-8521-4C70-9A8C-2A736577D4AB}"/>
    <cellStyle name="20% - Accent1 3 2 4 4" xfId="9982" xr:uid="{9427E130-1B6B-4845-B01E-BA713CE94AEC}"/>
    <cellStyle name="20% - Accent1 3 2 5" xfId="1857" xr:uid="{00000000-0005-0000-0000-000060000000}"/>
    <cellStyle name="20% - Accent1 3 2 5 2" xfId="4086" xr:uid="{00000000-0005-0000-0000-000061000000}"/>
    <cellStyle name="20% - Accent1 3 2 5 2 2" xfId="8308" xr:uid="{00000000-0005-0000-0000-000062000000}"/>
    <cellStyle name="20% - Accent1 3 2 5 2 2 2" xfId="16758" xr:uid="{76CE39B0-31CA-47C9-88A7-127583BEC02A}"/>
    <cellStyle name="20% - Accent1 3 2 5 2 3" xfId="12540" xr:uid="{A5A56551-4C0A-40D1-979D-8CC2AA544DCA}"/>
    <cellStyle name="20% - Accent1 3 2 5 3" xfId="6163" xr:uid="{00000000-0005-0000-0000-000063000000}"/>
    <cellStyle name="20% - Accent1 3 2 5 3 2" xfId="14613" xr:uid="{BB16F1DD-A17E-4338-A72B-94B8EEF73C3E}"/>
    <cellStyle name="20% - Accent1 3 2 5 4" xfId="10395" xr:uid="{FD1AB471-91B4-4FD2-B6DF-2F6E315EBA6F}"/>
    <cellStyle name="20% - Accent1 3 2 6" xfId="2270" xr:uid="{00000000-0005-0000-0000-000064000000}"/>
    <cellStyle name="20% - Accent1 3 2 6 2" xfId="6576" xr:uid="{00000000-0005-0000-0000-000065000000}"/>
    <cellStyle name="20% - Accent1 3 2 6 2 2" xfId="15026" xr:uid="{E69DE5B4-3E3F-4152-A87D-7BF0F28422FC}"/>
    <cellStyle name="20% - Accent1 3 2 6 3" xfId="10808" xr:uid="{9B89767A-3A05-4894-851D-CBC1E951C3F6}"/>
    <cellStyle name="20% - Accent1 3 2 7" xfId="4510" xr:uid="{00000000-0005-0000-0000-000066000000}"/>
    <cellStyle name="20% - Accent1 3 2 7 2" xfId="12960" xr:uid="{DB29C925-1B04-47B3-90C4-9F0660E43CA6}"/>
    <cellStyle name="20% - Accent1 3 2 8" xfId="8742" xr:uid="{F6762EF3-4AE4-4368-A67E-6BA37F2EB377}"/>
    <cellStyle name="20% - Accent1 3 3" xfId="575" xr:uid="{00000000-0005-0000-0000-000067000000}"/>
    <cellStyle name="20% - Accent1 3 3 2" xfId="2846" xr:uid="{00000000-0005-0000-0000-000068000000}"/>
    <cellStyle name="20% - Accent1 3 3 2 2" xfId="7068" xr:uid="{00000000-0005-0000-0000-000069000000}"/>
    <cellStyle name="20% - Accent1 3 3 2 2 2" xfId="15518" xr:uid="{03682715-3E3D-49FB-BF9F-1E79975A9454}"/>
    <cellStyle name="20% - Accent1 3 3 2 3" xfId="11300" xr:uid="{8AF6655D-88DF-4FD2-BE49-7E10942D4D61}"/>
    <cellStyle name="20% - Accent1 3 3 3" xfId="4923" xr:uid="{00000000-0005-0000-0000-00006A000000}"/>
    <cellStyle name="20% - Accent1 3 3 3 2" xfId="13373" xr:uid="{62A533D0-83B9-4C6E-A000-BAEF26E271B8}"/>
    <cellStyle name="20% - Accent1 3 3 4" xfId="9155" xr:uid="{09CB747B-4B5E-495E-A2CB-019F1004B78D}"/>
    <cellStyle name="20% - Accent1 3 4" xfId="1028" xr:uid="{00000000-0005-0000-0000-00006B000000}"/>
    <cellStyle name="20% - Accent1 3 4 2" xfId="3259" xr:uid="{00000000-0005-0000-0000-00006C000000}"/>
    <cellStyle name="20% - Accent1 3 4 2 2" xfId="7481" xr:uid="{00000000-0005-0000-0000-00006D000000}"/>
    <cellStyle name="20% - Accent1 3 4 2 2 2" xfId="15931" xr:uid="{4F62CCA6-23AB-44CD-9DB4-BAACCBBE2188}"/>
    <cellStyle name="20% - Accent1 3 4 2 3" xfId="11713" xr:uid="{228F570F-7EEA-4607-91EB-B51BCD5C62BC}"/>
    <cellStyle name="20% - Accent1 3 4 3" xfId="5336" xr:uid="{00000000-0005-0000-0000-00006E000000}"/>
    <cellStyle name="20% - Accent1 3 4 3 2" xfId="13786" xr:uid="{56DE0C5D-6E7B-4EB1-9E65-D6E8D9F26B3A}"/>
    <cellStyle name="20% - Accent1 3 4 4" xfId="9568" xr:uid="{04A0593B-66CA-4698-80D8-560B4945AD0E}"/>
    <cellStyle name="20% - Accent1 3 5" xfId="1442" xr:uid="{00000000-0005-0000-0000-00006F000000}"/>
    <cellStyle name="20% - Accent1 3 5 2" xfId="3672" xr:uid="{00000000-0005-0000-0000-000070000000}"/>
    <cellStyle name="20% - Accent1 3 5 2 2" xfId="7894" xr:uid="{00000000-0005-0000-0000-000071000000}"/>
    <cellStyle name="20% - Accent1 3 5 2 2 2" xfId="16344" xr:uid="{2CB9BEE3-A5F2-4C47-8C5C-36C0AD7BDAFE}"/>
    <cellStyle name="20% - Accent1 3 5 2 3" xfId="12126" xr:uid="{D6267515-DE31-4858-A085-4FB130690377}"/>
    <cellStyle name="20% - Accent1 3 5 3" xfId="5749" xr:uid="{00000000-0005-0000-0000-000072000000}"/>
    <cellStyle name="20% - Accent1 3 5 3 2" xfId="14199" xr:uid="{2AB49A54-BF81-420B-909C-1443ED917B5A}"/>
    <cellStyle name="20% - Accent1 3 5 4" xfId="9981" xr:uid="{045D4BD8-4D85-4113-BBB4-FC62659F53BD}"/>
    <cellStyle name="20% - Accent1 3 6" xfId="1856" xr:uid="{00000000-0005-0000-0000-000073000000}"/>
    <cellStyle name="20% - Accent1 3 6 2" xfId="4085" xr:uid="{00000000-0005-0000-0000-000074000000}"/>
    <cellStyle name="20% - Accent1 3 6 2 2" xfId="8307" xr:uid="{00000000-0005-0000-0000-000075000000}"/>
    <cellStyle name="20% - Accent1 3 6 2 2 2" xfId="16757" xr:uid="{8C81B026-012A-4168-A0F6-CE96690B34EB}"/>
    <cellStyle name="20% - Accent1 3 6 2 3" xfId="12539" xr:uid="{0C3E5691-4768-4411-9D60-DEB31B770422}"/>
    <cellStyle name="20% - Accent1 3 6 3" xfId="6162" xr:uid="{00000000-0005-0000-0000-000076000000}"/>
    <cellStyle name="20% - Accent1 3 6 3 2" xfId="14612" xr:uid="{25231FEC-F730-411E-B7AD-F2FF3298E7E7}"/>
    <cellStyle name="20% - Accent1 3 6 4" xfId="10394" xr:uid="{F8C914CA-831C-4390-8CF8-5223558635DC}"/>
    <cellStyle name="20% - Accent1 3 7" xfId="2269" xr:uid="{00000000-0005-0000-0000-000077000000}"/>
    <cellStyle name="20% - Accent1 3 7 2" xfId="6575" xr:uid="{00000000-0005-0000-0000-000078000000}"/>
    <cellStyle name="20% - Accent1 3 7 2 2" xfId="15025" xr:uid="{96A529F9-485B-44E5-B28B-6DC32052EC95}"/>
    <cellStyle name="20% - Accent1 3 7 3" xfId="10807" xr:uid="{A7C43C00-C93E-42CB-B340-079F655D8638}"/>
    <cellStyle name="20% - Accent1 3 8" xfId="4509" xr:uid="{00000000-0005-0000-0000-000079000000}"/>
    <cellStyle name="20% - Accent1 3 8 2" xfId="12959" xr:uid="{75A61491-3092-4363-99CB-5FE098C01E5C}"/>
    <cellStyle name="20% - Accent1 3 9" xfId="8741" xr:uid="{34B08360-A71F-4DB3-8798-23AB660BEFD6}"/>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2 2 2" xfId="15520" xr:uid="{E92C81E3-4B8A-4543-9A88-0E25EBAA1008}"/>
    <cellStyle name="20% - Accent1 4 2 2 3" xfId="11302" xr:uid="{7459C820-A1D5-46A6-9359-3F72BC18105B}"/>
    <cellStyle name="20% - Accent1 4 2 3" xfId="4925" xr:uid="{00000000-0005-0000-0000-00007E000000}"/>
    <cellStyle name="20% - Accent1 4 2 3 2" xfId="13375" xr:uid="{297D6D4F-83F3-4E10-B0CF-503830866AD8}"/>
    <cellStyle name="20% - Accent1 4 2 4" xfId="9157" xr:uid="{B4ED2368-6E5E-4B28-BB95-CFF0E826D1A7}"/>
    <cellStyle name="20% - Accent1 4 3" xfId="1030" xr:uid="{00000000-0005-0000-0000-00007F000000}"/>
    <cellStyle name="20% - Accent1 4 3 2" xfId="3261" xr:uid="{00000000-0005-0000-0000-000080000000}"/>
    <cellStyle name="20% - Accent1 4 3 2 2" xfId="7483" xr:uid="{00000000-0005-0000-0000-000081000000}"/>
    <cellStyle name="20% - Accent1 4 3 2 2 2" xfId="15933" xr:uid="{BBF24519-9855-478B-B83C-1FC62E67C70F}"/>
    <cellStyle name="20% - Accent1 4 3 2 3" xfId="11715" xr:uid="{800B1589-0F97-4F77-B3F2-7E1DF1D3453D}"/>
    <cellStyle name="20% - Accent1 4 3 3" xfId="5338" xr:uid="{00000000-0005-0000-0000-000082000000}"/>
    <cellStyle name="20% - Accent1 4 3 3 2" xfId="13788" xr:uid="{C6CC165A-EA66-4AD3-BFC3-3AF67783FBE7}"/>
    <cellStyle name="20% - Accent1 4 3 4" xfId="9570" xr:uid="{22D52B06-37B1-40D0-8B0F-200388E2CA41}"/>
    <cellStyle name="20% - Accent1 4 4" xfId="1444" xr:uid="{00000000-0005-0000-0000-000083000000}"/>
    <cellStyle name="20% - Accent1 4 4 2" xfId="3674" xr:uid="{00000000-0005-0000-0000-000084000000}"/>
    <cellStyle name="20% - Accent1 4 4 2 2" xfId="7896" xr:uid="{00000000-0005-0000-0000-000085000000}"/>
    <cellStyle name="20% - Accent1 4 4 2 2 2" xfId="16346" xr:uid="{6CE5616A-39CD-4391-A92F-F78478449ADC}"/>
    <cellStyle name="20% - Accent1 4 4 2 3" xfId="12128" xr:uid="{FFFF062F-221A-4A7E-A27F-80AADF99ABFD}"/>
    <cellStyle name="20% - Accent1 4 4 3" xfId="5751" xr:uid="{00000000-0005-0000-0000-000086000000}"/>
    <cellStyle name="20% - Accent1 4 4 3 2" xfId="14201" xr:uid="{DA65C092-CB49-4021-8067-9A91B051BF0B}"/>
    <cellStyle name="20% - Accent1 4 4 4" xfId="9983" xr:uid="{4D96FD79-4229-476B-9FE0-7E2260F70C84}"/>
    <cellStyle name="20% - Accent1 4 5" xfId="1858" xr:uid="{00000000-0005-0000-0000-000087000000}"/>
    <cellStyle name="20% - Accent1 4 5 2" xfId="4087" xr:uid="{00000000-0005-0000-0000-000088000000}"/>
    <cellStyle name="20% - Accent1 4 5 2 2" xfId="8309" xr:uid="{00000000-0005-0000-0000-000089000000}"/>
    <cellStyle name="20% - Accent1 4 5 2 2 2" xfId="16759" xr:uid="{E3387DD9-AD59-4370-935B-F56CE679CE66}"/>
    <cellStyle name="20% - Accent1 4 5 2 3" xfId="12541" xr:uid="{42B624E5-D198-4703-B9E4-9E980FD442CB}"/>
    <cellStyle name="20% - Accent1 4 5 3" xfId="6164" xr:uid="{00000000-0005-0000-0000-00008A000000}"/>
    <cellStyle name="20% - Accent1 4 5 3 2" xfId="14614" xr:uid="{D9066D8E-715E-4370-A427-B2E36CC4C9B5}"/>
    <cellStyle name="20% - Accent1 4 5 4" xfId="10396" xr:uid="{EB56DA8D-F625-4995-BA06-179621C00296}"/>
    <cellStyle name="20% - Accent1 4 6" xfId="2271" xr:uid="{00000000-0005-0000-0000-00008B000000}"/>
    <cellStyle name="20% - Accent1 4 6 2" xfId="6577" xr:uid="{00000000-0005-0000-0000-00008C000000}"/>
    <cellStyle name="20% - Accent1 4 6 2 2" xfId="15027" xr:uid="{17838058-4228-409B-BD0E-E0B96408F986}"/>
    <cellStyle name="20% - Accent1 4 6 3" xfId="10809" xr:uid="{4FBF4447-EB15-4B3E-AAC2-5C984420F351}"/>
    <cellStyle name="20% - Accent1 4 7" xfId="4511" xr:uid="{00000000-0005-0000-0000-00008D000000}"/>
    <cellStyle name="20% - Accent1 4 7 2" xfId="12961" xr:uid="{D5FF031C-7486-4953-912A-2AD4BF805B06}"/>
    <cellStyle name="20% - Accent1 4 8" xfId="8743" xr:uid="{F0367E8C-8FD4-4A47-89E5-8BCFE1A1E043}"/>
    <cellStyle name="20% - Accent1 5" xfId="570" xr:uid="{00000000-0005-0000-0000-00008E000000}"/>
    <cellStyle name="20% - Accent1 5 2" xfId="2841" xr:uid="{00000000-0005-0000-0000-00008F000000}"/>
    <cellStyle name="20% - Accent1 5 2 2" xfId="7063" xr:uid="{00000000-0005-0000-0000-000090000000}"/>
    <cellStyle name="20% - Accent1 5 2 2 2" xfId="15513" xr:uid="{8DBCC4BA-6767-4069-BC5D-4B1341611DAD}"/>
    <cellStyle name="20% - Accent1 5 2 3" xfId="11295" xr:uid="{23462925-26BF-489D-A926-32F42AF4B136}"/>
    <cellStyle name="20% - Accent1 5 3" xfId="4918" xr:uid="{00000000-0005-0000-0000-000091000000}"/>
    <cellStyle name="20% - Accent1 5 3 2" xfId="13368" xr:uid="{41601E3E-7E8D-49A4-AF23-E1141FF61463}"/>
    <cellStyle name="20% - Accent1 5 4" xfId="9150" xr:uid="{A46E4F2F-5151-4E9D-B85D-72D6A55E23C6}"/>
    <cellStyle name="20% - Accent1 6" xfId="1023" xr:uid="{00000000-0005-0000-0000-000092000000}"/>
    <cellStyle name="20% - Accent1 6 2" xfId="3254" xr:uid="{00000000-0005-0000-0000-000093000000}"/>
    <cellStyle name="20% - Accent1 6 2 2" xfId="7476" xr:uid="{00000000-0005-0000-0000-000094000000}"/>
    <cellStyle name="20% - Accent1 6 2 2 2" xfId="15926" xr:uid="{717D1FD0-B962-4D89-8FEF-8168CBDCF7E2}"/>
    <cellStyle name="20% - Accent1 6 2 3" xfId="11708" xr:uid="{EA24DC61-1AFD-453A-B8C0-15D1A698052F}"/>
    <cellStyle name="20% - Accent1 6 3" xfId="5331" xr:uid="{00000000-0005-0000-0000-000095000000}"/>
    <cellStyle name="20% - Accent1 6 3 2" xfId="13781" xr:uid="{2D741296-5DF9-4433-BB31-1112FCB7801C}"/>
    <cellStyle name="20% - Accent1 6 4" xfId="9563" xr:uid="{A8D722D1-2D6D-48FA-9845-22BA562A7553}"/>
    <cellStyle name="20% - Accent1 7" xfId="1437" xr:uid="{00000000-0005-0000-0000-000096000000}"/>
    <cellStyle name="20% - Accent1 7 2" xfId="3667" xr:uid="{00000000-0005-0000-0000-000097000000}"/>
    <cellStyle name="20% - Accent1 7 2 2" xfId="7889" xr:uid="{00000000-0005-0000-0000-000098000000}"/>
    <cellStyle name="20% - Accent1 7 2 2 2" xfId="16339" xr:uid="{B5790145-6C89-4ED7-A1FB-23C5A4960200}"/>
    <cellStyle name="20% - Accent1 7 2 3" xfId="12121" xr:uid="{87770AE2-D6B7-4F35-97C7-3A74BF6795B0}"/>
    <cellStyle name="20% - Accent1 7 3" xfId="5744" xr:uid="{00000000-0005-0000-0000-000099000000}"/>
    <cellStyle name="20% - Accent1 7 3 2" xfId="14194" xr:uid="{89C16C70-5A99-428A-9C99-E272567B2661}"/>
    <cellStyle name="20% - Accent1 7 4" xfId="9976" xr:uid="{8AB2445A-BB5B-4EDE-897C-50B6E0E9704D}"/>
    <cellStyle name="20% - Accent1 8" xfId="1851" xr:uid="{00000000-0005-0000-0000-00009A000000}"/>
    <cellStyle name="20% - Accent1 8 2" xfId="4080" xr:uid="{00000000-0005-0000-0000-00009B000000}"/>
    <cellStyle name="20% - Accent1 8 2 2" xfId="8302" xr:uid="{00000000-0005-0000-0000-00009C000000}"/>
    <cellStyle name="20% - Accent1 8 2 2 2" xfId="16752" xr:uid="{43B1CF71-1D1E-4626-8A39-759B82AB0FAE}"/>
    <cellStyle name="20% - Accent1 8 2 3" xfId="12534" xr:uid="{DC0BDD78-91BD-48A7-B7AA-ABA179902A58}"/>
    <cellStyle name="20% - Accent1 8 3" xfId="6157" xr:uid="{00000000-0005-0000-0000-00009D000000}"/>
    <cellStyle name="20% - Accent1 8 3 2" xfId="14607" xr:uid="{B3A9433C-1A8F-4B95-BD4E-397D2C47217F}"/>
    <cellStyle name="20% - Accent1 8 4" xfId="10389" xr:uid="{4C5C9AC3-C492-431A-8698-1F65BC0E15C3}"/>
    <cellStyle name="20% - Accent1 9" xfId="2264" xr:uid="{00000000-0005-0000-0000-00009E000000}"/>
    <cellStyle name="20% - Accent1 9 2" xfId="6570" xr:uid="{00000000-0005-0000-0000-00009F000000}"/>
    <cellStyle name="20% - Accent1 9 2 2" xfId="15020" xr:uid="{7DFBD0A8-956E-4C53-82E6-0E819339D8F1}"/>
    <cellStyle name="20% - Accent1 9 3" xfId="10802" xr:uid="{835FCA42-4C31-4986-BE6D-FD96532AF071}"/>
    <cellStyle name="20% - Accent2" xfId="9" builtinId="34" customBuiltin="1"/>
    <cellStyle name="20% - Accent2 10" xfId="4512" xr:uid="{00000000-0005-0000-0000-0000A1000000}"/>
    <cellStyle name="20% - Accent2 10 2" xfId="12962" xr:uid="{18C76542-2AE8-42CB-80FC-E3EA2829BAEE}"/>
    <cellStyle name="20% - Accent2 11" xfId="8744" xr:uid="{2A08395A-EFE7-4E38-AFE6-787E6DD83A91}"/>
    <cellStyle name="20% - Accent2 2" xfId="10" xr:uid="{00000000-0005-0000-0000-0000A2000000}"/>
    <cellStyle name="20% - Accent2 2 10" xfId="8745" xr:uid="{35A24654-C2A5-4753-BFB7-7A0AA0916A22}"/>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2 2 2" xfId="15524" xr:uid="{1FEC306A-2972-446C-81F6-0D1884A491D8}"/>
    <cellStyle name="20% - Accent2 2 2 2 2 2 3" xfId="11306" xr:uid="{C731FC13-405B-4EE9-990D-D6C23D9A8199}"/>
    <cellStyle name="20% - Accent2 2 2 2 2 3" xfId="4929" xr:uid="{00000000-0005-0000-0000-0000A8000000}"/>
    <cellStyle name="20% - Accent2 2 2 2 2 3 2" xfId="13379" xr:uid="{07D3EE42-801D-4F9C-ACE7-8B8909BA6015}"/>
    <cellStyle name="20% - Accent2 2 2 2 2 4" xfId="9161" xr:uid="{C06C7938-8743-455F-A01B-41B7AF1E7C86}"/>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2 2 2" xfId="15937" xr:uid="{A84F1320-CDA7-4559-A377-89C46701D0F0}"/>
    <cellStyle name="20% - Accent2 2 2 2 3 2 3" xfId="11719" xr:uid="{BF7DD80E-9A2F-4ABE-9F0B-2F22D48D4E62}"/>
    <cellStyle name="20% - Accent2 2 2 2 3 3" xfId="5342" xr:uid="{00000000-0005-0000-0000-0000AC000000}"/>
    <cellStyle name="20% - Accent2 2 2 2 3 3 2" xfId="13792" xr:uid="{767C5C99-FAE2-4EC9-A24D-F7CC44B66089}"/>
    <cellStyle name="20% - Accent2 2 2 2 3 4" xfId="9574" xr:uid="{76EB82F6-A676-435B-8C7C-9E873FCB3A7B}"/>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2 2 2" xfId="16350" xr:uid="{8B0B3969-1FE6-4D7C-9338-88EE821953E7}"/>
    <cellStyle name="20% - Accent2 2 2 2 4 2 3" xfId="12132" xr:uid="{8F7A6619-C8C1-4966-8D76-D13BA0624757}"/>
    <cellStyle name="20% - Accent2 2 2 2 4 3" xfId="5755" xr:uid="{00000000-0005-0000-0000-0000B0000000}"/>
    <cellStyle name="20% - Accent2 2 2 2 4 3 2" xfId="14205" xr:uid="{9AC576D8-123A-48D7-A1DD-29E3DB1B2FB8}"/>
    <cellStyle name="20% - Accent2 2 2 2 4 4" xfId="9987" xr:uid="{581F24DF-BCDD-479B-B200-70374C93B223}"/>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2 2 2" xfId="16763" xr:uid="{F53A672C-B58C-4422-A37A-E0BCCC9A61ED}"/>
    <cellStyle name="20% - Accent2 2 2 2 5 2 3" xfId="12545" xr:uid="{7D435FC7-29BD-4E94-A45A-5D9AA4C9DEA2}"/>
    <cellStyle name="20% - Accent2 2 2 2 5 3" xfId="6168" xr:uid="{00000000-0005-0000-0000-0000B4000000}"/>
    <cellStyle name="20% - Accent2 2 2 2 5 3 2" xfId="14618" xr:uid="{67DEFD87-AB80-42D2-BD70-2AF02CF010F8}"/>
    <cellStyle name="20% - Accent2 2 2 2 5 4" xfId="10400" xr:uid="{895BB6DE-D40A-4B35-A312-453A8063E309}"/>
    <cellStyle name="20% - Accent2 2 2 2 6" xfId="2275" xr:uid="{00000000-0005-0000-0000-0000B5000000}"/>
    <cellStyle name="20% - Accent2 2 2 2 6 2" xfId="6581" xr:uid="{00000000-0005-0000-0000-0000B6000000}"/>
    <cellStyle name="20% - Accent2 2 2 2 6 2 2" xfId="15031" xr:uid="{991B56B8-BE4F-41E5-A27C-CC15101019B3}"/>
    <cellStyle name="20% - Accent2 2 2 2 6 3" xfId="10813" xr:uid="{5330523A-3CB9-47F8-98BC-4DE41210C3D9}"/>
    <cellStyle name="20% - Accent2 2 2 2 7" xfId="4515" xr:uid="{00000000-0005-0000-0000-0000B7000000}"/>
    <cellStyle name="20% - Accent2 2 2 2 7 2" xfId="12965" xr:uid="{50F0704E-BDB7-4DA4-9507-1FD68827659A}"/>
    <cellStyle name="20% - Accent2 2 2 2 8" xfId="8747" xr:uid="{E68C355A-6E5A-414E-A2A5-9D19DF48E808}"/>
    <cellStyle name="20% - Accent2 2 2 3" xfId="580" xr:uid="{00000000-0005-0000-0000-0000B8000000}"/>
    <cellStyle name="20% - Accent2 2 2 3 2" xfId="2851" xr:uid="{00000000-0005-0000-0000-0000B9000000}"/>
    <cellStyle name="20% - Accent2 2 2 3 2 2" xfId="7073" xr:uid="{00000000-0005-0000-0000-0000BA000000}"/>
    <cellStyle name="20% - Accent2 2 2 3 2 2 2" xfId="15523" xr:uid="{1695EF7B-55C2-4D2A-B291-B8C05FD1F945}"/>
    <cellStyle name="20% - Accent2 2 2 3 2 3" xfId="11305" xr:uid="{365BB820-0603-44C8-B91C-B8126D2F376A}"/>
    <cellStyle name="20% - Accent2 2 2 3 3" xfId="4928" xr:uid="{00000000-0005-0000-0000-0000BB000000}"/>
    <cellStyle name="20% - Accent2 2 2 3 3 2" xfId="13378" xr:uid="{90849377-A0FC-4DCA-A658-4A281CEC0854}"/>
    <cellStyle name="20% - Accent2 2 2 3 4" xfId="9160" xr:uid="{1BB04EA3-2AC2-41CD-B9A9-2D2FDC5AE34C}"/>
    <cellStyle name="20% - Accent2 2 2 4" xfId="1033" xr:uid="{00000000-0005-0000-0000-0000BC000000}"/>
    <cellStyle name="20% - Accent2 2 2 4 2" xfId="3264" xr:uid="{00000000-0005-0000-0000-0000BD000000}"/>
    <cellStyle name="20% - Accent2 2 2 4 2 2" xfId="7486" xr:uid="{00000000-0005-0000-0000-0000BE000000}"/>
    <cellStyle name="20% - Accent2 2 2 4 2 2 2" xfId="15936" xr:uid="{DBD131F5-D59C-4072-80A2-9F486F70960C}"/>
    <cellStyle name="20% - Accent2 2 2 4 2 3" xfId="11718" xr:uid="{0F4FE942-7C24-4796-9676-1490A3C8CCA1}"/>
    <cellStyle name="20% - Accent2 2 2 4 3" xfId="5341" xr:uid="{00000000-0005-0000-0000-0000BF000000}"/>
    <cellStyle name="20% - Accent2 2 2 4 3 2" xfId="13791" xr:uid="{85C257E5-FAA9-4A4C-A946-2E5BC248EF7F}"/>
    <cellStyle name="20% - Accent2 2 2 4 4" xfId="9573" xr:uid="{95FEC3B2-AC05-4C53-A6B7-E46B62557724}"/>
    <cellStyle name="20% - Accent2 2 2 5" xfId="1447" xr:uid="{00000000-0005-0000-0000-0000C0000000}"/>
    <cellStyle name="20% - Accent2 2 2 5 2" xfId="3677" xr:uid="{00000000-0005-0000-0000-0000C1000000}"/>
    <cellStyle name="20% - Accent2 2 2 5 2 2" xfId="7899" xr:uid="{00000000-0005-0000-0000-0000C2000000}"/>
    <cellStyle name="20% - Accent2 2 2 5 2 2 2" xfId="16349" xr:uid="{A75E5B9B-D698-43CA-BB86-B7D7DBE42C54}"/>
    <cellStyle name="20% - Accent2 2 2 5 2 3" xfId="12131" xr:uid="{0F5F045A-D34B-4F76-BF87-BC42F8493C66}"/>
    <cellStyle name="20% - Accent2 2 2 5 3" xfId="5754" xr:uid="{00000000-0005-0000-0000-0000C3000000}"/>
    <cellStyle name="20% - Accent2 2 2 5 3 2" xfId="14204" xr:uid="{AC3360DC-52D0-466B-B6F2-18662BDF119B}"/>
    <cellStyle name="20% - Accent2 2 2 5 4" xfId="9986" xr:uid="{4C61E0EB-E3D6-45F1-9258-E3806565AE4D}"/>
    <cellStyle name="20% - Accent2 2 2 6" xfId="1861" xr:uid="{00000000-0005-0000-0000-0000C4000000}"/>
    <cellStyle name="20% - Accent2 2 2 6 2" xfId="4090" xr:uid="{00000000-0005-0000-0000-0000C5000000}"/>
    <cellStyle name="20% - Accent2 2 2 6 2 2" xfId="8312" xr:uid="{00000000-0005-0000-0000-0000C6000000}"/>
    <cellStyle name="20% - Accent2 2 2 6 2 2 2" xfId="16762" xr:uid="{356203D5-C847-4249-BF18-742392934DC2}"/>
    <cellStyle name="20% - Accent2 2 2 6 2 3" xfId="12544" xr:uid="{BE7BB853-1F17-4CEA-93FB-EC56C67EF04C}"/>
    <cellStyle name="20% - Accent2 2 2 6 3" xfId="6167" xr:uid="{00000000-0005-0000-0000-0000C7000000}"/>
    <cellStyle name="20% - Accent2 2 2 6 3 2" xfId="14617" xr:uid="{265A8F2E-D5D8-4BAE-B56F-54F91BB87CAA}"/>
    <cellStyle name="20% - Accent2 2 2 6 4" xfId="10399" xr:uid="{AADE2320-F6DC-40F1-8558-38EE10C804C2}"/>
    <cellStyle name="20% - Accent2 2 2 7" xfId="2274" xr:uid="{00000000-0005-0000-0000-0000C8000000}"/>
    <cellStyle name="20% - Accent2 2 2 7 2" xfId="6580" xr:uid="{00000000-0005-0000-0000-0000C9000000}"/>
    <cellStyle name="20% - Accent2 2 2 7 2 2" xfId="15030" xr:uid="{29F3EE28-3207-4585-881E-0E0D4BEBD08C}"/>
    <cellStyle name="20% - Accent2 2 2 7 3" xfId="10812" xr:uid="{8404DD43-6526-4F47-9B19-3D79B85F2050}"/>
    <cellStyle name="20% - Accent2 2 2 8" xfId="4514" xr:uid="{00000000-0005-0000-0000-0000CA000000}"/>
    <cellStyle name="20% - Accent2 2 2 8 2" xfId="12964" xr:uid="{DB4C52D7-BDE3-4A98-AC57-1801326E15F8}"/>
    <cellStyle name="20% - Accent2 2 2 9" xfId="8746" xr:uid="{83D29D56-6CFA-42F5-83D5-D6BFBBEBC237}"/>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2 2 2" xfId="15525" xr:uid="{50190967-9237-41D8-880E-F5B3FC5CC085}"/>
    <cellStyle name="20% - Accent2 2 3 2 2 3" xfId="11307" xr:uid="{006BBDC5-4A74-4AF6-A7EF-2C48F83A2100}"/>
    <cellStyle name="20% - Accent2 2 3 2 3" xfId="4930" xr:uid="{00000000-0005-0000-0000-0000CF000000}"/>
    <cellStyle name="20% - Accent2 2 3 2 3 2" xfId="13380" xr:uid="{C9B50E93-EEF8-4A53-95B4-115F04722F20}"/>
    <cellStyle name="20% - Accent2 2 3 2 4" xfId="9162" xr:uid="{0B853D8A-7B78-4C8B-B479-8903B09441A5}"/>
    <cellStyle name="20% - Accent2 2 3 3" xfId="1035" xr:uid="{00000000-0005-0000-0000-0000D0000000}"/>
    <cellStyle name="20% - Accent2 2 3 3 2" xfId="3266" xr:uid="{00000000-0005-0000-0000-0000D1000000}"/>
    <cellStyle name="20% - Accent2 2 3 3 2 2" xfId="7488" xr:uid="{00000000-0005-0000-0000-0000D2000000}"/>
    <cellStyle name="20% - Accent2 2 3 3 2 2 2" xfId="15938" xr:uid="{0F431229-E658-4C10-B330-BDC8C26D5E1C}"/>
    <cellStyle name="20% - Accent2 2 3 3 2 3" xfId="11720" xr:uid="{B9B3C349-FB5D-4F9D-A955-DE6D0C1A8AC1}"/>
    <cellStyle name="20% - Accent2 2 3 3 3" xfId="5343" xr:uid="{00000000-0005-0000-0000-0000D3000000}"/>
    <cellStyle name="20% - Accent2 2 3 3 3 2" xfId="13793" xr:uid="{5402A3D2-B077-4E78-BF07-900BC8931938}"/>
    <cellStyle name="20% - Accent2 2 3 3 4" xfId="9575" xr:uid="{D6676666-0B00-4AB3-ABE1-F5630198CF8D}"/>
    <cellStyle name="20% - Accent2 2 3 4" xfId="1449" xr:uid="{00000000-0005-0000-0000-0000D4000000}"/>
    <cellStyle name="20% - Accent2 2 3 4 2" xfId="3679" xr:uid="{00000000-0005-0000-0000-0000D5000000}"/>
    <cellStyle name="20% - Accent2 2 3 4 2 2" xfId="7901" xr:uid="{00000000-0005-0000-0000-0000D6000000}"/>
    <cellStyle name="20% - Accent2 2 3 4 2 2 2" xfId="16351" xr:uid="{71CD9ACA-ACAF-49D7-BF40-E62BC546D969}"/>
    <cellStyle name="20% - Accent2 2 3 4 2 3" xfId="12133" xr:uid="{FAD292AC-3FD5-468A-A918-41376D75A0E3}"/>
    <cellStyle name="20% - Accent2 2 3 4 3" xfId="5756" xr:uid="{00000000-0005-0000-0000-0000D7000000}"/>
    <cellStyle name="20% - Accent2 2 3 4 3 2" xfId="14206" xr:uid="{5878A339-BDCE-49E4-A8AF-B1853D17B1F5}"/>
    <cellStyle name="20% - Accent2 2 3 4 4" xfId="9988" xr:uid="{536FBB69-5C17-4677-9886-D02305F5C0F1}"/>
    <cellStyle name="20% - Accent2 2 3 5" xfId="1863" xr:uid="{00000000-0005-0000-0000-0000D8000000}"/>
    <cellStyle name="20% - Accent2 2 3 5 2" xfId="4092" xr:uid="{00000000-0005-0000-0000-0000D9000000}"/>
    <cellStyle name="20% - Accent2 2 3 5 2 2" xfId="8314" xr:uid="{00000000-0005-0000-0000-0000DA000000}"/>
    <cellStyle name="20% - Accent2 2 3 5 2 2 2" xfId="16764" xr:uid="{06E56693-2C10-4252-AB44-7D25B9CA0704}"/>
    <cellStyle name="20% - Accent2 2 3 5 2 3" xfId="12546" xr:uid="{9226F10E-19F1-4AAA-A68B-C204DD92FBB3}"/>
    <cellStyle name="20% - Accent2 2 3 5 3" xfId="6169" xr:uid="{00000000-0005-0000-0000-0000DB000000}"/>
    <cellStyle name="20% - Accent2 2 3 5 3 2" xfId="14619" xr:uid="{88D277D9-24ED-4689-B455-57972F12DD2E}"/>
    <cellStyle name="20% - Accent2 2 3 5 4" xfId="10401" xr:uid="{53BFB75D-61AC-41AE-9AA1-9C74D9E462A8}"/>
    <cellStyle name="20% - Accent2 2 3 6" xfId="2276" xr:uid="{00000000-0005-0000-0000-0000DC000000}"/>
    <cellStyle name="20% - Accent2 2 3 6 2" xfId="6582" xr:uid="{00000000-0005-0000-0000-0000DD000000}"/>
    <cellStyle name="20% - Accent2 2 3 6 2 2" xfId="15032" xr:uid="{F2649998-A3E2-4095-8D28-1D3539FBF181}"/>
    <cellStyle name="20% - Accent2 2 3 6 3" xfId="10814" xr:uid="{E1B74395-933E-4AC9-82A4-56AC2BDC45DB}"/>
    <cellStyle name="20% - Accent2 2 3 7" xfId="4516" xr:uid="{00000000-0005-0000-0000-0000DE000000}"/>
    <cellStyle name="20% - Accent2 2 3 7 2" xfId="12966" xr:uid="{DB7F684B-31EC-486F-A270-C5E5C4AE9002}"/>
    <cellStyle name="20% - Accent2 2 3 8" xfId="8748" xr:uid="{D4A2BD63-9BA1-4FC3-97D2-714D8503A9AE}"/>
    <cellStyle name="20% - Accent2 2 4" xfId="579" xr:uid="{00000000-0005-0000-0000-0000DF000000}"/>
    <cellStyle name="20% - Accent2 2 4 2" xfId="2850" xr:uid="{00000000-0005-0000-0000-0000E0000000}"/>
    <cellStyle name="20% - Accent2 2 4 2 2" xfId="7072" xr:uid="{00000000-0005-0000-0000-0000E1000000}"/>
    <cellStyle name="20% - Accent2 2 4 2 2 2" xfId="15522" xr:uid="{ACADF2EA-2331-4C31-9C1E-2D16DCB939FB}"/>
    <cellStyle name="20% - Accent2 2 4 2 3" xfId="11304" xr:uid="{F364152F-F13C-4CA8-ACB8-49AF98A906AC}"/>
    <cellStyle name="20% - Accent2 2 4 3" xfId="4927" xr:uid="{00000000-0005-0000-0000-0000E2000000}"/>
    <cellStyle name="20% - Accent2 2 4 3 2" xfId="13377" xr:uid="{56B2FD39-3974-43AC-9702-90CAB2FA5E89}"/>
    <cellStyle name="20% - Accent2 2 4 4" xfId="9159" xr:uid="{2EF39BE7-05A7-4FC0-B08C-7DD98EBED7F9}"/>
    <cellStyle name="20% - Accent2 2 5" xfId="1032" xr:uid="{00000000-0005-0000-0000-0000E3000000}"/>
    <cellStyle name="20% - Accent2 2 5 2" xfId="3263" xr:uid="{00000000-0005-0000-0000-0000E4000000}"/>
    <cellStyle name="20% - Accent2 2 5 2 2" xfId="7485" xr:uid="{00000000-0005-0000-0000-0000E5000000}"/>
    <cellStyle name="20% - Accent2 2 5 2 2 2" xfId="15935" xr:uid="{26584E36-A653-4B61-8990-7482E0A72DCE}"/>
    <cellStyle name="20% - Accent2 2 5 2 3" xfId="11717" xr:uid="{E6B5CCF1-A904-4369-9001-FEF8FF531364}"/>
    <cellStyle name="20% - Accent2 2 5 3" xfId="5340" xr:uid="{00000000-0005-0000-0000-0000E6000000}"/>
    <cellStyle name="20% - Accent2 2 5 3 2" xfId="13790" xr:uid="{B71954D6-7C72-445B-AF65-B5CFD8EADEFC}"/>
    <cellStyle name="20% - Accent2 2 5 4" xfId="9572" xr:uid="{7D440D89-DDE8-4E63-9CEF-86EB37F9AAD1}"/>
    <cellStyle name="20% - Accent2 2 6" xfId="1446" xr:uid="{00000000-0005-0000-0000-0000E7000000}"/>
    <cellStyle name="20% - Accent2 2 6 2" xfId="3676" xr:uid="{00000000-0005-0000-0000-0000E8000000}"/>
    <cellStyle name="20% - Accent2 2 6 2 2" xfId="7898" xr:uid="{00000000-0005-0000-0000-0000E9000000}"/>
    <cellStyle name="20% - Accent2 2 6 2 2 2" xfId="16348" xr:uid="{BA706583-BA81-46D2-BDF1-EF1176E1B7EE}"/>
    <cellStyle name="20% - Accent2 2 6 2 3" xfId="12130" xr:uid="{1A43966C-A24C-467C-B1F2-CD2E49391DF4}"/>
    <cellStyle name="20% - Accent2 2 6 3" xfId="5753" xr:uid="{00000000-0005-0000-0000-0000EA000000}"/>
    <cellStyle name="20% - Accent2 2 6 3 2" xfId="14203" xr:uid="{BCD2F48D-89C0-4B2F-918E-7B72C705A6DF}"/>
    <cellStyle name="20% - Accent2 2 6 4" xfId="9985" xr:uid="{98CBD1DA-7043-4830-B777-7E3D0CB9009C}"/>
    <cellStyle name="20% - Accent2 2 7" xfId="1860" xr:uid="{00000000-0005-0000-0000-0000EB000000}"/>
    <cellStyle name="20% - Accent2 2 7 2" xfId="4089" xr:uid="{00000000-0005-0000-0000-0000EC000000}"/>
    <cellStyle name="20% - Accent2 2 7 2 2" xfId="8311" xr:uid="{00000000-0005-0000-0000-0000ED000000}"/>
    <cellStyle name="20% - Accent2 2 7 2 2 2" xfId="16761" xr:uid="{069B7BC8-0008-466B-910D-6D6365E98D94}"/>
    <cellStyle name="20% - Accent2 2 7 2 3" xfId="12543" xr:uid="{1FC18634-0462-446D-9629-A4CD29787627}"/>
    <cellStyle name="20% - Accent2 2 7 3" xfId="6166" xr:uid="{00000000-0005-0000-0000-0000EE000000}"/>
    <cellStyle name="20% - Accent2 2 7 3 2" xfId="14616" xr:uid="{4F222B1C-07DF-4831-BE99-7AFDA5817800}"/>
    <cellStyle name="20% - Accent2 2 7 4" xfId="10398" xr:uid="{1BDD90F3-8C2C-4A71-9033-2FD33BADE62E}"/>
    <cellStyle name="20% - Accent2 2 8" xfId="2273" xr:uid="{00000000-0005-0000-0000-0000EF000000}"/>
    <cellStyle name="20% - Accent2 2 8 2" xfId="6579" xr:uid="{00000000-0005-0000-0000-0000F0000000}"/>
    <cellStyle name="20% - Accent2 2 8 2 2" xfId="15029" xr:uid="{2A04F543-8030-4AD6-872B-A9FD823C8894}"/>
    <cellStyle name="20% - Accent2 2 8 3" xfId="10811" xr:uid="{B3023A72-7CB1-4701-8CA3-3B021D4C52EA}"/>
    <cellStyle name="20% - Accent2 2 9" xfId="4513" xr:uid="{00000000-0005-0000-0000-0000F1000000}"/>
    <cellStyle name="20% - Accent2 2 9 2" xfId="12963" xr:uid="{86F7E2D8-97EE-4575-AB37-C7A321B82686}"/>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2 2 2" xfId="15527" xr:uid="{188D51EE-654E-40A4-A09C-F796D2B40868}"/>
    <cellStyle name="20% - Accent2 3 2 2 2 3" xfId="11309" xr:uid="{551759E4-5BE7-402E-977B-8144F53118E1}"/>
    <cellStyle name="20% - Accent2 3 2 2 3" xfId="4932" xr:uid="{00000000-0005-0000-0000-0000F7000000}"/>
    <cellStyle name="20% - Accent2 3 2 2 3 2" xfId="13382" xr:uid="{081B5D48-B42A-4B0A-A248-244E25C0953B}"/>
    <cellStyle name="20% - Accent2 3 2 2 4" xfId="9164" xr:uid="{19AD2BE8-89EB-4065-9899-47D644F3ED14}"/>
    <cellStyle name="20% - Accent2 3 2 3" xfId="1037" xr:uid="{00000000-0005-0000-0000-0000F8000000}"/>
    <cellStyle name="20% - Accent2 3 2 3 2" xfId="3268" xr:uid="{00000000-0005-0000-0000-0000F9000000}"/>
    <cellStyle name="20% - Accent2 3 2 3 2 2" xfId="7490" xr:uid="{00000000-0005-0000-0000-0000FA000000}"/>
    <cellStyle name="20% - Accent2 3 2 3 2 2 2" xfId="15940" xr:uid="{11F38759-FEC4-4FF4-9890-D63A77047472}"/>
    <cellStyle name="20% - Accent2 3 2 3 2 3" xfId="11722" xr:uid="{C159181B-3C62-4C46-A9FC-09FCF25CE0B7}"/>
    <cellStyle name="20% - Accent2 3 2 3 3" xfId="5345" xr:uid="{00000000-0005-0000-0000-0000FB000000}"/>
    <cellStyle name="20% - Accent2 3 2 3 3 2" xfId="13795" xr:uid="{854F1E99-D2D0-4505-A9C1-81178AA8F1F6}"/>
    <cellStyle name="20% - Accent2 3 2 3 4" xfId="9577" xr:uid="{54488108-D3CB-4B21-8C59-4671E6C71F5E}"/>
    <cellStyle name="20% - Accent2 3 2 4" xfId="1451" xr:uid="{00000000-0005-0000-0000-0000FC000000}"/>
    <cellStyle name="20% - Accent2 3 2 4 2" xfId="3681" xr:uid="{00000000-0005-0000-0000-0000FD000000}"/>
    <cellStyle name="20% - Accent2 3 2 4 2 2" xfId="7903" xr:uid="{00000000-0005-0000-0000-0000FE000000}"/>
    <cellStyle name="20% - Accent2 3 2 4 2 2 2" xfId="16353" xr:uid="{04B83A96-7360-4110-A059-FD91DC1495ED}"/>
    <cellStyle name="20% - Accent2 3 2 4 2 3" xfId="12135" xr:uid="{803E6E06-7381-4E6B-80F0-3F307A720B8E}"/>
    <cellStyle name="20% - Accent2 3 2 4 3" xfId="5758" xr:uid="{00000000-0005-0000-0000-0000FF000000}"/>
    <cellStyle name="20% - Accent2 3 2 4 3 2" xfId="14208" xr:uid="{618EF57E-C811-40CF-97C7-417A51F44F1C}"/>
    <cellStyle name="20% - Accent2 3 2 4 4" xfId="9990" xr:uid="{9B77DB86-BE88-4B92-913E-25EA3366E485}"/>
    <cellStyle name="20% - Accent2 3 2 5" xfId="1865" xr:uid="{00000000-0005-0000-0000-000000010000}"/>
    <cellStyle name="20% - Accent2 3 2 5 2" xfId="4094" xr:uid="{00000000-0005-0000-0000-000001010000}"/>
    <cellStyle name="20% - Accent2 3 2 5 2 2" xfId="8316" xr:uid="{00000000-0005-0000-0000-000002010000}"/>
    <cellStyle name="20% - Accent2 3 2 5 2 2 2" xfId="16766" xr:uid="{E0D3AD08-A4EC-4740-BB6F-C67D2C2F3D1C}"/>
    <cellStyle name="20% - Accent2 3 2 5 2 3" xfId="12548" xr:uid="{70D76F02-6BD1-4F26-9D38-9014C8A5E1C8}"/>
    <cellStyle name="20% - Accent2 3 2 5 3" xfId="6171" xr:uid="{00000000-0005-0000-0000-000003010000}"/>
    <cellStyle name="20% - Accent2 3 2 5 3 2" xfId="14621" xr:uid="{94169993-F3CD-4BD2-9666-51C6A160BB11}"/>
    <cellStyle name="20% - Accent2 3 2 5 4" xfId="10403" xr:uid="{853F8EDE-27E8-4E85-A936-A6308B28332D}"/>
    <cellStyle name="20% - Accent2 3 2 6" xfId="2278" xr:uid="{00000000-0005-0000-0000-000004010000}"/>
    <cellStyle name="20% - Accent2 3 2 6 2" xfId="6584" xr:uid="{00000000-0005-0000-0000-000005010000}"/>
    <cellStyle name="20% - Accent2 3 2 6 2 2" xfId="15034" xr:uid="{37B98A8B-A081-4CFC-B5F9-9A8E65521183}"/>
    <cellStyle name="20% - Accent2 3 2 6 3" xfId="10816" xr:uid="{BCD51485-77DC-426E-AB84-9A5D450168DB}"/>
    <cellStyle name="20% - Accent2 3 2 7" xfId="4518" xr:uid="{00000000-0005-0000-0000-000006010000}"/>
    <cellStyle name="20% - Accent2 3 2 7 2" xfId="12968" xr:uid="{CF8C91AB-1BBF-4FE3-A4D3-BA67FAA5E25A}"/>
    <cellStyle name="20% - Accent2 3 2 8" xfId="8750" xr:uid="{88D7249C-7E89-403A-BA79-3F8DA130E909}"/>
    <cellStyle name="20% - Accent2 3 3" xfId="583" xr:uid="{00000000-0005-0000-0000-000007010000}"/>
    <cellStyle name="20% - Accent2 3 3 2" xfId="2854" xr:uid="{00000000-0005-0000-0000-000008010000}"/>
    <cellStyle name="20% - Accent2 3 3 2 2" xfId="7076" xr:uid="{00000000-0005-0000-0000-000009010000}"/>
    <cellStyle name="20% - Accent2 3 3 2 2 2" xfId="15526" xr:uid="{94BC078A-F95F-4106-AD30-33D15A03AC1D}"/>
    <cellStyle name="20% - Accent2 3 3 2 3" xfId="11308" xr:uid="{B736CB8C-4245-4EB7-874C-DF0404DF6363}"/>
    <cellStyle name="20% - Accent2 3 3 3" xfId="4931" xr:uid="{00000000-0005-0000-0000-00000A010000}"/>
    <cellStyle name="20% - Accent2 3 3 3 2" xfId="13381" xr:uid="{B16CDEC3-122F-4F7F-9FAC-B3E3BD0FCA64}"/>
    <cellStyle name="20% - Accent2 3 3 4" xfId="9163" xr:uid="{D67B4701-5684-4A35-8735-18CC67AD7F9E}"/>
    <cellStyle name="20% - Accent2 3 4" xfId="1036" xr:uid="{00000000-0005-0000-0000-00000B010000}"/>
    <cellStyle name="20% - Accent2 3 4 2" xfId="3267" xr:uid="{00000000-0005-0000-0000-00000C010000}"/>
    <cellStyle name="20% - Accent2 3 4 2 2" xfId="7489" xr:uid="{00000000-0005-0000-0000-00000D010000}"/>
    <cellStyle name="20% - Accent2 3 4 2 2 2" xfId="15939" xr:uid="{A9CE42FE-8132-403F-820D-3720EFB39F79}"/>
    <cellStyle name="20% - Accent2 3 4 2 3" xfId="11721" xr:uid="{D3829325-3755-49E6-834F-9F3F2DD7004A}"/>
    <cellStyle name="20% - Accent2 3 4 3" xfId="5344" xr:uid="{00000000-0005-0000-0000-00000E010000}"/>
    <cellStyle name="20% - Accent2 3 4 3 2" xfId="13794" xr:uid="{60EEDEA4-411C-4A7E-828B-9B1A6850C1D0}"/>
    <cellStyle name="20% - Accent2 3 4 4" xfId="9576" xr:uid="{B115A032-F2E2-4838-AF2A-3B05BA076DE4}"/>
    <cellStyle name="20% - Accent2 3 5" xfId="1450" xr:uid="{00000000-0005-0000-0000-00000F010000}"/>
    <cellStyle name="20% - Accent2 3 5 2" xfId="3680" xr:uid="{00000000-0005-0000-0000-000010010000}"/>
    <cellStyle name="20% - Accent2 3 5 2 2" xfId="7902" xr:uid="{00000000-0005-0000-0000-000011010000}"/>
    <cellStyle name="20% - Accent2 3 5 2 2 2" xfId="16352" xr:uid="{6A165D16-9635-4FB3-A6C6-C03A988AF03A}"/>
    <cellStyle name="20% - Accent2 3 5 2 3" xfId="12134" xr:uid="{F89C9273-28D9-49A8-85CA-F6B45029C546}"/>
    <cellStyle name="20% - Accent2 3 5 3" xfId="5757" xr:uid="{00000000-0005-0000-0000-000012010000}"/>
    <cellStyle name="20% - Accent2 3 5 3 2" xfId="14207" xr:uid="{0A01F060-4FF2-422C-802C-DA462A9935F1}"/>
    <cellStyle name="20% - Accent2 3 5 4" xfId="9989" xr:uid="{EC97984D-D311-4ADB-A693-70BDA5FD4B93}"/>
    <cellStyle name="20% - Accent2 3 6" xfId="1864" xr:uid="{00000000-0005-0000-0000-000013010000}"/>
    <cellStyle name="20% - Accent2 3 6 2" xfId="4093" xr:uid="{00000000-0005-0000-0000-000014010000}"/>
    <cellStyle name="20% - Accent2 3 6 2 2" xfId="8315" xr:uid="{00000000-0005-0000-0000-000015010000}"/>
    <cellStyle name="20% - Accent2 3 6 2 2 2" xfId="16765" xr:uid="{6BEA4575-A447-45D6-B2DC-00771B11397C}"/>
    <cellStyle name="20% - Accent2 3 6 2 3" xfId="12547" xr:uid="{FA24B142-ED6A-4A34-922D-87ABCF794371}"/>
    <cellStyle name="20% - Accent2 3 6 3" xfId="6170" xr:uid="{00000000-0005-0000-0000-000016010000}"/>
    <cellStyle name="20% - Accent2 3 6 3 2" xfId="14620" xr:uid="{2029D735-F50F-4F54-851C-387CF7EA83D3}"/>
    <cellStyle name="20% - Accent2 3 6 4" xfId="10402" xr:uid="{67B6ED5C-B71F-41C6-A736-F4CB1432C3CC}"/>
    <cellStyle name="20% - Accent2 3 7" xfId="2277" xr:uid="{00000000-0005-0000-0000-000017010000}"/>
    <cellStyle name="20% - Accent2 3 7 2" xfId="6583" xr:uid="{00000000-0005-0000-0000-000018010000}"/>
    <cellStyle name="20% - Accent2 3 7 2 2" xfId="15033" xr:uid="{C96031B3-FDA2-4E76-9803-680AA41198F2}"/>
    <cellStyle name="20% - Accent2 3 7 3" xfId="10815" xr:uid="{7A18B1C8-76E5-4601-A0BB-ADE11D884D2C}"/>
    <cellStyle name="20% - Accent2 3 8" xfId="4517" xr:uid="{00000000-0005-0000-0000-000019010000}"/>
    <cellStyle name="20% - Accent2 3 8 2" xfId="12967" xr:uid="{A03B6543-DB13-4F31-BC5B-4B26130D7B19}"/>
    <cellStyle name="20% - Accent2 3 9" xfId="8749" xr:uid="{3236BD82-73FA-4D83-8783-41A7A503C411}"/>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2 2 2" xfId="15528" xr:uid="{6D86F229-EFE3-4297-A9C9-C43EA073CD73}"/>
    <cellStyle name="20% - Accent2 4 2 2 3" xfId="11310" xr:uid="{832F6206-77F5-4C44-BCE6-A2E31CF2F8B5}"/>
    <cellStyle name="20% - Accent2 4 2 3" xfId="4933" xr:uid="{00000000-0005-0000-0000-00001E010000}"/>
    <cellStyle name="20% - Accent2 4 2 3 2" xfId="13383" xr:uid="{4952793E-39D1-410B-9897-7943CB605459}"/>
    <cellStyle name="20% - Accent2 4 2 4" xfId="9165" xr:uid="{4AC2678E-392E-49D1-B015-D2C0AE940EB8}"/>
    <cellStyle name="20% - Accent2 4 3" xfId="1038" xr:uid="{00000000-0005-0000-0000-00001F010000}"/>
    <cellStyle name="20% - Accent2 4 3 2" xfId="3269" xr:uid="{00000000-0005-0000-0000-000020010000}"/>
    <cellStyle name="20% - Accent2 4 3 2 2" xfId="7491" xr:uid="{00000000-0005-0000-0000-000021010000}"/>
    <cellStyle name="20% - Accent2 4 3 2 2 2" xfId="15941" xr:uid="{F2E6D27B-90B1-4B81-84C8-646001266DAE}"/>
    <cellStyle name="20% - Accent2 4 3 2 3" xfId="11723" xr:uid="{061A94AC-454E-4192-AB9A-C67B219AD2D7}"/>
    <cellStyle name="20% - Accent2 4 3 3" xfId="5346" xr:uid="{00000000-0005-0000-0000-000022010000}"/>
    <cellStyle name="20% - Accent2 4 3 3 2" xfId="13796" xr:uid="{087B2C78-C556-4CFD-ACF7-AB4C265BB1AA}"/>
    <cellStyle name="20% - Accent2 4 3 4" xfId="9578" xr:uid="{C9B13472-BDA0-4D26-A851-E3C3AA75A64F}"/>
    <cellStyle name="20% - Accent2 4 4" xfId="1452" xr:uid="{00000000-0005-0000-0000-000023010000}"/>
    <cellStyle name="20% - Accent2 4 4 2" xfId="3682" xr:uid="{00000000-0005-0000-0000-000024010000}"/>
    <cellStyle name="20% - Accent2 4 4 2 2" xfId="7904" xr:uid="{00000000-0005-0000-0000-000025010000}"/>
    <cellStyle name="20% - Accent2 4 4 2 2 2" xfId="16354" xr:uid="{EF984F56-07C7-4D45-83A5-27639791FE8E}"/>
    <cellStyle name="20% - Accent2 4 4 2 3" xfId="12136" xr:uid="{00E02D06-42D0-475C-9434-8A2DED0DB0DD}"/>
    <cellStyle name="20% - Accent2 4 4 3" xfId="5759" xr:uid="{00000000-0005-0000-0000-000026010000}"/>
    <cellStyle name="20% - Accent2 4 4 3 2" xfId="14209" xr:uid="{24D83C70-0278-4571-9A28-BAAB7B3ED136}"/>
    <cellStyle name="20% - Accent2 4 4 4" xfId="9991" xr:uid="{2391D8FF-0BDA-4C84-8658-912647EF1FFF}"/>
    <cellStyle name="20% - Accent2 4 5" xfId="1866" xr:uid="{00000000-0005-0000-0000-000027010000}"/>
    <cellStyle name="20% - Accent2 4 5 2" xfId="4095" xr:uid="{00000000-0005-0000-0000-000028010000}"/>
    <cellStyle name="20% - Accent2 4 5 2 2" xfId="8317" xr:uid="{00000000-0005-0000-0000-000029010000}"/>
    <cellStyle name="20% - Accent2 4 5 2 2 2" xfId="16767" xr:uid="{2907DD45-0DF8-405F-93E3-437A95AD4CAD}"/>
    <cellStyle name="20% - Accent2 4 5 2 3" xfId="12549" xr:uid="{04B5E1DB-8B43-419C-A683-EA2F1CD34E3F}"/>
    <cellStyle name="20% - Accent2 4 5 3" xfId="6172" xr:uid="{00000000-0005-0000-0000-00002A010000}"/>
    <cellStyle name="20% - Accent2 4 5 3 2" xfId="14622" xr:uid="{F168A4C8-736B-4AFC-B4A0-2ABBE6006866}"/>
    <cellStyle name="20% - Accent2 4 5 4" xfId="10404" xr:uid="{E0AD4685-3413-494B-9337-D217A032F59D}"/>
    <cellStyle name="20% - Accent2 4 6" xfId="2279" xr:uid="{00000000-0005-0000-0000-00002B010000}"/>
    <cellStyle name="20% - Accent2 4 6 2" xfId="6585" xr:uid="{00000000-0005-0000-0000-00002C010000}"/>
    <cellStyle name="20% - Accent2 4 6 2 2" xfId="15035" xr:uid="{A72E3734-A435-4594-89BB-CC93CADE668B}"/>
    <cellStyle name="20% - Accent2 4 6 3" xfId="10817" xr:uid="{1C3D451E-9A3F-4229-8920-233BD8D13AF5}"/>
    <cellStyle name="20% - Accent2 4 7" xfId="4519" xr:uid="{00000000-0005-0000-0000-00002D010000}"/>
    <cellStyle name="20% - Accent2 4 7 2" xfId="12969" xr:uid="{3446DB86-8E23-4149-AC78-15A8DB7787B3}"/>
    <cellStyle name="20% - Accent2 4 8" xfId="8751" xr:uid="{33CC4E92-E15E-4623-A92D-9D00F358D61F}"/>
    <cellStyle name="20% - Accent2 5" xfId="578" xr:uid="{00000000-0005-0000-0000-00002E010000}"/>
    <cellStyle name="20% - Accent2 5 2" xfId="2849" xr:uid="{00000000-0005-0000-0000-00002F010000}"/>
    <cellStyle name="20% - Accent2 5 2 2" xfId="7071" xr:uid="{00000000-0005-0000-0000-000030010000}"/>
    <cellStyle name="20% - Accent2 5 2 2 2" xfId="15521" xr:uid="{28C897F8-FD87-41BD-9524-D9887FDBDAD8}"/>
    <cellStyle name="20% - Accent2 5 2 3" xfId="11303" xr:uid="{0E1844DE-54D9-49F5-A72F-D187A8BEBE4B}"/>
    <cellStyle name="20% - Accent2 5 3" xfId="4926" xr:uid="{00000000-0005-0000-0000-000031010000}"/>
    <cellStyle name="20% - Accent2 5 3 2" xfId="13376" xr:uid="{42C64B88-700C-4CA6-8B39-A7F079E35D6E}"/>
    <cellStyle name="20% - Accent2 5 4" xfId="9158" xr:uid="{4E98F78D-DCD0-4698-890F-575CEC5A062F}"/>
    <cellStyle name="20% - Accent2 6" xfId="1031" xr:uid="{00000000-0005-0000-0000-000032010000}"/>
    <cellStyle name="20% - Accent2 6 2" xfId="3262" xr:uid="{00000000-0005-0000-0000-000033010000}"/>
    <cellStyle name="20% - Accent2 6 2 2" xfId="7484" xr:uid="{00000000-0005-0000-0000-000034010000}"/>
    <cellStyle name="20% - Accent2 6 2 2 2" xfId="15934" xr:uid="{52A04D95-C4BB-4E1A-95FF-0FF33003AD04}"/>
    <cellStyle name="20% - Accent2 6 2 3" xfId="11716" xr:uid="{7473C4F0-73FC-4537-AA88-D552796070B5}"/>
    <cellStyle name="20% - Accent2 6 3" xfId="5339" xr:uid="{00000000-0005-0000-0000-000035010000}"/>
    <cellStyle name="20% - Accent2 6 3 2" xfId="13789" xr:uid="{4F5BEFC6-797C-4CA6-9607-F296B308BC3E}"/>
    <cellStyle name="20% - Accent2 6 4" xfId="9571" xr:uid="{3815F5D4-6382-4ABC-856B-0C52A8571819}"/>
    <cellStyle name="20% - Accent2 7" xfId="1445" xr:uid="{00000000-0005-0000-0000-000036010000}"/>
    <cellStyle name="20% - Accent2 7 2" xfId="3675" xr:uid="{00000000-0005-0000-0000-000037010000}"/>
    <cellStyle name="20% - Accent2 7 2 2" xfId="7897" xr:uid="{00000000-0005-0000-0000-000038010000}"/>
    <cellStyle name="20% - Accent2 7 2 2 2" xfId="16347" xr:uid="{7E8169FC-F370-4301-B6AC-192D369741F7}"/>
    <cellStyle name="20% - Accent2 7 2 3" xfId="12129" xr:uid="{CEE171E1-5B95-4245-8962-8DDDD37BE17B}"/>
    <cellStyle name="20% - Accent2 7 3" xfId="5752" xr:uid="{00000000-0005-0000-0000-000039010000}"/>
    <cellStyle name="20% - Accent2 7 3 2" xfId="14202" xr:uid="{BCDD09EA-0F5B-46BB-A94F-854252C52E2A}"/>
    <cellStyle name="20% - Accent2 7 4" xfId="9984" xr:uid="{9B30803D-AA8D-40B8-AF74-C2DD980AE30D}"/>
    <cellStyle name="20% - Accent2 8" xfId="1859" xr:uid="{00000000-0005-0000-0000-00003A010000}"/>
    <cellStyle name="20% - Accent2 8 2" xfId="4088" xr:uid="{00000000-0005-0000-0000-00003B010000}"/>
    <cellStyle name="20% - Accent2 8 2 2" xfId="8310" xr:uid="{00000000-0005-0000-0000-00003C010000}"/>
    <cellStyle name="20% - Accent2 8 2 2 2" xfId="16760" xr:uid="{BBF46920-0402-4A5E-A71C-94E5E4E670AF}"/>
    <cellStyle name="20% - Accent2 8 2 3" xfId="12542" xr:uid="{71D2255D-7701-48E1-A878-A122C09F73D2}"/>
    <cellStyle name="20% - Accent2 8 3" xfId="6165" xr:uid="{00000000-0005-0000-0000-00003D010000}"/>
    <cellStyle name="20% - Accent2 8 3 2" xfId="14615" xr:uid="{C39FBA13-A41D-4476-89AD-D2DB68E152E1}"/>
    <cellStyle name="20% - Accent2 8 4" xfId="10397" xr:uid="{2025C670-E63B-4644-8C69-9C93D04FABA4}"/>
    <cellStyle name="20% - Accent2 9" xfId="2272" xr:uid="{00000000-0005-0000-0000-00003E010000}"/>
    <cellStyle name="20% - Accent2 9 2" xfId="6578" xr:uid="{00000000-0005-0000-0000-00003F010000}"/>
    <cellStyle name="20% - Accent2 9 2 2" xfId="15028" xr:uid="{7A2CB153-13E8-4938-ABCD-650C74F767AE}"/>
    <cellStyle name="20% - Accent2 9 3" xfId="10810" xr:uid="{1468355A-239B-44E7-8226-324F78A97838}"/>
    <cellStyle name="20% - Accent3" xfId="17" builtinId="38" customBuiltin="1"/>
    <cellStyle name="20% - Accent3 10" xfId="4520" xr:uid="{00000000-0005-0000-0000-000041010000}"/>
    <cellStyle name="20% - Accent3 10 2" xfId="12970" xr:uid="{2DF7D9E9-DD61-4126-879A-6F1E8043C727}"/>
    <cellStyle name="20% - Accent3 11" xfId="8752" xr:uid="{E92DC37C-C170-4685-B569-538D70F5679E}"/>
    <cellStyle name="20% - Accent3 2" xfId="18" xr:uid="{00000000-0005-0000-0000-000042010000}"/>
    <cellStyle name="20% - Accent3 2 10" xfId="8753" xr:uid="{BAF4E2F0-2829-4405-84E6-633A0B2F6C7C}"/>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2 2 2" xfId="15532" xr:uid="{F0F82EA4-5B54-4B74-89F7-773358CB8AC9}"/>
    <cellStyle name="20% - Accent3 2 2 2 2 2 3" xfId="11314" xr:uid="{532F3046-E3D6-4307-BE6A-064B8BA91DC3}"/>
    <cellStyle name="20% - Accent3 2 2 2 2 3" xfId="4937" xr:uid="{00000000-0005-0000-0000-000048010000}"/>
    <cellStyle name="20% - Accent3 2 2 2 2 3 2" xfId="13387" xr:uid="{247D2C6D-1A73-40C4-8FF9-657E92DC7217}"/>
    <cellStyle name="20% - Accent3 2 2 2 2 4" xfId="9169" xr:uid="{A990C938-E3D6-4C3B-A5AC-74A27FCFE257}"/>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2 2 2" xfId="15945" xr:uid="{0D355D3D-F41C-4B41-90C2-6A0BA4413C2B}"/>
    <cellStyle name="20% - Accent3 2 2 2 3 2 3" xfId="11727" xr:uid="{A1723BC3-A49B-41F9-B3EA-9A79EA35BFA3}"/>
    <cellStyle name="20% - Accent3 2 2 2 3 3" xfId="5350" xr:uid="{00000000-0005-0000-0000-00004C010000}"/>
    <cellStyle name="20% - Accent3 2 2 2 3 3 2" xfId="13800" xr:uid="{3DB27ECB-3918-4477-9834-EE1A39869BDE}"/>
    <cellStyle name="20% - Accent3 2 2 2 3 4" xfId="9582" xr:uid="{2627EA57-5F81-437B-A2A7-5BDF29581792}"/>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2 2 2" xfId="16358" xr:uid="{5938C5DD-5BCF-4A36-A543-03B1A626BEDA}"/>
    <cellStyle name="20% - Accent3 2 2 2 4 2 3" xfId="12140" xr:uid="{B5D75C6A-0CE1-4EA1-8D65-8F5BDAF50E21}"/>
    <cellStyle name="20% - Accent3 2 2 2 4 3" xfId="5763" xr:uid="{00000000-0005-0000-0000-000050010000}"/>
    <cellStyle name="20% - Accent3 2 2 2 4 3 2" xfId="14213" xr:uid="{656ED920-343C-4806-A6C2-4ECD68DE0095}"/>
    <cellStyle name="20% - Accent3 2 2 2 4 4" xfId="9995" xr:uid="{9C5BB521-393D-4F79-9836-6BFD03E46144}"/>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2 2 2" xfId="16771" xr:uid="{E5A4D5ED-2B70-4419-8BBF-8C036E405BDE}"/>
    <cellStyle name="20% - Accent3 2 2 2 5 2 3" xfId="12553" xr:uid="{26DBA28E-7309-4533-848B-E289E02C882F}"/>
    <cellStyle name="20% - Accent3 2 2 2 5 3" xfId="6176" xr:uid="{00000000-0005-0000-0000-000054010000}"/>
    <cellStyle name="20% - Accent3 2 2 2 5 3 2" xfId="14626" xr:uid="{FB4F046A-0C53-46C9-B2AE-26898049F1BC}"/>
    <cellStyle name="20% - Accent3 2 2 2 5 4" xfId="10408" xr:uid="{FB567EF4-182A-45F6-BCEB-DA8E6E8383E3}"/>
    <cellStyle name="20% - Accent3 2 2 2 6" xfId="2283" xr:uid="{00000000-0005-0000-0000-000055010000}"/>
    <cellStyle name="20% - Accent3 2 2 2 6 2" xfId="6589" xr:uid="{00000000-0005-0000-0000-000056010000}"/>
    <cellStyle name="20% - Accent3 2 2 2 6 2 2" xfId="15039" xr:uid="{6EEEA8B7-3A66-46CF-8203-A68F6FE32C66}"/>
    <cellStyle name="20% - Accent3 2 2 2 6 3" xfId="10821" xr:uid="{3A5241AE-9A5D-4591-87D5-7F0C79237533}"/>
    <cellStyle name="20% - Accent3 2 2 2 7" xfId="4523" xr:uid="{00000000-0005-0000-0000-000057010000}"/>
    <cellStyle name="20% - Accent3 2 2 2 7 2" xfId="12973" xr:uid="{FDD27FF4-839A-45BF-82F2-29A7C04F0994}"/>
    <cellStyle name="20% - Accent3 2 2 2 8" xfId="8755" xr:uid="{9D65FF4A-5E85-43A9-93BA-031EDE68936D}"/>
    <cellStyle name="20% - Accent3 2 2 3" xfId="588" xr:uid="{00000000-0005-0000-0000-000058010000}"/>
    <cellStyle name="20% - Accent3 2 2 3 2" xfId="2859" xr:uid="{00000000-0005-0000-0000-000059010000}"/>
    <cellStyle name="20% - Accent3 2 2 3 2 2" xfId="7081" xr:uid="{00000000-0005-0000-0000-00005A010000}"/>
    <cellStyle name="20% - Accent3 2 2 3 2 2 2" xfId="15531" xr:uid="{F943F0AF-914E-424B-A843-F315FA95E80D}"/>
    <cellStyle name="20% - Accent3 2 2 3 2 3" xfId="11313" xr:uid="{DEECB45D-B168-45E5-B226-C5A8509D7CB4}"/>
    <cellStyle name="20% - Accent3 2 2 3 3" xfId="4936" xr:uid="{00000000-0005-0000-0000-00005B010000}"/>
    <cellStyle name="20% - Accent3 2 2 3 3 2" xfId="13386" xr:uid="{C88ECAAC-34D4-48D2-BFE7-1C083D962279}"/>
    <cellStyle name="20% - Accent3 2 2 3 4" xfId="9168" xr:uid="{C2301B23-516E-4759-9CBB-75994C1478AB}"/>
    <cellStyle name="20% - Accent3 2 2 4" xfId="1041" xr:uid="{00000000-0005-0000-0000-00005C010000}"/>
    <cellStyle name="20% - Accent3 2 2 4 2" xfId="3272" xr:uid="{00000000-0005-0000-0000-00005D010000}"/>
    <cellStyle name="20% - Accent3 2 2 4 2 2" xfId="7494" xr:uid="{00000000-0005-0000-0000-00005E010000}"/>
    <cellStyle name="20% - Accent3 2 2 4 2 2 2" xfId="15944" xr:uid="{D6A4E684-43C1-409B-8986-7FFC60F6FE7A}"/>
    <cellStyle name="20% - Accent3 2 2 4 2 3" xfId="11726" xr:uid="{BB5DFD1C-44EE-4470-9232-D6CFB3C60FA0}"/>
    <cellStyle name="20% - Accent3 2 2 4 3" xfId="5349" xr:uid="{00000000-0005-0000-0000-00005F010000}"/>
    <cellStyle name="20% - Accent3 2 2 4 3 2" xfId="13799" xr:uid="{28239C95-7EAD-40F7-8D4C-88C4D5D5AF62}"/>
    <cellStyle name="20% - Accent3 2 2 4 4" xfId="9581" xr:uid="{0F4C49CB-680E-4F0B-81AF-4E6FB0DE45CD}"/>
    <cellStyle name="20% - Accent3 2 2 5" xfId="1455" xr:uid="{00000000-0005-0000-0000-000060010000}"/>
    <cellStyle name="20% - Accent3 2 2 5 2" xfId="3685" xr:uid="{00000000-0005-0000-0000-000061010000}"/>
    <cellStyle name="20% - Accent3 2 2 5 2 2" xfId="7907" xr:uid="{00000000-0005-0000-0000-000062010000}"/>
    <cellStyle name="20% - Accent3 2 2 5 2 2 2" xfId="16357" xr:uid="{71206F90-F18D-4FEB-9811-F7E6811BDA27}"/>
    <cellStyle name="20% - Accent3 2 2 5 2 3" xfId="12139" xr:uid="{B63394ED-52D0-475F-8638-671F86FFE270}"/>
    <cellStyle name="20% - Accent3 2 2 5 3" xfId="5762" xr:uid="{00000000-0005-0000-0000-000063010000}"/>
    <cellStyle name="20% - Accent3 2 2 5 3 2" xfId="14212" xr:uid="{2D6806DD-C0F1-4707-B67C-AC0D1A595089}"/>
    <cellStyle name="20% - Accent3 2 2 5 4" xfId="9994" xr:uid="{63C4B2AA-88F3-4107-B470-833C74E271A6}"/>
    <cellStyle name="20% - Accent3 2 2 6" xfId="1869" xr:uid="{00000000-0005-0000-0000-000064010000}"/>
    <cellStyle name="20% - Accent3 2 2 6 2" xfId="4098" xr:uid="{00000000-0005-0000-0000-000065010000}"/>
    <cellStyle name="20% - Accent3 2 2 6 2 2" xfId="8320" xr:uid="{00000000-0005-0000-0000-000066010000}"/>
    <cellStyle name="20% - Accent3 2 2 6 2 2 2" xfId="16770" xr:uid="{801BBD00-4742-413C-A175-48B7F97CD40F}"/>
    <cellStyle name="20% - Accent3 2 2 6 2 3" xfId="12552" xr:uid="{3BA8974E-5A84-484A-ABE4-53B7DD73EFCE}"/>
    <cellStyle name="20% - Accent3 2 2 6 3" xfId="6175" xr:uid="{00000000-0005-0000-0000-000067010000}"/>
    <cellStyle name="20% - Accent3 2 2 6 3 2" xfId="14625" xr:uid="{5AB2F262-4878-4335-A46C-3F0560E5A431}"/>
    <cellStyle name="20% - Accent3 2 2 6 4" xfId="10407" xr:uid="{F97ED38A-1581-4130-893A-9E006841920B}"/>
    <cellStyle name="20% - Accent3 2 2 7" xfId="2282" xr:uid="{00000000-0005-0000-0000-000068010000}"/>
    <cellStyle name="20% - Accent3 2 2 7 2" xfId="6588" xr:uid="{00000000-0005-0000-0000-000069010000}"/>
    <cellStyle name="20% - Accent3 2 2 7 2 2" xfId="15038" xr:uid="{C8185A32-0FF7-44A3-8C4E-7AD23D89E5D4}"/>
    <cellStyle name="20% - Accent3 2 2 7 3" xfId="10820" xr:uid="{7946C52E-FBC3-4494-A4EA-555BD492680A}"/>
    <cellStyle name="20% - Accent3 2 2 8" xfId="4522" xr:uid="{00000000-0005-0000-0000-00006A010000}"/>
    <cellStyle name="20% - Accent3 2 2 8 2" xfId="12972" xr:uid="{554E8D12-61BD-4791-8539-880302F4E367}"/>
    <cellStyle name="20% - Accent3 2 2 9" xfId="8754" xr:uid="{FE3965EF-9AE0-4CDC-8D63-8F646ADAFD52}"/>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2 2 2" xfId="15533" xr:uid="{F811603D-CE0C-460D-A065-540959C3F18C}"/>
    <cellStyle name="20% - Accent3 2 3 2 2 3" xfId="11315" xr:uid="{AE0A368A-9316-48B4-90A3-C7FAE41AC7F2}"/>
    <cellStyle name="20% - Accent3 2 3 2 3" xfId="4938" xr:uid="{00000000-0005-0000-0000-00006F010000}"/>
    <cellStyle name="20% - Accent3 2 3 2 3 2" xfId="13388" xr:uid="{3B7097F3-F960-46C4-8BE3-7C49E095A919}"/>
    <cellStyle name="20% - Accent3 2 3 2 4" xfId="9170" xr:uid="{DA6424DC-4E22-4A55-90AF-D217BDA3F335}"/>
    <cellStyle name="20% - Accent3 2 3 3" xfId="1043" xr:uid="{00000000-0005-0000-0000-000070010000}"/>
    <cellStyle name="20% - Accent3 2 3 3 2" xfId="3274" xr:uid="{00000000-0005-0000-0000-000071010000}"/>
    <cellStyle name="20% - Accent3 2 3 3 2 2" xfId="7496" xr:uid="{00000000-0005-0000-0000-000072010000}"/>
    <cellStyle name="20% - Accent3 2 3 3 2 2 2" xfId="15946" xr:uid="{D72D754B-CF21-4A3F-BEBA-8DA616B3FE0C}"/>
    <cellStyle name="20% - Accent3 2 3 3 2 3" xfId="11728" xr:uid="{1C9F4084-8842-448F-BCDA-F03B12EA60BF}"/>
    <cellStyle name="20% - Accent3 2 3 3 3" xfId="5351" xr:uid="{00000000-0005-0000-0000-000073010000}"/>
    <cellStyle name="20% - Accent3 2 3 3 3 2" xfId="13801" xr:uid="{5E9C49F0-BFE7-4839-AC19-776F380A5B98}"/>
    <cellStyle name="20% - Accent3 2 3 3 4" xfId="9583" xr:uid="{2FD910DC-6F80-4159-AFFC-40CACF625EFA}"/>
    <cellStyle name="20% - Accent3 2 3 4" xfId="1457" xr:uid="{00000000-0005-0000-0000-000074010000}"/>
    <cellStyle name="20% - Accent3 2 3 4 2" xfId="3687" xr:uid="{00000000-0005-0000-0000-000075010000}"/>
    <cellStyle name="20% - Accent3 2 3 4 2 2" xfId="7909" xr:uid="{00000000-0005-0000-0000-000076010000}"/>
    <cellStyle name="20% - Accent3 2 3 4 2 2 2" xfId="16359" xr:uid="{E3AFFA6A-15F6-4256-9486-696C5D4EDDE4}"/>
    <cellStyle name="20% - Accent3 2 3 4 2 3" xfId="12141" xr:uid="{3A8230C6-28B7-4D0E-A676-AE5F77C54363}"/>
    <cellStyle name="20% - Accent3 2 3 4 3" xfId="5764" xr:uid="{00000000-0005-0000-0000-000077010000}"/>
    <cellStyle name="20% - Accent3 2 3 4 3 2" xfId="14214" xr:uid="{28FC18E0-9CA6-44A9-AD91-C4A9F8468D90}"/>
    <cellStyle name="20% - Accent3 2 3 4 4" xfId="9996" xr:uid="{B42510A3-ADF0-476F-95F8-37A363CAB0A5}"/>
    <cellStyle name="20% - Accent3 2 3 5" xfId="1871" xr:uid="{00000000-0005-0000-0000-000078010000}"/>
    <cellStyle name="20% - Accent3 2 3 5 2" xfId="4100" xr:uid="{00000000-0005-0000-0000-000079010000}"/>
    <cellStyle name="20% - Accent3 2 3 5 2 2" xfId="8322" xr:uid="{00000000-0005-0000-0000-00007A010000}"/>
    <cellStyle name="20% - Accent3 2 3 5 2 2 2" xfId="16772" xr:uid="{20BB9D9B-B2C7-4E65-B31F-D8A204713696}"/>
    <cellStyle name="20% - Accent3 2 3 5 2 3" xfId="12554" xr:uid="{BB3B20D6-BA77-4C03-9397-C744AB953334}"/>
    <cellStyle name="20% - Accent3 2 3 5 3" xfId="6177" xr:uid="{00000000-0005-0000-0000-00007B010000}"/>
    <cellStyle name="20% - Accent3 2 3 5 3 2" xfId="14627" xr:uid="{96053F19-7C00-4A13-8C17-11271C044314}"/>
    <cellStyle name="20% - Accent3 2 3 5 4" xfId="10409" xr:uid="{021A9649-3F2F-466A-889E-32F27E8294BE}"/>
    <cellStyle name="20% - Accent3 2 3 6" xfId="2284" xr:uid="{00000000-0005-0000-0000-00007C010000}"/>
    <cellStyle name="20% - Accent3 2 3 6 2" xfId="6590" xr:uid="{00000000-0005-0000-0000-00007D010000}"/>
    <cellStyle name="20% - Accent3 2 3 6 2 2" xfId="15040" xr:uid="{29297D0F-1127-4FAB-8232-93BE4263029E}"/>
    <cellStyle name="20% - Accent3 2 3 6 3" xfId="10822" xr:uid="{12BB9A71-5232-4348-AAF4-F1C936DB49A2}"/>
    <cellStyle name="20% - Accent3 2 3 7" xfId="4524" xr:uid="{00000000-0005-0000-0000-00007E010000}"/>
    <cellStyle name="20% - Accent3 2 3 7 2" xfId="12974" xr:uid="{BA67E975-4C6E-4A42-8E5B-44048122B809}"/>
    <cellStyle name="20% - Accent3 2 3 8" xfId="8756" xr:uid="{61B3DEA5-2A30-4160-863A-01DABF508175}"/>
    <cellStyle name="20% - Accent3 2 4" xfId="587" xr:uid="{00000000-0005-0000-0000-00007F010000}"/>
    <cellStyle name="20% - Accent3 2 4 2" xfId="2858" xr:uid="{00000000-0005-0000-0000-000080010000}"/>
    <cellStyle name="20% - Accent3 2 4 2 2" xfId="7080" xr:uid="{00000000-0005-0000-0000-000081010000}"/>
    <cellStyle name="20% - Accent3 2 4 2 2 2" xfId="15530" xr:uid="{92A495FE-32B6-4337-87BA-D8209FA9B649}"/>
    <cellStyle name="20% - Accent3 2 4 2 3" xfId="11312" xr:uid="{9D5DC85B-9CC6-4F02-922E-7DDF1DFEA721}"/>
    <cellStyle name="20% - Accent3 2 4 3" xfId="4935" xr:uid="{00000000-0005-0000-0000-000082010000}"/>
    <cellStyle name="20% - Accent3 2 4 3 2" xfId="13385" xr:uid="{1BBE30F4-6276-4659-AAF9-64AE7A3CD26E}"/>
    <cellStyle name="20% - Accent3 2 4 4" xfId="9167" xr:uid="{E52CDEAE-DED0-4CD6-AE17-20173101945C}"/>
    <cellStyle name="20% - Accent3 2 5" xfId="1040" xr:uid="{00000000-0005-0000-0000-000083010000}"/>
    <cellStyle name="20% - Accent3 2 5 2" xfId="3271" xr:uid="{00000000-0005-0000-0000-000084010000}"/>
    <cellStyle name="20% - Accent3 2 5 2 2" xfId="7493" xr:uid="{00000000-0005-0000-0000-000085010000}"/>
    <cellStyle name="20% - Accent3 2 5 2 2 2" xfId="15943" xr:uid="{E7135E14-628D-4456-AD2B-5331B5726780}"/>
    <cellStyle name="20% - Accent3 2 5 2 3" xfId="11725" xr:uid="{2FE5800F-7F90-4753-88FB-BFB92A60188B}"/>
    <cellStyle name="20% - Accent3 2 5 3" xfId="5348" xr:uid="{00000000-0005-0000-0000-000086010000}"/>
    <cellStyle name="20% - Accent3 2 5 3 2" xfId="13798" xr:uid="{0ABD7D6A-421A-4A12-A667-612E1720984D}"/>
    <cellStyle name="20% - Accent3 2 5 4" xfId="9580" xr:uid="{41F91694-DC70-46DF-A298-FB61C28F5394}"/>
    <cellStyle name="20% - Accent3 2 6" xfId="1454" xr:uid="{00000000-0005-0000-0000-000087010000}"/>
    <cellStyle name="20% - Accent3 2 6 2" xfId="3684" xr:uid="{00000000-0005-0000-0000-000088010000}"/>
    <cellStyle name="20% - Accent3 2 6 2 2" xfId="7906" xr:uid="{00000000-0005-0000-0000-000089010000}"/>
    <cellStyle name="20% - Accent3 2 6 2 2 2" xfId="16356" xr:uid="{E7AD1758-BC6E-421F-AF61-C44620D99079}"/>
    <cellStyle name="20% - Accent3 2 6 2 3" xfId="12138" xr:uid="{4DEFFA05-EBB7-4ED4-83B6-8E5F7B25CB10}"/>
    <cellStyle name="20% - Accent3 2 6 3" xfId="5761" xr:uid="{00000000-0005-0000-0000-00008A010000}"/>
    <cellStyle name="20% - Accent3 2 6 3 2" xfId="14211" xr:uid="{8E15FA17-AC3F-4F3D-9323-188B69782EDC}"/>
    <cellStyle name="20% - Accent3 2 6 4" xfId="9993" xr:uid="{ACDEACE6-9F14-4A29-8B59-1C1E2C99EE50}"/>
    <cellStyle name="20% - Accent3 2 7" xfId="1868" xr:uid="{00000000-0005-0000-0000-00008B010000}"/>
    <cellStyle name="20% - Accent3 2 7 2" xfId="4097" xr:uid="{00000000-0005-0000-0000-00008C010000}"/>
    <cellStyle name="20% - Accent3 2 7 2 2" xfId="8319" xr:uid="{00000000-0005-0000-0000-00008D010000}"/>
    <cellStyle name="20% - Accent3 2 7 2 2 2" xfId="16769" xr:uid="{D1636958-5E57-407D-9C26-B4B66F621056}"/>
    <cellStyle name="20% - Accent3 2 7 2 3" xfId="12551" xr:uid="{54E89679-AFC8-4577-8008-12AF926EC6A8}"/>
    <cellStyle name="20% - Accent3 2 7 3" xfId="6174" xr:uid="{00000000-0005-0000-0000-00008E010000}"/>
    <cellStyle name="20% - Accent3 2 7 3 2" xfId="14624" xr:uid="{03EA2673-D30A-44C1-94D0-9EC45A41C65A}"/>
    <cellStyle name="20% - Accent3 2 7 4" xfId="10406" xr:uid="{2F3ED358-0159-4AE0-B6C8-7EF8ABF01206}"/>
    <cellStyle name="20% - Accent3 2 8" xfId="2281" xr:uid="{00000000-0005-0000-0000-00008F010000}"/>
    <cellStyle name="20% - Accent3 2 8 2" xfId="6587" xr:uid="{00000000-0005-0000-0000-000090010000}"/>
    <cellStyle name="20% - Accent3 2 8 2 2" xfId="15037" xr:uid="{A7D4CE6D-9401-4DC7-8296-B5D8D37311D3}"/>
    <cellStyle name="20% - Accent3 2 8 3" xfId="10819" xr:uid="{03DB5826-A890-4489-BC12-C760A365A762}"/>
    <cellStyle name="20% - Accent3 2 9" xfId="4521" xr:uid="{00000000-0005-0000-0000-000091010000}"/>
    <cellStyle name="20% - Accent3 2 9 2" xfId="12971" xr:uid="{97E18CBE-3468-4FF1-9933-0DA4A68908E8}"/>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2 2 2" xfId="15535" xr:uid="{0AB29AC2-C39B-4A03-83E6-887F8DEE5A88}"/>
    <cellStyle name="20% - Accent3 3 2 2 2 3" xfId="11317" xr:uid="{1F5A1D62-02B5-4FB9-8B92-336E3A24BF27}"/>
    <cellStyle name="20% - Accent3 3 2 2 3" xfId="4940" xr:uid="{00000000-0005-0000-0000-000097010000}"/>
    <cellStyle name="20% - Accent3 3 2 2 3 2" xfId="13390" xr:uid="{231E7949-6725-4E6A-BDE8-FACF7EDEB0A4}"/>
    <cellStyle name="20% - Accent3 3 2 2 4" xfId="9172" xr:uid="{AD1C3228-C2F5-4E47-B756-E7EE14D89309}"/>
    <cellStyle name="20% - Accent3 3 2 3" xfId="1045" xr:uid="{00000000-0005-0000-0000-000098010000}"/>
    <cellStyle name="20% - Accent3 3 2 3 2" xfId="3276" xr:uid="{00000000-0005-0000-0000-000099010000}"/>
    <cellStyle name="20% - Accent3 3 2 3 2 2" xfId="7498" xr:uid="{00000000-0005-0000-0000-00009A010000}"/>
    <cellStyle name="20% - Accent3 3 2 3 2 2 2" xfId="15948" xr:uid="{26E3B9FB-0012-4D42-AC63-9A6814952E9A}"/>
    <cellStyle name="20% - Accent3 3 2 3 2 3" xfId="11730" xr:uid="{D7B77C96-3130-4512-80C9-B3F665A635F7}"/>
    <cellStyle name="20% - Accent3 3 2 3 3" xfId="5353" xr:uid="{00000000-0005-0000-0000-00009B010000}"/>
    <cellStyle name="20% - Accent3 3 2 3 3 2" xfId="13803" xr:uid="{61A0F271-74F1-4320-8168-36ED6BF20390}"/>
    <cellStyle name="20% - Accent3 3 2 3 4" xfId="9585" xr:uid="{8C633297-D86B-4E7B-BD14-3CD2AC8E004E}"/>
    <cellStyle name="20% - Accent3 3 2 4" xfId="1459" xr:uid="{00000000-0005-0000-0000-00009C010000}"/>
    <cellStyle name="20% - Accent3 3 2 4 2" xfId="3689" xr:uid="{00000000-0005-0000-0000-00009D010000}"/>
    <cellStyle name="20% - Accent3 3 2 4 2 2" xfId="7911" xr:uid="{00000000-0005-0000-0000-00009E010000}"/>
    <cellStyle name="20% - Accent3 3 2 4 2 2 2" xfId="16361" xr:uid="{3C03A966-EFB3-49AF-BD80-E0039836C2A7}"/>
    <cellStyle name="20% - Accent3 3 2 4 2 3" xfId="12143" xr:uid="{296B7916-A087-49F9-9FA3-AB637FDF3337}"/>
    <cellStyle name="20% - Accent3 3 2 4 3" xfId="5766" xr:uid="{00000000-0005-0000-0000-00009F010000}"/>
    <cellStyle name="20% - Accent3 3 2 4 3 2" xfId="14216" xr:uid="{44F00E31-0062-4F12-8D5A-CBE5B4A4B98C}"/>
    <cellStyle name="20% - Accent3 3 2 4 4" xfId="9998" xr:uid="{C8628E57-19D2-4055-BE56-504E6805629F}"/>
    <cellStyle name="20% - Accent3 3 2 5" xfId="1873" xr:uid="{00000000-0005-0000-0000-0000A0010000}"/>
    <cellStyle name="20% - Accent3 3 2 5 2" xfId="4102" xr:uid="{00000000-0005-0000-0000-0000A1010000}"/>
    <cellStyle name="20% - Accent3 3 2 5 2 2" xfId="8324" xr:uid="{00000000-0005-0000-0000-0000A2010000}"/>
    <cellStyle name="20% - Accent3 3 2 5 2 2 2" xfId="16774" xr:uid="{3D8ECBCF-E95E-4E3C-9F7F-46C55CF1429C}"/>
    <cellStyle name="20% - Accent3 3 2 5 2 3" xfId="12556" xr:uid="{6CECA08A-93EF-45D4-9F79-1F16A51784F5}"/>
    <cellStyle name="20% - Accent3 3 2 5 3" xfId="6179" xr:uid="{00000000-0005-0000-0000-0000A3010000}"/>
    <cellStyle name="20% - Accent3 3 2 5 3 2" xfId="14629" xr:uid="{1DDD6D00-94C2-4DE1-8E61-A528D3C55ABF}"/>
    <cellStyle name="20% - Accent3 3 2 5 4" xfId="10411" xr:uid="{E149DF22-3DC5-4578-98F5-B3234F0D15FD}"/>
    <cellStyle name="20% - Accent3 3 2 6" xfId="2286" xr:uid="{00000000-0005-0000-0000-0000A4010000}"/>
    <cellStyle name="20% - Accent3 3 2 6 2" xfId="6592" xr:uid="{00000000-0005-0000-0000-0000A5010000}"/>
    <cellStyle name="20% - Accent3 3 2 6 2 2" xfId="15042" xr:uid="{A413885D-8D0F-47E6-B8A6-15B91AF8F1FE}"/>
    <cellStyle name="20% - Accent3 3 2 6 3" xfId="10824" xr:uid="{412C2757-47CC-437F-95B4-3C7C19A9C9B7}"/>
    <cellStyle name="20% - Accent3 3 2 7" xfId="4526" xr:uid="{00000000-0005-0000-0000-0000A6010000}"/>
    <cellStyle name="20% - Accent3 3 2 7 2" xfId="12976" xr:uid="{AC570F8B-D2FE-43ED-B642-CF493F08FF4D}"/>
    <cellStyle name="20% - Accent3 3 2 8" xfId="8758" xr:uid="{4EAFE271-E63E-4CD5-BCDD-93746BAD027E}"/>
    <cellStyle name="20% - Accent3 3 3" xfId="591" xr:uid="{00000000-0005-0000-0000-0000A7010000}"/>
    <cellStyle name="20% - Accent3 3 3 2" xfId="2862" xr:uid="{00000000-0005-0000-0000-0000A8010000}"/>
    <cellStyle name="20% - Accent3 3 3 2 2" xfId="7084" xr:uid="{00000000-0005-0000-0000-0000A9010000}"/>
    <cellStyle name="20% - Accent3 3 3 2 2 2" xfId="15534" xr:uid="{F4C53AAC-73DA-428C-B306-08F585A1A4E9}"/>
    <cellStyle name="20% - Accent3 3 3 2 3" xfId="11316" xr:uid="{971AE07E-8FE3-4515-9D00-4C5DFD895151}"/>
    <cellStyle name="20% - Accent3 3 3 3" xfId="4939" xr:uid="{00000000-0005-0000-0000-0000AA010000}"/>
    <cellStyle name="20% - Accent3 3 3 3 2" xfId="13389" xr:uid="{30166E88-AE32-40ED-9058-A183EBDD0E63}"/>
    <cellStyle name="20% - Accent3 3 3 4" xfId="9171" xr:uid="{05970F7E-F03C-40B9-B240-6A3BD93EC270}"/>
    <cellStyle name="20% - Accent3 3 4" xfId="1044" xr:uid="{00000000-0005-0000-0000-0000AB010000}"/>
    <cellStyle name="20% - Accent3 3 4 2" xfId="3275" xr:uid="{00000000-0005-0000-0000-0000AC010000}"/>
    <cellStyle name="20% - Accent3 3 4 2 2" xfId="7497" xr:uid="{00000000-0005-0000-0000-0000AD010000}"/>
    <cellStyle name="20% - Accent3 3 4 2 2 2" xfId="15947" xr:uid="{BF9C021E-E7C9-415C-B0DF-055D3E42E94E}"/>
    <cellStyle name="20% - Accent3 3 4 2 3" xfId="11729" xr:uid="{D34FB3C9-1C62-4DAE-9DE2-EB989AE1C8EE}"/>
    <cellStyle name="20% - Accent3 3 4 3" xfId="5352" xr:uid="{00000000-0005-0000-0000-0000AE010000}"/>
    <cellStyle name="20% - Accent3 3 4 3 2" xfId="13802" xr:uid="{792FD85F-4EBD-4666-9E11-7FAB2773BD44}"/>
    <cellStyle name="20% - Accent3 3 4 4" xfId="9584" xr:uid="{6B016EFE-5240-4BA7-BCB4-9A01BB123FAE}"/>
    <cellStyle name="20% - Accent3 3 5" xfId="1458" xr:uid="{00000000-0005-0000-0000-0000AF010000}"/>
    <cellStyle name="20% - Accent3 3 5 2" xfId="3688" xr:uid="{00000000-0005-0000-0000-0000B0010000}"/>
    <cellStyle name="20% - Accent3 3 5 2 2" xfId="7910" xr:uid="{00000000-0005-0000-0000-0000B1010000}"/>
    <cellStyle name="20% - Accent3 3 5 2 2 2" xfId="16360" xr:uid="{A873E5CF-80E0-429D-9C2E-ACB60FBA9D52}"/>
    <cellStyle name="20% - Accent3 3 5 2 3" xfId="12142" xr:uid="{C64F0724-80ED-45BF-A953-F3CBEB0C1208}"/>
    <cellStyle name="20% - Accent3 3 5 3" xfId="5765" xr:uid="{00000000-0005-0000-0000-0000B2010000}"/>
    <cellStyle name="20% - Accent3 3 5 3 2" xfId="14215" xr:uid="{81943975-C596-4C2C-B71D-9C1096619DD3}"/>
    <cellStyle name="20% - Accent3 3 5 4" xfId="9997" xr:uid="{4B29FB67-1505-4A97-A94E-A776368FDD56}"/>
    <cellStyle name="20% - Accent3 3 6" xfId="1872" xr:uid="{00000000-0005-0000-0000-0000B3010000}"/>
    <cellStyle name="20% - Accent3 3 6 2" xfId="4101" xr:uid="{00000000-0005-0000-0000-0000B4010000}"/>
    <cellStyle name="20% - Accent3 3 6 2 2" xfId="8323" xr:uid="{00000000-0005-0000-0000-0000B5010000}"/>
    <cellStyle name="20% - Accent3 3 6 2 2 2" xfId="16773" xr:uid="{A48D3013-65DF-42E1-BB27-439303001E3E}"/>
    <cellStyle name="20% - Accent3 3 6 2 3" xfId="12555" xr:uid="{8877459E-240D-43AA-A561-17C4284C2958}"/>
    <cellStyle name="20% - Accent3 3 6 3" xfId="6178" xr:uid="{00000000-0005-0000-0000-0000B6010000}"/>
    <cellStyle name="20% - Accent3 3 6 3 2" xfId="14628" xr:uid="{D803D8F2-10BE-400A-AFB0-0110EF10D943}"/>
    <cellStyle name="20% - Accent3 3 6 4" xfId="10410" xr:uid="{C80073A2-E4EA-4278-9111-1CEEC2894F23}"/>
    <cellStyle name="20% - Accent3 3 7" xfId="2285" xr:uid="{00000000-0005-0000-0000-0000B7010000}"/>
    <cellStyle name="20% - Accent3 3 7 2" xfId="6591" xr:uid="{00000000-0005-0000-0000-0000B8010000}"/>
    <cellStyle name="20% - Accent3 3 7 2 2" xfId="15041" xr:uid="{A6776005-4200-419E-B092-B8D55512C911}"/>
    <cellStyle name="20% - Accent3 3 7 3" xfId="10823" xr:uid="{533C182F-4232-4C6C-ACA4-2A5F7530E9BD}"/>
    <cellStyle name="20% - Accent3 3 8" xfId="4525" xr:uid="{00000000-0005-0000-0000-0000B9010000}"/>
    <cellStyle name="20% - Accent3 3 8 2" xfId="12975" xr:uid="{7729A0F5-3D12-4159-9480-1A0852441587}"/>
    <cellStyle name="20% - Accent3 3 9" xfId="8757" xr:uid="{126B2093-0D25-4838-BA2D-2A5304CA19FF}"/>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2 2 2" xfId="15536" xr:uid="{76D4F34C-29EC-412E-AB40-17F446D5B81A}"/>
    <cellStyle name="20% - Accent3 4 2 2 3" xfId="11318" xr:uid="{DF48107E-B802-4969-92ED-FA3E5AE2A500}"/>
    <cellStyle name="20% - Accent3 4 2 3" xfId="4941" xr:uid="{00000000-0005-0000-0000-0000BE010000}"/>
    <cellStyle name="20% - Accent3 4 2 3 2" xfId="13391" xr:uid="{538B5EDD-AED9-4D63-A71D-B585DEC1A307}"/>
    <cellStyle name="20% - Accent3 4 2 4" xfId="9173" xr:uid="{C8DDB794-C2E9-4206-9572-FEAC0CE5FE66}"/>
    <cellStyle name="20% - Accent3 4 3" xfId="1046" xr:uid="{00000000-0005-0000-0000-0000BF010000}"/>
    <cellStyle name="20% - Accent3 4 3 2" xfId="3277" xr:uid="{00000000-0005-0000-0000-0000C0010000}"/>
    <cellStyle name="20% - Accent3 4 3 2 2" xfId="7499" xr:uid="{00000000-0005-0000-0000-0000C1010000}"/>
    <cellStyle name="20% - Accent3 4 3 2 2 2" xfId="15949" xr:uid="{2201C719-E8B6-471F-8B79-84740C78474D}"/>
    <cellStyle name="20% - Accent3 4 3 2 3" xfId="11731" xr:uid="{31C5CBBF-DB39-4996-8246-2868BE2D17B1}"/>
    <cellStyle name="20% - Accent3 4 3 3" xfId="5354" xr:uid="{00000000-0005-0000-0000-0000C2010000}"/>
    <cellStyle name="20% - Accent3 4 3 3 2" xfId="13804" xr:uid="{04DD4818-A9FD-4B0F-AB6A-F0C6702890CD}"/>
    <cellStyle name="20% - Accent3 4 3 4" xfId="9586" xr:uid="{1FA3426C-CDEF-41A4-8312-BFF9F0DD2FBB}"/>
    <cellStyle name="20% - Accent3 4 4" xfId="1460" xr:uid="{00000000-0005-0000-0000-0000C3010000}"/>
    <cellStyle name="20% - Accent3 4 4 2" xfId="3690" xr:uid="{00000000-0005-0000-0000-0000C4010000}"/>
    <cellStyle name="20% - Accent3 4 4 2 2" xfId="7912" xr:uid="{00000000-0005-0000-0000-0000C5010000}"/>
    <cellStyle name="20% - Accent3 4 4 2 2 2" xfId="16362" xr:uid="{011CDBDF-F9A4-4390-9F5B-5182B4B2E94D}"/>
    <cellStyle name="20% - Accent3 4 4 2 3" xfId="12144" xr:uid="{750ED12A-C966-4967-B8C6-473FA3225E73}"/>
    <cellStyle name="20% - Accent3 4 4 3" xfId="5767" xr:uid="{00000000-0005-0000-0000-0000C6010000}"/>
    <cellStyle name="20% - Accent3 4 4 3 2" xfId="14217" xr:uid="{6AFF1889-4F6D-4565-AB6F-412560331838}"/>
    <cellStyle name="20% - Accent3 4 4 4" xfId="9999" xr:uid="{18E6E853-4F33-4A1C-BD84-AE61FFD08B38}"/>
    <cellStyle name="20% - Accent3 4 5" xfId="1874" xr:uid="{00000000-0005-0000-0000-0000C7010000}"/>
    <cellStyle name="20% - Accent3 4 5 2" xfId="4103" xr:uid="{00000000-0005-0000-0000-0000C8010000}"/>
    <cellStyle name="20% - Accent3 4 5 2 2" xfId="8325" xr:uid="{00000000-0005-0000-0000-0000C9010000}"/>
    <cellStyle name="20% - Accent3 4 5 2 2 2" xfId="16775" xr:uid="{CADFC7B4-7FF5-40BC-B2DB-92C01DA99269}"/>
    <cellStyle name="20% - Accent3 4 5 2 3" xfId="12557" xr:uid="{FB04C507-B571-4E0B-BAA9-4CD8A70D6B82}"/>
    <cellStyle name="20% - Accent3 4 5 3" xfId="6180" xr:uid="{00000000-0005-0000-0000-0000CA010000}"/>
    <cellStyle name="20% - Accent3 4 5 3 2" xfId="14630" xr:uid="{FB8FF7E2-A45A-4A3C-A19D-1595FBD7A090}"/>
    <cellStyle name="20% - Accent3 4 5 4" xfId="10412" xr:uid="{B2B40C3A-1AA7-4BD3-9AF2-AA06A081E4DF}"/>
    <cellStyle name="20% - Accent3 4 6" xfId="2287" xr:uid="{00000000-0005-0000-0000-0000CB010000}"/>
    <cellStyle name="20% - Accent3 4 6 2" xfId="6593" xr:uid="{00000000-0005-0000-0000-0000CC010000}"/>
    <cellStyle name="20% - Accent3 4 6 2 2" xfId="15043" xr:uid="{883384F5-8251-4433-8FF8-FD458C48AA3B}"/>
    <cellStyle name="20% - Accent3 4 6 3" xfId="10825" xr:uid="{528260A8-383E-46DB-BECA-168D498186DA}"/>
    <cellStyle name="20% - Accent3 4 7" xfId="4527" xr:uid="{00000000-0005-0000-0000-0000CD010000}"/>
    <cellStyle name="20% - Accent3 4 7 2" xfId="12977" xr:uid="{7A1F51BC-35B9-4EFC-B414-8318358A1516}"/>
    <cellStyle name="20% - Accent3 4 8" xfId="8759" xr:uid="{852D2CB8-BE7D-40EA-9DA5-505ECE9B49A8}"/>
    <cellStyle name="20% - Accent3 5" xfId="586" xr:uid="{00000000-0005-0000-0000-0000CE010000}"/>
    <cellStyle name="20% - Accent3 5 2" xfId="2857" xr:uid="{00000000-0005-0000-0000-0000CF010000}"/>
    <cellStyle name="20% - Accent3 5 2 2" xfId="7079" xr:uid="{00000000-0005-0000-0000-0000D0010000}"/>
    <cellStyle name="20% - Accent3 5 2 2 2" xfId="15529" xr:uid="{1410A918-2611-4744-9E6E-30C8274D3400}"/>
    <cellStyle name="20% - Accent3 5 2 3" xfId="11311" xr:uid="{D1B27173-69E7-42F0-8910-79D05F3C952B}"/>
    <cellStyle name="20% - Accent3 5 3" xfId="4934" xr:uid="{00000000-0005-0000-0000-0000D1010000}"/>
    <cellStyle name="20% - Accent3 5 3 2" xfId="13384" xr:uid="{EDED97C6-ACE5-40B5-82CD-AA153CE181CD}"/>
    <cellStyle name="20% - Accent3 5 4" xfId="9166" xr:uid="{AF5740F3-D76C-4C60-B57F-4BD89F208A34}"/>
    <cellStyle name="20% - Accent3 6" xfId="1039" xr:uid="{00000000-0005-0000-0000-0000D2010000}"/>
    <cellStyle name="20% - Accent3 6 2" xfId="3270" xr:uid="{00000000-0005-0000-0000-0000D3010000}"/>
    <cellStyle name="20% - Accent3 6 2 2" xfId="7492" xr:uid="{00000000-0005-0000-0000-0000D4010000}"/>
    <cellStyle name="20% - Accent3 6 2 2 2" xfId="15942" xr:uid="{77600CD5-D3FC-47F7-8FE4-61A329846AE0}"/>
    <cellStyle name="20% - Accent3 6 2 3" xfId="11724" xr:uid="{C7F10CE5-5027-400B-903E-7FD5C60EC4D5}"/>
    <cellStyle name="20% - Accent3 6 3" xfId="5347" xr:uid="{00000000-0005-0000-0000-0000D5010000}"/>
    <cellStyle name="20% - Accent3 6 3 2" xfId="13797" xr:uid="{B3A98CFA-07D2-4AC8-A0C6-2D44C8D393FB}"/>
    <cellStyle name="20% - Accent3 6 4" xfId="9579" xr:uid="{56136F81-9AAB-4C3B-A93F-5B34F673B030}"/>
    <cellStyle name="20% - Accent3 7" xfId="1453" xr:uid="{00000000-0005-0000-0000-0000D6010000}"/>
    <cellStyle name="20% - Accent3 7 2" xfId="3683" xr:uid="{00000000-0005-0000-0000-0000D7010000}"/>
    <cellStyle name="20% - Accent3 7 2 2" xfId="7905" xr:uid="{00000000-0005-0000-0000-0000D8010000}"/>
    <cellStyle name="20% - Accent3 7 2 2 2" xfId="16355" xr:uid="{67A3C46D-1128-40D8-AB01-228B0CB1DCC0}"/>
    <cellStyle name="20% - Accent3 7 2 3" xfId="12137" xr:uid="{37ADBEA9-D81C-446A-95AE-DF5E7A8E5F13}"/>
    <cellStyle name="20% - Accent3 7 3" xfId="5760" xr:uid="{00000000-0005-0000-0000-0000D9010000}"/>
    <cellStyle name="20% - Accent3 7 3 2" xfId="14210" xr:uid="{D1DAD5A5-23DE-4B1D-9A33-52103000DF9E}"/>
    <cellStyle name="20% - Accent3 7 4" xfId="9992" xr:uid="{6891E495-6905-433C-BA1D-B9E0CD7D7555}"/>
    <cellStyle name="20% - Accent3 8" xfId="1867" xr:uid="{00000000-0005-0000-0000-0000DA010000}"/>
    <cellStyle name="20% - Accent3 8 2" xfId="4096" xr:uid="{00000000-0005-0000-0000-0000DB010000}"/>
    <cellStyle name="20% - Accent3 8 2 2" xfId="8318" xr:uid="{00000000-0005-0000-0000-0000DC010000}"/>
    <cellStyle name="20% - Accent3 8 2 2 2" xfId="16768" xr:uid="{288BA0E7-5084-4E4F-BAA2-0DCD7E5999AC}"/>
    <cellStyle name="20% - Accent3 8 2 3" xfId="12550" xr:uid="{A58AD64A-9359-4C2F-AE72-025502DC218F}"/>
    <cellStyle name="20% - Accent3 8 3" xfId="6173" xr:uid="{00000000-0005-0000-0000-0000DD010000}"/>
    <cellStyle name="20% - Accent3 8 3 2" xfId="14623" xr:uid="{57675B19-E8A7-48C2-9675-C7DB113F9B85}"/>
    <cellStyle name="20% - Accent3 8 4" xfId="10405" xr:uid="{A16A83D9-01B8-4220-B7E3-A32E7DE47359}"/>
    <cellStyle name="20% - Accent3 9" xfId="2280" xr:uid="{00000000-0005-0000-0000-0000DE010000}"/>
    <cellStyle name="20% - Accent3 9 2" xfId="6586" xr:uid="{00000000-0005-0000-0000-0000DF010000}"/>
    <cellStyle name="20% - Accent3 9 2 2" xfId="15036" xr:uid="{73AA2977-8750-4EBC-96B1-96A9A4931E7C}"/>
    <cellStyle name="20% - Accent3 9 3" xfId="10818" xr:uid="{919C6EEB-5F90-41A0-8E05-3E4FFBC96D72}"/>
    <cellStyle name="20% - Accent4" xfId="25" builtinId="42" customBuiltin="1"/>
    <cellStyle name="20% - Accent4 10" xfId="4528" xr:uid="{00000000-0005-0000-0000-0000E1010000}"/>
    <cellStyle name="20% - Accent4 10 2" xfId="12978" xr:uid="{AC696025-E0C1-4D5A-9EF7-F150E5C0A58A}"/>
    <cellStyle name="20% - Accent4 11" xfId="8760" xr:uid="{0442132B-42D8-4B24-BC97-A25CE5131D7F}"/>
    <cellStyle name="20% - Accent4 2" xfId="26" xr:uid="{00000000-0005-0000-0000-0000E2010000}"/>
    <cellStyle name="20% - Accent4 2 10" xfId="8761" xr:uid="{BFFDF824-F4BC-476C-BD1D-0E0890CC570D}"/>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2 2 2" xfId="15540" xr:uid="{00B15550-DC70-43D8-A9E0-EEAA096B63E9}"/>
    <cellStyle name="20% - Accent4 2 2 2 2 2 3" xfId="11322" xr:uid="{B7E3CA12-0A7E-43BB-88D1-1150ED820F1B}"/>
    <cellStyle name="20% - Accent4 2 2 2 2 3" xfId="4945" xr:uid="{00000000-0005-0000-0000-0000E8010000}"/>
    <cellStyle name="20% - Accent4 2 2 2 2 3 2" xfId="13395" xr:uid="{5D922E9F-2C09-4B25-8C2A-659A8DF1DE6F}"/>
    <cellStyle name="20% - Accent4 2 2 2 2 4" xfId="9177" xr:uid="{6B2DCC1B-E4FA-4802-9583-A48CB3194FFE}"/>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2 2 2" xfId="15953" xr:uid="{193CF2E9-8D2E-4BB9-8DBB-B5B20C5223F7}"/>
    <cellStyle name="20% - Accent4 2 2 2 3 2 3" xfId="11735" xr:uid="{4C67274A-A397-42D5-961E-D734683A3912}"/>
    <cellStyle name="20% - Accent4 2 2 2 3 3" xfId="5358" xr:uid="{00000000-0005-0000-0000-0000EC010000}"/>
    <cellStyle name="20% - Accent4 2 2 2 3 3 2" xfId="13808" xr:uid="{A8A97E36-3097-4AE7-9B4A-FDC1425A4E23}"/>
    <cellStyle name="20% - Accent4 2 2 2 3 4" xfId="9590" xr:uid="{39CA886E-B97D-4285-BC58-DA345A803644}"/>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2 2 2" xfId="16366" xr:uid="{0CB64893-B10C-4046-8042-EA3C1A05176C}"/>
    <cellStyle name="20% - Accent4 2 2 2 4 2 3" xfId="12148" xr:uid="{538B0F50-0C43-4D3D-9190-DEED1C7688AE}"/>
    <cellStyle name="20% - Accent4 2 2 2 4 3" xfId="5771" xr:uid="{00000000-0005-0000-0000-0000F0010000}"/>
    <cellStyle name="20% - Accent4 2 2 2 4 3 2" xfId="14221" xr:uid="{7BA18F95-4941-43B4-B341-38CC235F1081}"/>
    <cellStyle name="20% - Accent4 2 2 2 4 4" xfId="10003" xr:uid="{9581D3A5-10D0-412F-AEEB-EB40B5BC8492}"/>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2 2 2" xfId="16779" xr:uid="{991C2678-DE46-4B6C-A46B-FD03919EBA7A}"/>
    <cellStyle name="20% - Accent4 2 2 2 5 2 3" xfId="12561" xr:uid="{D338CC45-0244-4BE1-BA6F-362A3C959BD6}"/>
    <cellStyle name="20% - Accent4 2 2 2 5 3" xfId="6184" xr:uid="{00000000-0005-0000-0000-0000F4010000}"/>
    <cellStyle name="20% - Accent4 2 2 2 5 3 2" xfId="14634" xr:uid="{8A61C875-B99E-416E-9DBC-FCE332EBA457}"/>
    <cellStyle name="20% - Accent4 2 2 2 5 4" xfId="10416" xr:uid="{9C04B04F-0EA2-4E92-A6FF-2243637AB8D1}"/>
    <cellStyle name="20% - Accent4 2 2 2 6" xfId="2291" xr:uid="{00000000-0005-0000-0000-0000F5010000}"/>
    <cellStyle name="20% - Accent4 2 2 2 6 2" xfId="6597" xr:uid="{00000000-0005-0000-0000-0000F6010000}"/>
    <cellStyle name="20% - Accent4 2 2 2 6 2 2" xfId="15047" xr:uid="{A9185C46-DAAC-444A-BC10-DF7C738F4400}"/>
    <cellStyle name="20% - Accent4 2 2 2 6 3" xfId="10829" xr:uid="{5E0CD55B-9656-4EEA-BFF6-88FDA368AE1F}"/>
    <cellStyle name="20% - Accent4 2 2 2 7" xfId="4531" xr:uid="{00000000-0005-0000-0000-0000F7010000}"/>
    <cellStyle name="20% - Accent4 2 2 2 7 2" xfId="12981" xr:uid="{C81379C5-75B0-4739-B7E8-B66D6A28C7D0}"/>
    <cellStyle name="20% - Accent4 2 2 2 8" xfId="8763" xr:uid="{10DE73F3-DDC1-4A99-8111-6B51613956D9}"/>
    <cellStyle name="20% - Accent4 2 2 3" xfId="596" xr:uid="{00000000-0005-0000-0000-0000F8010000}"/>
    <cellStyle name="20% - Accent4 2 2 3 2" xfId="2867" xr:uid="{00000000-0005-0000-0000-0000F9010000}"/>
    <cellStyle name="20% - Accent4 2 2 3 2 2" xfId="7089" xr:uid="{00000000-0005-0000-0000-0000FA010000}"/>
    <cellStyle name="20% - Accent4 2 2 3 2 2 2" xfId="15539" xr:uid="{0F5E926F-6AD5-40BA-9194-910F78651E47}"/>
    <cellStyle name="20% - Accent4 2 2 3 2 3" xfId="11321" xr:uid="{AA2387DD-89C0-4306-B7AE-A6C088A75AD4}"/>
    <cellStyle name="20% - Accent4 2 2 3 3" xfId="4944" xr:uid="{00000000-0005-0000-0000-0000FB010000}"/>
    <cellStyle name="20% - Accent4 2 2 3 3 2" xfId="13394" xr:uid="{F7E89C34-E393-46BC-B4BD-FC755209BDC5}"/>
    <cellStyle name="20% - Accent4 2 2 3 4" xfId="9176" xr:uid="{F7E12937-6DD7-4B6D-9302-A1D4CF0A3841}"/>
    <cellStyle name="20% - Accent4 2 2 4" xfId="1049" xr:uid="{00000000-0005-0000-0000-0000FC010000}"/>
    <cellStyle name="20% - Accent4 2 2 4 2" xfId="3280" xr:uid="{00000000-0005-0000-0000-0000FD010000}"/>
    <cellStyle name="20% - Accent4 2 2 4 2 2" xfId="7502" xr:uid="{00000000-0005-0000-0000-0000FE010000}"/>
    <cellStyle name="20% - Accent4 2 2 4 2 2 2" xfId="15952" xr:uid="{EFC3BAB7-815A-401B-A0D0-CAE18459088C}"/>
    <cellStyle name="20% - Accent4 2 2 4 2 3" xfId="11734" xr:uid="{5E4D5BAC-FB45-4EBB-84B7-6C3BD37150A4}"/>
    <cellStyle name="20% - Accent4 2 2 4 3" xfId="5357" xr:uid="{00000000-0005-0000-0000-0000FF010000}"/>
    <cellStyle name="20% - Accent4 2 2 4 3 2" xfId="13807" xr:uid="{3CA937DD-7A23-4576-A621-ED1082C123BB}"/>
    <cellStyle name="20% - Accent4 2 2 4 4" xfId="9589" xr:uid="{3136B190-D4C8-477D-8909-4E096E1CC57C}"/>
    <cellStyle name="20% - Accent4 2 2 5" xfId="1463" xr:uid="{00000000-0005-0000-0000-000000020000}"/>
    <cellStyle name="20% - Accent4 2 2 5 2" xfId="3693" xr:uid="{00000000-0005-0000-0000-000001020000}"/>
    <cellStyle name="20% - Accent4 2 2 5 2 2" xfId="7915" xr:uid="{00000000-0005-0000-0000-000002020000}"/>
    <cellStyle name="20% - Accent4 2 2 5 2 2 2" xfId="16365" xr:uid="{9F9DF741-EA84-4108-A5D9-E26132240283}"/>
    <cellStyle name="20% - Accent4 2 2 5 2 3" xfId="12147" xr:uid="{2D990F4F-2598-4FD2-9A5F-260683F500F1}"/>
    <cellStyle name="20% - Accent4 2 2 5 3" xfId="5770" xr:uid="{00000000-0005-0000-0000-000003020000}"/>
    <cellStyle name="20% - Accent4 2 2 5 3 2" xfId="14220" xr:uid="{447DBC1F-6ADD-4365-B5F6-C70D33D47C8E}"/>
    <cellStyle name="20% - Accent4 2 2 5 4" xfId="10002" xr:uid="{4272BBE9-A9F2-4C30-AF9E-F476E06565AE}"/>
    <cellStyle name="20% - Accent4 2 2 6" xfId="1877" xr:uid="{00000000-0005-0000-0000-000004020000}"/>
    <cellStyle name="20% - Accent4 2 2 6 2" xfId="4106" xr:uid="{00000000-0005-0000-0000-000005020000}"/>
    <cellStyle name="20% - Accent4 2 2 6 2 2" xfId="8328" xr:uid="{00000000-0005-0000-0000-000006020000}"/>
    <cellStyle name="20% - Accent4 2 2 6 2 2 2" xfId="16778" xr:uid="{8E0ED2DC-0220-422D-8282-59EB0D8E1F22}"/>
    <cellStyle name="20% - Accent4 2 2 6 2 3" xfId="12560" xr:uid="{7ED7FFB1-051D-4F38-B4F8-CCDA6FBD1377}"/>
    <cellStyle name="20% - Accent4 2 2 6 3" xfId="6183" xr:uid="{00000000-0005-0000-0000-000007020000}"/>
    <cellStyle name="20% - Accent4 2 2 6 3 2" xfId="14633" xr:uid="{2A20029B-6A64-4B56-9235-9868BD2638BC}"/>
    <cellStyle name="20% - Accent4 2 2 6 4" xfId="10415" xr:uid="{938EDF51-D5CA-44AF-9E39-E039692452ED}"/>
    <cellStyle name="20% - Accent4 2 2 7" xfId="2290" xr:uid="{00000000-0005-0000-0000-000008020000}"/>
    <cellStyle name="20% - Accent4 2 2 7 2" xfId="6596" xr:uid="{00000000-0005-0000-0000-000009020000}"/>
    <cellStyle name="20% - Accent4 2 2 7 2 2" xfId="15046" xr:uid="{C7DD3685-0C3A-47EA-B5F2-A0ACAF50A5B1}"/>
    <cellStyle name="20% - Accent4 2 2 7 3" xfId="10828" xr:uid="{76967D8F-B1B0-4947-9254-56138B0835A8}"/>
    <cellStyle name="20% - Accent4 2 2 8" xfId="4530" xr:uid="{00000000-0005-0000-0000-00000A020000}"/>
    <cellStyle name="20% - Accent4 2 2 8 2" xfId="12980" xr:uid="{F7861B91-29B4-457F-98FA-1C49BD9C0712}"/>
    <cellStyle name="20% - Accent4 2 2 9" xfId="8762" xr:uid="{3EC90719-8A9E-4A81-ADD4-1BB27E9D57F7}"/>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2 2 2" xfId="15541" xr:uid="{6E32266A-92E7-44A0-B567-3135F466A3A5}"/>
    <cellStyle name="20% - Accent4 2 3 2 2 3" xfId="11323" xr:uid="{1C3A2397-DF70-4792-AE28-0B83CB32DC90}"/>
    <cellStyle name="20% - Accent4 2 3 2 3" xfId="4946" xr:uid="{00000000-0005-0000-0000-00000F020000}"/>
    <cellStyle name="20% - Accent4 2 3 2 3 2" xfId="13396" xr:uid="{EC0DC4D1-B1D8-47A4-B1FB-98D68336A01C}"/>
    <cellStyle name="20% - Accent4 2 3 2 4" xfId="9178" xr:uid="{DED4CBFD-D2C7-40E5-8FD6-5CDAC6D3E799}"/>
    <cellStyle name="20% - Accent4 2 3 3" xfId="1051" xr:uid="{00000000-0005-0000-0000-000010020000}"/>
    <cellStyle name="20% - Accent4 2 3 3 2" xfId="3282" xr:uid="{00000000-0005-0000-0000-000011020000}"/>
    <cellStyle name="20% - Accent4 2 3 3 2 2" xfId="7504" xr:uid="{00000000-0005-0000-0000-000012020000}"/>
    <cellStyle name="20% - Accent4 2 3 3 2 2 2" xfId="15954" xr:uid="{1442C78C-837F-4421-8788-85AD31A46728}"/>
    <cellStyle name="20% - Accent4 2 3 3 2 3" xfId="11736" xr:uid="{B3C98222-CA3C-455B-8638-26F0A0ADD9E0}"/>
    <cellStyle name="20% - Accent4 2 3 3 3" xfId="5359" xr:uid="{00000000-0005-0000-0000-000013020000}"/>
    <cellStyle name="20% - Accent4 2 3 3 3 2" xfId="13809" xr:uid="{AFDD8ABA-637F-4F38-8065-87FDCBED8743}"/>
    <cellStyle name="20% - Accent4 2 3 3 4" xfId="9591" xr:uid="{0DF50080-470D-4348-8BB7-C87F0871279D}"/>
    <cellStyle name="20% - Accent4 2 3 4" xfId="1465" xr:uid="{00000000-0005-0000-0000-000014020000}"/>
    <cellStyle name="20% - Accent4 2 3 4 2" xfId="3695" xr:uid="{00000000-0005-0000-0000-000015020000}"/>
    <cellStyle name="20% - Accent4 2 3 4 2 2" xfId="7917" xr:uid="{00000000-0005-0000-0000-000016020000}"/>
    <cellStyle name="20% - Accent4 2 3 4 2 2 2" xfId="16367" xr:uid="{C09CC6F0-B530-4BE7-9BA2-9C2D9F761873}"/>
    <cellStyle name="20% - Accent4 2 3 4 2 3" xfId="12149" xr:uid="{0E54A6B9-FB7A-423D-9F03-FD34511944DF}"/>
    <cellStyle name="20% - Accent4 2 3 4 3" xfId="5772" xr:uid="{00000000-0005-0000-0000-000017020000}"/>
    <cellStyle name="20% - Accent4 2 3 4 3 2" xfId="14222" xr:uid="{1D2A405D-E06F-452C-9EA9-720BD7042670}"/>
    <cellStyle name="20% - Accent4 2 3 4 4" xfId="10004" xr:uid="{E88CCC50-FEAF-4149-9BC5-E1A4DFE1E227}"/>
    <cellStyle name="20% - Accent4 2 3 5" xfId="1879" xr:uid="{00000000-0005-0000-0000-000018020000}"/>
    <cellStyle name="20% - Accent4 2 3 5 2" xfId="4108" xr:uid="{00000000-0005-0000-0000-000019020000}"/>
    <cellStyle name="20% - Accent4 2 3 5 2 2" xfId="8330" xr:uid="{00000000-0005-0000-0000-00001A020000}"/>
    <cellStyle name="20% - Accent4 2 3 5 2 2 2" xfId="16780" xr:uid="{BEDD4119-B2A1-48FE-BB83-217E1AAC3A25}"/>
    <cellStyle name="20% - Accent4 2 3 5 2 3" xfId="12562" xr:uid="{5FF19D78-E7CA-4EE5-95BA-EE69E68949E8}"/>
    <cellStyle name="20% - Accent4 2 3 5 3" xfId="6185" xr:uid="{00000000-0005-0000-0000-00001B020000}"/>
    <cellStyle name="20% - Accent4 2 3 5 3 2" xfId="14635" xr:uid="{3242F088-9132-4B48-A5EF-34D28CF3BEB3}"/>
    <cellStyle name="20% - Accent4 2 3 5 4" xfId="10417" xr:uid="{DAD8596E-DF3D-4DF1-9CC3-FE12ADF21BD8}"/>
    <cellStyle name="20% - Accent4 2 3 6" xfId="2292" xr:uid="{00000000-0005-0000-0000-00001C020000}"/>
    <cellStyle name="20% - Accent4 2 3 6 2" xfId="6598" xr:uid="{00000000-0005-0000-0000-00001D020000}"/>
    <cellStyle name="20% - Accent4 2 3 6 2 2" xfId="15048" xr:uid="{EEE1526A-FFE4-429D-BA7E-E3EA7F8325DD}"/>
    <cellStyle name="20% - Accent4 2 3 6 3" xfId="10830" xr:uid="{07CD699B-BA92-4B68-89A7-0CBAB87C07C1}"/>
    <cellStyle name="20% - Accent4 2 3 7" xfId="4532" xr:uid="{00000000-0005-0000-0000-00001E020000}"/>
    <cellStyle name="20% - Accent4 2 3 7 2" xfId="12982" xr:uid="{75629A62-3D59-4696-8675-1B8838A68D8E}"/>
    <cellStyle name="20% - Accent4 2 3 8" xfId="8764" xr:uid="{6D58D1BE-4574-49E1-A15E-F46E48785C7E}"/>
    <cellStyle name="20% - Accent4 2 4" xfId="595" xr:uid="{00000000-0005-0000-0000-00001F020000}"/>
    <cellStyle name="20% - Accent4 2 4 2" xfId="2866" xr:uid="{00000000-0005-0000-0000-000020020000}"/>
    <cellStyle name="20% - Accent4 2 4 2 2" xfId="7088" xr:uid="{00000000-0005-0000-0000-000021020000}"/>
    <cellStyle name="20% - Accent4 2 4 2 2 2" xfId="15538" xr:uid="{F1B9172A-EB5B-463B-A2CE-906B72FE114C}"/>
    <cellStyle name="20% - Accent4 2 4 2 3" xfId="11320" xr:uid="{60813131-1C44-4C88-A381-D6ADF16D3DDF}"/>
    <cellStyle name="20% - Accent4 2 4 3" xfId="4943" xr:uid="{00000000-0005-0000-0000-000022020000}"/>
    <cellStyle name="20% - Accent4 2 4 3 2" xfId="13393" xr:uid="{90A0CFE5-0C33-41C0-AA64-09E9D199A5A4}"/>
    <cellStyle name="20% - Accent4 2 4 4" xfId="9175" xr:uid="{E7A10A06-00CB-40E7-B9B4-9B18AE819101}"/>
    <cellStyle name="20% - Accent4 2 5" xfId="1048" xr:uid="{00000000-0005-0000-0000-000023020000}"/>
    <cellStyle name="20% - Accent4 2 5 2" xfId="3279" xr:uid="{00000000-0005-0000-0000-000024020000}"/>
    <cellStyle name="20% - Accent4 2 5 2 2" xfId="7501" xr:uid="{00000000-0005-0000-0000-000025020000}"/>
    <cellStyle name="20% - Accent4 2 5 2 2 2" xfId="15951" xr:uid="{073C8FB8-4D89-4DC8-9672-547665735D14}"/>
    <cellStyle name="20% - Accent4 2 5 2 3" xfId="11733" xr:uid="{2DCA589E-E0FD-464D-AFC7-B3054A65EB2C}"/>
    <cellStyle name="20% - Accent4 2 5 3" xfId="5356" xr:uid="{00000000-0005-0000-0000-000026020000}"/>
    <cellStyle name="20% - Accent4 2 5 3 2" xfId="13806" xr:uid="{4DBA51F4-A2EB-42E0-ABC8-669589DF1CBC}"/>
    <cellStyle name="20% - Accent4 2 5 4" xfId="9588" xr:uid="{4B028A9A-8C9D-496C-9AB9-7EBEEDC81B0B}"/>
    <cellStyle name="20% - Accent4 2 6" xfId="1462" xr:uid="{00000000-0005-0000-0000-000027020000}"/>
    <cellStyle name="20% - Accent4 2 6 2" xfId="3692" xr:uid="{00000000-0005-0000-0000-000028020000}"/>
    <cellStyle name="20% - Accent4 2 6 2 2" xfId="7914" xr:uid="{00000000-0005-0000-0000-000029020000}"/>
    <cellStyle name="20% - Accent4 2 6 2 2 2" xfId="16364" xr:uid="{44A5F6F1-1F48-42DD-9944-C377AE4A986E}"/>
    <cellStyle name="20% - Accent4 2 6 2 3" xfId="12146" xr:uid="{4AAF6772-5B84-4D6D-91AE-A4FC12CE35D1}"/>
    <cellStyle name="20% - Accent4 2 6 3" xfId="5769" xr:uid="{00000000-0005-0000-0000-00002A020000}"/>
    <cellStyle name="20% - Accent4 2 6 3 2" xfId="14219" xr:uid="{B3928C22-884B-4339-B95D-78A632D4842B}"/>
    <cellStyle name="20% - Accent4 2 6 4" xfId="10001" xr:uid="{1A6E2331-D58D-4EFC-AC74-52F2B975E038}"/>
    <cellStyle name="20% - Accent4 2 7" xfId="1876" xr:uid="{00000000-0005-0000-0000-00002B020000}"/>
    <cellStyle name="20% - Accent4 2 7 2" xfId="4105" xr:uid="{00000000-0005-0000-0000-00002C020000}"/>
    <cellStyle name="20% - Accent4 2 7 2 2" xfId="8327" xr:uid="{00000000-0005-0000-0000-00002D020000}"/>
    <cellStyle name="20% - Accent4 2 7 2 2 2" xfId="16777" xr:uid="{E723F916-B782-4868-B423-FF79615C2EAF}"/>
    <cellStyle name="20% - Accent4 2 7 2 3" xfId="12559" xr:uid="{1BD54A12-7D86-43F5-AB56-B72E1099B580}"/>
    <cellStyle name="20% - Accent4 2 7 3" xfId="6182" xr:uid="{00000000-0005-0000-0000-00002E020000}"/>
    <cellStyle name="20% - Accent4 2 7 3 2" xfId="14632" xr:uid="{33FD02F2-2AB6-4E81-B048-4047FB9C3043}"/>
    <cellStyle name="20% - Accent4 2 7 4" xfId="10414" xr:uid="{29882730-40F2-48F1-8629-28AB465FDFF9}"/>
    <cellStyle name="20% - Accent4 2 8" xfId="2289" xr:uid="{00000000-0005-0000-0000-00002F020000}"/>
    <cellStyle name="20% - Accent4 2 8 2" xfId="6595" xr:uid="{00000000-0005-0000-0000-000030020000}"/>
    <cellStyle name="20% - Accent4 2 8 2 2" xfId="15045" xr:uid="{2E6F4037-85E8-43C4-B265-CD70A595B29C}"/>
    <cellStyle name="20% - Accent4 2 8 3" xfId="10827" xr:uid="{05E13122-68D0-442A-9470-9CA4E81153C3}"/>
    <cellStyle name="20% - Accent4 2 9" xfId="4529" xr:uid="{00000000-0005-0000-0000-000031020000}"/>
    <cellStyle name="20% - Accent4 2 9 2" xfId="12979" xr:uid="{AF37C848-66C8-4599-ACA0-34ECD19A4C18}"/>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2 2 2" xfId="15543" xr:uid="{7E1F0EA8-3BFB-446E-B937-5AE7AC50E36A}"/>
    <cellStyle name="20% - Accent4 3 2 2 2 3" xfId="11325" xr:uid="{C6D7BA44-7962-42D9-976C-734444222777}"/>
    <cellStyle name="20% - Accent4 3 2 2 3" xfId="4948" xr:uid="{00000000-0005-0000-0000-000037020000}"/>
    <cellStyle name="20% - Accent4 3 2 2 3 2" xfId="13398" xr:uid="{5BE6E0FE-7AC5-4322-9472-B38447DECE73}"/>
    <cellStyle name="20% - Accent4 3 2 2 4" xfId="9180" xr:uid="{BB3B7C81-9909-4B6B-B7FC-B2809858BA2C}"/>
    <cellStyle name="20% - Accent4 3 2 3" xfId="1053" xr:uid="{00000000-0005-0000-0000-000038020000}"/>
    <cellStyle name="20% - Accent4 3 2 3 2" xfId="3284" xr:uid="{00000000-0005-0000-0000-000039020000}"/>
    <cellStyle name="20% - Accent4 3 2 3 2 2" xfId="7506" xr:uid="{00000000-0005-0000-0000-00003A020000}"/>
    <cellStyle name="20% - Accent4 3 2 3 2 2 2" xfId="15956" xr:uid="{1448CE00-044F-40A6-A6CE-905E701173A0}"/>
    <cellStyle name="20% - Accent4 3 2 3 2 3" xfId="11738" xr:uid="{03F3CA1E-5984-49C5-BD8C-8B0B037C59E5}"/>
    <cellStyle name="20% - Accent4 3 2 3 3" xfId="5361" xr:uid="{00000000-0005-0000-0000-00003B020000}"/>
    <cellStyle name="20% - Accent4 3 2 3 3 2" xfId="13811" xr:uid="{3635D2BB-890B-4D02-AF73-FCFEDEE725F9}"/>
    <cellStyle name="20% - Accent4 3 2 3 4" xfId="9593" xr:uid="{A96C198D-5C96-481E-AE94-A4955AF0A739}"/>
    <cellStyle name="20% - Accent4 3 2 4" xfId="1467" xr:uid="{00000000-0005-0000-0000-00003C020000}"/>
    <cellStyle name="20% - Accent4 3 2 4 2" xfId="3697" xr:uid="{00000000-0005-0000-0000-00003D020000}"/>
    <cellStyle name="20% - Accent4 3 2 4 2 2" xfId="7919" xr:uid="{00000000-0005-0000-0000-00003E020000}"/>
    <cellStyle name="20% - Accent4 3 2 4 2 2 2" xfId="16369" xr:uid="{784E0D3A-B1C5-4221-AB3F-DD8EF96D6E36}"/>
    <cellStyle name="20% - Accent4 3 2 4 2 3" xfId="12151" xr:uid="{67E5B7F7-37B1-4807-94A0-8ECE8276CD32}"/>
    <cellStyle name="20% - Accent4 3 2 4 3" xfId="5774" xr:uid="{00000000-0005-0000-0000-00003F020000}"/>
    <cellStyle name="20% - Accent4 3 2 4 3 2" xfId="14224" xr:uid="{348BD6B5-D7FC-4B57-B76A-5635B392A333}"/>
    <cellStyle name="20% - Accent4 3 2 4 4" xfId="10006" xr:uid="{BC7552D5-B79E-4209-AFA3-18E5E66186A4}"/>
    <cellStyle name="20% - Accent4 3 2 5" xfId="1881" xr:uid="{00000000-0005-0000-0000-000040020000}"/>
    <cellStyle name="20% - Accent4 3 2 5 2" xfId="4110" xr:uid="{00000000-0005-0000-0000-000041020000}"/>
    <cellStyle name="20% - Accent4 3 2 5 2 2" xfId="8332" xr:uid="{00000000-0005-0000-0000-000042020000}"/>
    <cellStyle name="20% - Accent4 3 2 5 2 2 2" xfId="16782" xr:uid="{71B695F3-1E06-46EA-AB47-482BB4FA3B75}"/>
    <cellStyle name="20% - Accent4 3 2 5 2 3" xfId="12564" xr:uid="{C3B52E44-1E55-4AF7-98FE-1DB2CD1C175B}"/>
    <cellStyle name="20% - Accent4 3 2 5 3" xfId="6187" xr:uid="{00000000-0005-0000-0000-000043020000}"/>
    <cellStyle name="20% - Accent4 3 2 5 3 2" xfId="14637" xr:uid="{40829552-A7C2-4D41-8799-78B7EA812B88}"/>
    <cellStyle name="20% - Accent4 3 2 5 4" xfId="10419" xr:uid="{FCBA11A6-8DFF-4EAB-A53F-4CCE95E60687}"/>
    <cellStyle name="20% - Accent4 3 2 6" xfId="2294" xr:uid="{00000000-0005-0000-0000-000044020000}"/>
    <cellStyle name="20% - Accent4 3 2 6 2" xfId="6600" xr:uid="{00000000-0005-0000-0000-000045020000}"/>
    <cellStyle name="20% - Accent4 3 2 6 2 2" xfId="15050" xr:uid="{1D3807C9-67FB-4A21-8AD3-F27D7D239956}"/>
    <cellStyle name="20% - Accent4 3 2 6 3" xfId="10832" xr:uid="{C8032389-BF7C-4D2F-A69D-506F5E6AB6CA}"/>
    <cellStyle name="20% - Accent4 3 2 7" xfId="4534" xr:uid="{00000000-0005-0000-0000-000046020000}"/>
    <cellStyle name="20% - Accent4 3 2 7 2" xfId="12984" xr:uid="{7AEA3444-2191-48F7-A2E7-302720F85C0C}"/>
    <cellStyle name="20% - Accent4 3 2 8" xfId="8766" xr:uid="{EA0E7BC6-89D4-4F50-BADA-E11F40D769B1}"/>
    <cellStyle name="20% - Accent4 3 3" xfId="599" xr:uid="{00000000-0005-0000-0000-000047020000}"/>
    <cellStyle name="20% - Accent4 3 3 2" xfId="2870" xr:uid="{00000000-0005-0000-0000-000048020000}"/>
    <cellStyle name="20% - Accent4 3 3 2 2" xfId="7092" xr:uid="{00000000-0005-0000-0000-000049020000}"/>
    <cellStyle name="20% - Accent4 3 3 2 2 2" xfId="15542" xr:uid="{E6429606-FF76-4194-9D4F-236CB6CC0AD8}"/>
    <cellStyle name="20% - Accent4 3 3 2 3" xfId="11324" xr:uid="{6BF0A8A5-46A3-4430-B040-80640917B3FB}"/>
    <cellStyle name="20% - Accent4 3 3 3" xfId="4947" xr:uid="{00000000-0005-0000-0000-00004A020000}"/>
    <cellStyle name="20% - Accent4 3 3 3 2" xfId="13397" xr:uid="{763E6998-E3F7-44BE-A9FF-0709095795DA}"/>
    <cellStyle name="20% - Accent4 3 3 4" xfId="9179" xr:uid="{79B88E45-44CD-440F-B215-D839BC1F8C60}"/>
    <cellStyle name="20% - Accent4 3 4" xfId="1052" xr:uid="{00000000-0005-0000-0000-00004B020000}"/>
    <cellStyle name="20% - Accent4 3 4 2" xfId="3283" xr:uid="{00000000-0005-0000-0000-00004C020000}"/>
    <cellStyle name="20% - Accent4 3 4 2 2" xfId="7505" xr:uid="{00000000-0005-0000-0000-00004D020000}"/>
    <cellStyle name="20% - Accent4 3 4 2 2 2" xfId="15955" xr:uid="{DAF893D8-890F-4102-8E74-6D8616DA0A0F}"/>
    <cellStyle name="20% - Accent4 3 4 2 3" xfId="11737" xr:uid="{6D9548D5-A9F9-42DD-A01D-6444CF236A64}"/>
    <cellStyle name="20% - Accent4 3 4 3" xfId="5360" xr:uid="{00000000-0005-0000-0000-00004E020000}"/>
    <cellStyle name="20% - Accent4 3 4 3 2" xfId="13810" xr:uid="{9FD708E2-FCBF-48CD-823B-8EC7A3F12C67}"/>
    <cellStyle name="20% - Accent4 3 4 4" xfId="9592" xr:uid="{5949D9DA-7D20-43BE-8EC8-7861D7FB0C81}"/>
    <cellStyle name="20% - Accent4 3 5" xfId="1466" xr:uid="{00000000-0005-0000-0000-00004F020000}"/>
    <cellStyle name="20% - Accent4 3 5 2" xfId="3696" xr:uid="{00000000-0005-0000-0000-000050020000}"/>
    <cellStyle name="20% - Accent4 3 5 2 2" xfId="7918" xr:uid="{00000000-0005-0000-0000-000051020000}"/>
    <cellStyle name="20% - Accent4 3 5 2 2 2" xfId="16368" xr:uid="{D11FE6B4-2097-4FB6-845D-7F6D1527B8D8}"/>
    <cellStyle name="20% - Accent4 3 5 2 3" xfId="12150" xr:uid="{F1510286-B03E-415D-90A6-8391E1BD5487}"/>
    <cellStyle name="20% - Accent4 3 5 3" xfId="5773" xr:uid="{00000000-0005-0000-0000-000052020000}"/>
    <cellStyle name="20% - Accent4 3 5 3 2" xfId="14223" xr:uid="{188DAC83-B567-4F26-8396-AE89BE355918}"/>
    <cellStyle name="20% - Accent4 3 5 4" xfId="10005" xr:uid="{4732A235-5B60-45D1-A671-40ACD59AA3AA}"/>
    <cellStyle name="20% - Accent4 3 6" xfId="1880" xr:uid="{00000000-0005-0000-0000-000053020000}"/>
    <cellStyle name="20% - Accent4 3 6 2" xfId="4109" xr:uid="{00000000-0005-0000-0000-000054020000}"/>
    <cellStyle name="20% - Accent4 3 6 2 2" xfId="8331" xr:uid="{00000000-0005-0000-0000-000055020000}"/>
    <cellStyle name="20% - Accent4 3 6 2 2 2" xfId="16781" xr:uid="{487213FD-9A4E-44FD-B23A-13ED0FEF00C4}"/>
    <cellStyle name="20% - Accent4 3 6 2 3" xfId="12563" xr:uid="{AD1CABBF-FA8A-41C4-BD66-C56B1FF77D6F}"/>
    <cellStyle name="20% - Accent4 3 6 3" xfId="6186" xr:uid="{00000000-0005-0000-0000-000056020000}"/>
    <cellStyle name="20% - Accent4 3 6 3 2" xfId="14636" xr:uid="{73C3D9DB-01F5-41BF-A445-0BC73CE42833}"/>
    <cellStyle name="20% - Accent4 3 6 4" xfId="10418" xr:uid="{CCDDDE52-F6CC-49D8-92C5-E31B1AC969F5}"/>
    <cellStyle name="20% - Accent4 3 7" xfId="2293" xr:uid="{00000000-0005-0000-0000-000057020000}"/>
    <cellStyle name="20% - Accent4 3 7 2" xfId="6599" xr:uid="{00000000-0005-0000-0000-000058020000}"/>
    <cellStyle name="20% - Accent4 3 7 2 2" xfId="15049" xr:uid="{F2A543B3-DC01-4118-B705-A991247766C3}"/>
    <cellStyle name="20% - Accent4 3 7 3" xfId="10831" xr:uid="{759FCCC0-4D9B-4460-9404-93BA2158B8ED}"/>
    <cellStyle name="20% - Accent4 3 8" xfId="4533" xr:uid="{00000000-0005-0000-0000-000059020000}"/>
    <cellStyle name="20% - Accent4 3 8 2" xfId="12983" xr:uid="{EF3F1779-1171-4187-9C89-6688F1DC7145}"/>
    <cellStyle name="20% - Accent4 3 9" xfId="8765" xr:uid="{7233E5DD-6BE9-40B3-83FE-FD05DCD21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2 2 2" xfId="15544" xr:uid="{DB6EC153-D318-43FF-946B-3B73EB841543}"/>
    <cellStyle name="20% - Accent4 4 2 2 3" xfId="11326" xr:uid="{0D839CC2-ECE3-4CC7-9EBC-7A5CEC94B57D}"/>
    <cellStyle name="20% - Accent4 4 2 3" xfId="4949" xr:uid="{00000000-0005-0000-0000-00005E020000}"/>
    <cellStyle name="20% - Accent4 4 2 3 2" xfId="13399" xr:uid="{7B05CA8A-363E-4FFC-A155-D0D2B92C91A8}"/>
    <cellStyle name="20% - Accent4 4 2 4" xfId="9181" xr:uid="{2C8FA439-1BC2-42AF-9ACA-79855B699CA5}"/>
    <cellStyle name="20% - Accent4 4 3" xfId="1054" xr:uid="{00000000-0005-0000-0000-00005F020000}"/>
    <cellStyle name="20% - Accent4 4 3 2" xfId="3285" xr:uid="{00000000-0005-0000-0000-000060020000}"/>
    <cellStyle name="20% - Accent4 4 3 2 2" xfId="7507" xr:uid="{00000000-0005-0000-0000-000061020000}"/>
    <cellStyle name="20% - Accent4 4 3 2 2 2" xfId="15957" xr:uid="{2C611F38-2431-41E2-9ED3-64DDA6306359}"/>
    <cellStyle name="20% - Accent4 4 3 2 3" xfId="11739" xr:uid="{3FA54C9A-86FD-482E-B2FE-F17D351E79EE}"/>
    <cellStyle name="20% - Accent4 4 3 3" xfId="5362" xr:uid="{00000000-0005-0000-0000-000062020000}"/>
    <cellStyle name="20% - Accent4 4 3 3 2" xfId="13812" xr:uid="{2228CB2B-7537-4ECF-B4BE-12E92EB10966}"/>
    <cellStyle name="20% - Accent4 4 3 4" xfId="9594" xr:uid="{02366680-B6B0-4898-94E8-7558E59779C2}"/>
    <cellStyle name="20% - Accent4 4 4" xfId="1468" xr:uid="{00000000-0005-0000-0000-000063020000}"/>
    <cellStyle name="20% - Accent4 4 4 2" xfId="3698" xr:uid="{00000000-0005-0000-0000-000064020000}"/>
    <cellStyle name="20% - Accent4 4 4 2 2" xfId="7920" xr:uid="{00000000-0005-0000-0000-000065020000}"/>
    <cellStyle name="20% - Accent4 4 4 2 2 2" xfId="16370" xr:uid="{B1DE25E5-6EBE-4228-8587-2F584A7144A6}"/>
    <cellStyle name="20% - Accent4 4 4 2 3" xfId="12152" xr:uid="{8D54A2C9-F9F3-4A57-8F8E-FCE8A4F7BF6D}"/>
    <cellStyle name="20% - Accent4 4 4 3" xfId="5775" xr:uid="{00000000-0005-0000-0000-000066020000}"/>
    <cellStyle name="20% - Accent4 4 4 3 2" xfId="14225" xr:uid="{E9FE15F0-F3DE-4FF8-87E5-2F3C43C0C59B}"/>
    <cellStyle name="20% - Accent4 4 4 4" xfId="10007" xr:uid="{4426CD49-C113-4EE1-9E1C-2354470553FC}"/>
    <cellStyle name="20% - Accent4 4 5" xfId="1882" xr:uid="{00000000-0005-0000-0000-000067020000}"/>
    <cellStyle name="20% - Accent4 4 5 2" xfId="4111" xr:uid="{00000000-0005-0000-0000-000068020000}"/>
    <cellStyle name="20% - Accent4 4 5 2 2" xfId="8333" xr:uid="{00000000-0005-0000-0000-000069020000}"/>
    <cellStyle name="20% - Accent4 4 5 2 2 2" xfId="16783" xr:uid="{82EAF045-0F9B-4226-B4C9-E23D67C31CC7}"/>
    <cellStyle name="20% - Accent4 4 5 2 3" xfId="12565" xr:uid="{1BABB725-6BF1-44A8-AE52-169CCB159990}"/>
    <cellStyle name="20% - Accent4 4 5 3" xfId="6188" xr:uid="{00000000-0005-0000-0000-00006A020000}"/>
    <cellStyle name="20% - Accent4 4 5 3 2" xfId="14638" xr:uid="{0E6B7A25-5620-4627-8BE6-4494F68E20C3}"/>
    <cellStyle name="20% - Accent4 4 5 4" xfId="10420" xr:uid="{5814F9A5-CD79-4F07-B154-70CEE1328FDE}"/>
    <cellStyle name="20% - Accent4 4 6" xfId="2295" xr:uid="{00000000-0005-0000-0000-00006B020000}"/>
    <cellStyle name="20% - Accent4 4 6 2" xfId="6601" xr:uid="{00000000-0005-0000-0000-00006C020000}"/>
    <cellStyle name="20% - Accent4 4 6 2 2" xfId="15051" xr:uid="{205C1C35-0EEE-4006-A388-E677E8391C22}"/>
    <cellStyle name="20% - Accent4 4 6 3" xfId="10833" xr:uid="{0897FE55-A78F-4C7E-A20A-B86295710EF9}"/>
    <cellStyle name="20% - Accent4 4 7" xfId="4535" xr:uid="{00000000-0005-0000-0000-00006D020000}"/>
    <cellStyle name="20% - Accent4 4 7 2" xfId="12985" xr:uid="{B6004376-7415-422B-980E-AA9F77671B43}"/>
    <cellStyle name="20% - Accent4 4 8" xfId="8767" xr:uid="{BB1F2C74-7821-4E9C-ADA9-94F72316FD21}"/>
    <cellStyle name="20% - Accent4 5" xfId="594" xr:uid="{00000000-0005-0000-0000-00006E020000}"/>
    <cellStyle name="20% - Accent4 5 2" xfId="2865" xr:uid="{00000000-0005-0000-0000-00006F020000}"/>
    <cellStyle name="20% - Accent4 5 2 2" xfId="7087" xr:uid="{00000000-0005-0000-0000-000070020000}"/>
    <cellStyle name="20% - Accent4 5 2 2 2" xfId="15537" xr:uid="{60BC69E2-B222-45DA-9BCD-927C6BBCAE4C}"/>
    <cellStyle name="20% - Accent4 5 2 3" xfId="11319" xr:uid="{5ABB1B2F-0322-4D45-A927-C0409330E154}"/>
    <cellStyle name="20% - Accent4 5 3" xfId="4942" xr:uid="{00000000-0005-0000-0000-000071020000}"/>
    <cellStyle name="20% - Accent4 5 3 2" xfId="13392" xr:uid="{9FFAF96D-34F9-4600-993A-60F1BE9759FD}"/>
    <cellStyle name="20% - Accent4 5 4" xfId="9174" xr:uid="{417270F6-86E8-4C1D-B913-FE5030465B68}"/>
    <cellStyle name="20% - Accent4 6" xfId="1047" xr:uid="{00000000-0005-0000-0000-000072020000}"/>
    <cellStyle name="20% - Accent4 6 2" xfId="3278" xr:uid="{00000000-0005-0000-0000-000073020000}"/>
    <cellStyle name="20% - Accent4 6 2 2" xfId="7500" xr:uid="{00000000-0005-0000-0000-000074020000}"/>
    <cellStyle name="20% - Accent4 6 2 2 2" xfId="15950" xr:uid="{CED62C66-3F88-47D9-B50B-B84C4E9DB5C5}"/>
    <cellStyle name="20% - Accent4 6 2 3" xfId="11732" xr:uid="{28C367B7-A958-4246-96F8-9DBA5C91B1A3}"/>
    <cellStyle name="20% - Accent4 6 3" xfId="5355" xr:uid="{00000000-0005-0000-0000-000075020000}"/>
    <cellStyle name="20% - Accent4 6 3 2" xfId="13805" xr:uid="{4E193C5B-A607-4B5F-8AFD-E7EFFF68661C}"/>
    <cellStyle name="20% - Accent4 6 4" xfId="9587" xr:uid="{05F34300-C8FB-411B-96B2-03637876C4D5}"/>
    <cellStyle name="20% - Accent4 7" xfId="1461" xr:uid="{00000000-0005-0000-0000-000076020000}"/>
    <cellStyle name="20% - Accent4 7 2" xfId="3691" xr:uid="{00000000-0005-0000-0000-000077020000}"/>
    <cellStyle name="20% - Accent4 7 2 2" xfId="7913" xr:uid="{00000000-0005-0000-0000-000078020000}"/>
    <cellStyle name="20% - Accent4 7 2 2 2" xfId="16363" xr:uid="{8B1E9E10-6A2A-4031-AB6D-E781638FEDCE}"/>
    <cellStyle name="20% - Accent4 7 2 3" xfId="12145" xr:uid="{B86B7667-C001-425D-B871-E5ED2C2CC64F}"/>
    <cellStyle name="20% - Accent4 7 3" xfId="5768" xr:uid="{00000000-0005-0000-0000-000079020000}"/>
    <cellStyle name="20% - Accent4 7 3 2" xfId="14218" xr:uid="{084622AB-1EAA-4D60-AA9A-39726D83C57A}"/>
    <cellStyle name="20% - Accent4 7 4" xfId="10000" xr:uid="{41EEB553-CB17-4B90-A77E-720B3F98C225}"/>
    <cellStyle name="20% - Accent4 8" xfId="1875" xr:uid="{00000000-0005-0000-0000-00007A020000}"/>
    <cellStyle name="20% - Accent4 8 2" xfId="4104" xr:uid="{00000000-0005-0000-0000-00007B020000}"/>
    <cellStyle name="20% - Accent4 8 2 2" xfId="8326" xr:uid="{00000000-0005-0000-0000-00007C020000}"/>
    <cellStyle name="20% - Accent4 8 2 2 2" xfId="16776" xr:uid="{2FCAF0DE-0A2D-4580-9298-4F685919CB5C}"/>
    <cellStyle name="20% - Accent4 8 2 3" xfId="12558" xr:uid="{2B0AFCA3-C6D8-48AF-9173-FA2100B39E9B}"/>
    <cellStyle name="20% - Accent4 8 3" xfId="6181" xr:uid="{00000000-0005-0000-0000-00007D020000}"/>
    <cellStyle name="20% - Accent4 8 3 2" xfId="14631" xr:uid="{FC49BE28-C52C-4265-98A1-92AFE4E3C312}"/>
    <cellStyle name="20% - Accent4 8 4" xfId="10413" xr:uid="{0F173EFD-598E-475F-899A-FF52E09E95A5}"/>
    <cellStyle name="20% - Accent4 9" xfId="2288" xr:uid="{00000000-0005-0000-0000-00007E020000}"/>
    <cellStyle name="20% - Accent4 9 2" xfId="6594" xr:uid="{00000000-0005-0000-0000-00007F020000}"/>
    <cellStyle name="20% - Accent4 9 2 2" xfId="15044" xr:uid="{7D347A49-92E1-47D8-AD69-19F256DB8D76}"/>
    <cellStyle name="20% - Accent4 9 3" xfId="10826" xr:uid="{E386D86E-6376-4AA6-82DA-3D824C3D58DD}"/>
    <cellStyle name="20% - Accent5" xfId="33" builtinId="46" customBuiltin="1"/>
    <cellStyle name="20% - Accent5 10" xfId="4536" xr:uid="{00000000-0005-0000-0000-000081020000}"/>
    <cellStyle name="20% - Accent5 10 2" xfId="12986" xr:uid="{0B1624BC-2C6D-4F27-83C4-18F82EBD47EC}"/>
    <cellStyle name="20% - Accent5 11" xfId="8768" xr:uid="{932B11A0-9A0C-44A9-B094-DB52669C3679}"/>
    <cellStyle name="20% - Accent5 2" xfId="34" xr:uid="{00000000-0005-0000-0000-000082020000}"/>
    <cellStyle name="20% - Accent5 2 10" xfId="8769" xr:uid="{CFC16238-626A-4803-BBA7-2633397786C7}"/>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2 2 2" xfId="15548" xr:uid="{BC776A7C-84A7-44CC-8478-82CD21070286}"/>
    <cellStyle name="20% - Accent5 2 2 2 2 2 3" xfId="11330" xr:uid="{9F5DCEC6-9523-449E-904A-478987DC24B5}"/>
    <cellStyle name="20% - Accent5 2 2 2 2 3" xfId="4953" xr:uid="{00000000-0005-0000-0000-000088020000}"/>
    <cellStyle name="20% - Accent5 2 2 2 2 3 2" xfId="13403" xr:uid="{7969E83A-AB7D-496E-8B37-8B3CB6BDCBC1}"/>
    <cellStyle name="20% - Accent5 2 2 2 2 4" xfId="9185" xr:uid="{B9242159-1ADC-4F58-9C67-DDA542CF59D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2 2 2" xfId="15961" xr:uid="{00EFF951-4B84-4060-A2F2-CFBD1512E4EA}"/>
    <cellStyle name="20% - Accent5 2 2 2 3 2 3" xfId="11743" xr:uid="{A23A8875-BF97-4022-802A-497FDFCCB7F7}"/>
    <cellStyle name="20% - Accent5 2 2 2 3 3" xfId="5366" xr:uid="{00000000-0005-0000-0000-00008C020000}"/>
    <cellStyle name="20% - Accent5 2 2 2 3 3 2" xfId="13816" xr:uid="{025F39F0-83B2-4402-B19E-E03B4D846E43}"/>
    <cellStyle name="20% - Accent5 2 2 2 3 4" xfId="9598" xr:uid="{B0BBAD2B-43EB-4C0F-983E-F81B38832D79}"/>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2 2 2" xfId="16374" xr:uid="{510EDEC2-FAF3-496C-8DAA-D11F99A3BDE1}"/>
    <cellStyle name="20% - Accent5 2 2 2 4 2 3" xfId="12156" xr:uid="{0E5D7003-A6C1-4F54-B1F8-1741F61262F9}"/>
    <cellStyle name="20% - Accent5 2 2 2 4 3" xfId="5779" xr:uid="{00000000-0005-0000-0000-000090020000}"/>
    <cellStyle name="20% - Accent5 2 2 2 4 3 2" xfId="14229" xr:uid="{46FE39D7-85A7-43ED-90AF-A4C411DC74FB}"/>
    <cellStyle name="20% - Accent5 2 2 2 4 4" xfId="10011" xr:uid="{39D32342-0CCD-453B-971C-78982F10F879}"/>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2 2 2" xfId="16787" xr:uid="{8418E1E6-209F-47F8-8334-EE7344A4AF27}"/>
    <cellStyle name="20% - Accent5 2 2 2 5 2 3" xfId="12569" xr:uid="{088F5590-8139-47FA-9B82-47BFC64A3005}"/>
    <cellStyle name="20% - Accent5 2 2 2 5 3" xfId="6192" xr:uid="{00000000-0005-0000-0000-000094020000}"/>
    <cellStyle name="20% - Accent5 2 2 2 5 3 2" xfId="14642" xr:uid="{D7AA6DE9-33F7-4ECC-896C-ECF04E6F73F9}"/>
    <cellStyle name="20% - Accent5 2 2 2 5 4" xfId="10424" xr:uid="{7BC25D18-7678-40A8-B70E-27F78E4967B2}"/>
    <cellStyle name="20% - Accent5 2 2 2 6" xfId="2299" xr:uid="{00000000-0005-0000-0000-000095020000}"/>
    <cellStyle name="20% - Accent5 2 2 2 6 2" xfId="6605" xr:uid="{00000000-0005-0000-0000-000096020000}"/>
    <cellStyle name="20% - Accent5 2 2 2 6 2 2" xfId="15055" xr:uid="{0284699A-A0C2-4A95-A3AE-55BF9D2E38A9}"/>
    <cellStyle name="20% - Accent5 2 2 2 6 3" xfId="10837" xr:uid="{ECAA4EA5-DF9C-4DB0-9239-A5F9E2F6E8C4}"/>
    <cellStyle name="20% - Accent5 2 2 2 7" xfId="4539" xr:uid="{00000000-0005-0000-0000-000097020000}"/>
    <cellStyle name="20% - Accent5 2 2 2 7 2" xfId="12989" xr:uid="{5D9085AC-BA9A-4686-9BCE-2032607728C6}"/>
    <cellStyle name="20% - Accent5 2 2 2 8" xfId="8771" xr:uid="{944B4689-2B4D-489E-B5FC-AF35CC910A1E}"/>
    <cellStyle name="20% - Accent5 2 2 3" xfId="604" xr:uid="{00000000-0005-0000-0000-000098020000}"/>
    <cellStyle name="20% - Accent5 2 2 3 2" xfId="2875" xr:uid="{00000000-0005-0000-0000-000099020000}"/>
    <cellStyle name="20% - Accent5 2 2 3 2 2" xfId="7097" xr:uid="{00000000-0005-0000-0000-00009A020000}"/>
    <cellStyle name="20% - Accent5 2 2 3 2 2 2" xfId="15547" xr:uid="{F114559C-A8A0-4197-B9D2-9A9D4758912D}"/>
    <cellStyle name="20% - Accent5 2 2 3 2 3" xfId="11329" xr:uid="{2474F0AC-CC31-418D-A50C-699B257F276C}"/>
    <cellStyle name="20% - Accent5 2 2 3 3" xfId="4952" xr:uid="{00000000-0005-0000-0000-00009B020000}"/>
    <cellStyle name="20% - Accent5 2 2 3 3 2" xfId="13402" xr:uid="{F9820D83-32E7-4B7C-81D5-C103FB1048C9}"/>
    <cellStyle name="20% - Accent5 2 2 3 4" xfId="9184" xr:uid="{0A77C09C-13FE-4130-BE89-FFB0CCF0F477}"/>
    <cellStyle name="20% - Accent5 2 2 4" xfId="1057" xr:uid="{00000000-0005-0000-0000-00009C020000}"/>
    <cellStyle name="20% - Accent5 2 2 4 2" xfId="3288" xr:uid="{00000000-0005-0000-0000-00009D020000}"/>
    <cellStyle name="20% - Accent5 2 2 4 2 2" xfId="7510" xr:uid="{00000000-0005-0000-0000-00009E020000}"/>
    <cellStyle name="20% - Accent5 2 2 4 2 2 2" xfId="15960" xr:uid="{30635A9E-7252-42E3-8163-51FC5BFD9CD7}"/>
    <cellStyle name="20% - Accent5 2 2 4 2 3" xfId="11742" xr:uid="{96792C56-34ED-4AEB-8D3E-B2CF1A94E5F5}"/>
    <cellStyle name="20% - Accent5 2 2 4 3" xfId="5365" xr:uid="{00000000-0005-0000-0000-00009F020000}"/>
    <cellStyle name="20% - Accent5 2 2 4 3 2" xfId="13815" xr:uid="{65BD77CC-1365-4C18-B9D3-9EB94DC12F8F}"/>
    <cellStyle name="20% - Accent5 2 2 4 4" xfId="9597" xr:uid="{A0576E30-6B2F-4395-B3D1-12BA12447960}"/>
    <cellStyle name="20% - Accent5 2 2 5" xfId="1471" xr:uid="{00000000-0005-0000-0000-0000A0020000}"/>
    <cellStyle name="20% - Accent5 2 2 5 2" xfId="3701" xr:uid="{00000000-0005-0000-0000-0000A1020000}"/>
    <cellStyle name="20% - Accent5 2 2 5 2 2" xfId="7923" xr:uid="{00000000-0005-0000-0000-0000A2020000}"/>
    <cellStyle name="20% - Accent5 2 2 5 2 2 2" xfId="16373" xr:uid="{2719FA8D-1D60-4B2B-9B2F-3AAB646D0BD6}"/>
    <cellStyle name="20% - Accent5 2 2 5 2 3" xfId="12155" xr:uid="{4545BA05-4458-43EB-B81C-A4719811517B}"/>
    <cellStyle name="20% - Accent5 2 2 5 3" xfId="5778" xr:uid="{00000000-0005-0000-0000-0000A3020000}"/>
    <cellStyle name="20% - Accent5 2 2 5 3 2" xfId="14228" xr:uid="{C1D3827A-8958-4125-9545-8FACE50D5CEB}"/>
    <cellStyle name="20% - Accent5 2 2 5 4" xfId="10010" xr:uid="{916EC3C1-A64E-4F09-9E95-366C445A035C}"/>
    <cellStyle name="20% - Accent5 2 2 6" xfId="1885" xr:uid="{00000000-0005-0000-0000-0000A4020000}"/>
    <cellStyle name="20% - Accent5 2 2 6 2" xfId="4114" xr:uid="{00000000-0005-0000-0000-0000A5020000}"/>
    <cellStyle name="20% - Accent5 2 2 6 2 2" xfId="8336" xr:uid="{00000000-0005-0000-0000-0000A6020000}"/>
    <cellStyle name="20% - Accent5 2 2 6 2 2 2" xfId="16786" xr:uid="{AC0BD54B-2029-47DC-8D87-8F40513E916F}"/>
    <cellStyle name="20% - Accent5 2 2 6 2 3" xfId="12568" xr:uid="{9987E4AB-F27F-4B72-9961-4FF4982F5CC0}"/>
    <cellStyle name="20% - Accent5 2 2 6 3" xfId="6191" xr:uid="{00000000-0005-0000-0000-0000A7020000}"/>
    <cellStyle name="20% - Accent5 2 2 6 3 2" xfId="14641" xr:uid="{674180D9-3460-47B5-817D-AB7D8FFCEFC9}"/>
    <cellStyle name="20% - Accent5 2 2 6 4" xfId="10423" xr:uid="{A3C23D36-ABF7-4A35-8807-B1A5E24F1C6D}"/>
    <cellStyle name="20% - Accent5 2 2 7" xfId="2298" xr:uid="{00000000-0005-0000-0000-0000A8020000}"/>
    <cellStyle name="20% - Accent5 2 2 7 2" xfId="6604" xr:uid="{00000000-0005-0000-0000-0000A9020000}"/>
    <cellStyle name="20% - Accent5 2 2 7 2 2" xfId="15054" xr:uid="{1D481531-4344-4473-AB52-187D50D373DC}"/>
    <cellStyle name="20% - Accent5 2 2 7 3" xfId="10836" xr:uid="{73246AA8-22D2-4275-827F-E2D0862A2FF4}"/>
    <cellStyle name="20% - Accent5 2 2 8" xfId="4538" xr:uid="{00000000-0005-0000-0000-0000AA020000}"/>
    <cellStyle name="20% - Accent5 2 2 8 2" xfId="12988" xr:uid="{F3CA60B2-0B3A-494C-917B-42D971865AE9}"/>
    <cellStyle name="20% - Accent5 2 2 9" xfId="8770" xr:uid="{49FF72E6-B534-4A64-963B-23FBC23DCAB5}"/>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2 2 2" xfId="15549" xr:uid="{885C7EFD-925E-4B2F-8123-52D76F2D8F08}"/>
    <cellStyle name="20% - Accent5 2 3 2 2 3" xfId="11331" xr:uid="{6E171D26-7C31-4663-B44B-52985F07D040}"/>
    <cellStyle name="20% - Accent5 2 3 2 3" xfId="4954" xr:uid="{00000000-0005-0000-0000-0000AF020000}"/>
    <cellStyle name="20% - Accent5 2 3 2 3 2" xfId="13404" xr:uid="{3E61E936-E306-4C24-BD4C-58E893AFD048}"/>
    <cellStyle name="20% - Accent5 2 3 2 4" xfId="9186" xr:uid="{0B6F9FA2-8857-4F71-AA2E-78C184EC10B7}"/>
    <cellStyle name="20% - Accent5 2 3 3" xfId="1059" xr:uid="{00000000-0005-0000-0000-0000B0020000}"/>
    <cellStyle name="20% - Accent5 2 3 3 2" xfId="3290" xr:uid="{00000000-0005-0000-0000-0000B1020000}"/>
    <cellStyle name="20% - Accent5 2 3 3 2 2" xfId="7512" xr:uid="{00000000-0005-0000-0000-0000B2020000}"/>
    <cellStyle name="20% - Accent5 2 3 3 2 2 2" xfId="15962" xr:uid="{6E4BB9BD-3709-4747-A1DC-1B39658A94DE}"/>
    <cellStyle name="20% - Accent5 2 3 3 2 3" xfId="11744" xr:uid="{2181C543-2A53-45B2-9953-EDC135C534F2}"/>
    <cellStyle name="20% - Accent5 2 3 3 3" xfId="5367" xr:uid="{00000000-0005-0000-0000-0000B3020000}"/>
    <cellStyle name="20% - Accent5 2 3 3 3 2" xfId="13817" xr:uid="{467F4668-EAC3-4CD3-8293-6B3A8F6115D7}"/>
    <cellStyle name="20% - Accent5 2 3 3 4" xfId="9599" xr:uid="{45D735C0-31C8-411A-B996-12A3105648A0}"/>
    <cellStyle name="20% - Accent5 2 3 4" xfId="1473" xr:uid="{00000000-0005-0000-0000-0000B4020000}"/>
    <cellStyle name="20% - Accent5 2 3 4 2" xfId="3703" xr:uid="{00000000-0005-0000-0000-0000B5020000}"/>
    <cellStyle name="20% - Accent5 2 3 4 2 2" xfId="7925" xr:uid="{00000000-0005-0000-0000-0000B6020000}"/>
    <cellStyle name="20% - Accent5 2 3 4 2 2 2" xfId="16375" xr:uid="{E84A00F2-3754-49DE-A62B-FC0BB469DDA5}"/>
    <cellStyle name="20% - Accent5 2 3 4 2 3" xfId="12157" xr:uid="{91943223-FA8B-4100-9E5D-F4C466651C56}"/>
    <cellStyle name="20% - Accent5 2 3 4 3" xfId="5780" xr:uid="{00000000-0005-0000-0000-0000B7020000}"/>
    <cellStyle name="20% - Accent5 2 3 4 3 2" xfId="14230" xr:uid="{FE761C7D-89BE-4AD3-83F8-B731C7573758}"/>
    <cellStyle name="20% - Accent5 2 3 4 4" xfId="10012" xr:uid="{63C77E19-A31E-4BD2-8DAE-27E1C0571207}"/>
    <cellStyle name="20% - Accent5 2 3 5" xfId="1887" xr:uid="{00000000-0005-0000-0000-0000B8020000}"/>
    <cellStyle name="20% - Accent5 2 3 5 2" xfId="4116" xr:uid="{00000000-0005-0000-0000-0000B9020000}"/>
    <cellStyle name="20% - Accent5 2 3 5 2 2" xfId="8338" xr:uid="{00000000-0005-0000-0000-0000BA020000}"/>
    <cellStyle name="20% - Accent5 2 3 5 2 2 2" xfId="16788" xr:uid="{58E2C728-D123-4A0F-B778-EAEFA1E348B3}"/>
    <cellStyle name="20% - Accent5 2 3 5 2 3" xfId="12570" xr:uid="{6DAB6EC4-DE1E-482D-9E8C-248C2EAED921}"/>
    <cellStyle name="20% - Accent5 2 3 5 3" xfId="6193" xr:uid="{00000000-0005-0000-0000-0000BB020000}"/>
    <cellStyle name="20% - Accent5 2 3 5 3 2" xfId="14643" xr:uid="{47D3A2CC-F90A-486D-BDF3-724C48F12CE5}"/>
    <cellStyle name="20% - Accent5 2 3 5 4" xfId="10425" xr:uid="{EC2943A4-4DB9-45A0-A2CE-F63B8FC46CE5}"/>
    <cellStyle name="20% - Accent5 2 3 6" xfId="2300" xr:uid="{00000000-0005-0000-0000-0000BC020000}"/>
    <cellStyle name="20% - Accent5 2 3 6 2" xfId="6606" xr:uid="{00000000-0005-0000-0000-0000BD020000}"/>
    <cellStyle name="20% - Accent5 2 3 6 2 2" xfId="15056" xr:uid="{75AA2A79-FCAB-4AAA-A19F-25D4B54F2B5F}"/>
    <cellStyle name="20% - Accent5 2 3 6 3" xfId="10838" xr:uid="{B7735E2F-F49E-4359-84F9-62C3EF15E388}"/>
    <cellStyle name="20% - Accent5 2 3 7" xfId="4540" xr:uid="{00000000-0005-0000-0000-0000BE020000}"/>
    <cellStyle name="20% - Accent5 2 3 7 2" xfId="12990" xr:uid="{735B3A1E-9850-4A67-9843-87B10709F244}"/>
    <cellStyle name="20% - Accent5 2 3 8" xfId="8772" xr:uid="{5E602C81-EB42-4176-BB47-8CB0575AFCED}"/>
    <cellStyle name="20% - Accent5 2 4" xfId="603" xr:uid="{00000000-0005-0000-0000-0000BF020000}"/>
    <cellStyle name="20% - Accent5 2 4 2" xfId="2874" xr:uid="{00000000-0005-0000-0000-0000C0020000}"/>
    <cellStyle name="20% - Accent5 2 4 2 2" xfId="7096" xr:uid="{00000000-0005-0000-0000-0000C1020000}"/>
    <cellStyle name="20% - Accent5 2 4 2 2 2" xfId="15546" xr:uid="{36884563-79BF-4FF7-A1FF-F46228309CC5}"/>
    <cellStyle name="20% - Accent5 2 4 2 3" xfId="11328" xr:uid="{A643A7CD-6444-4879-8123-DA45DBBA1C4C}"/>
    <cellStyle name="20% - Accent5 2 4 3" xfId="4951" xr:uid="{00000000-0005-0000-0000-0000C2020000}"/>
    <cellStyle name="20% - Accent5 2 4 3 2" xfId="13401" xr:uid="{8BFE8770-3982-427A-A5A3-853772C08E6D}"/>
    <cellStyle name="20% - Accent5 2 4 4" xfId="9183" xr:uid="{00960ACD-358C-44EA-BDBA-4375DE0D8B67}"/>
    <cellStyle name="20% - Accent5 2 5" xfId="1056" xr:uid="{00000000-0005-0000-0000-0000C3020000}"/>
    <cellStyle name="20% - Accent5 2 5 2" xfId="3287" xr:uid="{00000000-0005-0000-0000-0000C4020000}"/>
    <cellStyle name="20% - Accent5 2 5 2 2" xfId="7509" xr:uid="{00000000-0005-0000-0000-0000C5020000}"/>
    <cellStyle name="20% - Accent5 2 5 2 2 2" xfId="15959" xr:uid="{C3D3B09B-8B9D-46AD-8C6C-8BFB186EE787}"/>
    <cellStyle name="20% - Accent5 2 5 2 3" xfId="11741" xr:uid="{FCE1C9D3-3572-4CBA-98E7-4D2FD44A1A44}"/>
    <cellStyle name="20% - Accent5 2 5 3" xfId="5364" xr:uid="{00000000-0005-0000-0000-0000C6020000}"/>
    <cellStyle name="20% - Accent5 2 5 3 2" xfId="13814" xr:uid="{03E37D6D-E7EA-4546-8B04-4B06BC68AC24}"/>
    <cellStyle name="20% - Accent5 2 5 4" xfId="9596" xr:uid="{8CA187BB-80F8-495C-B177-F0393FA3C899}"/>
    <cellStyle name="20% - Accent5 2 6" xfId="1470" xr:uid="{00000000-0005-0000-0000-0000C7020000}"/>
    <cellStyle name="20% - Accent5 2 6 2" xfId="3700" xr:uid="{00000000-0005-0000-0000-0000C8020000}"/>
    <cellStyle name="20% - Accent5 2 6 2 2" xfId="7922" xr:uid="{00000000-0005-0000-0000-0000C9020000}"/>
    <cellStyle name="20% - Accent5 2 6 2 2 2" xfId="16372" xr:uid="{D980EBDE-8F07-4790-A5FA-B80A66F4D046}"/>
    <cellStyle name="20% - Accent5 2 6 2 3" xfId="12154" xr:uid="{2DD8BBB8-E923-4103-B7E0-AD93010D80A1}"/>
    <cellStyle name="20% - Accent5 2 6 3" xfId="5777" xr:uid="{00000000-0005-0000-0000-0000CA020000}"/>
    <cellStyle name="20% - Accent5 2 6 3 2" xfId="14227" xr:uid="{79D46C92-F22E-40CC-8F64-4485DAB19566}"/>
    <cellStyle name="20% - Accent5 2 6 4" xfId="10009" xr:uid="{C36D3720-8272-4025-B4CF-1E11B7B0EE51}"/>
    <cellStyle name="20% - Accent5 2 7" xfId="1884" xr:uid="{00000000-0005-0000-0000-0000CB020000}"/>
    <cellStyle name="20% - Accent5 2 7 2" xfId="4113" xr:uid="{00000000-0005-0000-0000-0000CC020000}"/>
    <cellStyle name="20% - Accent5 2 7 2 2" xfId="8335" xr:uid="{00000000-0005-0000-0000-0000CD020000}"/>
    <cellStyle name="20% - Accent5 2 7 2 2 2" xfId="16785" xr:uid="{9C73B47F-12F3-402F-9907-C55E8532AF71}"/>
    <cellStyle name="20% - Accent5 2 7 2 3" xfId="12567" xr:uid="{104D1C75-CE08-483F-AE60-0F02C0E6C4F1}"/>
    <cellStyle name="20% - Accent5 2 7 3" xfId="6190" xr:uid="{00000000-0005-0000-0000-0000CE020000}"/>
    <cellStyle name="20% - Accent5 2 7 3 2" xfId="14640" xr:uid="{927E68E3-CDAC-4290-BAD2-747097A88B77}"/>
    <cellStyle name="20% - Accent5 2 7 4" xfId="10422" xr:uid="{705D16D0-CACD-46CD-BA0E-7D1C12F3CB42}"/>
    <cellStyle name="20% - Accent5 2 8" xfId="2297" xr:uid="{00000000-0005-0000-0000-0000CF020000}"/>
    <cellStyle name="20% - Accent5 2 8 2" xfId="6603" xr:uid="{00000000-0005-0000-0000-0000D0020000}"/>
    <cellStyle name="20% - Accent5 2 8 2 2" xfId="15053" xr:uid="{46196682-DD72-43EC-B935-4CE949D12C73}"/>
    <cellStyle name="20% - Accent5 2 8 3" xfId="10835" xr:uid="{CD454D6C-0409-420E-B098-BB45939B2EB1}"/>
    <cellStyle name="20% - Accent5 2 9" xfId="4537" xr:uid="{00000000-0005-0000-0000-0000D1020000}"/>
    <cellStyle name="20% - Accent5 2 9 2" xfId="12987" xr:uid="{A76E43A9-F57A-4D93-BA18-21D20E3EB753}"/>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2 2 2" xfId="15551" xr:uid="{D62F1955-8A9D-4669-BE51-F7B17C2EAD52}"/>
    <cellStyle name="20% - Accent5 3 2 2 2 3" xfId="11333" xr:uid="{3030F380-0E7F-494F-9AFC-97C8B0071324}"/>
    <cellStyle name="20% - Accent5 3 2 2 3" xfId="4956" xr:uid="{00000000-0005-0000-0000-0000D7020000}"/>
    <cellStyle name="20% - Accent5 3 2 2 3 2" xfId="13406" xr:uid="{67AE32A9-6A83-4C71-A4D6-47B6CB566F82}"/>
    <cellStyle name="20% - Accent5 3 2 2 4" xfId="9188" xr:uid="{7E348B62-A592-4422-83F1-0ADF91F2AD74}"/>
    <cellStyle name="20% - Accent5 3 2 3" xfId="1061" xr:uid="{00000000-0005-0000-0000-0000D8020000}"/>
    <cellStyle name="20% - Accent5 3 2 3 2" xfId="3292" xr:uid="{00000000-0005-0000-0000-0000D9020000}"/>
    <cellStyle name="20% - Accent5 3 2 3 2 2" xfId="7514" xr:uid="{00000000-0005-0000-0000-0000DA020000}"/>
    <cellStyle name="20% - Accent5 3 2 3 2 2 2" xfId="15964" xr:uid="{8EAA770F-EC3E-45F5-AAB5-ECB08B95AB24}"/>
    <cellStyle name="20% - Accent5 3 2 3 2 3" xfId="11746" xr:uid="{F1BA84B9-8195-45E2-8961-9C4999D409B4}"/>
    <cellStyle name="20% - Accent5 3 2 3 3" xfId="5369" xr:uid="{00000000-0005-0000-0000-0000DB020000}"/>
    <cellStyle name="20% - Accent5 3 2 3 3 2" xfId="13819" xr:uid="{9840A3BF-893E-4370-B257-E73B3C444D98}"/>
    <cellStyle name="20% - Accent5 3 2 3 4" xfId="9601" xr:uid="{69844BCD-4119-4DB9-A683-114C31CC88A1}"/>
    <cellStyle name="20% - Accent5 3 2 4" xfId="1475" xr:uid="{00000000-0005-0000-0000-0000DC020000}"/>
    <cellStyle name="20% - Accent5 3 2 4 2" xfId="3705" xr:uid="{00000000-0005-0000-0000-0000DD020000}"/>
    <cellStyle name="20% - Accent5 3 2 4 2 2" xfId="7927" xr:uid="{00000000-0005-0000-0000-0000DE020000}"/>
    <cellStyle name="20% - Accent5 3 2 4 2 2 2" xfId="16377" xr:uid="{49262D2D-22C7-4844-8BF2-32BCE31DC692}"/>
    <cellStyle name="20% - Accent5 3 2 4 2 3" xfId="12159" xr:uid="{87366024-061C-411F-9EA6-0A7E3985ABBF}"/>
    <cellStyle name="20% - Accent5 3 2 4 3" xfId="5782" xr:uid="{00000000-0005-0000-0000-0000DF020000}"/>
    <cellStyle name="20% - Accent5 3 2 4 3 2" xfId="14232" xr:uid="{BAD0184B-A1C7-4A89-91B3-712E4D5B2E15}"/>
    <cellStyle name="20% - Accent5 3 2 4 4" xfId="10014" xr:uid="{5073B1FE-2E38-4061-8AC5-A34DEB51B962}"/>
    <cellStyle name="20% - Accent5 3 2 5" xfId="1889" xr:uid="{00000000-0005-0000-0000-0000E0020000}"/>
    <cellStyle name="20% - Accent5 3 2 5 2" xfId="4118" xr:uid="{00000000-0005-0000-0000-0000E1020000}"/>
    <cellStyle name="20% - Accent5 3 2 5 2 2" xfId="8340" xr:uid="{00000000-0005-0000-0000-0000E2020000}"/>
    <cellStyle name="20% - Accent5 3 2 5 2 2 2" xfId="16790" xr:uid="{186B26EC-71A7-42A0-AC8D-3F89D3842A44}"/>
    <cellStyle name="20% - Accent5 3 2 5 2 3" xfId="12572" xr:uid="{616F9C76-2BB8-403A-B675-E5674A268F8D}"/>
    <cellStyle name="20% - Accent5 3 2 5 3" xfId="6195" xr:uid="{00000000-0005-0000-0000-0000E3020000}"/>
    <cellStyle name="20% - Accent5 3 2 5 3 2" xfId="14645" xr:uid="{B1B61A64-B107-4B23-B15E-D08B07652F66}"/>
    <cellStyle name="20% - Accent5 3 2 5 4" xfId="10427" xr:uid="{664C803C-5730-466F-B15C-0A8DEE55B836}"/>
    <cellStyle name="20% - Accent5 3 2 6" xfId="2302" xr:uid="{00000000-0005-0000-0000-0000E4020000}"/>
    <cellStyle name="20% - Accent5 3 2 6 2" xfId="6608" xr:uid="{00000000-0005-0000-0000-0000E5020000}"/>
    <cellStyle name="20% - Accent5 3 2 6 2 2" xfId="15058" xr:uid="{74BF89A0-1EEF-49A1-82CD-CE3841F7BD85}"/>
    <cellStyle name="20% - Accent5 3 2 6 3" xfId="10840" xr:uid="{1F7AC68D-E5B9-4FA7-A59D-2F76AE2F65F1}"/>
    <cellStyle name="20% - Accent5 3 2 7" xfId="4542" xr:uid="{00000000-0005-0000-0000-0000E6020000}"/>
    <cellStyle name="20% - Accent5 3 2 7 2" xfId="12992" xr:uid="{42DC53B7-9DD0-4086-9534-CA2E60B60C75}"/>
    <cellStyle name="20% - Accent5 3 2 8" xfId="8774" xr:uid="{4541D7DA-6CB3-4C87-8E1B-B5E7474D0175}"/>
    <cellStyle name="20% - Accent5 3 3" xfId="607" xr:uid="{00000000-0005-0000-0000-0000E7020000}"/>
    <cellStyle name="20% - Accent5 3 3 2" xfId="2878" xr:uid="{00000000-0005-0000-0000-0000E8020000}"/>
    <cellStyle name="20% - Accent5 3 3 2 2" xfId="7100" xr:uid="{00000000-0005-0000-0000-0000E9020000}"/>
    <cellStyle name="20% - Accent5 3 3 2 2 2" xfId="15550" xr:uid="{9E3EECA0-FE3B-4524-9278-D40DA8FFF57B}"/>
    <cellStyle name="20% - Accent5 3 3 2 3" xfId="11332" xr:uid="{542BE23E-1F7F-48AC-A457-095B6C2F16C2}"/>
    <cellStyle name="20% - Accent5 3 3 3" xfId="4955" xr:uid="{00000000-0005-0000-0000-0000EA020000}"/>
    <cellStyle name="20% - Accent5 3 3 3 2" xfId="13405" xr:uid="{4B154279-1947-469D-9B58-5CD159ED2FF3}"/>
    <cellStyle name="20% - Accent5 3 3 4" xfId="9187" xr:uid="{A40C1676-1093-45E8-A4FF-363B1FCFF75F}"/>
    <cellStyle name="20% - Accent5 3 4" xfId="1060" xr:uid="{00000000-0005-0000-0000-0000EB020000}"/>
    <cellStyle name="20% - Accent5 3 4 2" xfId="3291" xr:uid="{00000000-0005-0000-0000-0000EC020000}"/>
    <cellStyle name="20% - Accent5 3 4 2 2" xfId="7513" xr:uid="{00000000-0005-0000-0000-0000ED020000}"/>
    <cellStyle name="20% - Accent5 3 4 2 2 2" xfId="15963" xr:uid="{54E1B942-BA01-4E66-9281-06DB9E5072AE}"/>
    <cellStyle name="20% - Accent5 3 4 2 3" xfId="11745" xr:uid="{531D7F6D-2ECB-4884-841A-F3DD108999AD}"/>
    <cellStyle name="20% - Accent5 3 4 3" xfId="5368" xr:uid="{00000000-0005-0000-0000-0000EE020000}"/>
    <cellStyle name="20% - Accent5 3 4 3 2" xfId="13818" xr:uid="{88FB35E3-4FF7-45E1-81F4-3A1A48F9CADC}"/>
    <cellStyle name="20% - Accent5 3 4 4" xfId="9600" xr:uid="{B37A73A2-BAA6-4AFD-8604-C46354162042}"/>
    <cellStyle name="20% - Accent5 3 5" xfId="1474" xr:uid="{00000000-0005-0000-0000-0000EF020000}"/>
    <cellStyle name="20% - Accent5 3 5 2" xfId="3704" xr:uid="{00000000-0005-0000-0000-0000F0020000}"/>
    <cellStyle name="20% - Accent5 3 5 2 2" xfId="7926" xr:uid="{00000000-0005-0000-0000-0000F1020000}"/>
    <cellStyle name="20% - Accent5 3 5 2 2 2" xfId="16376" xr:uid="{18088CF2-F2CE-4EE1-A800-3A2CACA2DF5C}"/>
    <cellStyle name="20% - Accent5 3 5 2 3" xfId="12158" xr:uid="{9C23358A-8B35-4752-9C4F-3D273B6F9CF9}"/>
    <cellStyle name="20% - Accent5 3 5 3" xfId="5781" xr:uid="{00000000-0005-0000-0000-0000F2020000}"/>
    <cellStyle name="20% - Accent5 3 5 3 2" xfId="14231" xr:uid="{F388683F-E10A-4354-A0B0-C81B3EE9C6F0}"/>
    <cellStyle name="20% - Accent5 3 5 4" xfId="10013" xr:uid="{D7BFF33A-A0B7-4E9B-904A-77FAA9D13AE3}"/>
    <cellStyle name="20% - Accent5 3 6" xfId="1888" xr:uid="{00000000-0005-0000-0000-0000F3020000}"/>
    <cellStyle name="20% - Accent5 3 6 2" xfId="4117" xr:uid="{00000000-0005-0000-0000-0000F4020000}"/>
    <cellStyle name="20% - Accent5 3 6 2 2" xfId="8339" xr:uid="{00000000-0005-0000-0000-0000F5020000}"/>
    <cellStyle name="20% - Accent5 3 6 2 2 2" xfId="16789" xr:uid="{AA7E2E19-758E-440E-AB33-7249A1EDB29E}"/>
    <cellStyle name="20% - Accent5 3 6 2 3" xfId="12571" xr:uid="{AC36031E-4772-40B8-8160-9C70E1333996}"/>
    <cellStyle name="20% - Accent5 3 6 3" xfId="6194" xr:uid="{00000000-0005-0000-0000-0000F6020000}"/>
    <cellStyle name="20% - Accent5 3 6 3 2" xfId="14644" xr:uid="{6B19E003-3DF3-4ADF-90CB-EBBEE27262B4}"/>
    <cellStyle name="20% - Accent5 3 6 4" xfId="10426" xr:uid="{180ECD7F-8E0B-48E9-B62F-567C81B1D009}"/>
    <cellStyle name="20% - Accent5 3 7" xfId="2301" xr:uid="{00000000-0005-0000-0000-0000F7020000}"/>
    <cellStyle name="20% - Accent5 3 7 2" xfId="6607" xr:uid="{00000000-0005-0000-0000-0000F8020000}"/>
    <cellStyle name="20% - Accent5 3 7 2 2" xfId="15057" xr:uid="{1CBEB783-AF79-4826-A0AF-932F12CA26AA}"/>
    <cellStyle name="20% - Accent5 3 7 3" xfId="10839" xr:uid="{EC0B4FA7-6416-422C-9FFE-8AE26FD7F9AC}"/>
    <cellStyle name="20% - Accent5 3 8" xfId="4541" xr:uid="{00000000-0005-0000-0000-0000F9020000}"/>
    <cellStyle name="20% - Accent5 3 8 2" xfId="12991" xr:uid="{FEB713AC-CEBF-4D18-945B-4FEFCFD43CBD}"/>
    <cellStyle name="20% - Accent5 3 9" xfId="8773" xr:uid="{42AF4658-19BD-47A1-A84E-BEAB1123B775}"/>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2 2 2" xfId="15552" xr:uid="{5B3BC935-2C1B-4E02-AC0D-7CB627A37315}"/>
    <cellStyle name="20% - Accent5 4 2 2 3" xfId="11334" xr:uid="{89BA2C3F-8232-48EC-9654-F21711674B2E}"/>
    <cellStyle name="20% - Accent5 4 2 3" xfId="4957" xr:uid="{00000000-0005-0000-0000-0000FE020000}"/>
    <cellStyle name="20% - Accent5 4 2 3 2" xfId="13407" xr:uid="{C3FBB015-ACC2-4D07-92E8-2B9874EB89BE}"/>
    <cellStyle name="20% - Accent5 4 2 4" xfId="9189" xr:uid="{8DBFAABF-EA24-4244-9A00-08D2630A6DF3}"/>
    <cellStyle name="20% - Accent5 4 3" xfId="1062" xr:uid="{00000000-0005-0000-0000-0000FF020000}"/>
    <cellStyle name="20% - Accent5 4 3 2" xfId="3293" xr:uid="{00000000-0005-0000-0000-000000030000}"/>
    <cellStyle name="20% - Accent5 4 3 2 2" xfId="7515" xr:uid="{00000000-0005-0000-0000-000001030000}"/>
    <cellStyle name="20% - Accent5 4 3 2 2 2" xfId="15965" xr:uid="{100B5957-3066-4713-B612-73A5CC52C763}"/>
    <cellStyle name="20% - Accent5 4 3 2 3" xfId="11747" xr:uid="{A504C156-E0D3-4A93-97BB-31C16BEC868B}"/>
    <cellStyle name="20% - Accent5 4 3 3" xfId="5370" xr:uid="{00000000-0005-0000-0000-000002030000}"/>
    <cellStyle name="20% - Accent5 4 3 3 2" xfId="13820" xr:uid="{85551C6E-201C-4C90-B214-6D7D5C155824}"/>
    <cellStyle name="20% - Accent5 4 3 4" xfId="9602" xr:uid="{177ECF4B-3CB3-4FFD-8A72-BE85E03B357D}"/>
    <cellStyle name="20% - Accent5 4 4" xfId="1476" xr:uid="{00000000-0005-0000-0000-000003030000}"/>
    <cellStyle name="20% - Accent5 4 4 2" xfId="3706" xr:uid="{00000000-0005-0000-0000-000004030000}"/>
    <cellStyle name="20% - Accent5 4 4 2 2" xfId="7928" xr:uid="{00000000-0005-0000-0000-000005030000}"/>
    <cellStyle name="20% - Accent5 4 4 2 2 2" xfId="16378" xr:uid="{496E39C0-18A6-4CBE-81C5-AB14D77D03BE}"/>
    <cellStyle name="20% - Accent5 4 4 2 3" xfId="12160" xr:uid="{51747CC4-63A2-41EB-A411-4AFA42A06169}"/>
    <cellStyle name="20% - Accent5 4 4 3" xfId="5783" xr:uid="{00000000-0005-0000-0000-000006030000}"/>
    <cellStyle name="20% - Accent5 4 4 3 2" xfId="14233" xr:uid="{8B7B1EA4-FEE8-4D3E-98AD-3445CEC5C48E}"/>
    <cellStyle name="20% - Accent5 4 4 4" xfId="10015" xr:uid="{7D67014D-0E1C-4517-887B-53D96E168B49}"/>
    <cellStyle name="20% - Accent5 4 5" xfId="1890" xr:uid="{00000000-0005-0000-0000-000007030000}"/>
    <cellStyle name="20% - Accent5 4 5 2" xfId="4119" xr:uid="{00000000-0005-0000-0000-000008030000}"/>
    <cellStyle name="20% - Accent5 4 5 2 2" xfId="8341" xr:uid="{00000000-0005-0000-0000-000009030000}"/>
    <cellStyle name="20% - Accent5 4 5 2 2 2" xfId="16791" xr:uid="{79438E30-4895-4794-98AD-4D87FA5640F9}"/>
    <cellStyle name="20% - Accent5 4 5 2 3" xfId="12573" xr:uid="{66FFE4C5-F396-4CA2-AA92-47C68ADB9BF7}"/>
    <cellStyle name="20% - Accent5 4 5 3" xfId="6196" xr:uid="{00000000-0005-0000-0000-00000A030000}"/>
    <cellStyle name="20% - Accent5 4 5 3 2" xfId="14646" xr:uid="{97B8CD00-83A6-4723-9744-F9634D18EAED}"/>
    <cellStyle name="20% - Accent5 4 5 4" xfId="10428" xr:uid="{BF808DEA-C975-4C97-8C04-659DEFDC8D70}"/>
    <cellStyle name="20% - Accent5 4 6" xfId="2303" xr:uid="{00000000-0005-0000-0000-00000B030000}"/>
    <cellStyle name="20% - Accent5 4 6 2" xfId="6609" xr:uid="{00000000-0005-0000-0000-00000C030000}"/>
    <cellStyle name="20% - Accent5 4 6 2 2" xfId="15059" xr:uid="{4F07A51C-2E1E-4771-8F9C-099705ABFA78}"/>
    <cellStyle name="20% - Accent5 4 6 3" xfId="10841" xr:uid="{5E13807D-DB37-4519-A325-0CB677723565}"/>
    <cellStyle name="20% - Accent5 4 7" xfId="4543" xr:uid="{00000000-0005-0000-0000-00000D030000}"/>
    <cellStyle name="20% - Accent5 4 7 2" xfId="12993" xr:uid="{6E39BDEA-3054-47FA-B952-1F4C0B80206B}"/>
    <cellStyle name="20% - Accent5 4 8" xfId="8775" xr:uid="{5F78F885-AC1F-40D3-A8E5-946A22EFFE9C}"/>
    <cellStyle name="20% - Accent5 5" xfId="602" xr:uid="{00000000-0005-0000-0000-00000E030000}"/>
    <cellStyle name="20% - Accent5 5 2" xfId="2873" xr:uid="{00000000-0005-0000-0000-00000F030000}"/>
    <cellStyle name="20% - Accent5 5 2 2" xfId="7095" xr:uid="{00000000-0005-0000-0000-000010030000}"/>
    <cellStyle name="20% - Accent5 5 2 2 2" xfId="15545" xr:uid="{7E920072-E918-47E9-AF66-265E4097A314}"/>
    <cellStyle name="20% - Accent5 5 2 3" xfId="11327" xr:uid="{A856C3D0-74C3-4923-9247-2BCD84152F45}"/>
    <cellStyle name="20% - Accent5 5 3" xfId="4950" xr:uid="{00000000-0005-0000-0000-000011030000}"/>
    <cellStyle name="20% - Accent5 5 3 2" xfId="13400" xr:uid="{98CECD94-F9BE-448C-93F4-D7C823EDBA6C}"/>
    <cellStyle name="20% - Accent5 5 4" xfId="9182" xr:uid="{F5DD9F29-B64E-4C50-8D17-04B91EFA1777}"/>
    <cellStyle name="20% - Accent5 6" xfId="1055" xr:uid="{00000000-0005-0000-0000-000012030000}"/>
    <cellStyle name="20% - Accent5 6 2" xfId="3286" xr:uid="{00000000-0005-0000-0000-000013030000}"/>
    <cellStyle name="20% - Accent5 6 2 2" xfId="7508" xr:uid="{00000000-0005-0000-0000-000014030000}"/>
    <cellStyle name="20% - Accent5 6 2 2 2" xfId="15958" xr:uid="{9EEB9881-ED6A-4F9C-8021-02879587EEE7}"/>
    <cellStyle name="20% - Accent5 6 2 3" xfId="11740" xr:uid="{A88B8AA7-4D25-4A5F-ACFA-C8C254A5CD86}"/>
    <cellStyle name="20% - Accent5 6 3" xfId="5363" xr:uid="{00000000-0005-0000-0000-000015030000}"/>
    <cellStyle name="20% - Accent5 6 3 2" xfId="13813" xr:uid="{263C2BD3-74BB-4A2C-A6CE-48FF9C48F339}"/>
    <cellStyle name="20% - Accent5 6 4" xfId="9595" xr:uid="{791AB5E6-2D9E-45E5-8EAE-534D4F777842}"/>
    <cellStyle name="20% - Accent5 7" xfId="1469" xr:uid="{00000000-0005-0000-0000-000016030000}"/>
    <cellStyle name="20% - Accent5 7 2" xfId="3699" xr:uid="{00000000-0005-0000-0000-000017030000}"/>
    <cellStyle name="20% - Accent5 7 2 2" xfId="7921" xr:uid="{00000000-0005-0000-0000-000018030000}"/>
    <cellStyle name="20% - Accent5 7 2 2 2" xfId="16371" xr:uid="{F47CE8BB-5CEE-484E-8ABD-191778705948}"/>
    <cellStyle name="20% - Accent5 7 2 3" xfId="12153" xr:uid="{628C6622-54A9-4E5F-BFC3-175375323410}"/>
    <cellStyle name="20% - Accent5 7 3" xfId="5776" xr:uid="{00000000-0005-0000-0000-000019030000}"/>
    <cellStyle name="20% - Accent5 7 3 2" xfId="14226" xr:uid="{90B3A544-3D5F-47AD-8A98-C2E75ED27381}"/>
    <cellStyle name="20% - Accent5 7 4" xfId="10008" xr:uid="{7F8B3C25-6390-4BB7-AB05-BE9B0BDD31C2}"/>
    <cellStyle name="20% - Accent5 8" xfId="1883" xr:uid="{00000000-0005-0000-0000-00001A030000}"/>
    <cellStyle name="20% - Accent5 8 2" xfId="4112" xr:uid="{00000000-0005-0000-0000-00001B030000}"/>
    <cellStyle name="20% - Accent5 8 2 2" xfId="8334" xr:uid="{00000000-0005-0000-0000-00001C030000}"/>
    <cellStyle name="20% - Accent5 8 2 2 2" xfId="16784" xr:uid="{97B697CF-1A5E-4B1F-9591-3AF1C3ED0331}"/>
    <cellStyle name="20% - Accent5 8 2 3" xfId="12566" xr:uid="{8E966897-7D47-41B7-92B1-11070797A0C0}"/>
    <cellStyle name="20% - Accent5 8 3" xfId="6189" xr:uid="{00000000-0005-0000-0000-00001D030000}"/>
    <cellStyle name="20% - Accent5 8 3 2" xfId="14639" xr:uid="{A45EEDDA-08D6-456B-ACC1-F42840E7A95A}"/>
    <cellStyle name="20% - Accent5 8 4" xfId="10421" xr:uid="{7DD8064C-93D7-4C33-8F2A-CC62B841A64B}"/>
    <cellStyle name="20% - Accent5 9" xfId="2296" xr:uid="{00000000-0005-0000-0000-00001E030000}"/>
    <cellStyle name="20% - Accent5 9 2" xfId="6602" xr:uid="{00000000-0005-0000-0000-00001F030000}"/>
    <cellStyle name="20% - Accent5 9 2 2" xfId="15052" xr:uid="{7CC2FDB4-5871-48BC-9760-410B2E1447FB}"/>
    <cellStyle name="20% - Accent5 9 3" xfId="10834" xr:uid="{2468890F-1D98-47CA-A89E-D206D7CD4B6A}"/>
    <cellStyle name="20% - Accent6" xfId="41" builtinId="50" customBuiltin="1"/>
    <cellStyle name="20% - Accent6 10" xfId="4544" xr:uid="{00000000-0005-0000-0000-000021030000}"/>
    <cellStyle name="20% - Accent6 10 2" xfId="12994" xr:uid="{C5E46DC3-D567-40D9-BEE9-6854F8382A5D}"/>
    <cellStyle name="20% - Accent6 11" xfId="8776" xr:uid="{981A230B-150E-4636-B0AF-7DBB95FF0F0C}"/>
    <cellStyle name="20% - Accent6 2" xfId="42" xr:uid="{00000000-0005-0000-0000-000022030000}"/>
    <cellStyle name="20% - Accent6 2 10" xfId="8777" xr:uid="{D5F444F5-660F-4EAD-A4D9-9CC91FF7D187}"/>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2 2 2" xfId="15556" xr:uid="{3857935E-89B6-4114-9BA3-251F622F0600}"/>
    <cellStyle name="20% - Accent6 2 2 2 2 2 3" xfId="11338" xr:uid="{D47D521F-2F66-482F-B224-21184B1D84F7}"/>
    <cellStyle name="20% - Accent6 2 2 2 2 3" xfId="4961" xr:uid="{00000000-0005-0000-0000-000028030000}"/>
    <cellStyle name="20% - Accent6 2 2 2 2 3 2" xfId="13411" xr:uid="{C11DF79D-511E-44F3-8535-83FE9C4E8CA4}"/>
    <cellStyle name="20% - Accent6 2 2 2 2 4" xfId="9193" xr:uid="{F67E1DF7-F2C2-4845-B0EE-6E62867CAFF4}"/>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2 2 2" xfId="15969" xr:uid="{DCB4A9FA-2BEC-4B60-B983-2E7B1CD774BD}"/>
    <cellStyle name="20% - Accent6 2 2 2 3 2 3" xfId="11751" xr:uid="{1C25B2FB-AF72-412E-9CC8-C9F464A93C4F}"/>
    <cellStyle name="20% - Accent6 2 2 2 3 3" xfId="5374" xr:uid="{00000000-0005-0000-0000-00002C030000}"/>
    <cellStyle name="20% - Accent6 2 2 2 3 3 2" xfId="13824" xr:uid="{C93141FE-C66F-4C53-808D-69A7C65D4983}"/>
    <cellStyle name="20% - Accent6 2 2 2 3 4" xfId="9606" xr:uid="{2585D5F4-7F95-48D4-814F-CB9CA5A547D3}"/>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2 2 2" xfId="16382" xr:uid="{1993DA33-D1E8-412F-9EFE-1EDBA9D0E8B8}"/>
    <cellStyle name="20% - Accent6 2 2 2 4 2 3" xfId="12164" xr:uid="{FECD6326-FA0C-443E-91E5-8E5AA216682E}"/>
    <cellStyle name="20% - Accent6 2 2 2 4 3" xfId="5787" xr:uid="{00000000-0005-0000-0000-000030030000}"/>
    <cellStyle name="20% - Accent6 2 2 2 4 3 2" xfId="14237" xr:uid="{DE85BFFF-1118-4BE2-9B04-64FF86AC520C}"/>
    <cellStyle name="20% - Accent6 2 2 2 4 4" xfId="10019" xr:uid="{48D4CE55-E0DA-4AB7-823E-58F5698CCD57}"/>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2 2 2" xfId="16795" xr:uid="{D08CB074-B4A3-4399-82B7-E73D8EF2233C}"/>
    <cellStyle name="20% - Accent6 2 2 2 5 2 3" xfId="12577" xr:uid="{9AF81D41-9067-440D-8232-7CE1F17BB04F}"/>
    <cellStyle name="20% - Accent6 2 2 2 5 3" xfId="6200" xr:uid="{00000000-0005-0000-0000-000034030000}"/>
    <cellStyle name="20% - Accent6 2 2 2 5 3 2" xfId="14650" xr:uid="{6197873A-8602-48A6-8C8C-0CA520C85FBD}"/>
    <cellStyle name="20% - Accent6 2 2 2 5 4" xfId="10432" xr:uid="{F5E61173-4E2F-4A31-BC2E-1EB25D8B5098}"/>
    <cellStyle name="20% - Accent6 2 2 2 6" xfId="2307" xr:uid="{00000000-0005-0000-0000-000035030000}"/>
    <cellStyle name="20% - Accent6 2 2 2 6 2" xfId="6613" xr:uid="{00000000-0005-0000-0000-000036030000}"/>
    <cellStyle name="20% - Accent6 2 2 2 6 2 2" xfId="15063" xr:uid="{A0937304-88D7-4AED-8567-261910220446}"/>
    <cellStyle name="20% - Accent6 2 2 2 6 3" xfId="10845" xr:uid="{1797A10E-AF53-4576-9BD7-91AC6748923F}"/>
    <cellStyle name="20% - Accent6 2 2 2 7" xfId="4547" xr:uid="{00000000-0005-0000-0000-000037030000}"/>
    <cellStyle name="20% - Accent6 2 2 2 7 2" xfId="12997" xr:uid="{E48B219A-2285-43D1-B7CD-6C067D8BBEB5}"/>
    <cellStyle name="20% - Accent6 2 2 2 8" xfId="8779" xr:uid="{048647D5-3683-4259-9442-734E29AC5D5E}"/>
    <cellStyle name="20% - Accent6 2 2 3" xfId="612" xr:uid="{00000000-0005-0000-0000-000038030000}"/>
    <cellStyle name="20% - Accent6 2 2 3 2" xfId="2883" xr:uid="{00000000-0005-0000-0000-000039030000}"/>
    <cellStyle name="20% - Accent6 2 2 3 2 2" xfId="7105" xr:uid="{00000000-0005-0000-0000-00003A030000}"/>
    <cellStyle name="20% - Accent6 2 2 3 2 2 2" xfId="15555" xr:uid="{59654CEB-EDF1-42C5-836F-9F7DF80DE7E2}"/>
    <cellStyle name="20% - Accent6 2 2 3 2 3" xfId="11337" xr:uid="{87EADF07-11DA-472D-A9B2-F3E279483019}"/>
    <cellStyle name="20% - Accent6 2 2 3 3" xfId="4960" xr:uid="{00000000-0005-0000-0000-00003B030000}"/>
    <cellStyle name="20% - Accent6 2 2 3 3 2" xfId="13410" xr:uid="{4FB8A461-720F-46FB-BDFE-7FE0B39D2014}"/>
    <cellStyle name="20% - Accent6 2 2 3 4" xfId="9192" xr:uid="{A93C053D-D444-4CE2-860E-9220A6E69321}"/>
    <cellStyle name="20% - Accent6 2 2 4" xfId="1065" xr:uid="{00000000-0005-0000-0000-00003C030000}"/>
    <cellStyle name="20% - Accent6 2 2 4 2" xfId="3296" xr:uid="{00000000-0005-0000-0000-00003D030000}"/>
    <cellStyle name="20% - Accent6 2 2 4 2 2" xfId="7518" xr:uid="{00000000-0005-0000-0000-00003E030000}"/>
    <cellStyle name="20% - Accent6 2 2 4 2 2 2" xfId="15968" xr:uid="{F9A1320C-F9C4-4561-BF86-63923393EA2C}"/>
    <cellStyle name="20% - Accent6 2 2 4 2 3" xfId="11750" xr:uid="{11475477-66C9-456B-8399-10580E537931}"/>
    <cellStyle name="20% - Accent6 2 2 4 3" xfId="5373" xr:uid="{00000000-0005-0000-0000-00003F030000}"/>
    <cellStyle name="20% - Accent6 2 2 4 3 2" xfId="13823" xr:uid="{1DEE0692-8FE8-4373-BA8C-CEAC2170219D}"/>
    <cellStyle name="20% - Accent6 2 2 4 4" xfId="9605" xr:uid="{FF3E36E9-1415-4886-8F5E-9578637B89FD}"/>
    <cellStyle name="20% - Accent6 2 2 5" xfId="1479" xr:uid="{00000000-0005-0000-0000-000040030000}"/>
    <cellStyle name="20% - Accent6 2 2 5 2" xfId="3709" xr:uid="{00000000-0005-0000-0000-000041030000}"/>
    <cellStyle name="20% - Accent6 2 2 5 2 2" xfId="7931" xr:uid="{00000000-0005-0000-0000-000042030000}"/>
    <cellStyle name="20% - Accent6 2 2 5 2 2 2" xfId="16381" xr:uid="{A8A0C41B-E368-49CC-BC4A-55926D1261FA}"/>
    <cellStyle name="20% - Accent6 2 2 5 2 3" xfId="12163" xr:uid="{553A3C93-2B78-460F-B97D-E9578A51006B}"/>
    <cellStyle name="20% - Accent6 2 2 5 3" xfId="5786" xr:uid="{00000000-0005-0000-0000-000043030000}"/>
    <cellStyle name="20% - Accent6 2 2 5 3 2" xfId="14236" xr:uid="{A56C18FE-0D81-475F-85D8-D562AC8EF3EC}"/>
    <cellStyle name="20% - Accent6 2 2 5 4" xfId="10018" xr:uid="{45DC1554-5783-4F57-8CEC-1ACDC519B18F}"/>
    <cellStyle name="20% - Accent6 2 2 6" xfId="1893" xr:uid="{00000000-0005-0000-0000-000044030000}"/>
    <cellStyle name="20% - Accent6 2 2 6 2" xfId="4122" xr:uid="{00000000-0005-0000-0000-000045030000}"/>
    <cellStyle name="20% - Accent6 2 2 6 2 2" xfId="8344" xr:uid="{00000000-0005-0000-0000-000046030000}"/>
    <cellStyle name="20% - Accent6 2 2 6 2 2 2" xfId="16794" xr:uid="{F3072697-893A-4348-9DF6-19F5AF075F85}"/>
    <cellStyle name="20% - Accent6 2 2 6 2 3" xfId="12576" xr:uid="{1DB4B2A4-CE34-4310-9CCD-3882DFC83057}"/>
    <cellStyle name="20% - Accent6 2 2 6 3" xfId="6199" xr:uid="{00000000-0005-0000-0000-000047030000}"/>
    <cellStyle name="20% - Accent6 2 2 6 3 2" xfId="14649" xr:uid="{22979C2F-0390-4684-857C-6CE66D90CA4D}"/>
    <cellStyle name="20% - Accent6 2 2 6 4" xfId="10431" xr:uid="{53341771-1D19-424D-8207-1DCFC0156498}"/>
    <cellStyle name="20% - Accent6 2 2 7" xfId="2306" xr:uid="{00000000-0005-0000-0000-000048030000}"/>
    <cellStyle name="20% - Accent6 2 2 7 2" xfId="6612" xr:uid="{00000000-0005-0000-0000-000049030000}"/>
    <cellStyle name="20% - Accent6 2 2 7 2 2" xfId="15062" xr:uid="{15CBF429-2F77-4D11-BF6C-AAC677B3E3C3}"/>
    <cellStyle name="20% - Accent6 2 2 7 3" xfId="10844" xr:uid="{FAE222CE-8669-4527-87CC-FF26140820BD}"/>
    <cellStyle name="20% - Accent6 2 2 8" xfId="4546" xr:uid="{00000000-0005-0000-0000-00004A030000}"/>
    <cellStyle name="20% - Accent6 2 2 8 2" xfId="12996" xr:uid="{AB034187-4976-43F7-A8CA-E171A32136CB}"/>
    <cellStyle name="20% - Accent6 2 2 9" xfId="8778" xr:uid="{2EDCBE85-42EC-4A8D-AE7E-325C60948215}"/>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2 2 2" xfId="15557" xr:uid="{CD5B9198-C1CF-4BED-B3EE-A756E3610B3F}"/>
    <cellStyle name="20% - Accent6 2 3 2 2 3" xfId="11339" xr:uid="{11070B52-59F9-4FC1-9FE7-29618E6D855B}"/>
    <cellStyle name="20% - Accent6 2 3 2 3" xfId="4962" xr:uid="{00000000-0005-0000-0000-00004F030000}"/>
    <cellStyle name="20% - Accent6 2 3 2 3 2" xfId="13412" xr:uid="{7BA3DC7D-B1D6-48DC-A894-B58EAFC53DEE}"/>
    <cellStyle name="20% - Accent6 2 3 2 4" xfId="9194" xr:uid="{3BC61439-5BBE-4031-9654-10B202E87501}"/>
    <cellStyle name="20% - Accent6 2 3 3" xfId="1067" xr:uid="{00000000-0005-0000-0000-000050030000}"/>
    <cellStyle name="20% - Accent6 2 3 3 2" xfId="3298" xr:uid="{00000000-0005-0000-0000-000051030000}"/>
    <cellStyle name="20% - Accent6 2 3 3 2 2" xfId="7520" xr:uid="{00000000-0005-0000-0000-000052030000}"/>
    <cellStyle name="20% - Accent6 2 3 3 2 2 2" xfId="15970" xr:uid="{FECC5C11-D585-409C-9D87-184813ECE21E}"/>
    <cellStyle name="20% - Accent6 2 3 3 2 3" xfId="11752" xr:uid="{858D8DD2-4CDC-4630-A177-DDA64B9D2FB8}"/>
    <cellStyle name="20% - Accent6 2 3 3 3" xfId="5375" xr:uid="{00000000-0005-0000-0000-000053030000}"/>
    <cellStyle name="20% - Accent6 2 3 3 3 2" xfId="13825" xr:uid="{82E871FE-81F1-41CC-A573-1E5EFA6BB1E4}"/>
    <cellStyle name="20% - Accent6 2 3 3 4" xfId="9607" xr:uid="{19E02C19-4FEE-40E6-A60E-5ECA5E89D21D}"/>
    <cellStyle name="20% - Accent6 2 3 4" xfId="1481" xr:uid="{00000000-0005-0000-0000-000054030000}"/>
    <cellStyle name="20% - Accent6 2 3 4 2" xfId="3711" xr:uid="{00000000-0005-0000-0000-000055030000}"/>
    <cellStyle name="20% - Accent6 2 3 4 2 2" xfId="7933" xr:uid="{00000000-0005-0000-0000-000056030000}"/>
    <cellStyle name="20% - Accent6 2 3 4 2 2 2" xfId="16383" xr:uid="{7E7A6966-04F5-4581-B237-065556B54CCE}"/>
    <cellStyle name="20% - Accent6 2 3 4 2 3" xfId="12165" xr:uid="{00A98635-D453-483F-8F49-F703C5B5C4CD}"/>
    <cellStyle name="20% - Accent6 2 3 4 3" xfId="5788" xr:uid="{00000000-0005-0000-0000-000057030000}"/>
    <cellStyle name="20% - Accent6 2 3 4 3 2" xfId="14238" xr:uid="{8813CB2F-9763-43A7-8C35-8D2FE977496B}"/>
    <cellStyle name="20% - Accent6 2 3 4 4" xfId="10020" xr:uid="{1C94FFA9-FC8B-4CAE-A433-A9DE11263F32}"/>
    <cellStyle name="20% - Accent6 2 3 5" xfId="1895" xr:uid="{00000000-0005-0000-0000-000058030000}"/>
    <cellStyle name="20% - Accent6 2 3 5 2" xfId="4124" xr:uid="{00000000-0005-0000-0000-000059030000}"/>
    <cellStyle name="20% - Accent6 2 3 5 2 2" xfId="8346" xr:uid="{00000000-0005-0000-0000-00005A030000}"/>
    <cellStyle name="20% - Accent6 2 3 5 2 2 2" xfId="16796" xr:uid="{766B1AC5-2EBE-4B60-82E5-5FBE8B89085E}"/>
    <cellStyle name="20% - Accent6 2 3 5 2 3" xfId="12578" xr:uid="{49EEB484-1FA6-4ECE-B0F0-5037C730BF74}"/>
    <cellStyle name="20% - Accent6 2 3 5 3" xfId="6201" xr:uid="{00000000-0005-0000-0000-00005B030000}"/>
    <cellStyle name="20% - Accent6 2 3 5 3 2" xfId="14651" xr:uid="{97F97597-FA6E-46C7-9E88-B5848D692722}"/>
    <cellStyle name="20% - Accent6 2 3 5 4" xfId="10433" xr:uid="{C5EB212C-6703-4E65-9E59-EE6FC9674141}"/>
    <cellStyle name="20% - Accent6 2 3 6" xfId="2308" xr:uid="{00000000-0005-0000-0000-00005C030000}"/>
    <cellStyle name="20% - Accent6 2 3 6 2" xfId="6614" xr:uid="{00000000-0005-0000-0000-00005D030000}"/>
    <cellStyle name="20% - Accent6 2 3 6 2 2" xfId="15064" xr:uid="{93A61020-AA00-463F-AEC9-6B3F17063788}"/>
    <cellStyle name="20% - Accent6 2 3 6 3" xfId="10846" xr:uid="{509E36F6-EBFA-4F00-942D-10892BDBB976}"/>
    <cellStyle name="20% - Accent6 2 3 7" xfId="4548" xr:uid="{00000000-0005-0000-0000-00005E030000}"/>
    <cellStyle name="20% - Accent6 2 3 7 2" xfId="12998" xr:uid="{C2A9F3F3-9664-404F-B142-F645D57131D0}"/>
    <cellStyle name="20% - Accent6 2 3 8" xfId="8780" xr:uid="{E61ABB5D-4A59-4FD1-8852-F4BED809E491}"/>
    <cellStyle name="20% - Accent6 2 4" xfId="611" xr:uid="{00000000-0005-0000-0000-00005F030000}"/>
    <cellStyle name="20% - Accent6 2 4 2" xfId="2882" xr:uid="{00000000-0005-0000-0000-000060030000}"/>
    <cellStyle name="20% - Accent6 2 4 2 2" xfId="7104" xr:uid="{00000000-0005-0000-0000-000061030000}"/>
    <cellStyle name="20% - Accent6 2 4 2 2 2" xfId="15554" xr:uid="{526BAEE8-36B8-45CB-9C78-6258CAC319F6}"/>
    <cellStyle name="20% - Accent6 2 4 2 3" xfId="11336" xr:uid="{5088857F-B6F9-4545-85B7-E0A393396429}"/>
    <cellStyle name="20% - Accent6 2 4 3" xfId="4959" xr:uid="{00000000-0005-0000-0000-000062030000}"/>
    <cellStyle name="20% - Accent6 2 4 3 2" xfId="13409" xr:uid="{4289DCEB-B5C9-4A56-B4F5-DC21C5E71EDF}"/>
    <cellStyle name="20% - Accent6 2 4 4" xfId="9191" xr:uid="{DCA904C5-A14B-4D2E-91A6-36784794393E}"/>
    <cellStyle name="20% - Accent6 2 5" xfId="1064" xr:uid="{00000000-0005-0000-0000-000063030000}"/>
    <cellStyle name="20% - Accent6 2 5 2" xfId="3295" xr:uid="{00000000-0005-0000-0000-000064030000}"/>
    <cellStyle name="20% - Accent6 2 5 2 2" xfId="7517" xr:uid="{00000000-0005-0000-0000-000065030000}"/>
    <cellStyle name="20% - Accent6 2 5 2 2 2" xfId="15967" xr:uid="{43AB5F20-D72F-4D29-96AD-4159FB9B795B}"/>
    <cellStyle name="20% - Accent6 2 5 2 3" xfId="11749" xr:uid="{1BB43AC9-7C52-4694-93CE-94CFCB334FCB}"/>
    <cellStyle name="20% - Accent6 2 5 3" xfId="5372" xr:uid="{00000000-0005-0000-0000-000066030000}"/>
    <cellStyle name="20% - Accent6 2 5 3 2" xfId="13822" xr:uid="{C2B037B6-A3D9-49F7-96E9-3CD730CEB70D}"/>
    <cellStyle name="20% - Accent6 2 5 4" xfId="9604" xr:uid="{6465320A-03D8-4239-87DF-6A0F7A4D1E9F}"/>
    <cellStyle name="20% - Accent6 2 6" xfId="1478" xr:uid="{00000000-0005-0000-0000-000067030000}"/>
    <cellStyle name="20% - Accent6 2 6 2" xfId="3708" xr:uid="{00000000-0005-0000-0000-000068030000}"/>
    <cellStyle name="20% - Accent6 2 6 2 2" xfId="7930" xr:uid="{00000000-0005-0000-0000-000069030000}"/>
    <cellStyle name="20% - Accent6 2 6 2 2 2" xfId="16380" xr:uid="{06BE7C48-3D77-4C8C-82E3-7C873F19D9AE}"/>
    <cellStyle name="20% - Accent6 2 6 2 3" xfId="12162" xr:uid="{1A3D9794-B98C-4127-BD67-460C3683CF0D}"/>
    <cellStyle name="20% - Accent6 2 6 3" xfId="5785" xr:uid="{00000000-0005-0000-0000-00006A030000}"/>
    <cellStyle name="20% - Accent6 2 6 3 2" xfId="14235" xr:uid="{19D58196-2C7B-49A2-B36B-BB738B662E8F}"/>
    <cellStyle name="20% - Accent6 2 6 4" xfId="10017" xr:uid="{F72620ED-8983-4353-ACE2-6FE58F38DC2F}"/>
    <cellStyle name="20% - Accent6 2 7" xfId="1892" xr:uid="{00000000-0005-0000-0000-00006B030000}"/>
    <cellStyle name="20% - Accent6 2 7 2" xfId="4121" xr:uid="{00000000-0005-0000-0000-00006C030000}"/>
    <cellStyle name="20% - Accent6 2 7 2 2" xfId="8343" xr:uid="{00000000-0005-0000-0000-00006D030000}"/>
    <cellStyle name="20% - Accent6 2 7 2 2 2" xfId="16793" xr:uid="{72F19531-BE27-446B-9129-7C30BE95B642}"/>
    <cellStyle name="20% - Accent6 2 7 2 3" xfId="12575" xr:uid="{3E384D65-139F-4CD4-8A32-F0AAA17FD977}"/>
    <cellStyle name="20% - Accent6 2 7 3" xfId="6198" xr:uid="{00000000-0005-0000-0000-00006E030000}"/>
    <cellStyle name="20% - Accent6 2 7 3 2" xfId="14648" xr:uid="{60D4BF4A-FE0A-48A1-8370-5E5ED38948C8}"/>
    <cellStyle name="20% - Accent6 2 7 4" xfId="10430" xr:uid="{E68E95D2-6F9F-4584-909C-EC30ED2DA2B5}"/>
    <cellStyle name="20% - Accent6 2 8" xfId="2305" xr:uid="{00000000-0005-0000-0000-00006F030000}"/>
    <cellStyle name="20% - Accent6 2 8 2" xfId="6611" xr:uid="{00000000-0005-0000-0000-000070030000}"/>
    <cellStyle name="20% - Accent6 2 8 2 2" xfId="15061" xr:uid="{90AB9A32-432D-4830-A522-60F44AEF96B3}"/>
    <cellStyle name="20% - Accent6 2 8 3" xfId="10843" xr:uid="{6D0350A4-5403-4FBB-ACD4-337D466954B8}"/>
    <cellStyle name="20% - Accent6 2 9" xfId="4545" xr:uid="{00000000-0005-0000-0000-000071030000}"/>
    <cellStyle name="20% - Accent6 2 9 2" xfId="12995" xr:uid="{262EFB50-04BA-43F6-831F-1C6399F147AD}"/>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2 2 2" xfId="15559" xr:uid="{99B83EB5-07CC-49D1-9671-52BD06000020}"/>
    <cellStyle name="20% - Accent6 3 2 2 2 3" xfId="11341" xr:uid="{6EEECDDF-3EE0-442E-B50D-FD8B3B9D92CB}"/>
    <cellStyle name="20% - Accent6 3 2 2 3" xfId="4964" xr:uid="{00000000-0005-0000-0000-000077030000}"/>
    <cellStyle name="20% - Accent6 3 2 2 3 2" xfId="13414" xr:uid="{BBB398DA-F735-4829-80CE-5594AD275812}"/>
    <cellStyle name="20% - Accent6 3 2 2 4" xfId="9196" xr:uid="{99DA86C3-05FB-494F-9E5E-D24AFA4B2C07}"/>
    <cellStyle name="20% - Accent6 3 2 3" xfId="1069" xr:uid="{00000000-0005-0000-0000-000078030000}"/>
    <cellStyle name="20% - Accent6 3 2 3 2" xfId="3300" xr:uid="{00000000-0005-0000-0000-000079030000}"/>
    <cellStyle name="20% - Accent6 3 2 3 2 2" xfId="7522" xr:uid="{00000000-0005-0000-0000-00007A030000}"/>
    <cellStyle name="20% - Accent6 3 2 3 2 2 2" xfId="15972" xr:uid="{E92D0DED-8200-4824-B0FA-771499B6E714}"/>
    <cellStyle name="20% - Accent6 3 2 3 2 3" xfId="11754" xr:uid="{9AB2BFB1-8403-46BC-B79B-F5DF201D8DE0}"/>
    <cellStyle name="20% - Accent6 3 2 3 3" xfId="5377" xr:uid="{00000000-0005-0000-0000-00007B030000}"/>
    <cellStyle name="20% - Accent6 3 2 3 3 2" xfId="13827" xr:uid="{A49BA4D8-1658-4EA1-8D8B-550FB3CD0E7C}"/>
    <cellStyle name="20% - Accent6 3 2 3 4" xfId="9609" xr:uid="{3F5C1BBE-896A-4688-83EE-F660A9DF7A5F}"/>
    <cellStyle name="20% - Accent6 3 2 4" xfId="1483" xr:uid="{00000000-0005-0000-0000-00007C030000}"/>
    <cellStyle name="20% - Accent6 3 2 4 2" xfId="3713" xr:uid="{00000000-0005-0000-0000-00007D030000}"/>
    <cellStyle name="20% - Accent6 3 2 4 2 2" xfId="7935" xr:uid="{00000000-0005-0000-0000-00007E030000}"/>
    <cellStyle name="20% - Accent6 3 2 4 2 2 2" xfId="16385" xr:uid="{10B5EC35-C65C-45AF-9AB5-018241D4F529}"/>
    <cellStyle name="20% - Accent6 3 2 4 2 3" xfId="12167" xr:uid="{DB31CD0A-31CA-4691-9B74-4BFB538D556A}"/>
    <cellStyle name="20% - Accent6 3 2 4 3" xfId="5790" xr:uid="{00000000-0005-0000-0000-00007F030000}"/>
    <cellStyle name="20% - Accent6 3 2 4 3 2" xfId="14240" xr:uid="{D8D011A7-87B0-41BE-B8AB-C87EA547E608}"/>
    <cellStyle name="20% - Accent6 3 2 4 4" xfId="10022" xr:uid="{C50CF879-04D1-4665-AF5E-98D24D10B9B0}"/>
    <cellStyle name="20% - Accent6 3 2 5" xfId="1897" xr:uid="{00000000-0005-0000-0000-000080030000}"/>
    <cellStyle name="20% - Accent6 3 2 5 2" xfId="4126" xr:uid="{00000000-0005-0000-0000-000081030000}"/>
    <cellStyle name="20% - Accent6 3 2 5 2 2" xfId="8348" xr:uid="{00000000-0005-0000-0000-000082030000}"/>
    <cellStyle name="20% - Accent6 3 2 5 2 2 2" xfId="16798" xr:uid="{9A73868F-13A8-43F0-BC94-D3A93301D72C}"/>
    <cellStyle name="20% - Accent6 3 2 5 2 3" xfId="12580" xr:uid="{56EAEB18-0787-427E-BA83-D38F2EF7B850}"/>
    <cellStyle name="20% - Accent6 3 2 5 3" xfId="6203" xr:uid="{00000000-0005-0000-0000-000083030000}"/>
    <cellStyle name="20% - Accent6 3 2 5 3 2" xfId="14653" xr:uid="{A9ED05B5-8047-46BD-A206-7399A0206127}"/>
    <cellStyle name="20% - Accent6 3 2 5 4" xfId="10435" xr:uid="{9A12766E-29A0-42EA-9F3A-D766F392AD7E}"/>
    <cellStyle name="20% - Accent6 3 2 6" xfId="2310" xr:uid="{00000000-0005-0000-0000-000084030000}"/>
    <cellStyle name="20% - Accent6 3 2 6 2" xfId="6616" xr:uid="{00000000-0005-0000-0000-000085030000}"/>
    <cellStyle name="20% - Accent6 3 2 6 2 2" xfId="15066" xr:uid="{B0D6F5AC-6D2A-482B-ACA8-BAAB79ACDB13}"/>
    <cellStyle name="20% - Accent6 3 2 6 3" xfId="10848" xr:uid="{D65A37E5-162A-4A09-8FDC-7C375E0AFC64}"/>
    <cellStyle name="20% - Accent6 3 2 7" xfId="4550" xr:uid="{00000000-0005-0000-0000-000086030000}"/>
    <cellStyle name="20% - Accent6 3 2 7 2" xfId="13000" xr:uid="{88AF4851-72B6-425B-884A-36342367BA3B}"/>
    <cellStyle name="20% - Accent6 3 2 8" xfId="8782" xr:uid="{5D9AD649-B978-4614-937D-F1229476DC4E}"/>
    <cellStyle name="20% - Accent6 3 3" xfId="615" xr:uid="{00000000-0005-0000-0000-000087030000}"/>
    <cellStyle name="20% - Accent6 3 3 2" xfId="2886" xr:uid="{00000000-0005-0000-0000-000088030000}"/>
    <cellStyle name="20% - Accent6 3 3 2 2" xfId="7108" xr:uid="{00000000-0005-0000-0000-000089030000}"/>
    <cellStyle name="20% - Accent6 3 3 2 2 2" xfId="15558" xr:uid="{8B2C430E-FD7B-4D66-B2FA-328042E699DF}"/>
    <cellStyle name="20% - Accent6 3 3 2 3" xfId="11340" xr:uid="{DE25AD5D-3ED5-4C10-ABBE-3D9E485F0873}"/>
    <cellStyle name="20% - Accent6 3 3 3" xfId="4963" xr:uid="{00000000-0005-0000-0000-00008A030000}"/>
    <cellStyle name="20% - Accent6 3 3 3 2" xfId="13413" xr:uid="{2DFCF581-CAA0-4ECD-93CE-FB9DCF89540A}"/>
    <cellStyle name="20% - Accent6 3 3 4" xfId="9195" xr:uid="{57D30E1E-39F9-475E-8746-5E226F1C3D6B}"/>
    <cellStyle name="20% - Accent6 3 4" xfId="1068" xr:uid="{00000000-0005-0000-0000-00008B030000}"/>
    <cellStyle name="20% - Accent6 3 4 2" xfId="3299" xr:uid="{00000000-0005-0000-0000-00008C030000}"/>
    <cellStyle name="20% - Accent6 3 4 2 2" xfId="7521" xr:uid="{00000000-0005-0000-0000-00008D030000}"/>
    <cellStyle name="20% - Accent6 3 4 2 2 2" xfId="15971" xr:uid="{26749781-538B-44E3-BE5D-F7283A511157}"/>
    <cellStyle name="20% - Accent6 3 4 2 3" xfId="11753" xr:uid="{52DCB060-1579-49D2-B90A-52F8D060106C}"/>
    <cellStyle name="20% - Accent6 3 4 3" xfId="5376" xr:uid="{00000000-0005-0000-0000-00008E030000}"/>
    <cellStyle name="20% - Accent6 3 4 3 2" xfId="13826" xr:uid="{FBD71D7E-AE0B-45A2-96F9-E663F9E04B3B}"/>
    <cellStyle name="20% - Accent6 3 4 4" xfId="9608" xr:uid="{66D149F2-70A0-44E2-8839-A93CCA63199C}"/>
    <cellStyle name="20% - Accent6 3 5" xfId="1482" xr:uid="{00000000-0005-0000-0000-00008F030000}"/>
    <cellStyle name="20% - Accent6 3 5 2" xfId="3712" xr:uid="{00000000-0005-0000-0000-000090030000}"/>
    <cellStyle name="20% - Accent6 3 5 2 2" xfId="7934" xr:uid="{00000000-0005-0000-0000-000091030000}"/>
    <cellStyle name="20% - Accent6 3 5 2 2 2" xfId="16384" xr:uid="{B366D705-CF95-4FB0-99B2-30FF5519E6EB}"/>
    <cellStyle name="20% - Accent6 3 5 2 3" xfId="12166" xr:uid="{A6A09852-BB4C-42FE-9853-9C819EC34E46}"/>
    <cellStyle name="20% - Accent6 3 5 3" xfId="5789" xr:uid="{00000000-0005-0000-0000-000092030000}"/>
    <cellStyle name="20% - Accent6 3 5 3 2" xfId="14239" xr:uid="{62DDC646-DFEE-4281-8904-399599CF55DB}"/>
    <cellStyle name="20% - Accent6 3 5 4" xfId="10021" xr:uid="{CF529E1D-2A75-4F31-97D0-735D225233DD}"/>
    <cellStyle name="20% - Accent6 3 6" xfId="1896" xr:uid="{00000000-0005-0000-0000-000093030000}"/>
    <cellStyle name="20% - Accent6 3 6 2" xfId="4125" xr:uid="{00000000-0005-0000-0000-000094030000}"/>
    <cellStyle name="20% - Accent6 3 6 2 2" xfId="8347" xr:uid="{00000000-0005-0000-0000-000095030000}"/>
    <cellStyle name="20% - Accent6 3 6 2 2 2" xfId="16797" xr:uid="{92AC7D90-10A5-4934-B5DD-15C2E2536EC0}"/>
    <cellStyle name="20% - Accent6 3 6 2 3" xfId="12579" xr:uid="{BA995692-7CDF-4323-9D6F-DAB3DF1CEBA9}"/>
    <cellStyle name="20% - Accent6 3 6 3" xfId="6202" xr:uid="{00000000-0005-0000-0000-000096030000}"/>
    <cellStyle name="20% - Accent6 3 6 3 2" xfId="14652" xr:uid="{1C6C570A-B653-430F-B138-D9B0EA572DDF}"/>
    <cellStyle name="20% - Accent6 3 6 4" xfId="10434" xr:uid="{7FAFF4DB-DC30-4EBB-A164-518076966E4A}"/>
    <cellStyle name="20% - Accent6 3 7" xfId="2309" xr:uid="{00000000-0005-0000-0000-000097030000}"/>
    <cellStyle name="20% - Accent6 3 7 2" xfId="6615" xr:uid="{00000000-0005-0000-0000-000098030000}"/>
    <cellStyle name="20% - Accent6 3 7 2 2" xfId="15065" xr:uid="{CBF031EE-0FF2-40C3-A4A0-DCCFFFB7BE90}"/>
    <cellStyle name="20% - Accent6 3 7 3" xfId="10847" xr:uid="{0D53D424-2710-49B2-A9F8-D1B77C39D64A}"/>
    <cellStyle name="20% - Accent6 3 8" xfId="4549" xr:uid="{00000000-0005-0000-0000-000099030000}"/>
    <cellStyle name="20% - Accent6 3 8 2" xfId="12999" xr:uid="{49F69F45-A4C7-4A88-BD51-DC0A5E4AD03A}"/>
    <cellStyle name="20% - Accent6 3 9" xfId="8781" xr:uid="{782E0E7D-4EA9-4BB9-BAB7-08A91383DAC1}"/>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2 2 2" xfId="15560" xr:uid="{D3AFE596-4274-4316-8EB6-E94F11D64028}"/>
    <cellStyle name="20% - Accent6 4 2 2 3" xfId="11342" xr:uid="{E2A60568-91BD-4690-9FE0-CFF4D9F05AAD}"/>
    <cellStyle name="20% - Accent6 4 2 3" xfId="4965" xr:uid="{00000000-0005-0000-0000-00009E030000}"/>
    <cellStyle name="20% - Accent6 4 2 3 2" xfId="13415" xr:uid="{8FEDB86E-6C56-4599-AA67-83FFA66C0BA3}"/>
    <cellStyle name="20% - Accent6 4 2 4" xfId="9197" xr:uid="{EBB3B553-1340-4946-AB53-195493049FB5}"/>
    <cellStyle name="20% - Accent6 4 3" xfId="1070" xr:uid="{00000000-0005-0000-0000-00009F030000}"/>
    <cellStyle name="20% - Accent6 4 3 2" xfId="3301" xr:uid="{00000000-0005-0000-0000-0000A0030000}"/>
    <cellStyle name="20% - Accent6 4 3 2 2" xfId="7523" xr:uid="{00000000-0005-0000-0000-0000A1030000}"/>
    <cellStyle name="20% - Accent6 4 3 2 2 2" xfId="15973" xr:uid="{70E71955-2044-44C1-B569-E38DC3501E15}"/>
    <cellStyle name="20% - Accent6 4 3 2 3" xfId="11755" xr:uid="{D35666D8-7BCA-4AC3-A750-7F9EB2B04E43}"/>
    <cellStyle name="20% - Accent6 4 3 3" xfId="5378" xr:uid="{00000000-0005-0000-0000-0000A2030000}"/>
    <cellStyle name="20% - Accent6 4 3 3 2" xfId="13828" xr:uid="{83B3FCBC-8AAE-48A4-BDD4-5B465B07F46B}"/>
    <cellStyle name="20% - Accent6 4 3 4" xfId="9610" xr:uid="{757E6963-5FB1-48F9-9338-A658BA46B039}"/>
    <cellStyle name="20% - Accent6 4 4" xfId="1484" xr:uid="{00000000-0005-0000-0000-0000A3030000}"/>
    <cellStyle name="20% - Accent6 4 4 2" xfId="3714" xr:uid="{00000000-0005-0000-0000-0000A4030000}"/>
    <cellStyle name="20% - Accent6 4 4 2 2" xfId="7936" xr:uid="{00000000-0005-0000-0000-0000A5030000}"/>
    <cellStyle name="20% - Accent6 4 4 2 2 2" xfId="16386" xr:uid="{8F706648-FE9C-413F-B110-7EBE0EE30A72}"/>
    <cellStyle name="20% - Accent6 4 4 2 3" xfId="12168" xr:uid="{A647C0D7-D1CD-46A2-93C0-6629BDEF2819}"/>
    <cellStyle name="20% - Accent6 4 4 3" xfId="5791" xr:uid="{00000000-0005-0000-0000-0000A6030000}"/>
    <cellStyle name="20% - Accent6 4 4 3 2" xfId="14241" xr:uid="{23D0CF37-BEF0-44FF-A5F7-1E5546749B29}"/>
    <cellStyle name="20% - Accent6 4 4 4" xfId="10023" xr:uid="{FE74AD72-04E8-4A2D-82C5-56564CE54A06}"/>
    <cellStyle name="20% - Accent6 4 5" xfId="1898" xr:uid="{00000000-0005-0000-0000-0000A7030000}"/>
    <cellStyle name="20% - Accent6 4 5 2" xfId="4127" xr:uid="{00000000-0005-0000-0000-0000A8030000}"/>
    <cellStyle name="20% - Accent6 4 5 2 2" xfId="8349" xr:uid="{00000000-0005-0000-0000-0000A9030000}"/>
    <cellStyle name="20% - Accent6 4 5 2 2 2" xfId="16799" xr:uid="{7B98C0FA-4B9C-4FCB-B91D-D6AC7F671E8A}"/>
    <cellStyle name="20% - Accent6 4 5 2 3" xfId="12581" xr:uid="{B3A00A25-4590-4D08-B0BE-361EED8E7B52}"/>
    <cellStyle name="20% - Accent6 4 5 3" xfId="6204" xr:uid="{00000000-0005-0000-0000-0000AA030000}"/>
    <cellStyle name="20% - Accent6 4 5 3 2" xfId="14654" xr:uid="{67D943D3-F705-414C-928C-6AC398A2166D}"/>
    <cellStyle name="20% - Accent6 4 5 4" xfId="10436" xr:uid="{889E4B18-C71C-404D-8E1A-C2115AD61495}"/>
    <cellStyle name="20% - Accent6 4 6" xfId="2311" xr:uid="{00000000-0005-0000-0000-0000AB030000}"/>
    <cellStyle name="20% - Accent6 4 6 2" xfId="6617" xr:uid="{00000000-0005-0000-0000-0000AC030000}"/>
    <cellStyle name="20% - Accent6 4 6 2 2" xfId="15067" xr:uid="{D64DEAA7-CB6A-43A2-A491-D77A9BCB3D11}"/>
    <cellStyle name="20% - Accent6 4 6 3" xfId="10849" xr:uid="{3C75C999-1F8E-4ECF-B8C7-0E5D1E07AE82}"/>
    <cellStyle name="20% - Accent6 4 7" xfId="4551" xr:uid="{00000000-0005-0000-0000-0000AD030000}"/>
    <cellStyle name="20% - Accent6 4 7 2" xfId="13001" xr:uid="{E8CB63EE-ABCB-4260-B25D-989C9425BCBA}"/>
    <cellStyle name="20% - Accent6 4 8" xfId="8783" xr:uid="{117B3E6D-91E0-40CF-B129-18DD6124F796}"/>
    <cellStyle name="20% - Accent6 5" xfId="610" xr:uid="{00000000-0005-0000-0000-0000AE030000}"/>
    <cellStyle name="20% - Accent6 5 2" xfId="2881" xr:uid="{00000000-0005-0000-0000-0000AF030000}"/>
    <cellStyle name="20% - Accent6 5 2 2" xfId="7103" xr:uid="{00000000-0005-0000-0000-0000B0030000}"/>
    <cellStyle name="20% - Accent6 5 2 2 2" xfId="15553" xr:uid="{AB966621-3FD2-43E8-AC3F-CAB36D42F3E2}"/>
    <cellStyle name="20% - Accent6 5 2 3" xfId="11335" xr:uid="{5D6434DA-2640-45BF-B00B-01181A2AEC7B}"/>
    <cellStyle name="20% - Accent6 5 3" xfId="4958" xr:uid="{00000000-0005-0000-0000-0000B1030000}"/>
    <cellStyle name="20% - Accent6 5 3 2" xfId="13408" xr:uid="{E879CD07-8C37-43B6-A048-B3AAD1129FEB}"/>
    <cellStyle name="20% - Accent6 5 4" xfId="9190" xr:uid="{12054412-3E0E-4C06-A645-3773313E55D8}"/>
    <cellStyle name="20% - Accent6 6" xfId="1063" xr:uid="{00000000-0005-0000-0000-0000B2030000}"/>
    <cellStyle name="20% - Accent6 6 2" xfId="3294" xr:uid="{00000000-0005-0000-0000-0000B3030000}"/>
    <cellStyle name="20% - Accent6 6 2 2" xfId="7516" xr:uid="{00000000-0005-0000-0000-0000B4030000}"/>
    <cellStyle name="20% - Accent6 6 2 2 2" xfId="15966" xr:uid="{13BDEA8D-F1CB-4343-AD7A-FC0553028387}"/>
    <cellStyle name="20% - Accent6 6 2 3" xfId="11748" xr:uid="{CE55D72E-C002-430B-8528-F7F626636CDE}"/>
    <cellStyle name="20% - Accent6 6 3" xfId="5371" xr:uid="{00000000-0005-0000-0000-0000B5030000}"/>
    <cellStyle name="20% - Accent6 6 3 2" xfId="13821" xr:uid="{938BEE19-95E8-47A1-8C3D-7590D1865DF7}"/>
    <cellStyle name="20% - Accent6 6 4" xfId="9603" xr:uid="{5570DECD-EC71-49FB-925A-844BC8A5AF92}"/>
    <cellStyle name="20% - Accent6 7" xfId="1477" xr:uid="{00000000-0005-0000-0000-0000B6030000}"/>
    <cellStyle name="20% - Accent6 7 2" xfId="3707" xr:uid="{00000000-0005-0000-0000-0000B7030000}"/>
    <cellStyle name="20% - Accent6 7 2 2" xfId="7929" xr:uid="{00000000-0005-0000-0000-0000B8030000}"/>
    <cellStyle name="20% - Accent6 7 2 2 2" xfId="16379" xr:uid="{EBAEC7DD-6A26-4A26-AB8D-3468258BBF7D}"/>
    <cellStyle name="20% - Accent6 7 2 3" xfId="12161" xr:uid="{07756CC2-3426-4009-B7AA-D73179E5BFE6}"/>
    <cellStyle name="20% - Accent6 7 3" xfId="5784" xr:uid="{00000000-0005-0000-0000-0000B9030000}"/>
    <cellStyle name="20% - Accent6 7 3 2" xfId="14234" xr:uid="{5DEC4B03-7749-4375-9D88-A8674963A20F}"/>
    <cellStyle name="20% - Accent6 7 4" xfId="10016" xr:uid="{0D5480B4-98B3-42BA-82E4-AC9C27FC38E4}"/>
    <cellStyle name="20% - Accent6 8" xfId="1891" xr:uid="{00000000-0005-0000-0000-0000BA030000}"/>
    <cellStyle name="20% - Accent6 8 2" xfId="4120" xr:uid="{00000000-0005-0000-0000-0000BB030000}"/>
    <cellStyle name="20% - Accent6 8 2 2" xfId="8342" xr:uid="{00000000-0005-0000-0000-0000BC030000}"/>
    <cellStyle name="20% - Accent6 8 2 2 2" xfId="16792" xr:uid="{BA3D3076-EAF0-4CF1-B340-0687615B5AA3}"/>
    <cellStyle name="20% - Accent6 8 2 3" xfId="12574" xr:uid="{8FBD5FBE-4065-4C82-B0B9-5744B2227DA8}"/>
    <cellStyle name="20% - Accent6 8 3" xfId="6197" xr:uid="{00000000-0005-0000-0000-0000BD030000}"/>
    <cellStyle name="20% - Accent6 8 3 2" xfId="14647" xr:uid="{3D502BEB-A988-44F9-8DF6-BCC18A9FE9ED}"/>
    <cellStyle name="20% - Accent6 8 4" xfId="10429" xr:uid="{47BB4884-04FE-4F03-B670-992A0B26F1FA}"/>
    <cellStyle name="20% - Accent6 9" xfId="2304" xr:uid="{00000000-0005-0000-0000-0000BE030000}"/>
    <cellStyle name="20% - Accent6 9 2" xfId="6610" xr:uid="{00000000-0005-0000-0000-0000BF030000}"/>
    <cellStyle name="20% - Accent6 9 2 2" xfId="15060" xr:uid="{96ECB247-42C3-46E2-9B17-EE3D27796482}"/>
    <cellStyle name="20% - Accent6 9 3" xfId="10842" xr:uid="{8A01CF64-DD1B-47FC-919C-714E001D5755}"/>
    <cellStyle name="40% - Accent1" xfId="49" builtinId="31" customBuiltin="1"/>
    <cellStyle name="40% - Accent1 10" xfId="4552" xr:uid="{00000000-0005-0000-0000-0000C1030000}"/>
    <cellStyle name="40% - Accent1 10 2" xfId="13002" xr:uid="{F8E149D3-882A-4E07-B896-A8B11C33A640}"/>
    <cellStyle name="40% - Accent1 11" xfId="8784" xr:uid="{3487FD10-3487-475B-832D-82FBCABDF6BD}"/>
    <cellStyle name="40% - Accent1 2" xfId="50" xr:uid="{00000000-0005-0000-0000-0000C2030000}"/>
    <cellStyle name="40% - Accent1 2 10" xfId="8785" xr:uid="{0B517063-10ED-4490-8485-312000B3CBAB}"/>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2 2 2" xfId="15564" xr:uid="{AFB59199-458B-4D80-A359-A3E55C8A9F46}"/>
    <cellStyle name="40% - Accent1 2 2 2 2 2 3" xfId="11346" xr:uid="{24F3D1DF-FDF1-437D-B369-3C1BC250BAD3}"/>
    <cellStyle name="40% - Accent1 2 2 2 2 3" xfId="4969" xr:uid="{00000000-0005-0000-0000-0000C8030000}"/>
    <cellStyle name="40% - Accent1 2 2 2 2 3 2" xfId="13419" xr:uid="{FF739070-C92F-4B17-8C5D-26E81049A75E}"/>
    <cellStyle name="40% - Accent1 2 2 2 2 4" xfId="9201" xr:uid="{D6F2F517-2E58-4E77-B88B-65F8B58A56B3}"/>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2 2 2" xfId="15977" xr:uid="{5B5B04AB-3BC1-4DF7-89A1-12D2288477FB}"/>
    <cellStyle name="40% - Accent1 2 2 2 3 2 3" xfId="11759" xr:uid="{6E3C7018-B745-4141-8EA5-821E78BF8FD4}"/>
    <cellStyle name="40% - Accent1 2 2 2 3 3" xfId="5382" xr:uid="{00000000-0005-0000-0000-0000CC030000}"/>
    <cellStyle name="40% - Accent1 2 2 2 3 3 2" xfId="13832" xr:uid="{2035FCBB-AE81-47DA-8A6A-94C498D63BAF}"/>
    <cellStyle name="40% - Accent1 2 2 2 3 4" xfId="9614" xr:uid="{D8EC080C-E1BA-45A7-94C3-AC3966B0B42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2 2 2" xfId="16390" xr:uid="{3D35BC8B-6181-4491-A9DD-FBE431D9535D}"/>
    <cellStyle name="40% - Accent1 2 2 2 4 2 3" xfId="12172" xr:uid="{1496B9C0-D5E9-44BC-AB90-DF3FE04D39D0}"/>
    <cellStyle name="40% - Accent1 2 2 2 4 3" xfId="5795" xr:uid="{00000000-0005-0000-0000-0000D0030000}"/>
    <cellStyle name="40% - Accent1 2 2 2 4 3 2" xfId="14245" xr:uid="{CF935EA7-6FC4-4982-947A-72A3FD1CB635}"/>
    <cellStyle name="40% - Accent1 2 2 2 4 4" xfId="10027" xr:uid="{2E66400B-FFB6-4795-81E9-2BFE7EA0A04A}"/>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2 2 2" xfId="16803" xr:uid="{540317A9-9194-4B59-AEF6-5BAE05154BD9}"/>
    <cellStyle name="40% - Accent1 2 2 2 5 2 3" xfId="12585" xr:uid="{214DB7C2-ED6F-4D80-B05D-354E83F08C44}"/>
    <cellStyle name="40% - Accent1 2 2 2 5 3" xfId="6208" xr:uid="{00000000-0005-0000-0000-0000D4030000}"/>
    <cellStyle name="40% - Accent1 2 2 2 5 3 2" xfId="14658" xr:uid="{8FF6BA21-033D-443B-9BD4-4A6429E52B35}"/>
    <cellStyle name="40% - Accent1 2 2 2 5 4" xfId="10440" xr:uid="{281261BB-1314-4536-8109-F9B4564B462A}"/>
    <cellStyle name="40% - Accent1 2 2 2 6" xfId="2315" xr:uid="{00000000-0005-0000-0000-0000D5030000}"/>
    <cellStyle name="40% - Accent1 2 2 2 6 2" xfId="6621" xr:uid="{00000000-0005-0000-0000-0000D6030000}"/>
    <cellStyle name="40% - Accent1 2 2 2 6 2 2" xfId="15071" xr:uid="{DBE2DF97-3EE6-4FCA-875D-83DDC2690EFD}"/>
    <cellStyle name="40% - Accent1 2 2 2 6 3" xfId="10853" xr:uid="{66BF5E8F-8A07-4C4B-B01A-7BB71DEA14C9}"/>
    <cellStyle name="40% - Accent1 2 2 2 7" xfId="4555" xr:uid="{00000000-0005-0000-0000-0000D7030000}"/>
    <cellStyle name="40% - Accent1 2 2 2 7 2" xfId="13005" xr:uid="{94332EBA-D53B-423D-9088-98420EA44D06}"/>
    <cellStyle name="40% - Accent1 2 2 2 8" xfId="8787" xr:uid="{39D0C3F3-EF69-4C7D-9817-1FDCFD8A43D5}"/>
    <cellStyle name="40% - Accent1 2 2 3" xfId="620" xr:uid="{00000000-0005-0000-0000-0000D8030000}"/>
    <cellStyle name="40% - Accent1 2 2 3 2" xfId="2891" xr:uid="{00000000-0005-0000-0000-0000D9030000}"/>
    <cellStyle name="40% - Accent1 2 2 3 2 2" xfId="7113" xr:uid="{00000000-0005-0000-0000-0000DA030000}"/>
    <cellStyle name="40% - Accent1 2 2 3 2 2 2" xfId="15563" xr:uid="{4EAF88F7-8432-4A6E-874F-605A51D57039}"/>
    <cellStyle name="40% - Accent1 2 2 3 2 3" xfId="11345" xr:uid="{28CC08CB-EA34-405B-9D82-F1E957AF7767}"/>
    <cellStyle name="40% - Accent1 2 2 3 3" xfId="4968" xr:uid="{00000000-0005-0000-0000-0000DB030000}"/>
    <cellStyle name="40% - Accent1 2 2 3 3 2" xfId="13418" xr:uid="{315A5302-F4A0-4772-864C-BDC20AE948F2}"/>
    <cellStyle name="40% - Accent1 2 2 3 4" xfId="9200" xr:uid="{23D70BED-7286-438B-A527-EA8D61375A3A}"/>
    <cellStyle name="40% - Accent1 2 2 4" xfId="1073" xr:uid="{00000000-0005-0000-0000-0000DC030000}"/>
    <cellStyle name="40% - Accent1 2 2 4 2" xfId="3304" xr:uid="{00000000-0005-0000-0000-0000DD030000}"/>
    <cellStyle name="40% - Accent1 2 2 4 2 2" xfId="7526" xr:uid="{00000000-0005-0000-0000-0000DE030000}"/>
    <cellStyle name="40% - Accent1 2 2 4 2 2 2" xfId="15976" xr:uid="{90CECD77-9D13-4E32-A184-E407B7FE1670}"/>
    <cellStyle name="40% - Accent1 2 2 4 2 3" xfId="11758" xr:uid="{6B9ACB25-91D7-405E-B72D-7D471FF17548}"/>
    <cellStyle name="40% - Accent1 2 2 4 3" xfId="5381" xr:uid="{00000000-0005-0000-0000-0000DF030000}"/>
    <cellStyle name="40% - Accent1 2 2 4 3 2" xfId="13831" xr:uid="{D6269D00-F16B-469D-9F2C-B37C9693A5C6}"/>
    <cellStyle name="40% - Accent1 2 2 4 4" xfId="9613" xr:uid="{AD9D733F-9A39-48A5-9127-EB84B7215D78}"/>
    <cellStyle name="40% - Accent1 2 2 5" xfId="1487" xr:uid="{00000000-0005-0000-0000-0000E0030000}"/>
    <cellStyle name="40% - Accent1 2 2 5 2" xfId="3717" xr:uid="{00000000-0005-0000-0000-0000E1030000}"/>
    <cellStyle name="40% - Accent1 2 2 5 2 2" xfId="7939" xr:uid="{00000000-0005-0000-0000-0000E2030000}"/>
    <cellStyle name="40% - Accent1 2 2 5 2 2 2" xfId="16389" xr:uid="{08EFF130-AA71-4F80-9E24-3C01AB03E13B}"/>
    <cellStyle name="40% - Accent1 2 2 5 2 3" xfId="12171" xr:uid="{1B8046D3-8F68-4555-9F02-3844BA0A8629}"/>
    <cellStyle name="40% - Accent1 2 2 5 3" xfId="5794" xr:uid="{00000000-0005-0000-0000-0000E3030000}"/>
    <cellStyle name="40% - Accent1 2 2 5 3 2" xfId="14244" xr:uid="{42689F5C-141F-4B61-9FD3-10D04A993308}"/>
    <cellStyle name="40% - Accent1 2 2 5 4" xfId="10026" xr:uid="{DD790897-313C-4C56-A00F-52EBE57C18BB}"/>
    <cellStyle name="40% - Accent1 2 2 6" xfId="1901" xr:uid="{00000000-0005-0000-0000-0000E4030000}"/>
    <cellStyle name="40% - Accent1 2 2 6 2" xfId="4130" xr:uid="{00000000-0005-0000-0000-0000E5030000}"/>
    <cellStyle name="40% - Accent1 2 2 6 2 2" xfId="8352" xr:uid="{00000000-0005-0000-0000-0000E6030000}"/>
    <cellStyle name="40% - Accent1 2 2 6 2 2 2" xfId="16802" xr:uid="{5B68D448-8781-4D77-B3C2-A37A9B55F89E}"/>
    <cellStyle name="40% - Accent1 2 2 6 2 3" xfId="12584" xr:uid="{D7404D9A-BF9C-404D-8E3F-EC2A0BAC5D08}"/>
    <cellStyle name="40% - Accent1 2 2 6 3" xfId="6207" xr:uid="{00000000-0005-0000-0000-0000E7030000}"/>
    <cellStyle name="40% - Accent1 2 2 6 3 2" xfId="14657" xr:uid="{C7E7645B-71DC-416D-A6FE-BCE1C055F185}"/>
    <cellStyle name="40% - Accent1 2 2 6 4" xfId="10439" xr:uid="{B3AE5BD5-0F06-4BA2-8FAA-BF121D8BF475}"/>
    <cellStyle name="40% - Accent1 2 2 7" xfId="2314" xr:uid="{00000000-0005-0000-0000-0000E8030000}"/>
    <cellStyle name="40% - Accent1 2 2 7 2" xfId="6620" xr:uid="{00000000-0005-0000-0000-0000E9030000}"/>
    <cellStyle name="40% - Accent1 2 2 7 2 2" xfId="15070" xr:uid="{6EED83EC-6E85-4BF0-856C-C082E121A5CE}"/>
    <cellStyle name="40% - Accent1 2 2 7 3" xfId="10852" xr:uid="{6DACB0E6-40C6-40A3-9617-D2B6EBFE6A90}"/>
    <cellStyle name="40% - Accent1 2 2 8" xfId="4554" xr:uid="{00000000-0005-0000-0000-0000EA030000}"/>
    <cellStyle name="40% - Accent1 2 2 8 2" xfId="13004" xr:uid="{32406778-24A1-4956-93AE-85E32ECF4EBE}"/>
    <cellStyle name="40% - Accent1 2 2 9" xfId="8786" xr:uid="{655802DF-8436-47CF-B000-0BF9F72F022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2 2 2" xfId="15565" xr:uid="{A078ED22-085E-4FCC-ACDE-5A9D91399084}"/>
    <cellStyle name="40% - Accent1 2 3 2 2 3" xfId="11347" xr:uid="{0D1908DA-A2BB-495E-AF20-616A4CE82D63}"/>
    <cellStyle name="40% - Accent1 2 3 2 3" xfId="4970" xr:uid="{00000000-0005-0000-0000-0000EF030000}"/>
    <cellStyle name="40% - Accent1 2 3 2 3 2" xfId="13420" xr:uid="{E83B6827-5130-44B0-86CB-B8082A6E522D}"/>
    <cellStyle name="40% - Accent1 2 3 2 4" xfId="9202" xr:uid="{251E1E57-53EA-49B0-8E44-FA15ACE2C767}"/>
    <cellStyle name="40% - Accent1 2 3 3" xfId="1075" xr:uid="{00000000-0005-0000-0000-0000F0030000}"/>
    <cellStyle name="40% - Accent1 2 3 3 2" xfId="3306" xr:uid="{00000000-0005-0000-0000-0000F1030000}"/>
    <cellStyle name="40% - Accent1 2 3 3 2 2" xfId="7528" xr:uid="{00000000-0005-0000-0000-0000F2030000}"/>
    <cellStyle name="40% - Accent1 2 3 3 2 2 2" xfId="15978" xr:uid="{4F0B50C1-1AEF-44F3-A56B-D3E761686F27}"/>
    <cellStyle name="40% - Accent1 2 3 3 2 3" xfId="11760" xr:uid="{C5149122-32F6-4404-99A3-B57EB2675496}"/>
    <cellStyle name="40% - Accent1 2 3 3 3" xfId="5383" xr:uid="{00000000-0005-0000-0000-0000F3030000}"/>
    <cellStyle name="40% - Accent1 2 3 3 3 2" xfId="13833" xr:uid="{5BAF6AFB-97C9-4C11-B0B7-67B3C2D4E258}"/>
    <cellStyle name="40% - Accent1 2 3 3 4" xfId="9615" xr:uid="{D58CC779-9AB6-4601-8A43-01442ABA843D}"/>
    <cellStyle name="40% - Accent1 2 3 4" xfId="1489" xr:uid="{00000000-0005-0000-0000-0000F4030000}"/>
    <cellStyle name="40% - Accent1 2 3 4 2" xfId="3719" xr:uid="{00000000-0005-0000-0000-0000F5030000}"/>
    <cellStyle name="40% - Accent1 2 3 4 2 2" xfId="7941" xr:uid="{00000000-0005-0000-0000-0000F6030000}"/>
    <cellStyle name="40% - Accent1 2 3 4 2 2 2" xfId="16391" xr:uid="{463F0331-393C-4D5A-AEC1-2AC07A5912DD}"/>
    <cellStyle name="40% - Accent1 2 3 4 2 3" xfId="12173" xr:uid="{93355977-E365-47F9-9377-850E9E40329B}"/>
    <cellStyle name="40% - Accent1 2 3 4 3" xfId="5796" xr:uid="{00000000-0005-0000-0000-0000F7030000}"/>
    <cellStyle name="40% - Accent1 2 3 4 3 2" xfId="14246" xr:uid="{1A592F64-308C-4408-B823-33F9B3119C26}"/>
    <cellStyle name="40% - Accent1 2 3 4 4" xfId="10028" xr:uid="{0FF0B7EE-A49A-4BB3-8220-F31B27CDAA67}"/>
    <cellStyle name="40% - Accent1 2 3 5" xfId="1903" xr:uid="{00000000-0005-0000-0000-0000F8030000}"/>
    <cellStyle name="40% - Accent1 2 3 5 2" xfId="4132" xr:uid="{00000000-0005-0000-0000-0000F9030000}"/>
    <cellStyle name="40% - Accent1 2 3 5 2 2" xfId="8354" xr:uid="{00000000-0005-0000-0000-0000FA030000}"/>
    <cellStyle name="40% - Accent1 2 3 5 2 2 2" xfId="16804" xr:uid="{096BF1A4-CFE8-4CAF-9942-26891DD87616}"/>
    <cellStyle name="40% - Accent1 2 3 5 2 3" xfId="12586" xr:uid="{A7F57AF7-685F-44B7-852A-576584B9E6CE}"/>
    <cellStyle name="40% - Accent1 2 3 5 3" xfId="6209" xr:uid="{00000000-0005-0000-0000-0000FB030000}"/>
    <cellStyle name="40% - Accent1 2 3 5 3 2" xfId="14659" xr:uid="{76E4A365-B46B-49B0-B512-1CBD9013ED95}"/>
    <cellStyle name="40% - Accent1 2 3 5 4" xfId="10441" xr:uid="{31F51CD7-9A4B-422D-9A2A-829BBA33E79D}"/>
    <cellStyle name="40% - Accent1 2 3 6" xfId="2316" xr:uid="{00000000-0005-0000-0000-0000FC030000}"/>
    <cellStyle name="40% - Accent1 2 3 6 2" xfId="6622" xr:uid="{00000000-0005-0000-0000-0000FD030000}"/>
    <cellStyle name="40% - Accent1 2 3 6 2 2" xfId="15072" xr:uid="{5A774E7C-9DF5-495A-BF5E-A447CB2F0574}"/>
    <cellStyle name="40% - Accent1 2 3 6 3" xfId="10854" xr:uid="{C3E84FAF-AE31-43AA-89E7-07E148554EA4}"/>
    <cellStyle name="40% - Accent1 2 3 7" xfId="4556" xr:uid="{00000000-0005-0000-0000-0000FE030000}"/>
    <cellStyle name="40% - Accent1 2 3 7 2" xfId="13006" xr:uid="{843CD72C-99DA-47DE-A3D5-02BA1D5E0B29}"/>
    <cellStyle name="40% - Accent1 2 3 8" xfId="8788" xr:uid="{5DF801AF-B145-42EC-8F7F-BBD2363974D0}"/>
    <cellStyle name="40% - Accent1 2 4" xfId="619" xr:uid="{00000000-0005-0000-0000-0000FF030000}"/>
    <cellStyle name="40% - Accent1 2 4 2" xfId="2890" xr:uid="{00000000-0005-0000-0000-000000040000}"/>
    <cellStyle name="40% - Accent1 2 4 2 2" xfId="7112" xr:uid="{00000000-0005-0000-0000-000001040000}"/>
    <cellStyle name="40% - Accent1 2 4 2 2 2" xfId="15562" xr:uid="{14DD5776-C462-4754-BF44-41A0D0C26366}"/>
    <cellStyle name="40% - Accent1 2 4 2 3" xfId="11344" xr:uid="{F001FEB8-69E5-4937-B64F-DA682ED2E3FC}"/>
    <cellStyle name="40% - Accent1 2 4 3" xfId="4967" xr:uid="{00000000-0005-0000-0000-000002040000}"/>
    <cellStyle name="40% - Accent1 2 4 3 2" xfId="13417" xr:uid="{2E2AEE85-5945-4B69-8112-9D6A23D405B5}"/>
    <cellStyle name="40% - Accent1 2 4 4" xfId="9199" xr:uid="{CCD8D51D-2ECD-4EEA-815A-F8FA20C1220F}"/>
    <cellStyle name="40% - Accent1 2 5" xfId="1072" xr:uid="{00000000-0005-0000-0000-000003040000}"/>
    <cellStyle name="40% - Accent1 2 5 2" xfId="3303" xr:uid="{00000000-0005-0000-0000-000004040000}"/>
    <cellStyle name="40% - Accent1 2 5 2 2" xfId="7525" xr:uid="{00000000-0005-0000-0000-000005040000}"/>
    <cellStyle name="40% - Accent1 2 5 2 2 2" xfId="15975" xr:uid="{033EB331-20E0-4B1A-8A6A-59F5677F6C64}"/>
    <cellStyle name="40% - Accent1 2 5 2 3" xfId="11757" xr:uid="{7E9BEAA2-9756-4C91-827E-0E4E87078BE5}"/>
    <cellStyle name="40% - Accent1 2 5 3" xfId="5380" xr:uid="{00000000-0005-0000-0000-000006040000}"/>
    <cellStyle name="40% - Accent1 2 5 3 2" xfId="13830" xr:uid="{D34353BE-67A3-40B5-B08A-E3186992AE95}"/>
    <cellStyle name="40% - Accent1 2 5 4" xfId="9612" xr:uid="{CAD71D0A-1D6E-4215-A02D-E8C57C62076C}"/>
    <cellStyle name="40% - Accent1 2 6" xfId="1486" xr:uid="{00000000-0005-0000-0000-000007040000}"/>
    <cellStyle name="40% - Accent1 2 6 2" xfId="3716" xr:uid="{00000000-0005-0000-0000-000008040000}"/>
    <cellStyle name="40% - Accent1 2 6 2 2" xfId="7938" xr:uid="{00000000-0005-0000-0000-000009040000}"/>
    <cellStyle name="40% - Accent1 2 6 2 2 2" xfId="16388" xr:uid="{276D2D50-CF31-420D-BBB6-5DDC32093CB1}"/>
    <cellStyle name="40% - Accent1 2 6 2 3" xfId="12170" xr:uid="{D8C17E47-209E-4D3F-B8B4-46386C79A07A}"/>
    <cellStyle name="40% - Accent1 2 6 3" xfId="5793" xr:uid="{00000000-0005-0000-0000-00000A040000}"/>
    <cellStyle name="40% - Accent1 2 6 3 2" xfId="14243" xr:uid="{FF1F045A-7656-40C5-BCC1-2C872CA9EA42}"/>
    <cellStyle name="40% - Accent1 2 6 4" xfId="10025" xr:uid="{851ACE54-3FC9-4968-8413-61DF3EE28C23}"/>
    <cellStyle name="40% - Accent1 2 7" xfId="1900" xr:uid="{00000000-0005-0000-0000-00000B040000}"/>
    <cellStyle name="40% - Accent1 2 7 2" xfId="4129" xr:uid="{00000000-0005-0000-0000-00000C040000}"/>
    <cellStyle name="40% - Accent1 2 7 2 2" xfId="8351" xr:uid="{00000000-0005-0000-0000-00000D040000}"/>
    <cellStyle name="40% - Accent1 2 7 2 2 2" xfId="16801" xr:uid="{1A650D33-3ED6-409A-A72D-055055A7B312}"/>
    <cellStyle name="40% - Accent1 2 7 2 3" xfId="12583" xr:uid="{ECA26840-9C3C-46A4-93B1-FCCE01700CD8}"/>
    <cellStyle name="40% - Accent1 2 7 3" xfId="6206" xr:uid="{00000000-0005-0000-0000-00000E040000}"/>
    <cellStyle name="40% - Accent1 2 7 3 2" xfId="14656" xr:uid="{7DD0935F-D5B0-43BC-8AD0-C9E8E85609C9}"/>
    <cellStyle name="40% - Accent1 2 7 4" xfId="10438" xr:uid="{04AE41EF-9802-4EDB-8285-0322A1082ABB}"/>
    <cellStyle name="40% - Accent1 2 8" xfId="2313" xr:uid="{00000000-0005-0000-0000-00000F040000}"/>
    <cellStyle name="40% - Accent1 2 8 2" xfId="6619" xr:uid="{00000000-0005-0000-0000-000010040000}"/>
    <cellStyle name="40% - Accent1 2 8 2 2" xfId="15069" xr:uid="{E71CB104-2A6E-4FC2-B351-674C69CF57FE}"/>
    <cellStyle name="40% - Accent1 2 8 3" xfId="10851" xr:uid="{77B6F3C2-9900-4925-97C9-3C7367038D81}"/>
    <cellStyle name="40% - Accent1 2 9" xfId="4553" xr:uid="{00000000-0005-0000-0000-000011040000}"/>
    <cellStyle name="40% - Accent1 2 9 2" xfId="13003" xr:uid="{D00C3E37-7D2B-4A79-937D-A1D12E5EFA99}"/>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2 2 2" xfId="15567" xr:uid="{5A37639D-5AAF-4E80-A60C-706B3F670A33}"/>
    <cellStyle name="40% - Accent1 3 2 2 2 3" xfId="11349" xr:uid="{51CE36B8-BEF4-4D19-81CE-CE78AFE0E203}"/>
    <cellStyle name="40% - Accent1 3 2 2 3" xfId="4972" xr:uid="{00000000-0005-0000-0000-000017040000}"/>
    <cellStyle name="40% - Accent1 3 2 2 3 2" xfId="13422" xr:uid="{0FB6DFB1-C243-45AA-BFA6-3DAB9D2DEFF2}"/>
    <cellStyle name="40% - Accent1 3 2 2 4" xfId="9204" xr:uid="{9A4585A5-37DF-409D-B265-0FEA79C83130}"/>
    <cellStyle name="40% - Accent1 3 2 3" xfId="1077" xr:uid="{00000000-0005-0000-0000-000018040000}"/>
    <cellStyle name="40% - Accent1 3 2 3 2" xfId="3308" xr:uid="{00000000-0005-0000-0000-000019040000}"/>
    <cellStyle name="40% - Accent1 3 2 3 2 2" xfId="7530" xr:uid="{00000000-0005-0000-0000-00001A040000}"/>
    <cellStyle name="40% - Accent1 3 2 3 2 2 2" xfId="15980" xr:uid="{537D57B5-A9C8-43D2-85C4-3134ECD2AF4F}"/>
    <cellStyle name="40% - Accent1 3 2 3 2 3" xfId="11762" xr:uid="{70E9023E-B075-4DE7-989A-8B9D1C8A883B}"/>
    <cellStyle name="40% - Accent1 3 2 3 3" xfId="5385" xr:uid="{00000000-0005-0000-0000-00001B040000}"/>
    <cellStyle name="40% - Accent1 3 2 3 3 2" xfId="13835" xr:uid="{03EA9659-9AF0-4102-A60B-71426235604E}"/>
    <cellStyle name="40% - Accent1 3 2 3 4" xfId="9617" xr:uid="{ED72CF01-2DA5-4740-AF74-145B5E7635A8}"/>
    <cellStyle name="40% - Accent1 3 2 4" xfId="1491" xr:uid="{00000000-0005-0000-0000-00001C040000}"/>
    <cellStyle name="40% - Accent1 3 2 4 2" xfId="3721" xr:uid="{00000000-0005-0000-0000-00001D040000}"/>
    <cellStyle name="40% - Accent1 3 2 4 2 2" xfId="7943" xr:uid="{00000000-0005-0000-0000-00001E040000}"/>
    <cellStyle name="40% - Accent1 3 2 4 2 2 2" xfId="16393" xr:uid="{C9179E2E-E4D8-482C-9B37-5F3C1E18DC56}"/>
    <cellStyle name="40% - Accent1 3 2 4 2 3" xfId="12175" xr:uid="{652C8B60-B63D-43F6-AB3C-3AE1A3B12184}"/>
    <cellStyle name="40% - Accent1 3 2 4 3" xfId="5798" xr:uid="{00000000-0005-0000-0000-00001F040000}"/>
    <cellStyle name="40% - Accent1 3 2 4 3 2" xfId="14248" xr:uid="{CB586C06-5FF5-409B-97F6-1C316CB65D3E}"/>
    <cellStyle name="40% - Accent1 3 2 4 4" xfId="10030" xr:uid="{11B2EF54-54BC-4CA5-BB68-345446050AB2}"/>
    <cellStyle name="40% - Accent1 3 2 5" xfId="1905" xr:uid="{00000000-0005-0000-0000-000020040000}"/>
    <cellStyle name="40% - Accent1 3 2 5 2" xfId="4134" xr:uid="{00000000-0005-0000-0000-000021040000}"/>
    <cellStyle name="40% - Accent1 3 2 5 2 2" xfId="8356" xr:uid="{00000000-0005-0000-0000-000022040000}"/>
    <cellStyle name="40% - Accent1 3 2 5 2 2 2" xfId="16806" xr:uid="{DD533F35-46C3-4356-8993-CDC171AA5955}"/>
    <cellStyle name="40% - Accent1 3 2 5 2 3" xfId="12588" xr:uid="{77CCD63E-D792-4223-BDBE-E7B8A0A19FCA}"/>
    <cellStyle name="40% - Accent1 3 2 5 3" xfId="6211" xr:uid="{00000000-0005-0000-0000-000023040000}"/>
    <cellStyle name="40% - Accent1 3 2 5 3 2" xfId="14661" xr:uid="{0360DCB3-422A-4100-B4FA-28CD8FC47FC8}"/>
    <cellStyle name="40% - Accent1 3 2 5 4" xfId="10443" xr:uid="{E9893D8E-33F1-4FBA-BF90-67C032A1CAEE}"/>
    <cellStyle name="40% - Accent1 3 2 6" xfId="2318" xr:uid="{00000000-0005-0000-0000-000024040000}"/>
    <cellStyle name="40% - Accent1 3 2 6 2" xfId="6624" xr:uid="{00000000-0005-0000-0000-000025040000}"/>
    <cellStyle name="40% - Accent1 3 2 6 2 2" xfId="15074" xr:uid="{23106276-ABA0-4501-818A-03867FB56C12}"/>
    <cellStyle name="40% - Accent1 3 2 6 3" xfId="10856" xr:uid="{8E90F695-A738-40CF-B739-81A8F9A55E8D}"/>
    <cellStyle name="40% - Accent1 3 2 7" xfId="4558" xr:uid="{00000000-0005-0000-0000-000026040000}"/>
    <cellStyle name="40% - Accent1 3 2 7 2" xfId="13008" xr:uid="{1F5531DD-A2A3-45DF-9999-4CAD25F57ED4}"/>
    <cellStyle name="40% - Accent1 3 2 8" xfId="8790" xr:uid="{CFC3DCF6-9FCB-48D1-8FD6-88E2046E4572}"/>
    <cellStyle name="40% - Accent1 3 3" xfId="623" xr:uid="{00000000-0005-0000-0000-000027040000}"/>
    <cellStyle name="40% - Accent1 3 3 2" xfId="2894" xr:uid="{00000000-0005-0000-0000-000028040000}"/>
    <cellStyle name="40% - Accent1 3 3 2 2" xfId="7116" xr:uid="{00000000-0005-0000-0000-000029040000}"/>
    <cellStyle name="40% - Accent1 3 3 2 2 2" xfId="15566" xr:uid="{BB447EEE-BA35-47FC-8CBF-839AA47E1E40}"/>
    <cellStyle name="40% - Accent1 3 3 2 3" xfId="11348" xr:uid="{715C2FEF-A193-4BF8-A54A-385D7ACE0793}"/>
    <cellStyle name="40% - Accent1 3 3 3" xfId="4971" xr:uid="{00000000-0005-0000-0000-00002A040000}"/>
    <cellStyle name="40% - Accent1 3 3 3 2" xfId="13421" xr:uid="{8F97C109-900B-482F-8262-5A500863B024}"/>
    <cellStyle name="40% - Accent1 3 3 4" xfId="9203" xr:uid="{DA4E7F86-54A6-4B56-BC4B-01D88BA49979}"/>
    <cellStyle name="40% - Accent1 3 4" xfId="1076" xr:uid="{00000000-0005-0000-0000-00002B040000}"/>
    <cellStyle name="40% - Accent1 3 4 2" xfId="3307" xr:uid="{00000000-0005-0000-0000-00002C040000}"/>
    <cellStyle name="40% - Accent1 3 4 2 2" xfId="7529" xr:uid="{00000000-0005-0000-0000-00002D040000}"/>
    <cellStyle name="40% - Accent1 3 4 2 2 2" xfId="15979" xr:uid="{E332190F-23F8-4FC4-86B2-29E2380B3233}"/>
    <cellStyle name="40% - Accent1 3 4 2 3" xfId="11761" xr:uid="{22D17E54-31C3-4F62-A07A-291069C4DCC5}"/>
    <cellStyle name="40% - Accent1 3 4 3" xfId="5384" xr:uid="{00000000-0005-0000-0000-00002E040000}"/>
    <cellStyle name="40% - Accent1 3 4 3 2" xfId="13834" xr:uid="{63DDE611-20F6-408E-8F0F-8D278344039D}"/>
    <cellStyle name="40% - Accent1 3 4 4" xfId="9616" xr:uid="{1481B790-00EE-48FC-8BB3-E6A0D1789C57}"/>
    <cellStyle name="40% - Accent1 3 5" xfId="1490" xr:uid="{00000000-0005-0000-0000-00002F040000}"/>
    <cellStyle name="40% - Accent1 3 5 2" xfId="3720" xr:uid="{00000000-0005-0000-0000-000030040000}"/>
    <cellStyle name="40% - Accent1 3 5 2 2" xfId="7942" xr:uid="{00000000-0005-0000-0000-000031040000}"/>
    <cellStyle name="40% - Accent1 3 5 2 2 2" xfId="16392" xr:uid="{E67BD32B-557A-4F96-837F-4AAEE7E736BC}"/>
    <cellStyle name="40% - Accent1 3 5 2 3" xfId="12174" xr:uid="{A980B54C-68F0-4147-A778-5A2047A2F35D}"/>
    <cellStyle name="40% - Accent1 3 5 3" xfId="5797" xr:uid="{00000000-0005-0000-0000-000032040000}"/>
    <cellStyle name="40% - Accent1 3 5 3 2" xfId="14247" xr:uid="{BC7B8A3A-0143-439E-B5F5-23AE575C5D83}"/>
    <cellStyle name="40% - Accent1 3 5 4" xfId="10029" xr:uid="{9E5C1F53-48C3-4B07-98A3-5285C27AA714}"/>
    <cellStyle name="40% - Accent1 3 6" xfId="1904" xr:uid="{00000000-0005-0000-0000-000033040000}"/>
    <cellStyle name="40% - Accent1 3 6 2" xfId="4133" xr:uid="{00000000-0005-0000-0000-000034040000}"/>
    <cellStyle name="40% - Accent1 3 6 2 2" xfId="8355" xr:uid="{00000000-0005-0000-0000-000035040000}"/>
    <cellStyle name="40% - Accent1 3 6 2 2 2" xfId="16805" xr:uid="{BF36A941-07DD-4283-AEDA-B403741425F0}"/>
    <cellStyle name="40% - Accent1 3 6 2 3" xfId="12587" xr:uid="{D74E649A-04B0-4694-9B7C-60193191FAC6}"/>
    <cellStyle name="40% - Accent1 3 6 3" xfId="6210" xr:uid="{00000000-0005-0000-0000-000036040000}"/>
    <cellStyle name="40% - Accent1 3 6 3 2" xfId="14660" xr:uid="{6A972A50-EE92-431C-BA25-D01FFDE6CD62}"/>
    <cellStyle name="40% - Accent1 3 6 4" xfId="10442" xr:uid="{1E81483B-309E-43FA-A04A-CCBCED8108C5}"/>
    <cellStyle name="40% - Accent1 3 7" xfId="2317" xr:uid="{00000000-0005-0000-0000-000037040000}"/>
    <cellStyle name="40% - Accent1 3 7 2" xfId="6623" xr:uid="{00000000-0005-0000-0000-000038040000}"/>
    <cellStyle name="40% - Accent1 3 7 2 2" xfId="15073" xr:uid="{FAE8E800-46F8-4669-99A2-03FDDBDE32E4}"/>
    <cellStyle name="40% - Accent1 3 7 3" xfId="10855" xr:uid="{F037A048-5D71-4CB1-B3F3-57EFF1C12A48}"/>
    <cellStyle name="40% - Accent1 3 8" xfId="4557" xr:uid="{00000000-0005-0000-0000-000039040000}"/>
    <cellStyle name="40% - Accent1 3 8 2" xfId="13007" xr:uid="{764FE44F-2AE4-43D7-B7CF-ED03B47D618F}"/>
    <cellStyle name="40% - Accent1 3 9" xfId="8789" xr:uid="{DE5C349D-EAEC-411D-ABFE-AA0C09EED2C6}"/>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2 2 2" xfId="15568" xr:uid="{3B8C62FB-A90A-4943-9F86-E7D9E836EF87}"/>
    <cellStyle name="40% - Accent1 4 2 2 3" xfId="11350" xr:uid="{D8B7E560-2C47-4736-9E37-E756D8679452}"/>
    <cellStyle name="40% - Accent1 4 2 3" xfId="4973" xr:uid="{00000000-0005-0000-0000-00003E040000}"/>
    <cellStyle name="40% - Accent1 4 2 3 2" xfId="13423" xr:uid="{FDC8FC76-6C1F-4C4B-8CC0-913EC6D7007A}"/>
    <cellStyle name="40% - Accent1 4 2 4" xfId="9205" xr:uid="{C7347DAE-21F3-4801-9DA7-13CC1E170C66}"/>
    <cellStyle name="40% - Accent1 4 3" xfId="1078" xr:uid="{00000000-0005-0000-0000-00003F040000}"/>
    <cellStyle name="40% - Accent1 4 3 2" xfId="3309" xr:uid="{00000000-0005-0000-0000-000040040000}"/>
    <cellStyle name="40% - Accent1 4 3 2 2" xfId="7531" xr:uid="{00000000-0005-0000-0000-000041040000}"/>
    <cellStyle name="40% - Accent1 4 3 2 2 2" xfId="15981" xr:uid="{A79D9502-558D-4918-ADAE-3633B3C1ACE5}"/>
    <cellStyle name="40% - Accent1 4 3 2 3" xfId="11763" xr:uid="{486BF9BE-1B9E-46BD-8CF4-78F650F8EF64}"/>
    <cellStyle name="40% - Accent1 4 3 3" xfId="5386" xr:uid="{00000000-0005-0000-0000-000042040000}"/>
    <cellStyle name="40% - Accent1 4 3 3 2" xfId="13836" xr:uid="{83454E32-72EC-4A04-ACB0-F7F855756EC9}"/>
    <cellStyle name="40% - Accent1 4 3 4" xfId="9618" xr:uid="{2A7209DB-921C-4963-81F8-4D357A860AF5}"/>
    <cellStyle name="40% - Accent1 4 4" xfId="1492" xr:uid="{00000000-0005-0000-0000-000043040000}"/>
    <cellStyle name="40% - Accent1 4 4 2" xfId="3722" xr:uid="{00000000-0005-0000-0000-000044040000}"/>
    <cellStyle name="40% - Accent1 4 4 2 2" xfId="7944" xr:uid="{00000000-0005-0000-0000-000045040000}"/>
    <cellStyle name="40% - Accent1 4 4 2 2 2" xfId="16394" xr:uid="{7FAAEA90-666B-4691-AE82-482850812E39}"/>
    <cellStyle name="40% - Accent1 4 4 2 3" xfId="12176" xr:uid="{36BC8F4A-2AA4-4956-845C-9FE64B981411}"/>
    <cellStyle name="40% - Accent1 4 4 3" xfId="5799" xr:uid="{00000000-0005-0000-0000-000046040000}"/>
    <cellStyle name="40% - Accent1 4 4 3 2" xfId="14249" xr:uid="{FCF03F08-735C-4784-8580-50D2964B7B4B}"/>
    <cellStyle name="40% - Accent1 4 4 4" xfId="10031" xr:uid="{B3C45E7C-3ABB-4E4C-822D-1F25A05DCCF4}"/>
    <cellStyle name="40% - Accent1 4 5" xfId="1906" xr:uid="{00000000-0005-0000-0000-000047040000}"/>
    <cellStyle name="40% - Accent1 4 5 2" xfId="4135" xr:uid="{00000000-0005-0000-0000-000048040000}"/>
    <cellStyle name="40% - Accent1 4 5 2 2" xfId="8357" xr:uid="{00000000-0005-0000-0000-000049040000}"/>
    <cellStyle name="40% - Accent1 4 5 2 2 2" xfId="16807" xr:uid="{FF3142A3-88A2-4AB4-AB7C-0ACADF078D83}"/>
    <cellStyle name="40% - Accent1 4 5 2 3" xfId="12589" xr:uid="{8B443E89-4A40-49B8-ADEB-B03441A7C253}"/>
    <cellStyle name="40% - Accent1 4 5 3" xfId="6212" xr:uid="{00000000-0005-0000-0000-00004A040000}"/>
    <cellStyle name="40% - Accent1 4 5 3 2" xfId="14662" xr:uid="{89B73888-F139-4D88-8271-687FCF349169}"/>
    <cellStyle name="40% - Accent1 4 5 4" xfId="10444" xr:uid="{64DDB304-C1CD-44C5-89E9-1BCF54DA5EBD}"/>
    <cellStyle name="40% - Accent1 4 6" xfId="2319" xr:uid="{00000000-0005-0000-0000-00004B040000}"/>
    <cellStyle name="40% - Accent1 4 6 2" xfId="6625" xr:uid="{00000000-0005-0000-0000-00004C040000}"/>
    <cellStyle name="40% - Accent1 4 6 2 2" xfId="15075" xr:uid="{A75E62E0-3C83-4391-AEDC-23CF921176CC}"/>
    <cellStyle name="40% - Accent1 4 6 3" xfId="10857" xr:uid="{13CE3493-F2EF-4F07-829F-5D0BCDD49EA3}"/>
    <cellStyle name="40% - Accent1 4 7" xfId="4559" xr:uid="{00000000-0005-0000-0000-00004D040000}"/>
    <cellStyle name="40% - Accent1 4 7 2" xfId="13009" xr:uid="{A72BF8C0-F8EA-4595-878E-FCAEC50B7D03}"/>
    <cellStyle name="40% - Accent1 4 8" xfId="8791" xr:uid="{3B06A2DB-2D6F-445D-99CC-FE8105E7C522}"/>
    <cellStyle name="40% - Accent1 5" xfId="618" xr:uid="{00000000-0005-0000-0000-00004E040000}"/>
    <cellStyle name="40% - Accent1 5 2" xfId="2889" xr:uid="{00000000-0005-0000-0000-00004F040000}"/>
    <cellStyle name="40% - Accent1 5 2 2" xfId="7111" xr:uid="{00000000-0005-0000-0000-000050040000}"/>
    <cellStyle name="40% - Accent1 5 2 2 2" xfId="15561" xr:uid="{584B299F-29F9-49C1-A70F-67F194E7A304}"/>
    <cellStyle name="40% - Accent1 5 2 3" xfId="11343" xr:uid="{40B513DD-2E66-4021-9F7F-AFD09B5F2D05}"/>
    <cellStyle name="40% - Accent1 5 3" xfId="4966" xr:uid="{00000000-0005-0000-0000-000051040000}"/>
    <cellStyle name="40% - Accent1 5 3 2" xfId="13416" xr:uid="{DC60A7FA-1D24-4499-A766-83FD5E0F0745}"/>
    <cellStyle name="40% - Accent1 5 4" xfId="9198" xr:uid="{E35F077E-06B1-4C3C-BFF0-271BA2976A7C}"/>
    <cellStyle name="40% - Accent1 6" xfId="1071" xr:uid="{00000000-0005-0000-0000-000052040000}"/>
    <cellStyle name="40% - Accent1 6 2" xfId="3302" xr:uid="{00000000-0005-0000-0000-000053040000}"/>
    <cellStyle name="40% - Accent1 6 2 2" xfId="7524" xr:uid="{00000000-0005-0000-0000-000054040000}"/>
    <cellStyle name="40% - Accent1 6 2 2 2" xfId="15974" xr:uid="{1E9D9D0C-4F2D-432A-B406-3DDECDD79497}"/>
    <cellStyle name="40% - Accent1 6 2 3" xfId="11756" xr:uid="{334BB08F-476B-4215-8EE5-8F268BC38D3A}"/>
    <cellStyle name="40% - Accent1 6 3" xfId="5379" xr:uid="{00000000-0005-0000-0000-000055040000}"/>
    <cellStyle name="40% - Accent1 6 3 2" xfId="13829" xr:uid="{75042494-388A-464F-9F77-011C4BBE32AD}"/>
    <cellStyle name="40% - Accent1 6 4" xfId="9611" xr:uid="{04EB6950-411F-4BCE-8532-A2930D733E48}"/>
    <cellStyle name="40% - Accent1 7" xfId="1485" xr:uid="{00000000-0005-0000-0000-000056040000}"/>
    <cellStyle name="40% - Accent1 7 2" xfId="3715" xr:uid="{00000000-0005-0000-0000-000057040000}"/>
    <cellStyle name="40% - Accent1 7 2 2" xfId="7937" xr:uid="{00000000-0005-0000-0000-000058040000}"/>
    <cellStyle name="40% - Accent1 7 2 2 2" xfId="16387" xr:uid="{CA62A086-72FE-4104-972D-B2ABF1AC8BD7}"/>
    <cellStyle name="40% - Accent1 7 2 3" xfId="12169" xr:uid="{3020E33A-B746-441A-8AAE-81C1743D684E}"/>
    <cellStyle name="40% - Accent1 7 3" xfId="5792" xr:uid="{00000000-0005-0000-0000-000059040000}"/>
    <cellStyle name="40% - Accent1 7 3 2" xfId="14242" xr:uid="{B0E9D558-3C24-4511-B797-BFC33D9BDFF5}"/>
    <cellStyle name="40% - Accent1 7 4" xfId="10024" xr:uid="{7EDB39F9-C6EA-4757-9423-B782871FE3D3}"/>
    <cellStyle name="40% - Accent1 8" xfId="1899" xr:uid="{00000000-0005-0000-0000-00005A040000}"/>
    <cellStyle name="40% - Accent1 8 2" xfId="4128" xr:uid="{00000000-0005-0000-0000-00005B040000}"/>
    <cellStyle name="40% - Accent1 8 2 2" xfId="8350" xr:uid="{00000000-0005-0000-0000-00005C040000}"/>
    <cellStyle name="40% - Accent1 8 2 2 2" xfId="16800" xr:uid="{77EEE4B9-BF38-4CA3-B6E6-9C2B22E16A48}"/>
    <cellStyle name="40% - Accent1 8 2 3" xfId="12582" xr:uid="{21D05D61-73D7-4550-8C54-86C3AC62E4D8}"/>
    <cellStyle name="40% - Accent1 8 3" xfId="6205" xr:uid="{00000000-0005-0000-0000-00005D040000}"/>
    <cellStyle name="40% - Accent1 8 3 2" xfId="14655" xr:uid="{99612272-AFB6-4877-AF9C-3ABEAEDA830C}"/>
    <cellStyle name="40% - Accent1 8 4" xfId="10437" xr:uid="{396DBC6A-3782-4933-ACB7-26C2BF144E86}"/>
    <cellStyle name="40% - Accent1 9" xfId="2312" xr:uid="{00000000-0005-0000-0000-00005E040000}"/>
    <cellStyle name="40% - Accent1 9 2" xfId="6618" xr:uid="{00000000-0005-0000-0000-00005F040000}"/>
    <cellStyle name="40% - Accent1 9 2 2" xfId="15068" xr:uid="{B316AFB2-3390-4E0B-BDF5-F327503C9D0B}"/>
    <cellStyle name="40% - Accent1 9 3" xfId="10850" xr:uid="{C942FEC4-A592-4ABD-A50F-C81B5851DF62}"/>
    <cellStyle name="40% - Accent2" xfId="57" builtinId="35" customBuiltin="1"/>
    <cellStyle name="40% - Accent2 10" xfId="4560" xr:uid="{00000000-0005-0000-0000-000061040000}"/>
    <cellStyle name="40% - Accent2 10 2" xfId="13010" xr:uid="{D11042D2-3CCC-4D79-8978-030BACBD0196}"/>
    <cellStyle name="40% - Accent2 11" xfId="8792" xr:uid="{98B52AB5-33A7-4EF3-A21A-4E6C3490CDA9}"/>
    <cellStyle name="40% - Accent2 2" xfId="58" xr:uid="{00000000-0005-0000-0000-000062040000}"/>
    <cellStyle name="40% - Accent2 2 10" xfId="8793" xr:uid="{2BFDB32E-1CBE-4649-A206-FA097A2FB0E2}"/>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2 2 2" xfId="15572" xr:uid="{88F82AB8-E9AB-4384-8DEA-2051706FE057}"/>
    <cellStyle name="40% - Accent2 2 2 2 2 2 3" xfId="11354" xr:uid="{97E7F203-661C-43E8-9CE1-47741E1AD37B}"/>
    <cellStyle name="40% - Accent2 2 2 2 2 3" xfId="4977" xr:uid="{00000000-0005-0000-0000-000068040000}"/>
    <cellStyle name="40% - Accent2 2 2 2 2 3 2" xfId="13427" xr:uid="{38850770-4895-46CC-AE88-89220C3D8FCC}"/>
    <cellStyle name="40% - Accent2 2 2 2 2 4" xfId="9209" xr:uid="{BE3BE23A-5EE4-43BD-9614-11AB514DF74C}"/>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2 2 2" xfId="15985" xr:uid="{806C0D52-773F-44A2-8612-DA6B23F32AD4}"/>
    <cellStyle name="40% - Accent2 2 2 2 3 2 3" xfId="11767" xr:uid="{7DED245B-1B8B-440A-B742-6CC604DF446F}"/>
    <cellStyle name="40% - Accent2 2 2 2 3 3" xfId="5390" xr:uid="{00000000-0005-0000-0000-00006C040000}"/>
    <cellStyle name="40% - Accent2 2 2 2 3 3 2" xfId="13840" xr:uid="{F9E3F506-BF39-4C85-9612-8A644C6161BF}"/>
    <cellStyle name="40% - Accent2 2 2 2 3 4" xfId="9622" xr:uid="{24C7E9F4-CF3C-47A1-A8B7-E263E1C7A9E8}"/>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2 2 2" xfId="16398" xr:uid="{62432297-603B-4C79-BC1E-16B87CE2F7DD}"/>
    <cellStyle name="40% - Accent2 2 2 2 4 2 3" xfId="12180" xr:uid="{0053CE8E-0BE5-45CD-8735-1FE1B475894D}"/>
    <cellStyle name="40% - Accent2 2 2 2 4 3" xfId="5803" xr:uid="{00000000-0005-0000-0000-000070040000}"/>
    <cellStyle name="40% - Accent2 2 2 2 4 3 2" xfId="14253" xr:uid="{1FAABC0E-1849-43F4-9CAC-A7305D757BAE}"/>
    <cellStyle name="40% - Accent2 2 2 2 4 4" xfId="10035" xr:uid="{F8AC849A-3DB0-4B4D-A046-8704F41E3654}"/>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2 2 2" xfId="16811" xr:uid="{F71B46BE-E69A-44C6-A215-B98FD37A0368}"/>
    <cellStyle name="40% - Accent2 2 2 2 5 2 3" xfId="12593" xr:uid="{0C2B2138-10AE-4D05-88D7-4581F396D597}"/>
    <cellStyle name="40% - Accent2 2 2 2 5 3" xfId="6216" xr:uid="{00000000-0005-0000-0000-000074040000}"/>
    <cellStyle name="40% - Accent2 2 2 2 5 3 2" xfId="14666" xr:uid="{DE5FAA0C-42EE-4654-8AD3-92F64B246580}"/>
    <cellStyle name="40% - Accent2 2 2 2 5 4" xfId="10448" xr:uid="{0BC3C109-FAEF-4852-9ED4-05106687E2DD}"/>
    <cellStyle name="40% - Accent2 2 2 2 6" xfId="2323" xr:uid="{00000000-0005-0000-0000-000075040000}"/>
    <cellStyle name="40% - Accent2 2 2 2 6 2" xfId="6629" xr:uid="{00000000-0005-0000-0000-000076040000}"/>
    <cellStyle name="40% - Accent2 2 2 2 6 2 2" xfId="15079" xr:uid="{E145B8AF-91F1-4861-9287-9558C91A6C87}"/>
    <cellStyle name="40% - Accent2 2 2 2 6 3" xfId="10861" xr:uid="{74F6C65E-1A21-4050-B0B8-4FB045F72FBC}"/>
    <cellStyle name="40% - Accent2 2 2 2 7" xfId="4563" xr:uid="{00000000-0005-0000-0000-000077040000}"/>
    <cellStyle name="40% - Accent2 2 2 2 7 2" xfId="13013" xr:uid="{3251361D-A19D-4AB4-BDAD-5B71039C544B}"/>
    <cellStyle name="40% - Accent2 2 2 2 8" xfId="8795" xr:uid="{B8E70F9A-086B-4481-A651-8C8F7E930A32}"/>
    <cellStyle name="40% - Accent2 2 2 3" xfId="628" xr:uid="{00000000-0005-0000-0000-000078040000}"/>
    <cellStyle name="40% - Accent2 2 2 3 2" xfId="2899" xr:uid="{00000000-0005-0000-0000-000079040000}"/>
    <cellStyle name="40% - Accent2 2 2 3 2 2" xfId="7121" xr:uid="{00000000-0005-0000-0000-00007A040000}"/>
    <cellStyle name="40% - Accent2 2 2 3 2 2 2" xfId="15571" xr:uid="{0A271596-1C36-4816-9CDD-74E13784294A}"/>
    <cellStyle name="40% - Accent2 2 2 3 2 3" xfId="11353" xr:uid="{975C4571-9214-415C-B454-2D9B55655A5F}"/>
    <cellStyle name="40% - Accent2 2 2 3 3" xfId="4976" xr:uid="{00000000-0005-0000-0000-00007B040000}"/>
    <cellStyle name="40% - Accent2 2 2 3 3 2" xfId="13426" xr:uid="{798F2160-1EB9-464B-A25D-90D9E83AC3B5}"/>
    <cellStyle name="40% - Accent2 2 2 3 4" xfId="9208" xr:uid="{AF7C53A8-4CB2-40F2-8CD4-72DE10603D7A}"/>
    <cellStyle name="40% - Accent2 2 2 4" xfId="1081" xr:uid="{00000000-0005-0000-0000-00007C040000}"/>
    <cellStyle name="40% - Accent2 2 2 4 2" xfId="3312" xr:uid="{00000000-0005-0000-0000-00007D040000}"/>
    <cellStyle name="40% - Accent2 2 2 4 2 2" xfId="7534" xr:uid="{00000000-0005-0000-0000-00007E040000}"/>
    <cellStyle name="40% - Accent2 2 2 4 2 2 2" xfId="15984" xr:uid="{92AF4C5A-30A7-408E-9F2F-67531F26706A}"/>
    <cellStyle name="40% - Accent2 2 2 4 2 3" xfId="11766" xr:uid="{88F154AB-8D74-4062-BBB5-80CD90E94F29}"/>
    <cellStyle name="40% - Accent2 2 2 4 3" xfId="5389" xr:uid="{00000000-0005-0000-0000-00007F040000}"/>
    <cellStyle name="40% - Accent2 2 2 4 3 2" xfId="13839" xr:uid="{F2DE3917-90C6-49C9-A588-DC8B7FA5BD07}"/>
    <cellStyle name="40% - Accent2 2 2 4 4" xfId="9621" xr:uid="{FEFB3C9C-1FF0-4350-A43F-DC3AD786E75F}"/>
    <cellStyle name="40% - Accent2 2 2 5" xfId="1495" xr:uid="{00000000-0005-0000-0000-000080040000}"/>
    <cellStyle name="40% - Accent2 2 2 5 2" xfId="3725" xr:uid="{00000000-0005-0000-0000-000081040000}"/>
    <cellStyle name="40% - Accent2 2 2 5 2 2" xfId="7947" xr:uid="{00000000-0005-0000-0000-000082040000}"/>
    <cellStyle name="40% - Accent2 2 2 5 2 2 2" xfId="16397" xr:uid="{587F4B77-27C4-4900-916D-40E9CACCA1A0}"/>
    <cellStyle name="40% - Accent2 2 2 5 2 3" xfId="12179" xr:uid="{03756C21-DCF9-47A5-AE08-AFF67329DC85}"/>
    <cellStyle name="40% - Accent2 2 2 5 3" xfId="5802" xr:uid="{00000000-0005-0000-0000-000083040000}"/>
    <cellStyle name="40% - Accent2 2 2 5 3 2" xfId="14252" xr:uid="{49F666B9-76D2-4245-AB41-968B8050E5C4}"/>
    <cellStyle name="40% - Accent2 2 2 5 4" xfId="10034" xr:uid="{13776ACE-815D-4E16-A9C9-C89D8F2A4604}"/>
    <cellStyle name="40% - Accent2 2 2 6" xfId="1909" xr:uid="{00000000-0005-0000-0000-000084040000}"/>
    <cellStyle name="40% - Accent2 2 2 6 2" xfId="4138" xr:uid="{00000000-0005-0000-0000-000085040000}"/>
    <cellStyle name="40% - Accent2 2 2 6 2 2" xfId="8360" xr:uid="{00000000-0005-0000-0000-000086040000}"/>
    <cellStyle name="40% - Accent2 2 2 6 2 2 2" xfId="16810" xr:uid="{257C9146-F5BF-4755-88C0-F8BF2830221F}"/>
    <cellStyle name="40% - Accent2 2 2 6 2 3" xfId="12592" xr:uid="{3E4822D5-099E-40C9-8814-2FED327D4496}"/>
    <cellStyle name="40% - Accent2 2 2 6 3" xfId="6215" xr:uid="{00000000-0005-0000-0000-000087040000}"/>
    <cellStyle name="40% - Accent2 2 2 6 3 2" xfId="14665" xr:uid="{98532BBC-C25D-437E-8699-F46CCFA6E8EA}"/>
    <cellStyle name="40% - Accent2 2 2 6 4" xfId="10447" xr:uid="{D2C2CAEB-2034-4F22-9A9A-8B91F01FD5DA}"/>
    <cellStyle name="40% - Accent2 2 2 7" xfId="2322" xr:uid="{00000000-0005-0000-0000-000088040000}"/>
    <cellStyle name="40% - Accent2 2 2 7 2" xfId="6628" xr:uid="{00000000-0005-0000-0000-000089040000}"/>
    <cellStyle name="40% - Accent2 2 2 7 2 2" xfId="15078" xr:uid="{D906ECFB-0483-4718-9363-67DCE240CDE5}"/>
    <cellStyle name="40% - Accent2 2 2 7 3" xfId="10860" xr:uid="{11AA4620-643C-477A-9E9B-8A3EBD66D451}"/>
    <cellStyle name="40% - Accent2 2 2 8" xfId="4562" xr:uid="{00000000-0005-0000-0000-00008A040000}"/>
    <cellStyle name="40% - Accent2 2 2 8 2" xfId="13012" xr:uid="{C098A26C-61BB-4815-9B9A-D8531B3DB9CD}"/>
    <cellStyle name="40% - Accent2 2 2 9" xfId="8794" xr:uid="{EA41AB05-097F-4C3B-9992-2E7FAF495E72}"/>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2 2 2" xfId="15573" xr:uid="{1C07795C-6F74-4FAA-B0E1-7C9F6CC87A4E}"/>
    <cellStyle name="40% - Accent2 2 3 2 2 3" xfId="11355" xr:uid="{77E5C4F8-6BDB-4E92-9394-BF3C0FF714F7}"/>
    <cellStyle name="40% - Accent2 2 3 2 3" xfId="4978" xr:uid="{00000000-0005-0000-0000-00008F040000}"/>
    <cellStyle name="40% - Accent2 2 3 2 3 2" xfId="13428" xr:uid="{0E11417B-EA16-419C-B3E1-2E1665712997}"/>
    <cellStyle name="40% - Accent2 2 3 2 4" xfId="9210" xr:uid="{32DE3C77-DA8C-4961-AF83-62E87323B22F}"/>
    <cellStyle name="40% - Accent2 2 3 3" xfId="1083" xr:uid="{00000000-0005-0000-0000-000090040000}"/>
    <cellStyle name="40% - Accent2 2 3 3 2" xfId="3314" xr:uid="{00000000-0005-0000-0000-000091040000}"/>
    <cellStyle name="40% - Accent2 2 3 3 2 2" xfId="7536" xr:uid="{00000000-0005-0000-0000-000092040000}"/>
    <cellStyle name="40% - Accent2 2 3 3 2 2 2" xfId="15986" xr:uid="{697E6167-F285-4A86-B897-2A9A208BC164}"/>
    <cellStyle name="40% - Accent2 2 3 3 2 3" xfId="11768" xr:uid="{59BB0CE5-2DB5-4A44-BD5A-92EC7A1F0401}"/>
    <cellStyle name="40% - Accent2 2 3 3 3" xfId="5391" xr:uid="{00000000-0005-0000-0000-000093040000}"/>
    <cellStyle name="40% - Accent2 2 3 3 3 2" xfId="13841" xr:uid="{9EE18C54-B67F-4A08-AEC1-C4FB5790FEB9}"/>
    <cellStyle name="40% - Accent2 2 3 3 4" xfId="9623" xr:uid="{82097399-B716-4183-B853-C0704DFE2D4B}"/>
    <cellStyle name="40% - Accent2 2 3 4" xfId="1497" xr:uid="{00000000-0005-0000-0000-000094040000}"/>
    <cellStyle name="40% - Accent2 2 3 4 2" xfId="3727" xr:uid="{00000000-0005-0000-0000-000095040000}"/>
    <cellStyle name="40% - Accent2 2 3 4 2 2" xfId="7949" xr:uid="{00000000-0005-0000-0000-000096040000}"/>
    <cellStyle name="40% - Accent2 2 3 4 2 2 2" xfId="16399" xr:uid="{D7FC5274-6CDB-4194-B311-232410B3FF80}"/>
    <cellStyle name="40% - Accent2 2 3 4 2 3" xfId="12181" xr:uid="{0D3F7FD4-83FE-4019-A53A-DECC4092A36A}"/>
    <cellStyle name="40% - Accent2 2 3 4 3" xfId="5804" xr:uid="{00000000-0005-0000-0000-000097040000}"/>
    <cellStyle name="40% - Accent2 2 3 4 3 2" xfId="14254" xr:uid="{B72E07AF-AA8E-4F69-A5EF-DC95372DFC36}"/>
    <cellStyle name="40% - Accent2 2 3 4 4" xfId="10036" xr:uid="{25F34F36-2046-4A49-BCB8-D2F011A2D801}"/>
    <cellStyle name="40% - Accent2 2 3 5" xfId="1911" xr:uid="{00000000-0005-0000-0000-000098040000}"/>
    <cellStyle name="40% - Accent2 2 3 5 2" xfId="4140" xr:uid="{00000000-0005-0000-0000-000099040000}"/>
    <cellStyle name="40% - Accent2 2 3 5 2 2" xfId="8362" xr:uid="{00000000-0005-0000-0000-00009A040000}"/>
    <cellStyle name="40% - Accent2 2 3 5 2 2 2" xfId="16812" xr:uid="{A468DD3E-ED29-4855-8D6D-6AE9139679A8}"/>
    <cellStyle name="40% - Accent2 2 3 5 2 3" xfId="12594" xr:uid="{E5AC7671-625A-4875-85AE-A310A042F360}"/>
    <cellStyle name="40% - Accent2 2 3 5 3" xfId="6217" xr:uid="{00000000-0005-0000-0000-00009B040000}"/>
    <cellStyle name="40% - Accent2 2 3 5 3 2" xfId="14667" xr:uid="{CB306DAC-D7A1-4440-9624-7E6460A750BA}"/>
    <cellStyle name="40% - Accent2 2 3 5 4" xfId="10449" xr:uid="{E7ED0155-664A-492D-9A35-3096F44A0AD9}"/>
    <cellStyle name="40% - Accent2 2 3 6" xfId="2324" xr:uid="{00000000-0005-0000-0000-00009C040000}"/>
    <cellStyle name="40% - Accent2 2 3 6 2" xfId="6630" xr:uid="{00000000-0005-0000-0000-00009D040000}"/>
    <cellStyle name="40% - Accent2 2 3 6 2 2" xfId="15080" xr:uid="{688DA2F9-9CC4-4013-87E4-9F0702D80A54}"/>
    <cellStyle name="40% - Accent2 2 3 6 3" xfId="10862" xr:uid="{8FD1046F-9C54-49F6-BB03-0C0038073EE3}"/>
    <cellStyle name="40% - Accent2 2 3 7" xfId="4564" xr:uid="{00000000-0005-0000-0000-00009E040000}"/>
    <cellStyle name="40% - Accent2 2 3 7 2" xfId="13014" xr:uid="{1BC93D87-C5B7-40C6-A731-E4820163CCD8}"/>
    <cellStyle name="40% - Accent2 2 3 8" xfId="8796" xr:uid="{AEF82024-35B4-494D-AF90-AFE6AB224B47}"/>
    <cellStyle name="40% - Accent2 2 4" xfId="627" xr:uid="{00000000-0005-0000-0000-00009F040000}"/>
    <cellStyle name="40% - Accent2 2 4 2" xfId="2898" xr:uid="{00000000-0005-0000-0000-0000A0040000}"/>
    <cellStyle name="40% - Accent2 2 4 2 2" xfId="7120" xr:uid="{00000000-0005-0000-0000-0000A1040000}"/>
    <cellStyle name="40% - Accent2 2 4 2 2 2" xfId="15570" xr:uid="{FE39D2C0-4904-412B-9FEF-68B40E51521E}"/>
    <cellStyle name="40% - Accent2 2 4 2 3" xfId="11352" xr:uid="{35B731F4-30D3-4C7A-A21F-C8474526A6DE}"/>
    <cellStyle name="40% - Accent2 2 4 3" xfId="4975" xr:uid="{00000000-0005-0000-0000-0000A2040000}"/>
    <cellStyle name="40% - Accent2 2 4 3 2" xfId="13425" xr:uid="{62DC15A7-1076-4CA6-887B-BCBFA5187860}"/>
    <cellStyle name="40% - Accent2 2 4 4" xfId="9207" xr:uid="{219404A8-712A-471D-96E3-790D3AA87F96}"/>
    <cellStyle name="40% - Accent2 2 5" xfId="1080" xr:uid="{00000000-0005-0000-0000-0000A3040000}"/>
    <cellStyle name="40% - Accent2 2 5 2" xfId="3311" xr:uid="{00000000-0005-0000-0000-0000A4040000}"/>
    <cellStyle name="40% - Accent2 2 5 2 2" xfId="7533" xr:uid="{00000000-0005-0000-0000-0000A5040000}"/>
    <cellStyle name="40% - Accent2 2 5 2 2 2" xfId="15983" xr:uid="{EDFA41B5-C49B-4B72-A3D9-C12E0A13A05B}"/>
    <cellStyle name="40% - Accent2 2 5 2 3" xfId="11765" xr:uid="{DDA0FCF1-E246-401C-A732-3ECED119135A}"/>
    <cellStyle name="40% - Accent2 2 5 3" xfId="5388" xr:uid="{00000000-0005-0000-0000-0000A6040000}"/>
    <cellStyle name="40% - Accent2 2 5 3 2" xfId="13838" xr:uid="{63A8DF34-00DE-4E1F-A229-8DF4FEE2ED00}"/>
    <cellStyle name="40% - Accent2 2 5 4" xfId="9620" xr:uid="{358AE0B7-9ABD-4BF9-8E34-2F3876B3432A}"/>
    <cellStyle name="40% - Accent2 2 6" xfId="1494" xr:uid="{00000000-0005-0000-0000-0000A7040000}"/>
    <cellStyle name="40% - Accent2 2 6 2" xfId="3724" xr:uid="{00000000-0005-0000-0000-0000A8040000}"/>
    <cellStyle name="40% - Accent2 2 6 2 2" xfId="7946" xr:uid="{00000000-0005-0000-0000-0000A9040000}"/>
    <cellStyle name="40% - Accent2 2 6 2 2 2" xfId="16396" xr:uid="{EC659353-2D27-4B00-805F-E9F882A4701C}"/>
    <cellStyle name="40% - Accent2 2 6 2 3" xfId="12178" xr:uid="{A6B14829-BD17-41F6-8E03-EDBFB355BD7F}"/>
    <cellStyle name="40% - Accent2 2 6 3" xfId="5801" xr:uid="{00000000-0005-0000-0000-0000AA040000}"/>
    <cellStyle name="40% - Accent2 2 6 3 2" xfId="14251" xr:uid="{B31A139A-D50C-453C-B74B-EA44E3E63D25}"/>
    <cellStyle name="40% - Accent2 2 6 4" xfId="10033" xr:uid="{DE752AFC-E111-4D5C-849F-8711C64B5DD7}"/>
    <cellStyle name="40% - Accent2 2 7" xfId="1908" xr:uid="{00000000-0005-0000-0000-0000AB040000}"/>
    <cellStyle name="40% - Accent2 2 7 2" xfId="4137" xr:uid="{00000000-0005-0000-0000-0000AC040000}"/>
    <cellStyle name="40% - Accent2 2 7 2 2" xfId="8359" xr:uid="{00000000-0005-0000-0000-0000AD040000}"/>
    <cellStyle name="40% - Accent2 2 7 2 2 2" xfId="16809" xr:uid="{B8F41E11-FFA0-4561-A0A9-0F1C441D0045}"/>
    <cellStyle name="40% - Accent2 2 7 2 3" xfId="12591" xr:uid="{F12B035E-B9EE-4463-991E-C99076D2DCFE}"/>
    <cellStyle name="40% - Accent2 2 7 3" xfId="6214" xr:uid="{00000000-0005-0000-0000-0000AE040000}"/>
    <cellStyle name="40% - Accent2 2 7 3 2" xfId="14664" xr:uid="{08FF0957-8792-48BD-A9D9-2BAE891CA697}"/>
    <cellStyle name="40% - Accent2 2 7 4" xfId="10446" xr:uid="{22B86331-DB06-45A9-A29F-4794ED452DDB}"/>
    <cellStyle name="40% - Accent2 2 8" xfId="2321" xr:uid="{00000000-0005-0000-0000-0000AF040000}"/>
    <cellStyle name="40% - Accent2 2 8 2" xfId="6627" xr:uid="{00000000-0005-0000-0000-0000B0040000}"/>
    <cellStyle name="40% - Accent2 2 8 2 2" xfId="15077" xr:uid="{E5362A13-BCF2-45E2-A281-331D077A4288}"/>
    <cellStyle name="40% - Accent2 2 8 3" xfId="10859" xr:uid="{5BC10024-81CE-48E8-BB8D-7A5BAE081811}"/>
    <cellStyle name="40% - Accent2 2 9" xfId="4561" xr:uid="{00000000-0005-0000-0000-0000B1040000}"/>
    <cellStyle name="40% - Accent2 2 9 2" xfId="13011" xr:uid="{65EEA177-AFFB-4914-B1A0-807B938F815F}"/>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2 2 2" xfId="15575" xr:uid="{87A117D3-A8DF-4D57-A7DA-DB238726C269}"/>
    <cellStyle name="40% - Accent2 3 2 2 2 3" xfId="11357" xr:uid="{661F6B21-B296-4966-86AA-B788BBCA6A1C}"/>
    <cellStyle name="40% - Accent2 3 2 2 3" xfId="4980" xr:uid="{00000000-0005-0000-0000-0000B7040000}"/>
    <cellStyle name="40% - Accent2 3 2 2 3 2" xfId="13430" xr:uid="{7A518C25-752B-4D54-B176-29DD85720021}"/>
    <cellStyle name="40% - Accent2 3 2 2 4" xfId="9212" xr:uid="{E97DC1EA-AD84-4DCC-B103-576B2EE3E9B6}"/>
    <cellStyle name="40% - Accent2 3 2 3" xfId="1085" xr:uid="{00000000-0005-0000-0000-0000B8040000}"/>
    <cellStyle name="40% - Accent2 3 2 3 2" xfId="3316" xr:uid="{00000000-0005-0000-0000-0000B9040000}"/>
    <cellStyle name="40% - Accent2 3 2 3 2 2" xfId="7538" xr:uid="{00000000-0005-0000-0000-0000BA040000}"/>
    <cellStyle name="40% - Accent2 3 2 3 2 2 2" xfId="15988" xr:uid="{E3D726EF-6125-4C84-ABF2-8CE4CD2A497A}"/>
    <cellStyle name="40% - Accent2 3 2 3 2 3" xfId="11770" xr:uid="{F31EBB81-E389-46CB-8E02-CF188BD63D4D}"/>
    <cellStyle name="40% - Accent2 3 2 3 3" xfId="5393" xr:uid="{00000000-0005-0000-0000-0000BB040000}"/>
    <cellStyle name="40% - Accent2 3 2 3 3 2" xfId="13843" xr:uid="{CEB94E39-579B-4ED4-B50E-2C0E1CF29A27}"/>
    <cellStyle name="40% - Accent2 3 2 3 4" xfId="9625" xr:uid="{AA87A3BB-6CE9-448C-A037-5CEF5BAD2C6C}"/>
    <cellStyle name="40% - Accent2 3 2 4" xfId="1499" xr:uid="{00000000-0005-0000-0000-0000BC040000}"/>
    <cellStyle name="40% - Accent2 3 2 4 2" xfId="3729" xr:uid="{00000000-0005-0000-0000-0000BD040000}"/>
    <cellStyle name="40% - Accent2 3 2 4 2 2" xfId="7951" xr:uid="{00000000-0005-0000-0000-0000BE040000}"/>
    <cellStyle name="40% - Accent2 3 2 4 2 2 2" xfId="16401" xr:uid="{F73A16DB-6628-4A9A-8BC1-5FA9531421FF}"/>
    <cellStyle name="40% - Accent2 3 2 4 2 3" xfId="12183" xr:uid="{7D6F49A5-11C8-49F9-9CD2-A398EC512B86}"/>
    <cellStyle name="40% - Accent2 3 2 4 3" xfId="5806" xr:uid="{00000000-0005-0000-0000-0000BF040000}"/>
    <cellStyle name="40% - Accent2 3 2 4 3 2" xfId="14256" xr:uid="{2B9586C6-2DEF-4B4C-B8EC-3555B6477C3D}"/>
    <cellStyle name="40% - Accent2 3 2 4 4" xfId="10038" xr:uid="{092D91D0-AD8C-4B68-83F4-D2E60A611CBF}"/>
    <cellStyle name="40% - Accent2 3 2 5" xfId="1913" xr:uid="{00000000-0005-0000-0000-0000C0040000}"/>
    <cellStyle name="40% - Accent2 3 2 5 2" xfId="4142" xr:uid="{00000000-0005-0000-0000-0000C1040000}"/>
    <cellStyle name="40% - Accent2 3 2 5 2 2" xfId="8364" xr:uid="{00000000-0005-0000-0000-0000C2040000}"/>
    <cellStyle name="40% - Accent2 3 2 5 2 2 2" xfId="16814" xr:uid="{D8A8CA69-3E8F-460F-B5B2-ECA651A87BB7}"/>
    <cellStyle name="40% - Accent2 3 2 5 2 3" xfId="12596" xr:uid="{BD608298-9A9B-4ED1-9B9C-FAB03EFDF9C9}"/>
    <cellStyle name="40% - Accent2 3 2 5 3" xfId="6219" xr:uid="{00000000-0005-0000-0000-0000C3040000}"/>
    <cellStyle name="40% - Accent2 3 2 5 3 2" xfId="14669" xr:uid="{8C4D0716-694A-4BD9-B987-047B46BB7F91}"/>
    <cellStyle name="40% - Accent2 3 2 5 4" xfId="10451" xr:uid="{ABCE7B4B-9D3F-4EFD-AA7C-8BC543ACF76A}"/>
    <cellStyle name="40% - Accent2 3 2 6" xfId="2326" xr:uid="{00000000-0005-0000-0000-0000C4040000}"/>
    <cellStyle name="40% - Accent2 3 2 6 2" xfId="6632" xr:uid="{00000000-0005-0000-0000-0000C5040000}"/>
    <cellStyle name="40% - Accent2 3 2 6 2 2" xfId="15082" xr:uid="{C2113469-791D-4B11-89C5-E06CBFDF64D0}"/>
    <cellStyle name="40% - Accent2 3 2 6 3" xfId="10864" xr:uid="{8F7FA669-3647-449E-9102-93AB711B3805}"/>
    <cellStyle name="40% - Accent2 3 2 7" xfId="4566" xr:uid="{00000000-0005-0000-0000-0000C6040000}"/>
    <cellStyle name="40% - Accent2 3 2 7 2" xfId="13016" xr:uid="{DFD7EBC9-621E-4BEF-8395-01A1E1EF5F68}"/>
    <cellStyle name="40% - Accent2 3 2 8" xfId="8798" xr:uid="{139392CA-9734-46BF-9B4B-E81E62C68FC0}"/>
    <cellStyle name="40% - Accent2 3 3" xfId="631" xr:uid="{00000000-0005-0000-0000-0000C7040000}"/>
    <cellStyle name="40% - Accent2 3 3 2" xfId="2902" xr:uid="{00000000-0005-0000-0000-0000C8040000}"/>
    <cellStyle name="40% - Accent2 3 3 2 2" xfId="7124" xr:uid="{00000000-0005-0000-0000-0000C9040000}"/>
    <cellStyle name="40% - Accent2 3 3 2 2 2" xfId="15574" xr:uid="{191C2CEB-576D-4F42-8DFE-16755732D4FA}"/>
    <cellStyle name="40% - Accent2 3 3 2 3" xfId="11356" xr:uid="{941FEBE7-D6B8-4717-A039-102A49170872}"/>
    <cellStyle name="40% - Accent2 3 3 3" xfId="4979" xr:uid="{00000000-0005-0000-0000-0000CA040000}"/>
    <cellStyle name="40% - Accent2 3 3 3 2" xfId="13429" xr:uid="{F7EF38C6-8D7B-4F2E-8B2D-E6714FC7A6B9}"/>
    <cellStyle name="40% - Accent2 3 3 4" xfId="9211" xr:uid="{AE659414-0E50-4A07-BC5C-9817EF60F19B}"/>
    <cellStyle name="40% - Accent2 3 4" xfId="1084" xr:uid="{00000000-0005-0000-0000-0000CB040000}"/>
    <cellStyle name="40% - Accent2 3 4 2" xfId="3315" xr:uid="{00000000-0005-0000-0000-0000CC040000}"/>
    <cellStyle name="40% - Accent2 3 4 2 2" xfId="7537" xr:uid="{00000000-0005-0000-0000-0000CD040000}"/>
    <cellStyle name="40% - Accent2 3 4 2 2 2" xfId="15987" xr:uid="{F21A2891-C31D-419D-A81F-DDA76E15F2A0}"/>
    <cellStyle name="40% - Accent2 3 4 2 3" xfId="11769" xr:uid="{C0D0A746-5256-454C-ABD4-65D3383E91DE}"/>
    <cellStyle name="40% - Accent2 3 4 3" xfId="5392" xr:uid="{00000000-0005-0000-0000-0000CE040000}"/>
    <cellStyle name="40% - Accent2 3 4 3 2" xfId="13842" xr:uid="{01A3BC52-416D-47F1-AB57-584DC23B0F23}"/>
    <cellStyle name="40% - Accent2 3 4 4" xfId="9624" xr:uid="{F4808134-FFB2-4060-B9A8-4B40C226FABC}"/>
    <cellStyle name="40% - Accent2 3 5" xfId="1498" xr:uid="{00000000-0005-0000-0000-0000CF040000}"/>
    <cellStyle name="40% - Accent2 3 5 2" xfId="3728" xr:uid="{00000000-0005-0000-0000-0000D0040000}"/>
    <cellStyle name="40% - Accent2 3 5 2 2" xfId="7950" xr:uid="{00000000-0005-0000-0000-0000D1040000}"/>
    <cellStyle name="40% - Accent2 3 5 2 2 2" xfId="16400" xr:uid="{7B4BE941-6506-4991-A26D-1D26131138A2}"/>
    <cellStyle name="40% - Accent2 3 5 2 3" xfId="12182" xr:uid="{9F5042D4-2C29-43FD-AE14-AA100E6E2787}"/>
    <cellStyle name="40% - Accent2 3 5 3" xfId="5805" xr:uid="{00000000-0005-0000-0000-0000D2040000}"/>
    <cellStyle name="40% - Accent2 3 5 3 2" xfId="14255" xr:uid="{53E3734B-0962-4242-AC05-9C49EBC22A0A}"/>
    <cellStyle name="40% - Accent2 3 5 4" xfId="10037" xr:uid="{4920C592-7311-4367-BD10-AE828E3B54E1}"/>
    <cellStyle name="40% - Accent2 3 6" xfId="1912" xr:uid="{00000000-0005-0000-0000-0000D3040000}"/>
    <cellStyle name="40% - Accent2 3 6 2" xfId="4141" xr:uid="{00000000-0005-0000-0000-0000D4040000}"/>
    <cellStyle name="40% - Accent2 3 6 2 2" xfId="8363" xr:uid="{00000000-0005-0000-0000-0000D5040000}"/>
    <cellStyle name="40% - Accent2 3 6 2 2 2" xfId="16813" xr:uid="{EA7D1C43-A7D9-4AC3-91CC-AEDBE3B17D70}"/>
    <cellStyle name="40% - Accent2 3 6 2 3" xfId="12595" xr:uid="{8573CC3D-3DB3-4BAA-8C69-654A4B366835}"/>
    <cellStyle name="40% - Accent2 3 6 3" xfId="6218" xr:uid="{00000000-0005-0000-0000-0000D6040000}"/>
    <cellStyle name="40% - Accent2 3 6 3 2" xfId="14668" xr:uid="{2EF58CFD-4FBA-4B9A-85DE-0D812864A7CA}"/>
    <cellStyle name="40% - Accent2 3 6 4" xfId="10450" xr:uid="{1C479068-6E5A-4915-BFA8-31B56B3EC981}"/>
    <cellStyle name="40% - Accent2 3 7" xfId="2325" xr:uid="{00000000-0005-0000-0000-0000D7040000}"/>
    <cellStyle name="40% - Accent2 3 7 2" xfId="6631" xr:uid="{00000000-0005-0000-0000-0000D8040000}"/>
    <cellStyle name="40% - Accent2 3 7 2 2" xfId="15081" xr:uid="{5E7421A4-7384-40BD-A48C-23E793217BA7}"/>
    <cellStyle name="40% - Accent2 3 7 3" xfId="10863" xr:uid="{4AECED49-29AF-4DE2-B660-28F2117227D6}"/>
    <cellStyle name="40% - Accent2 3 8" xfId="4565" xr:uid="{00000000-0005-0000-0000-0000D9040000}"/>
    <cellStyle name="40% - Accent2 3 8 2" xfId="13015" xr:uid="{40784225-E441-484E-AF20-45FADEEA63A2}"/>
    <cellStyle name="40% - Accent2 3 9" xfId="8797" xr:uid="{E24D2E34-C2D2-4E64-87EE-55EEB424F425}"/>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2 2 2" xfId="15576" xr:uid="{3A2A4EB5-4722-49B0-BDE4-79E4598F3732}"/>
    <cellStyle name="40% - Accent2 4 2 2 3" xfId="11358" xr:uid="{3A65F915-7D52-403C-B0D3-2256EB81FC33}"/>
    <cellStyle name="40% - Accent2 4 2 3" xfId="4981" xr:uid="{00000000-0005-0000-0000-0000DE040000}"/>
    <cellStyle name="40% - Accent2 4 2 3 2" xfId="13431" xr:uid="{ED4D9B42-D990-47A4-A12E-CCD42AC509A6}"/>
    <cellStyle name="40% - Accent2 4 2 4" xfId="9213" xr:uid="{FD8CAE24-C1CC-4C82-A61A-1025218E4321}"/>
    <cellStyle name="40% - Accent2 4 3" xfId="1086" xr:uid="{00000000-0005-0000-0000-0000DF040000}"/>
    <cellStyle name="40% - Accent2 4 3 2" xfId="3317" xr:uid="{00000000-0005-0000-0000-0000E0040000}"/>
    <cellStyle name="40% - Accent2 4 3 2 2" xfId="7539" xr:uid="{00000000-0005-0000-0000-0000E1040000}"/>
    <cellStyle name="40% - Accent2 4 3 2 2 2" xfId="15989" xr:uid="{57B82D1E-61DC-48C8-ABE1-6876F444EEFB}"/>
    <cellStyle name="40% - Accent2 4 3 2 3" xfId="11771" xr:uid="{C127CF9C-D40D-40CE-B216-9584FB011C8F}"/>
    <cellStyle name="40% - Accent2 4 3 3" xfId="5394" xr:uid="{00000000-0005-0000-0000-0000E2040000}"/>
    <cellStyle name="40% - Accent2 4 3 3 2" xfId="13844" xr:uid="{BF74287E-9369-4EAE-92B3-109824A5D931}"/>
    <cellStyle name="40% - Accent2 4 3 4" xfId="9626" xr:uid="{2D2401C7-C3EB-44C7-AEE0-15DC198BE690}"/>
    <cellStyle name="40% - Accent2 4 4" xfId="1500" xr:uid="{00000000-0005-0000-0000-0000E3040000}"/>
    <cellStyle name="40% - Accent2 4 4 2" xfId="3730" xr:uid="{00000000-0005-0000-0000-0000E4040000}"/>
    <cellStyle name="40% - Accent2 4 4 2 2" xfId="7952" xr:uid="{00000000-0005-0000-0000-0000E5040000}"/>
    <cellStyle name="40% - Accent2 4 4 2 2 2" xfId="16402" xr:uid="{B10260A3-EC88-48B8-85CA-C27218474628}"/>
    <cellStyle name="40% - Accent2 4 4 2 3" xfId="12184" xr:uid="{B4D1AA67-B113-40C5-A927-E9DEDB7BF50B}"/>
    <cellStyle name="40% - Accent2 4 4 3" xfId="5807" xr:uid="{00000000-0005-0000-0000-0000E6040000}"/>
    <cellStyle name="40% - Accent2 4 4 3 2" xfId="14257" xr:uid="{A18B25DC-6B11-4A02-BC5E-2A9017FD61D0}"/>
    <cellStyle name="40% - Accent2 4 4 4" xfId="10039" xr:uid="{9E838BF5-4579-4AA6-A0BD-CBA132D9C746}"/>
    <cellStyle name="40% - Accent2 4 5" xfId="1914" xr:uid="{00000000-0005-0000-0000-0000E7040000}"/>
    <cellStyle name="40% - Accent2 4 5 2" xfId="4143" xr:uid="{00000000-0005-0000-0000-0000E8040000}"/>
    <cellStyle name="40% - Accent2 4 5 2 2" xfId="8365" xr:uid="{00000000-0005-0000-0000-0000E9040000}"/>
    <cellStyle name="40% - Accent2 4 5 2 2 2" xfId="16815" xr:uid="{7CAEA564-EA70-42EB-97EA-872EB93B13B8}"/>
    <cellStyle name="40% - Accent2 4 5 2 3" xfId="12597" xr:uid="{3C7986C7-8C89-4379-AC7B-E11AB8836947}"/>
    <cellStyle name="40% - Accent2 4 5 3" xfId="6220" xr:uid="{00000000-0005-0000-0000-0000EA040000}"/>
    <cellStyle name="40% - Accent2 4 5 3 2" xfId="14670" xr:uid="{A2D46D2E-8619-4DE2-880F-8A1BBC4E3A65}"/>
    <cellStyle name="40% - Accent2 4 5 4" xfId="10452" xr:uid="{F188A0FB-7278-4B8B-952C-A6CE1B769710}"/>
    <cellStyle name="40% - Accent2 4 6" xfId="2327" xr:uid="{00000000-0005-0000-0000-0000EB040000}"/>
    <cellStyle name="40% - Accent2 4 6 2" xfId="6633" xr:uid="{00000000-0005-0000-0000-0000EC040000}"/>
    <cellStyle name="40% - Accent2 4 6 2 2" xfId="15083" xr:uid="{307F7F8D-F070-4E11-9C3B-9A56637AAE75}"/>
    <cellStyle name="40% - Accent2 4 6 3" xfId="10865" xr:uid="{1445BBFE-A191-49A9-B33E-EB6E2F3254AB}"/>
    <cellStyle name="40% - Accent2 4 7" xfId="4567" xr:uid="{00000000-0005-0000-0000-0000ED040000}"/>
    <cellStyle name="40% - Accent2 4 7 2" xfId="13017" xr:uid="{490796C1-FF6B-441D-9546-E3E84F9BBBA1}"/>
    <cellStyle name="40% - Accent2 4 8" xfId="8799" xr:uid="{628E1000-9792-4A53-8331-7BA712EE4404}"/>
    <cellStyle name="40% - Accent2 5" xfId="626" xr:uid="{00000000-0005-0000-0000-0000EE040000}"/>
    <cellStyle name="40% - Accent2 5 2" xfId="2897" xr:uid="{00000000-0005-0000-0000-0000EF040000}"/>
    <cellStyle name="40% - Accent2 5 2 2" xfId="7119" xr:uid="{00000000-0005-0000-0000-0000F0040000}"/>
    <cellStyle name="40% - Accent2 5 2 2 2" xfId="15569" xr:uid="{85B7B46E-B50D-426C-8FCC-8D326C9D666B}"/>
    <cellStyle name="40% - Accent2 5 2 3" xfId="11351" xr:uid="{92025E9B-2158-4D98-B8FB-3B7AB09BAA39}"/>
    <cellStyle name="40% - Accent2 5 3" xfId="4974" xr:uid="{00000000-0005-0000-0000-0000F1040000}"/>
    <cellStyle name="40% - Accent2 5 3 2" xfId="13424" xr:uid="{DD6C284D-D7BF-4288-B87B-165F2603702A}"/>
    <cellStyle name="40% - Accent2 5 4" xfId="9206" xr:uid="{7F64FE06-D121-4FE9-83FF-7C27683A13B5}"/>
    <cellStyle name="40% - Accent2 6" xfId="1079" xr:uid="{00000000-0005-0000-0000-0000F2040000}"/>
    <cellStyle name="40% - Accent2 6 2" xfId="3310" xr:uid="{00000000-0005-0000-0000-0000F3040000}"/>
    <cellStyle name="40% - Accent2 6 2 2" xfId="7532" xr:uid="{00000000-0005-0000-0000-0000F4040000}"/>
    <cellStyle name="40% - Accent2 6 2 2 2" xfId="15982" xr:uid="{AEB78B85-B5F5-4FDE-B364-64C635BEE475}"/>
    <cellStyle name="40% - Accent2 6 2 3" xfId="11764" xr:uid="{50853AE7-8B3D-4B77-9C4D-E17DA152ABAD}"/>
    <cellStyle name="40% - Accent2 6 3" xfId="5387" xr:uid="{00000000-0005-0000-0000-0000F5040000}"/>
    <cellStyle name="40% - Accent2 6 3 2" xfId="13837" xr:uid="{7D2BD5C0-1933-44F4-8260-4C2EDBEE461E}"/>
    <cellStyle name="40% - Accent2 6 4" xfId="9619" xr:uid="{78E0336A-5633-4E9F-989F-69BE8DD2DB9A}"/>
    <cellStyle name="40% - Accent2 7" xfId="1493" xr:uid="{00000000-0005-0000-0000-0000F6040000}"/>
    <cellStyle name="40% - Accent2 7 2" xfId="3723" xr:uid="{00000000-0005-0000-0000-0000F7040000}"/>
    <cellStyle name="40% - Accent2 7 2 2" xfId="7945" xr:uid="{00000000-0005-0000-0000-0000F8040000}"/>
    <cellStyle name="40% - Accent2 7 2 2 2" xfId="16395" xr:uid="{1D44076F-43E6-4A89-85AB-5472526EFE7E}"/>
    <cellStyle name="40% - Accent2 7 2 3" xfId="12177" xr:uid="{D2CEC499-A5FD-411A-AE67-AF5FA13A3694}"/>
    <cellStyle name="40% - Accent2 7 3" xfId="5800" xr:uid="{00000000-0005-0000-0000-0000F9040000}"/>
    <cellStyle name="40% - Accent2 7 3 2" xfId="14250" xr:uid="{CA2EAAE7-4123-49C3-BF9E-B5710DAF5694}"/>
    <cellStyle name="40% - Accent2 7 4" xfId="10032" xr:uid="{F3D6D797-80BF-436A-8593-1C0A6DDAB00C}"/>
    <cellStyle name="40% - Accent2 8" xfId="1907" xr:uid="{00000000-0005-0000-0000-0000FA040000}"/>
    <cellStyle name="40% - Accent2 8 2" xfId="4136" xr:uid="{00000000-0005-0000-0000-0000FB040000}"/>
    <cellStyle name="40% - Accent2 8 2 2" xfId="8358" xr:uid="{00000000-0005-0000-0000-0000FC040000}"/>
    <cellStyle name="40% - Accent2 8 2 2 2" xfId="16808" xr:uid="{19F879CB-8DEB-4502-838B-F365CE416310}"/>
    <cellStyle name="40% - Accent2 8 2 3" xfId="12590" xr:uid="{F2DEBD6B-7FD1-4326-81FF-E481C600C49E}"/>
    <cellStyle name="40% - Accent2 8 3" xfId="6213" xr:uid="{00000000-0005-0000-0000-0000FD040000}"/>
    <cellStyle name="40% - Accent2 8 3 2" xfId="14663" xr:uid="{AE952AD8-A853-4DD0-BBD4-0C5461418E6D}"/>
    <cellStyle name="40% - Accent2 8 4" xfId="10445" xr:uid="{EB19AA8F-38E0-4812-9E5B-FFA7E375C190}"/>
    <cellStyle name="40% - Accent2 9" xfId="2320" xr:uid="{00000000-0005-0000-0000-0000FE040000}"/>
    <cellStyle name="40% - Accent2 9 2" xfId="6626" xr:uid="{00000000-0005-0000-0000-0000FF040000}"/>
    <cellStyle name="40% - Accent2 9 2 2" xfId="15076" xr:uid="{AA741641-4BB8-4912-B670-8BF7267D38EB}"/>
    <cellStyle name="40% - Accent2 9 3" xfId="10858" xr:uid="{65DFC60A-0882-409E-AC3F-3530FEC33C11}"/>
    <cellStyle name="40% - Accent3" xfId="65" builtinId="39" customBuiltin="1"/>
    <cellStyle name="40% - Accent3 10" xfId="4568" xr:uid="{00000000-0005-0000-0000-000001050000}"/>
    <cellStyle name="40% - Accent3 10 2" xfId="13018" xr:uid="{36708C44-90B0-4F91-81AC-47385791EFAF}"/>
    <cellStyle name="40% - Accent3 11" xfId="8800" xr:uid="{D88C3C66-EBBA-437A-ADB2-F63EB1757F37}"/>
    <cellStyle name="40% - Accent3 2" xfId="66" xr:uid="{00000000-0005-0000-0000-000002050000}"/>
    <cellStyle name="40% - Accent3 2 10" xfId="8801" xr:uid="{C4F5D12B-07F6-4823-B9BB-5B00B53D139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2 2 2" xfId="15580" xr:uid="{A5E13F4C-ADC1-4B55-8F71-E0C679ED244B}"/>
    <cellStyle name="40% - Accent3 2 2 2 2 2 3" xfId="11362" xr:uid="{805725DD-255C-4AB2-B5F7-B2A21FFEAF95}"/>
    <cellStyle name="40% - Accent3 2 2 2 2 3" xfId="4985" xr:uid="{00000000-0005-0000-0000-000008050000}"/>
    <cellStyle name="40% - Accent3 2 2 2 2 3 2" xfId="13435" xr:uid="{0C472DDB-9873-4C1C-B416-915D9D15C4E1}"/>
    <cellStyle name="40% - Accent3 2 2 2 2 4" xfId="9217" xr:uid="{C9FB0BF4-485B-46A3-8C36-79CDF1ED6188}"/>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2 2 2" xfId="15993" xr:uid="{C0D721F6-7F85-4D07-99EF-7F9CF249C8B2}"/>
    <cellStyle name="40% - Accent3 2 2 2 3 2 3" xfId="11775" xr:uid="{CE228976-25E7-424A-9BF4-B32EA20E6311}"/>
    <cellStyle name="40% - Accent3 2 2 2 3 3" xfId="5398" xr:uid="{00000000-0005-0000-0000-00000C050000}"/>
    <cellStyle name="40% - Accent3 2 2 2 3 3 2" xfId="13848" xr:uid="{BD8ED1E5-EE65-487B-B00F-D1E6E7CF9C32}"/>
    <cellStyle name="40% - Accent3 2 2 2 3 4" xfId="9630" xr:uid="{7DD67F86-1E1D-48F3-BF6D-6F1119CC46B9}"/>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2 2 2" xfId="16406" xr:uid="{89FD0FA1-B87D-4E2E-B976-C6563245F46F}"/>
    <cellStyle name="40% - Accent3 2 2 2 4 2 3" xfId="12188" xr:uid="{148DFB01-7B65-4B61-BFD8-FDCD839BE474}"/>
    <cellStyle name="40% - Accent3 2 2 2 4 3" xfId="5811" xr:uid="{00000000-0005-0000-0000-000010050000}"/>
    <cellStyle name="40% - Accent3 2 2 2 4 3 2" xfId="14261" xr:uid="{E09EF3F4-E277-418C-89A7-9A5CEEA52E30}"/>
    <cellStyle name="40% - Accent3 2 2 2 4 4" xfId="10043" xr:uid="{2753D81B-3B4A-4746-898A-4C88FEF73D82}"/>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2 2 2" xfId="16819" xr:uid="{3AAF8419-69CE-462A-B872-D5853BC5C398}"/>
    <cellStyle name="40% - Accent3 2 2 2 5 2 3" xfId="12601" xr:uid="{1077B795-1BAF-4945-9D0D-FEE9C18A8E05}"/>
    <cellStyle name="40% - Accent3 2 2 2 5 3" xfId="6224" xr:uid="{00000000-0005-0000-0000-000014050000}"/>
    <cellStyle name="40% - Accent3 2 2 2 5 3 2" xfId="14674" xr:uid="{0B0A0DEA-8A43-4BC8-B429-299B5BC5A09C}"/>
    <cellStyle name="40% - Accent3 2 2 2 5 4" xfId="10456" xr:uid="{B92C2A7E-A132-4D3B-9ECD-CE398751EE02}"/>
    <cellStyle name="40% - Accent3 2 2 2 6" xfId="2331" xr:uid="{00000000-0005-0000-0000-000015050000}"/>
    <cellStyle name="40% - Accent3 2 2 2 6 2" xfId="6637" xr:uid="{00000000-0005-0000-0000-000016050000}"/>
    <cellStyle name="40% - Accent3 2 2 2 6 2 2" xfId="15087" xr:uid="{D6891211-5EE8-4EF7-94E3-124031BE19F5}"/>
    <cellStyle name="40% - Accent3 2 2 2 6 3" xfId="10869" xr:uid="{3D27B2F3-2B88-4DF5-9820-8BAD48DC1DB3}"/>
    <cellStyle name="40% - Accent3 2 2 2 7" xfId="4571" xr:uid="{00000000-0005-0000-0000-000017050000}"/>
    <cellStyle name="40% - Accent3 2 2 2 7 2" xfId="13021" xr:uid="{E450C5F1-EFC4-4A0F-A917-D14C8463BC50}"/>
    <cellStyle name="40% - Accent3 2 2 2 8" xfId="8803" xr:uid="{77918FAF-B81C-4E4E-B96A-B91E37B79DE3}"/>
    <cellStyle name="40% - Accent3 2 2 3" xfId="636" xr:uid="{00000000-0005-0000-0000-000018050000}"/>
    <cellStyle name="40% - Accent3 2 2 3 2" xfId="2907" xr:uid="{00000000-0005-0000-0000-000019050000}"/>
    <cellStyle name="40% - Accent3 2 2 3 2 2" xfId="7129" xr:uid="{00000000-0005-0000-0000-00001A050000}"/>
    <cellStyle name="40% - Accent3 2 2 3 2 2 2" xfId="15579" xr:uid="{682992B2-BB40-4881-B8F0-65460CFFEE69}"/>
    <cellStyle name="40% - Accent3 2 2 3 2 3" xfId="11361" xr:uid="{48ACFDCB-0C3E-4B5B-BCD0-7B5455671F3F}"/>
    <cellStyle name="40% - Accent3 2 2 3 3" xfId="4984" xr:uid="{00000000-0005-0000-0000-00001B050000}"/>
    <cellStyle name="40% - Accent3 2 2 3 3 2" xfId="13434" xr:uid="{C3629CE6-440C-419D-9112-1B9B12457F54}"/>
    <cellStyle name="40% - Accent3 2 2 3 4" xfId="9216" xr:uid="{8F3E5111-BA63-454B-9AF7-FD9FFEDDA613}"/>
    <cellStyle name="40% - Accent3 2 2 4" xfId="1089" xr:uid="{00000000-0005-0000-0000-00001C050000}"/>
    <cellStyle name="40% - Accent3 2 2 4 2" xfId="3320" xr:uid="{00000000-0005-0000-0000-00001D050000}"/>
    <cellStyle name="40% - Accent3 2 2 4 2 2" xfId="7542" xr:uid="{00000000-0005-0000-0000-00001E050000}"/>
    <cellStyle name="40% - Accent3 2 2 4 2 2 2" xfId="15992" xr:uid="{BE08AB6B-B1AC-4F02-96E0-3EBC92B1A64F}"/>
    <cellStyle name="40% - Accent3 2 2 4 2 3" xfId="11774" xr:uid="{EFCB05E5-54CB-4294-BB0A-13EF3D01C8D7}"/>
    <cellStyle name="40% - Accent3 2 2 4 3" xfId="5397" xr:uid="{00000000-0005-0000-0000-00001F050000}"/>
    <cellStyle name="40% - Accent3 2 2 4 3 2" xfId="13847" xr:uid="{13032F63-35F5-437E-A4C9-5123B6C64F72}"/>
    <cellStyle name="40% - Accent3 2 2 4 4" xfId="9629" xr:uid="{AD7D68E8-786A-4DA9-A13C-C4749D1EF705}"/>
    <cellStyle name="40% - Accent3 2 2 5" xfId="1503" xr:uid="{00000000-0005-0000-0000-000020050000}"/>
    <cellStyle name="40% - Accent3 2 2 5 2" xfId="3733" xr:uid="{00000000-0005-0000-0000-000021050000}"/>
    <cellStyle name="40% - Accent3 2 2 5 2 2" xfId="7955" xr:uid="{00000000-0005-0000-0000-000022050000}"/>
    <cellStyle name="40% - Accent3 2 2 5 2 2 2" xfId="16405" xr:uid="{1DEFB7E7-E88D-4498-9E2A-93FFCA300756}"/>
    <cellStyle name="40% - Accent3 2 2 5 2 3" xfId="12187" xr:uid="{A014FAE5-C4AA-44A6-983C-B7AD116CA05B}"/>
    <cellStyle name="40% - Accent3 2 2 5 3" xfId="5810" xr:uid="{00000000-0005-0000-0000-000023050000}"/>
    <cellStyle name="40% - Accent3 2 2 5 3 2" xfId="14260" xr:uid="{E42F58FE-984D-4D44-A383-CD228F17E30F}"/>
    <cellStyle name="40% - Accent3 2 2 5 4" xfId="10042" xr:uid="{9D3440C2-6493-467F-8F1D-16988D3DEE29}"/>
    <cellStyle name="40% - Accent3 2 2 6" xfId="1917" xr:uid="{00000000-0005-0000-0000-000024050000}"/>
    <cellStyle name="40% - Accent3 2 2 6 2" xfId="4146" xr:uid="{00000000-0005-0000-0000-000025050000}"/>
    <cellStyle name="40% - Accent3 2 2 6 2 2" xfId="8368" xr:uid="{00000000-0005-0000-0000-000026050000}"/>
    <cellStyle name="40% - Accent3 2 2 6 2 2 2" xfId="16818" xr:uid="{AAE951C3-23A5-4D59-AA5E-C496A8C33921}"/>
    <cellStyle name="40% - Accent3 2 2 6 2 3" xfId="12600" xr:uid="{128F7D02-54EC-4017-9104-8327735F7965}"/>
    <cellStyle name="40% - Accent3 2 2 6 3" xfId="6223" xr:uid="{00000000-0005-0000-0000-000027050000}"/>
    <cellStyle name="40% - Accent3 2 2 6 3 2" xfId="14673" xr:uid="{EF6B087B-42BD-446D-9840-F2F58F706C3E}"/>
    <cellStyle name="40% - Accent3 2 2 6 4" xfId="10455" xr:uid="{01A8A1ED-E4BA-49CE-B0B3-9AFC3FB073D4}"/>
    <cellStyle name="40% - Accent3 2 2 7" xfId="2330" xr:uid="{00000000-0005-0000-0000-000028050000}"/>
    <cellStyle name="40% - Accent3 2 2 7 2" xfId="6636" xr:uid="{00000000-0005-0000-0000-000029050000}"/>
    <cellStyle name="40% - Accent3 2 2 7 2 2" xfId="15086" xr:uid="{13A300E9-C4EA-47D1-AE9C-D8D2CD974126}"/>
    <cellStyle name="40% - Accent3 2 2 7 3" xfId="10868" xr:uid="{1FE53FC1-E501-4D2B-B02D-38C03C8076BE}"/>
    <cellStyle name="40% - Accent3 2 2 8" xfId="4570" xr:uid="{00000000-0005-0000-0000-00002A050000}"/>
    <cellStyle name="40% - Accent3 2 2 8 2" xfId="13020" xr:uid="{B86F2A69-23EB-474C-AB7D-7E7D37F4DACD}"/>
    <cellStyle name="40% - Accent3 2 2 9" xfId="8802" xr:uid="{E20F1890-EDBA-4307-85BF-E68FB094765B}"/>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2 2 2" xfId="15581" xr:uid="{7CBB520D-EA40-4891-B77F-6500B721C11E}"/>
    <cellStyle name="40% - Accent3 2 3 2 2 3" xfId="11363" xr:uid="{BDD88B26-C0A5-4EA1-BA9C-B1A3C5A0AF4B}"/>
    <cellStyle name="40% - Accent3 2 3 2 3" xfId="4986" xr:uid="{00000000-0005-0000-0000-00002F050000}"/>
    <cellStyle name="40% - Accent3 2 3 2 3 2" xfId="13436" xr:uid="{331D46F7-FEAE-4AFF-A197-3AB5859C1573}"/>
    <cellStyle name="40% - Accent3 2 3 2 4" xfId="9218" xr:uid="{19A8B489-8EA8-417A-AE3C-B4BE754A83CD}"/>
    <cellStyle name="40% - Accent3 2 3 3" xfId="1091" xr:uid="{00000000-0005-0000-0000-000030050000}"/>
    <cellStyle name="40% - Accent3 2 3 3 2" xfId="3322" xr:uid="{00000000-0005-0000-0000-000031050000}"/>
    <cellStyle name="40% - Accent3 2 3 3 2 2" xfId="7544" xr:uid="{00000000-0005-0000-0000-000032050000}"/>
    <cellStyle name="40% - Accent3 2 3 3 2 2 2" xfId="15994" xr:uid="{31D2DD1B-414A-48A2-A86D-D492F1DBA971}"/>
    <cellStyle name="40% - Accent3 2 3 3 2 3" xfId="11776" xr:uid="{009B6883-D7CC-4C9F-973A-74DDA0F5A1DD}"/>
    <cellStyle name="40% - Accent3 2 3 3 3" xfId="5399" xr:uid="{00000000-0005-0000-0000-000033050000}"/>
    <cellStyle name="40% - Accent3 2 3 3 3 2" xfId="13849" xr:uid="{6A6A1DC8-CB18-40E1-8AD9-70C87B81FCDB}"/>
    <cellStyle name="40% - Accent3 2 3 3 4" xfId="9631" xr:uid="{FEC46205-7F56-44EF-B5DA-0A88508C3C1B}"/>
    <cellStyle name="40% - Accent3 2 3 4" xfId="1505" xr:uid="{00000000-0005-0000-0000-000034050000}"/>
    <cellStyle name="40% - Accent3 2 3 4 2" xfId="3735" xr:uid="{00000000-0005-0000-0000-000035050000}"/>
    <cellStyle name="40% - Accent3 2 3 4 2 2" xfId="7957" xr:uid="{00000000-0005-0000-0000-000036050000}"/>
    <cellStyle name="40% - Accent3 2 3 4 2 2 2" xfId="16407" xr:uid="{17E0DF2F-B588-499B-8C9D-B5BB040A76DA}"/>
    <cellStyle name="40% - Accent3 2 3 4 2 3" xfId="12189" xr:uid="{C9BE147B-C419-418C-B131-48F4FA98452E}"/>
    <cellStyle name="40% - Accent3 2 3 4 3" xfId="5812" xr:uid="{00000000-0005-0000-0000-000037050000}"/>
    <cellStyle name="40% - Accent3 2 3 4 3 2" xfId="14262" xr:uid="{288C1037-E955-440A-9F37-271CBAA041DB}"/>
    <cellStyle name="40% - Accent3 2 3 4 4" xfId="10044" xr:uid="{13810FFD-BD2F-45EA-90E6-2A2DC09C855B}"/>
    <cellStyle name="40% - Accent3 2 3 5" xfId="1919" xr:uid="{00000000-0005-0000-0000-000038050000}"/>
    <cellStyle name="40% - Accent3 2 3 5 2" xfId="4148" xr:uid="{00000000-0005-0000-0000-000039050000}"/>
    <cellStyle name="40% - Accent3 2 3 5 2 2" xfId="8370" xr:uid="{00000000-0005-0000-0000-00003A050000}"/>
    <cellStyle name="40% - Accent3 2 3 5 2 2 2" xfId="16820" xr:uid="{CE7F71E8-7567-4DD7-8DAB-38CA54084B2B}"/>
    <cellStyle name="40% - Accent3 2 3 5 2 3" xfId="12602" xr:uid="{AC415068-A457-4F5A-B416-74079CCFF37A}"/>
    <cellStyle name="40% - Accent3 2 3 5 3" xfId="6225" xr:uid="{00000000-0005-0000-0000-00003B050000}"/>
    <cellStyle name="40% - Accent3 2 3 5 3 2" xfId="14675" xr:uid="{9862FA6F-1113-4466-A4E5-A53F5176CA45}"/>
    <cellStyle name="40% - Accent3 2 3 5 4" xfId="10457" xr:uid="{E0992513-E11C-4B5C-9A5C-FF1B4B4490C3}"/>
    <cellStyle name="40% - Accent3 2 3 6" xfId="2332" xr:uid="{00000000-0005-0000-0000-00003C050000}"/>
    <cellStyle name="40% - Accent3 2 3 6 2" xfId="6638" xr:uid="{00000000-0005-0000-0000-00003D050000}"/>
    <cellStyle name="40% - Accent3 2 3 6 2 2" xfId="15088" xr:uid="{04952CEA-FFC3-41D8-8018-0334885E4D8F}"/>
    <cellStyle name="40% - Accent3 2 3 6 3" xfId="10870" xr:uid="{8095AA14-9A59-46EE-AFA5-11BAC64A5B68}"/>
    <cellStyle name="40% - Accent3 2 3 7" xfId="4572" xr:uid="{00000000-0005-0000-0000-00003E050000}"/>
    <cellStyle name="40% - Accent3 2 3 7 2" xfId="13022" xr:uid="{C54D8784-4B62-4D15-8D49-EF66FA3E285C}"/>
    <cellStyle name="40% - Accent3 2 3 8" xfId="8804" xr:uid="{29C5D241-FFCA-42B9-B5BA-126C1ADB685D}"/>
    <cellStyle name="40% - Accent3 2 4" xfId="635" xr:uid="{00000000-0005-0000-0000-00003F050000}"/>
    <cellStyle name="40% - Accent3 2 4 2" xfId="2906" xr:uid="{00000000-0005-0000-0000-000040050000}"/>
    <cellStyle name="40% - Accent3 2 4 2 2" xfId="7128" xr:uid="{00000000-0005-0000-0000-000041050000}"/>
    <cellStyle name="40% - Accent3 2 4 2 2 2" xfId="15578" xr:uid="{4EB3C3C3-D003-4527-A649-ADD9E7E6EB18}"/>
    <cellStyle name="40% - Accent3 2 4 2 3" xfId="11360" xr:uid="{F6B85844-8299-4E56-B255-72DCDD5ACAAC}"/>
    <cellStyle name="40% - Accent3 2 4 3" xfId="4983" xr:uid="{00000000-0005-0000-0000-000042050000}"/>
    <cellStyle name="40% - Accent3 2 4 3 2" xfId="13433" xr:uid="{B91FF30B-0D78-4AB0-8ADC-9E50E2D10C1B}"/>
    <cellStyle name="40% - Accent3 2 4 4" xfId="9215" xr:uid="{1085CF2F-0BD3-47EE-9B03-93E90F464513}"/>
    <cellStyle name="40% - Accent3 2 5" xfId="1088" xr:uid="{00000000-0005-0000-0000-000043050000}"/>
    <cellStyle name="40% - Accent3 2 5 2" xfId="3319" xr:uid="{00000000-0005-0000-0000-000044050000}"/>
    <cellStyle name="40% - Accent3 2 5 2 2" xfId="7541" xr:uid="{00000000-0005-0000-0000-000045050000}"/>
    <cellStyle name="40% - Accent3 2 5 2 2 2" xfId="15991" xr:uid="{BBB8838C-BB23-4C8A-AEFC-1117E35E83C7}"/>
    <cellStyle name="40% - Accent3 2 5 2 3" xfId="11773" xr:uid="{C749B8B6-ED9F-4BB1-A08C-9A857C74A3F1}"/>
    <cellStyle name="40% - Accent3 2 5 3" xfId="5396" xr:uid="{00000000-0005-0000-0000-000046050000}"/>
    <cellStyle name="40% - Accent3 2 5 3 2" xfId="13846" xr:uid="{84763DF6-9D19-4DFC-AA55-9088ECD3FCFA}"/>
    <cellStyle name="40% - Accent3 2 5 4" xfId="9628" xr:uid="{85C4250D-CB73-4C23-B200-94B83B3D6DC9}"/>
    <cellStyle name="40% - Accent3 2 6" xfId="1502" xr:uid="{00000000-0005-0000-0000-000047050000}"/>
    <cellStyle name="40% - Accent3 2 6 2" xfId="3732" xr:uid="{00000000-0005-0000-0000-000048050000}"/>
    <cellStyle name="40% - Accent3 2 6 2 2" xfId="7954" xr:uid="{00000000-0005-0000-0000-000049050000}"/>
    <cellStyle name="40% - Accent3 2 6 2 2 2" xfId="16404" xr:uid="{197B17C1-B820-4F8C-BDAE-F0FF9E654E9D}"/>
    <cellStyle name="40% - Accent3 2 6 2 3" xfId="12186" xr:uid="{FB2ED1E6-6136-4321-B97D-385D7D45311A}"/>
    <cellStyle name="40% - Accent3 2 6 3" xfId="5809" xr:uid="{00000000-0005-0000-0000-00004A050000}"/>
    <cellStyle name="40% - Accent3 2 6 3 2" xfId="14259" xr:uid="{1F6A5E52-FC01-4291-A8B4-CA8E29586F21}"/>
    <cellStyle name="40% - Accent3 2 6 4" xfId="10041" xr:uid="{A5A93E2F-0936-4950-931A-7BCD685ECC33}"/>
    <cellStyle name="40% - Accent3 2 7" xfId="1916" xr:uid="{00000000-0005-0000-0000-00004B050000}"/>
    <cellStyle name="40% - Accent3 2 7 2" xfId="4145" xr:uid="{00000000-0005-0000-0000-00004C050000}"/>
    <cellStyle name="40% - Accent3 2 7 2 2" xfId="8367" xr:uid="{00000000-0005-0000-0000-00004D050000}"/>
    <cellStyle name="40% - Accent3 2 7 2 2 2" xfId="16817" xr:uid="{3582A7E3-88C1-4645-BC1F-38C8DEF890AA}"/>
    <cellStyle name="40% - Accent3 2 7 2 3" xfId="12599" xr:uid="{F240013E-C692-4E91-82F4-F2BE21324CDF}"/>
    <cellStyle name="40% - Accent3 2 7 3" xfId="6222" xr:uid="{00000000-0005-0000-0000-00004E050000}"/>
    <cellStyle name="40% - Accent3 2 7 3 2" xfId="14672" xr:uid="{01C5D3BE-A828-41A1-82CC-47BEDE44CBF1}"/>
    <cellStyle name="40% - Accent3 2 7 4" xfId="10454" xr:uid="{EEFCCB87-27A6-498E-9C6C-C47D70BD401D}"/>
    <cellStyle name="40% - Accent3 2 8" xfId="2329" xr:uid="{00000000-0005-0000-0000-00004F050000}"/>
    <cellStyle name="40% - Accent3 2 8 2" xfId="6635" xr:uid="{00000000-0005-0000-0000-000050050000}"/>
    <cellStyle name="40% - Accent3 2 8 2 2" xfId="15085" xr:uid="{7DB05858-4740-42FB-B6C9-E69DF7EE67D5}"/>
    <cellStyle name="40% - Accent3 2 8 3" xfId="10867" xr:uid="{59A965FC-6167-47D0-89B1-053F7DF5C5AD}"/>
    <cellStyle name="40% - Accent3 2 9" xfId="4569" xr:uid="{00000000-0005-0000-0000-000051050000}"/>
    <cellStyle name="40% - Accent3 2 9 2" xfId="13019" xr:uid="{F5D6F7DB-A8DA-4C18-BC6D-1A482BBBCDBC}"/>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2 2 2" xfId="15583" xr:uid="{59286B66-2D18-49E3-A1C3-A35104A69760}"/>
    <cellStyle name="40% - Accent3 3 2 2 2 3" xfId="11365" xr:uid="{A0B14415-A753-4906-A1C1-8E8AAD9F316F}"/>
    <cellStyle name="40% - Accent3 3 2 2 3" xfId="4988" xr:uid="{00000000-0005-0000-0000-000057050000}"/>
    <cellStyle name="40% - Accent3 3 2 2 3 2" xfId="13438" xr:uid="{B3363518-3E7D-479E-99B9-2722E6B85B3C}"/>
    <cellStyle name="40% - Accent3 3 2 2 4" xfId="9220" xr:uid="{2F80A2FB-2226-4633-BC93-D885A435CE57}"/>
    <cellStyle name="40% - Accent3 3 2 3" xfId="1093" xr:uid="{00000000-0005-0000-0000-000058050000}"/>
    <cellStyle name="40% - Accent3 3 2 3 2" xfId="3324" xr:uid="{00000000-0005-0000-0000-000059050000}"/>
    <cellStyle name="40% - Accent3 3 2 3 2 2" xfId="7546" xr:uid="{00000000-0005-0000-0000-00005A050000}"/>
    <cellStyle name="40% - Accent3 3 2 3 2 2 2" xfId="15996" xr:uid="{27F31FD8-4FD2-423F-9D97-4EF0981F8359}"/>
    <cellStyle name="40% - Accent3 3 2 3 2 3" xfId="11778" xr:uid="{4DF720B9-A4D4-4C83-ACBF-69E75AB6A10F}"/>
    <cellStyle name="40% - Accent3 3 2 3 3" xfId="5401" xr:uid="{00000000-0005-0000-0000-00005B050000}"/>
    <cellStyle name="40% - Accent3 3 2 3 3 2" xfId="13851" xr:uid="{8B845364-95B1-4942-AF74-91A16FF89827}"/>
    <cellStyle name="40% - Accent3 3 2 3 4" xfId="9633" xr:uid="{6BBF3121-7547-4706-9AC8-CD09B8FE2EED}"/>
    <cellStyle name="40% - Accent3 3 2 4" xfId="1507" xr:uid="{00000000-0005-0000-0000-00005C050000}"/>
    <cellStyle name="40% - Accent3 3 2 4 2" xfId="3737" xr:uid="{00000000-0005-0000-0000-00005D050000}"/>
    <cellStyle name="40% - Accent3 3 2 4 2 2" xfId="7959" xr:uid="{00000000-0005-0000-0000-00005E050000}"/>
    <cellStyle name="40% - Accent3 3 2 4 2 2 2" xfId="16409" xr:uid="{A7E50117-1278-4AE5-95D7-52014E1E9B29}"/>
    <cellStyle name="40% - Accent3 3 2 4 2 3" xfId="12191" xr:uid="{779D12E3-F2B6-440C-AC3E-A6276A654121}"/>
    <cellStyle name="40% - Accent3 3 2 4 3" xfId="5814" xr:uid="{00000000-0005-0000-0000-00005F050000}"/>
    <cellStyle name="40% - Accent3 3 2 4 3 2" xfId="14264" xr:uid="{2C7843A0-490D-4EA5-B7E8-612F765ACFA3}"/>
    <cellStyle name="40% - Accent3 3 2 4 4" xfId="10046" xr:uid="{F6E962DB-1B41-492E-98AE-83B78066505D}"/>
    <cellStyle name="40% - Accent3 3 2 5" xfId="1921" xr:uid="{00000000-0005-0000-0000-000060050000}"/>
    <cellStyle name="40% - Accent3 3 2 5 2" xfId="4150" xr:uid="{00000000-0005-0000-0000-000061050000}"/>
    <cellStyle name="40% - Accent3 3 2 5 2 2" xfId="8372" xr:uid="{00000000-0005-0000-0000-000062050000}"/>
    <cellStyle name="40% - Accent3 3 2 5 2 2 2" xfId="16822" xr:uid="{B4F1A53C-3060-489E-B106-FA7039690C8A}"/>
    <cellStyle name="40% - Accent3 3 2 5 2 3" xfId="12604" xr:uid="{8648700A-6274-4D02-9203-5E2CBE631455}"/>
    <cellStyle name="40% - Accent3 3 2 5 3" xfId="6227" xr:uid="{00000000-0005-0000-0000-000063050000}"/>
    <cellStyle name="40% - Accent3 3 2 5 3 2" xfId="14677" xr:uid="{254B9CF0-6E17-4751-BE74-2C72B4FA7D0C}"/>
    <cellStyle name="40% - Accent3 3 2 5 4" xfId="10459" xr:uid="{8B90E22C-D292-4984-9C0F-D489C67A8D83}"/>
    <cellStyle name="40% - Accent3 3 2 6" xfId="2334" xr:uid="{00000000-0005-0000-0000-000064050000}"/>
    <cellStyle name="40% - Accent3 3 2 6 2" xfId="6640" xr:uid="{00000000-0005-0000-0000-000065050000}"/>
    <cellStyle name="40% - Accent3 3 2 6 2 2" xfId="15090" xr:uid="{4DA0E845-1559-47FB-B750-BA79D8AE65C4}"/>
    <cellStyle name="40% - Accent3 3 2 6 3" xfId="10872" xr:uid="{93309516-B8D2-4D98-89CF-CA6C9DE94FE1}"/>
    <cellStyle name="40% - Accent3 3 2 7" xfId="4574" xr:uid="{00000000-0005-0000-0000-000066050000}"/>
    <cellStyle name="40% - Accent3 3 2 7 2" xfId="13024" xr:uid="{912114B0-723D-4DC9-BA34-7CB5BE0EB5FF}"/>
    <cellStyle name="40% - Accent3 3 2 8" xfId="8806" xr:uid="{C6B1E961-1ED2-491E-AEF0-B80C30449A03}"/>
    <cellStyle name="40% - Accent3 3 3" xfId="639" xr:uid="{00000000-0005-0000-0000-000067050000}"/>
    <cellStyle name="40% - Accent3 3 3 2" xfId="2910" xr:uid="{00000000-0005-0000-0000-000068050000}"/>
    <cellStyle name="40% - Accent3 3 3 2 2" xfId="7132" xr:uid="{00000000-0005-0000-0000-000069050000}"/>
    <cellStyle name="40% - Accent3 3 3 2 2 2" xfId="15582" xr:uid="{74C424C9-FDE9-4BA3-9DFD-44F859A90C03}"/>
    <cellStyle name="40% - Accent3 3 3 2 3" xfId="11364" xr:uid="{82A69720-22A6-42EA-A069-64AAE18A3FEE}"/>
    <cellStyle name="40% - Accent3 3 3 3" xfId="4987" xr:uid="{00000000-0005-0000-0000-00006A050000}"/>
    <cellStyle name="40% - Accent3 3 3 3 2" xfId="13437" xr:uid="{FD6059A7-4B3D-471D-9ECE-81CC84CB75B1}"/>
    <cellStyle name="40% - Accent3 3 3 4" xfId="9219" xr:uid="{D152D92D-31B6-4B6D-9A52-D9420770317D}"/>
    <cellStyle name="40% - Accent3 3 4" xfId="1092" xr:uid="{00000000-0005-0000-0000-00006B050000}"/>
    <cellStyle name="40% - Accent3 3 4 2" xfId="3323" xr:uid="{00000000-0005-0000-0000-00006C050000}"/>
    <cellStyle name="40% - Accent3 3 4 2 2" xfId="7545" xr:uid="{00000000-0005-0000-0000-00006D050000}"/>
    <cellStyle name="40% - Accent3 3 4 2 2 2" xfId="15995" xr:uid="{5D187D78-12C1-4534-81FB-36FC990F2918}"/>
    <cellStyle name="40% - Accent3 3 4 2 3" xfId="11777" xr:uid="{0BF25321-AC61-4E3C-AF17-AC519050C4C2}"/>
    <cellStyle name="40% - Accent3 3 4 3" xfId="5400" xr:uid="{00000000-0005-0000-0000-00006E050000}"/>
    <cellStyle name="40% - Accent3 3 4 3 2" xfId="13850" xr:uid="{43CF0AB6-954D-4CD0-BE99-3594938C53DC}"/>
    <cellStyle name="40% - Accent3 3 4 4" xfId="9632" xr:uid="{5F279CFA-DDD8-4A3E-94A8-1FED7D76941E}"/>
    <cellStyle name="40% - Accent3 3 5" xfId="1506" xr:uid="{00000000-0005-0000-0000-00006F050000}"/>
    <cellStyle name="40% - Accent3 3 5 2" xfId="3736" xr:uid="{00000000-0005-0000-0000-000070050000}"/>
    <cellStyle name="40% - Accent3 3 5 2 2" xfId="7958" xr:uid="{00000000-0005-0000-0000-000071050000}"/>
    <cellStyle name="40% - Accent3 3 5 2 2 2" xfId="16408" xr:uid="{A1BFEB9C-37B4-4DB4-9052-A7AD0C63355C}"/>
    <cellStyle name="40% - Accent3 3 5 2 3" xfId="12190" xr:uid="{C832B831-6B9A-4823-8B02-E0A1094EC94D}"/>
    <cellStyle name="40% - Accent3 3 5 3" xfId="5813" xr:uid="{00000000-0005-0000-0000-000072050000}"/>
    <cellStyle name="40% - Accent3 3 5 3 2" xfId="14263" xr:uid="{374D66BE-D064-4E14-9168-7D37A70566B1}"/>
    <cellStyle name="40% - Accent3 3 5 4" xfId="10045" xr:uid="{05EC0060-15AD-47B3-905F-9151C48BC607}"/>
    <cellStyle name="40% - Accent3 3 6" xfId="1920" xr:uid="{00000000-0005-0000-0000-000073050000}"/>
    <cellStyle name="40% - Accent3 3 6 2" xfId="4149" xr:uid="{00000000-0005-0000-0000-000074050000}"/>
    <cellStyle name="40% - Accent3 3 6 2 2" xfId="8371" xr:uid="{00000000-0005-0000-0000-000075050000}"/>
    <cellStyle name="40% - Accent3 3 6 2 2 2" xfId="16821" xr:uid="{C9629B2A-BE90-4607-89A2-9D21BEE385B0}"/>
    <cellStyle name="40% - Accent3 3 6 2 3" xfId="12603" xr:uid="{4A67B130-9EBE-4AEA-A1DD-FAB90517C627}"/>
    <cellStyle name="40% - Accent3 3 6 3" xfId="6226" xr:uid="{00000000-0005-0000-0000-000076050000}"/>
    <cellStyle name="40% - Accent3 3 6 3 2" xfId="14676" xr:uid="{D3BD6CFF-D1D5-4840-88ED-1568556F47F8}"/>
    <cellStyle name="40% - Accent3 3 6 4" xfId="10458" xr:uid="{ECF76EDA-399B-41D9-AAC0-77770AAECE26}"/>
    <cellStyle name="40% - Accent3 3 7" xfId="2333" xr:uid="{00000000-0005-0000-0000-000077050000}"/>
    <cellStyle name="40% - Accent3 3 7 2" xfId="6639" xr:uid="{00000000-0005-0000-0000-000078050000}"/>
    <cellStyle name="40% - Accent3 3 7 2 2" xfId="15089" xr:uid="{4716EE63-3DA1-40F4-B835-234D9C2E6FD3}"/>
    <cellStyle name="40% - Accent3 3 7 3" xfId="10871" xr:uid="{BA9CFC3F-2E1C-47E1-BD8C-34D76C81B2E1}"/>
    <cellStyle name="40% - Accent3 3 8" xfId="4573" xr:uid="{00000000-0005-0000-0000-000079050000}"/>
    <cellStyle name="40% - Accent3 3 8 2" xfId="13023" xr:uid="{0B17CFED-6A48-4646-A56B-946003996FE2}"/>
    <cellStyle name="40% - Accent3 3 9" xfId="8805" xr:uid="{54F4E982-9529-4DA4-A29B-A14366D1E69F}"/>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2 2 2" xfId="15584" xr:uid="{C7C3B0B1-42C1-469E-AC4C-F91D161AACF9}"/>
    <cellStyle name="40% - Accent3 4 2 2 3" xfId="11366" xr:uid="{E75072E6-7A71-4793-81CA-028587F54764}"/>
    <cellStyle name="40% - Accent3 4 2 3" xfId="4989" xr:uid="{00000000-0005-0000-0000-00007E050000}"/>
    <cellStyle name="40% - Accent3 4 2 3 2" xfId="13439" xr:uid="{D6520532-A758-4890-9B6D-7A6884CE5988}"/>
    <cellStyle name="40% - Accent3 4 2 4" xfId="9221" xr:uid="{C4D3C992-D5F6-4515-94D4-5E0E6A4BDBB0}"/>
    <cellStyle name="40% - Accent3 4 3" xfId="1094" xr:uid="{00000000-0005-0000-0000-00007F050000}"/>
    <cellStyle name="40% - Accent3 4 3 2" xfId="3325" xr:uid="{00000000-0005-0000-0000-000080050000}"/>
    <cellStyle name="40% - Accent3 4 3 2 2" xfId="7547" xr:uid="{00000000-0005-0000-0000-000081050000}"/>
    <cellStyle name="40% - Accent3 4 3 2 2 2" xfId="15997" xr:uid="{59634356-6374-4FA0-86FE-951B73E4DE36}"/>
    <cellStyle name="40% - Accent3 4 3 2 3" xfId="11779" xr:uid="{ABE8E857-295B-44A1-8356-62E13665B9F7}"/>
    <cellStyle name="40% - Accent3 4 3 3" xfId="5402" xr:uid="{00000000-0005-0000-0000-000082050000}"/>
    <cellStyle name="40% - Accent3 4 3 3 2" xfId="13852" xr:uid="{F4305DA8-D5EF-451C-8B40-7A77CC2EF726}"/>
    <cellStyle name="40% - Accent3 4 3 4" xfId="9634" xr:uid="{A3132C27-212F-4429-9E11-52B3C0EA1E21}"/>
    <cellStyle name="40% - Accent3 4 4" xfId="1508" xr:uid="{00000000-0005-0000-0000-000083050000}"/>
    <cellStyle name="40% - Accent3 4 4 2" xfId="3738" xr:uid="{00000000-0005-0000-0000-000084050000}"/>
    <cellStyle name="40% - Accent3 4 4 2 2" xfId="7960" xr:uid="{00000000-0005-0000-0000-000085050000}"/>
    <cellStyle name="40% - Accent3 4 4 2 2 2" xfId="16410" xr:uid="{D8243BB8-9D8E-46B5-87E3-896B500FAC8E}"/>
    <cellStyle name="40% - Accent3 4 4 2 3" xfId="12192" xr:uid="{E43C6E14-268A-4EB9-88BF-E116A65822B7}"/>
    <cellStyle name="40% - Accent3 4 4 3" xfId="5815" xr:uid="{00000000-0005-0000-0000-000086050000}"/>
    <cellStyle name="40% - Accent3 4 4 3 2" xfId="14265" xr:uid="{F007B248-0209-455A-AA1F-72ABB1C98EA1}"/>
    <cellStyle name="40% - Accent3 4 4 4" xfId="10047" xr:uid="{84E49655-4664-4F5D-9186-D413ED7AF598}"/>
    <cellStyle name="40% - Accent3 4 5" xfId="1922" xr:uid="{00000000-0005-0000-0000-000087050000}"/>
    <cellStyle name="40% - Accent3 4 5 2" xfId="4151" xr:uid="{00000000-0005-0000-0000-000088050000}"/>
    <cellStyle name="40% - Accent3 4 5 2 2" xfId="8373" xr:uid="{00000000-0005-0000-0000-000089050000}"/>
    <cellStyle name="40% - Accent3 4 5 2 2 2" xfId="16823" xr:uid="{A17ABDE4-5DA0-4A7B-BA3D-815C0E381273}"/>
    <cellStyle name="40% - Accent3 4 5 2 3" xfId="12605" xr:uid="{F62EFC7F-7C84-4E0E-9F23-B199134E99A0}"/>
    <cellStyle name="40% - Accent3 4 5 3" xfId="6228" xr:uid="{00000000-0005-0000-0000-00008A050000}"/>
    <cellStyle name="40% - Accent3 4 5 3 2" xfId="14678" xr:uid="{04C26EA0-8E46-4503-88A5-22AB9984DCB5}"/>
    <cellStyle name="40% - Accent3 4 5 4" xfId="10460" xr:uid="{73C5C76E-A741-4C9A-9AB1-CA03903188F0}"/>
    <cellStyle name="40% - Accent3 4 6" xfId="2335" xr:uid="{00000000-0005-0000-0000-00008B050000}"/>
    <cellStyle name="40% - Accent3 4 6 2" xfId="6641" xr:uid="{00000000-0005-0000-0000-00008C050000}"/>
    <cellStyle name="40% - Accent3 4 6 2 2" xfId="15091" xr:uid="{F2245DA7-0167-4322-9C02-B355F7F89365}"/>
    <cellStyle name="40% - Accent3 4 6 3" xfId="10873" xr:uid="{31961A12-7540-44C2-AA55-5FDD3FE5CCAA}"/>
    <cellStyle name="40% - Accent3 4 7" xfId="4575" xr:uid="{00000000-0005-0000-0000-00008D050000}"/>
    <cellStyle name="40% - Accent3 4 7 2" xfId="13025" xr:uid="{FB267B6B-9E6A-4EBC-A22E-130BD38C012B}"/>
    <cellStyle name="40% - Accent3 4 8" xfId="8807" xr:uid="{4F3A0E2F-05D7-4AD8-9909-3BE6C15422FD}"/>
    <cellStyle name="40% - Accent3 5" xfId="634" xr:uid="{00000000-0005-0000-0000-00008E050000}"/>
    <cellStyle name="40% - Accent3 5 2" xfId="2905" xr:uid="{00000000-0005-0000-0000-00008F050000}"/>
    <cellStyle name="40% - Accent3 5 2 2" xfId="7127" xr:uid="{00000000-0005-0000-0000-000090050000}"/>
    <cellStyle name="40% - Accent3 5 2 2 2" xfId="15577" xr:uid="{4A53C5CB-32FF-4EE6-8984-64C2B70FA305}"/>
    <cellStyle name="40% - Accent3 5 2 3" xfId="11359" xr:uid="{95B44598-5308-46E4-B156-234C43B1F34D}"/>
    <cellStyle name="40% - Accent3 5 3" xfId="4982" xr:uid="{00000000-0005-0000-0000-000091050000}"/>
    <cellStyle name="40% - Accent3 5 3 2" xfId="13432" xr:uid="{9A1E140B-A181-419B-AD20-A290920068C0}"/>
    <cellStyle name="40% - Accent3 5 4" xfId="9214" xr:uid="{B39E563D-25E7-4415-9A53-C2EE6988DFBB}"/>
    <cellStyle name="40% - Accent3 6" xfId="1087" xr:uid="{00000000-0005-0000-0000-000092050000}"/>
    <cellStyle name="40% - Accent3 6 2" xfId="3318" xr:uid="{00000000-0005-0000-0000-000093050000}"/>
    <cellStyle name="40% - Accent3 6 2 2" xfId="7540" xr:uid="{00000000-0005-0000-0000-000094050000}"/>
    <cellStyle name="40% - Accent3 6 2 2 2" xfId="15990" xr:uid="{3A109A63-565A-49C8-AC73-7E3A2B72D591}"/>
    <cellStyle name="40% - Accent3 6 2 3" xfId="11772" xr:uid="{AF982548-C631-41F9-80D6-966AACE98CDE}"/>
    <cellStyle name="40% - Accent3 6 3" xfId="5395" xr:uid="{00000000-0005-0000-0000-000095050000}"/>
    <cellStyle name="40% - Accent3 6 3 2" xfId="13845" xr:uid="{3E1B1722-8B65-4EF3-B348-867FBC8F1297}"/>
    <cellStyle name="40% - Accent3 6 4" xfId="9627" xr:uid="{803B763E-83E8-4AC8-BB48-C3F64D1C217C}"/>
    <cellStyle name="40% - Accent3 7" xfId="1501" xr:uid="{00000000-0005-0000-0000-000096050000}"/>
    <cellStyle name="40% - Accent3 7 2" xfId="3731" xr:uid="{00000000-0005-0000-0000-000097050000}"/>
    <cellStyle name="40% - Accent3 7 2 2" xfId="7953" xr:uid="{00000000-0005-0000-0000-000098050000}"/>
    <cellStyle name="40% - Accent3 7 2 2 2" xfId="16403" xr:uid="{030C9ED5-7ACE-46B5-BA96-F85F5934FDE8}"/>
    <cellStyle name="40% - Accent3 7 2 3" xfId="12185" xr:uid="{322429C3-18D8-4218-B24B-31C95DEDF39F}"/>
    <cellStyle name="40% - Accent3 7 3" xfId="5808" xr:uid="{00000000-0005-0000-0000-000099050000}"/>
    <cellStyle name="40% - Accent3 7 3 2" xfId="14258" xr:uid="{4542A34D-A496-43AF-81D7-0DB071E7BCB1}"/>
    <cellStyle name="40% - Accent3 7 4" xfId="10040" xr:uid="{E4A9831F-8E88-4DB1-8E47-FD13EDDC50F9}"/>
    <cellStyle name="40% - Accent3 8" xfId="1915" xr:uid="{00000000-0005-0000-0000-00009A050000}"/>
    <cellStyle name="40% - Accent3 8 2" xfId="4144" xr:uid="{00000000-0005-0000-0000-00009B050000}"/>
    <cellStyle name="40% - Accent3 8 2 2" xfId="8366" xr:uid="{00000000-0005-0000-0000-00009C050000}"/>
    <cellStyle name="40% - Accent3 8 2 2 2" xfId="16816" xr:uid="{E0F1AFC8-BF3E-46FB-BC47-43E253B8680C}"/>
    <cellStyle name="40% - Accent3 8 2 3" xfId="12598" xr:uid="{3C56213A-F636-4355-B885-B77F63073BD0}"/>
    <cellStyle name="40% - Accent3 8 3" xfId="6221" xr:uid="{00000000-0005-0000-0000-00009D050000}"/>
    <cellStyle name="40% - Accent3 8 3 2" xfId="14671" xr:uid="{79964CD2-ACD0-4106-9DDC-64BA1FA10977}"/>
    <cellStyle name="40% - Accent3 8 4" xfId="10453" xr:uid="{47BE1525-E97D-4657-BADE-E2C4062402AC}"/>
    <cellStyle name="40% - Accent3 9" xfId="2328" xr:uid="{00000000-0005-0000-0000-00009E050000}"/>
    <cellStyle name="40% - Accent3 9 2" xfId="6634" xr:uid="{00000000-0005-0000-0000-00009F050000}"/>
    <cellStyle name="40% - Accent3 9 2 2" xfId="15084" xr:uid="{8F5EE397-8DD5-4B32-922F-0FF1B675990E}"/>
    <cellStyle name="40% - Accent3 9 3" xfId="10866" xr:uid="{C248D949-BF59-4941-803E-E7F0C592FFED}"/>
    <cellStyle name="40% - Accent4" xfId="73" builtinId="43" customBuiltin="1"/>
    <cellStyle name="40% - Accent4 10" xfId="4576" xr:uid="{00000000-0005-0000-0000-0000A1050000}"/>
    <cellStyle name="40% - Accent4 10 2" xfId="13026" xr:uid="{433EE6C6-F587-43BB-B1F9-E1DD839B5D26}"/>
    <cellStyle name="40% - Accent4 11" xfId="8808" xr:uid="{9A808817-412C-45D3-866D-354BBE0BE021}"/>
    <cellStyle name="40% - Accent4 2" xfId="74" xr:uid="{00000000-0005-0000-0000-0000A2050000}"/>
    <cellStyle name="40% - Accent4 2 10" xfId="8809" xr:uid="{D4D9F91E-6A72-4514-A0CB-CC6D813A1AE5}"/>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2 2 2" xfId="15588" xr:uid="{2631E451-1DE4-418A-A578-D004C862A51E}"/>
    <cellStyle name="40% - Accent4 2 2 2 2 2 3" xfId="11370" xr:uid="{6E19F3CD-16FA-4B13-B71E-E90D142EA3F7}"/>
    <cellStyle name="40% - Accent4 2 2 2 2 3" xfId="4993" xr:uid="{00000000-0005-0000-0000-0000A8050000}"/>
    <cellStyle name="40% - Accent4 2 2 2 2 3 2" xfId="13443" xr:uid="{CFDB6B7C-A382-4921-8796-E4BA48E40A96}"/>
    <cellStyle name="40% - Accent4 2 2 2 2 4" xfId="9225" xr:uid="{33D29BC0-DAD3-4004-968B-021971B59446}"/>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2 2 2" xfId="16001" xr:uid="{932AAE11-F542-4737-9917-D830607C8D7B}"/>
    <cellStyle name="40% - Accent4 2 2 2 3 2 3" xfId="11783" xr:uid="{5A161859-FB50-4326-8658-84B4497A1F7D}"/>
    <cellStyle name="40% - Accent4 2 2 2 3 3" xfId="5406" xr:uid="{00000000-0005-0000-0000-0000AC050000}"/>
    <cellStyle name="40% - Accent4 2 2 2 3 3 2" xfId="13856" xr:uid="{EABFA363-2756-4EB1-A901-E1C299D7734E}"/>
    <cellStyle name="40% - Accent4 2 2 2 3 4" xfId="9638" xr:uid="{3C07B720-32AE-46E0-8AFB-5BE15DBF3595}"/>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2 2 2" xfId="16414" xr:uid="{19EA6AB2-0D38-4B34-BBC7-6563107F54EA}"/>
    <cellStyle name="40% - Accent4 2 2 2 4 2 3" xfId="12196" xr:uid="{97658878-A65E-4DC4-ADD0-085796D3B266}"/>
    <cellStyle name="40% - Accent4 2 2 2 4 3" xfId="5819" xr:uid="{00000000-0005-0000-0000-0000B0050000}"/>
    <cellStyle name="40% - Accent4 2 2 2 4 3 2" xfId="14269" xr:uid="{C2060466-8207-4630-B75F-EFAB95BFA19C}"/>
    <cellStyle name="40% - Accent4 2 2 2 4 4" xfId="10051" xr:uid="{999C92B1-9F05-46DE-BB4E-C20B537C3551}"/>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2 2 2" xfId="16827" xr:uid="{697C51E6-0ABE-4451-BCFA-18E9B7EFCEF5}"/>
    <cellStyle name="40% - Accent4 2 2 2 5 2 3" xfId="12609" xr:uid="{DD7874D6-8A94-4538-81B4-5C290CF39B6E}"/>
    <cellStyle name="40% - Accent4 2 2 2 5 3" xfId="6232" xr:uid="{00000000-0005-0000-0000-0000B4050000}"/>
    <cellStyle name="40% - Accent4 2 2 2 5 3 2" xfId="14682" xr:uid="{858AC1B0-EBC2-4E80-AF75-987B16C69868}"/>
    <cellStyle name="40% - Accent4 2 2 2 5 4" xfId="10464" xr:uid="{A2160A01-FF97-4418-9F2F-127766E817FE}"/>
    <cellStyle name="40% - Accent4 2 2 2 6" xfId="2339" xr:uid="{00000000-0005-0000-0000-0000B5050000}"/>
    <cellStyle name="40% - Accent4 2 2 2 6 2" xfId="6645" xr:uid="{00000000-0005-0000-0000-0000B6050000}"/>
    <cellStyle name="40% - Accent4 2 2 2 6 2 2" xfId="15095" xr:uid="{6ECB612C-D76B-4939-BB3B-E5BBDFEB8B72}"/>
    <cellStyle name="40% - Accent4 2 2 2 6 3" xfId="10877" xr:uid="{3D74A452-FC54-4B81-8F39-FF20F438213A}"/>
    <cellStyle name="40% - Accent4 2 2 2 7" xfId="4579" xr:uid="{00000000-0005-0000-0000-0000B7050000}"/>
    <cellStyle name="40% - Accent4 2 2 2 7 2" xfId="13029" xr:uid="{AEBB4BD6-1DEB-47FE-A788-2E6D5B37D24D}"/>
    <cellStyle name="40% - Accent4 2 2 2 8" xfId="8811" xr:uid="{E617A331-C4DB-49F1-A47A-77D772AAC529}"/>
    <cellStyle name="40% - Accent4 2 2 3" xfId="644" xr:uid="{00000000-0005-0000-0000-0000B8050000}"/>
    <cellStyle name="40% - Accent4 2 2 3 2" xfId="2915" xr:uid="{00000000-0005-0000-0000-0000B9050000}"/>
    <cellStyle name="40% - Accent4 2 2 3 2 2" xfId="7137" xr:uid="{00000000-0005-0000-0000-0000BA050000}"/>
    <cellStyle name="40% - Accent4 2 2 3 2 2 2" xfId="15587" xr:uid="{85F9F5C2-1D76-4CCB-9207-E2608EB8DEB5}"/>
    <cellStyle name="40% - Accent4 2 2 3 2 3" xfId="11369" xr:uid="{7288682D-52F6-48DC-A6E2-CB4CB6332E93}"/>
    <cellStyle name="40% - Accent4 2 2 3 3" xfId="4992" xr:uid="{00000000-0005-0000-0000-0000BB050000}"/>
    <cellStyle name="40% - Accent4 2 2 3 3 2" xfId="13442" xr:uid="{7A0D3110-7523-411C-A098-2EEC50186E4D}"/>
    <cellStyle name="40% - Accent4 2 2 3 4" xfId="9224" xr:uid="{595786D8-52B2-4B16-949D-68BE31B02238}"/>
    <cellStyle name="40% - Accent4 2 2 4" xfId="1097" xr:uid="{00000000-0005-0000-0000-0000BC050000}"/>
    <cellStyle name="40% - Accent4 2 2 4 2" xfId="3328" xr:uid="{00000000-0005-0000-0000-0000BD050000}"/>
    <cellStyle name="40% - Accent4 2 2 4 2 2" xfId="7550" xr:uid="{00000000-0005-0000-0000-0000BE050000}"/>
    <cellStyle name="40% - Accent4 2 2 4 2 2 2" xfId="16000" xr:uid="{508ABE93-6F25-4E57-B3C1-6971F3AE6223}"/>
    <cellStyle name="40% - Accent4 2 2 4 2 3" xfId="11782" xr:uid="{C8262075-2B81-4107-9F51-1F660541DF55}"/>
    <cellStyle name="40% - Accent4 2 2 4 3" xfId="5405" xr:uid="{00000000-0005-0000-0000-0000BF050000}"/>
    <cellStyle name="40% - Accent4 2 2 4 3 2" xfId="13855" xr:uid="{71914D93-D140-471C-96AC-09ECF4DE01DC}"/>
    <cellStyle name="40% - Accent4 2 2 4 4" xfId="9637" xr:uid="{FB6FA298-AC50-423B-A971-BB90086E4530}"/>
    <cellStyle name="40% - Accent4 2 2 5" xfId="1511" xr:uid="{00000000-0005-0000-0000-0000C0050000}"/>
    <cellStyle name="40% - Accent4 2 2 5 2" xfId="3741" xr:uid="{00000000-0005-0000-0000-0000C1050000}"/>
    <cellStyle name="40% - Accent4 2 2 5 2 2" xfId="7963" xr:uid="{00000000-0005-0000-0000-0000C2050000}"/>
    <cellStyle name="40% - Accent4 2 2 5 2 2 2" xfId="16413" xr:uid="{5C238AAF-DC63-42E9-8944-C2691445DCA2}"/>
    <cellStyle name="40% - Accent4 2 2 5 2 3" xfId="12195" xr:uid="{2C0EC02E-E6BF-473E-B46A-EFC9EF493C15}"/>
    <cellStyle name="40% - Accent4 2 2 5 3" xfId="5818" xr:uid="{00000000-0005-0000-0000-0000C3050000}"/>
    <cellStyle name="40% - Accent4 2 2 5 3 2" xfId="14268" xr:uid="{92D21BE9-66FE-4929-B666-EF130866A06B}"/>
    <cellStyle name="40% - Accent4 2 2 5 4" xfId="10050" xr:uid="{CF96BC61-EEE0-4526-AB7B-8E91546CA049}"/>
    <cellStyle name="40% - Accent4 2 2 6" xfId="1925" xr:uid="{00000000-0005-0000-0000-0000C4050000}"/>
    <cellStyle name="40% - Accent4 2 2 6 2" xfId="4154" xr:uid="{00000000-0005-0000-0000-0000C5050000}"/>
    <cellStyle name="40% - Accent4 2 2 6 2 2" xfId="8376" xr:uid="{00000000-0005-0000-0000-0000C6050000}"/>
    <cellStyle name="40% - Accent4 2 2 6 2 2 2" xfId="16826" xr:uid="{CD2389C6-ABCA-42B7-B84C-EA8557946D7B}"/>
    <cellStyle name="40% - Accent4 2 2 6 2 3" xfId="12608" xr:uid="{D46A223D-F4C7-4D87-B44F-DBFAA8EFF9B5}"/>
    <cellStyle name="40% - Accent4 2 2 6 3" xfId="6231" xr:uid="{00000000-0005-0000-0000-0000C7050000}"/>
    <cellStyle name="40% - Accent4 2 2 6 3 2" xfId="14681" xr:uid="{8AAA99A9-7EB4-497C-AA75-63F738BDFC04}"/>
    <cellStyle name="40% - Accent4 2 2 6 4" xfId="10463" xr:uid="{9A04B546-A614-4C86-ABD8-F97B7C0B4CAF}"/>
    <cellStyle name="40% - Accent4 2 2 7" xfId="2338" xr:uid="{00000000-0005-0000-0000-0000C8050000}"/>
    <cellStyle name="40% - Accent4 2 2 7 2" xfId="6644" xr:uid="{00000000-0005-0000-0000-0000C9050000}"/>
    <cellStyle name="40% - Accent4 2 2 7 2 2" xfId="15094" xr:uid="{200D3FC3-24F8-45CE-BC42-947D2B8A9FF1}"/>
    <cellStyle name="40% - Accent4 2 2 7 3" xfId="10876" xr:uid="{E9DE1CE3-7E8B-47C7-BA5D-1768FE3D62BB}"/>
    <cellStyle name="40% - Accent4 2 2 8" xfId="4578" xr:uid="{00000000-0005-0000-0000-0000CA050000}"/>
    <cellStyle name="40% - Accent4 2 2 8 2" xfId="13028" xr:uid="{C340078F-7D82-41DE-AC1C-217DCCAB152D}"/>
    <cellStyle name="40% - Accent4 2 2 9" xfId="8810" xr:uid="{9ECA49C2-660B-47A4-802C-48869FB35729}"/>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2 2 2" xfId="15589" xr:uid="{A3897368-A805-4818-AD71-E6DF801E6C93}"/>
    <cellStyle name="40% - Accent4 2 3 2 2 3" xfId="11371" xr:uid="{3ECDAD93-C241-4062-9697-ABAA4F024083}"/>
    <cellStyle name="40% - Accent4 2 3 2 3" xfId="4994" xr:uid="{00000000-0005-0000-0000-0000CF050000}"/>
    <cellStyle name="40% - Accent4 2 3 2 3 2" xfId="13444" xr:uid="{75E79EDA-665A-4A75-80FD-37DEB1368FA5}"/>
    <cellStyle name="40% - Accent4 2 3 2 4" xfId="9226" xr:uid="{82BE0207-7B1C-4CF7-92FD-3368425FEE8A}"/>
    <cellStyle name="40% - Accent4 2 3 3" xfId="1099" xr:uid="{00000000-0005-0000-0000-0000D0050000}"/>
    <cellStyle name="40% - Accent4 2 3 3 2" xfId="3330" xr:uid="{00000000-0005-0000-0000-0000D1050000}"/>
    <cellStyle name="40% - Accent4 2 3 3 2 2" xfId="7552" xr:uid="{00000000-0005-0000-0000-0000D2050000}"/>
    <cellStyle name="40% - Accent4 2 3 3 2 2 2" xfId="16002" xr:uid="{C327098D-DFAF-44C3-96CB-BF6B4E668C40}"/>
    <cellStyle name="40% - Accent4 2 3 3 2 3" xfId="11784" xr:uid="{5701B1FA-9CAA-4B33-B6B1-40F32A3E204D}"/>
    <cellStyle name="40% - Accent4 2 3 3 3" xfId="5407" xr:uid="{00000000-0005-0000-0000-0000D3050000}"/>
    <cellStyle name="40% - Accent4 2 3 3 3 2" xfId="13857" xr:uid="{8BCCC139-437F-4135-89BA-9B3FE75D68E1}"/>
    <cellStyle name="40% - Accent4 2 3 3 4" xfId="9639" xr:uid="{CF9EDB28-66A3-42B7-8B50-DA4B2D1A6189}"/>
    <cellStyle name="40% - Accent4 2 3 4" xfId="1513" xr:uid="{00000000-0005-0000-0000-0000D4050000}"/>
    <cellStyle name="40% - Accent4 2 3 4 2" xfId="3743" xr:uid="{00000000-0005-0000-0000-0000D5050000}"/>
    <cellStyle name="40% - Accent4 2 3 4 2 2" xfId="7965" xr:uid="{00000000-0005-0000-0000-0000D6050000}"/>
    <cellStyle name="40% - Accent4 2 3 4 2 2 2" xfId="16415" xr:uid="{C6CE11B7-3CBB-416F-93B7-FE2FAA171DB7}"/>
    <cellStyle name="40% - Accent4 2 3 4 2 3" xfId="12197" xr:uid="{FF877523-7E24-4ADF-998D-42D8A8F47C26}"/>
    <cellStyle name="40% - Accent4 2 3 4 3" xfId="5820" xr:uid="{00000000-0005-0000-0000-0000D7050000}"/>
    <cellStyle name="40% - Accent4 2 3 4 3 2" xfId="14270" xr:uid="{BF1279AD-7355-4585-8CDF-9EB9E6B542C9}"/>
    <cellStyle name="40% - Accent4 2 3 4 4" xfId="10052" xr:uid="{166C6B0E-A350-4AB8-A166-77573DED8BAA}"/>
    <cellStyle name="40% - Accent4 2 3 5" xfId="1927" xr:uid="{00000000-0005-0000-0000-0000D8050000}"/>
    <cellStyle name="40% - Accent4 2 3 5 2" xfId="4156" xr:uid="{00000000-0005-0000-0000-0000D9050000}"/>
    <cellStyle name="40% - Accent4 2 3 5 2 2" xfId="8378" xr:uid="{00000000-0005-0000-0000-0000DA050000}"/>
    <cellStyle name="40% - Accent4 2 3 5 2 2 2" xfId="16828" xr:uid="{4FBABBE4-947B-4105-B1E2-AFE3983DFCB1}"/>
    <cellStyle name="40% - Accent4 2 3 5 2 3" xfId="12610" xr:uid="{AAC3D8D9-12FF-4E46-BD6D-709EF7DA6820}"/>
    <cellStyle name="40% - Accent4 2 3 5 3" xfId="6233" xr:uid="{00000000-0005-0000-0000-0000DB050000}"/>
    <cellStyle name="40% - Accent4 2 3 5 3 2" xfId="14683" xr:uid="{FAFC966A-51B0-4F6C-97E9-5E4C4F02E1FA}"/>
    <cellStyle name="40% - Accent4 2 3 5 4" xfId="10465" xr:uid="{5006D8DB-E368-4667-90E3-3E6A5E02469E}"/>
    <cellStyle name="40% - Accent4 2 3 6" xfId="2340" xr:uid="{00000000-0005-0000-0000-0000DC050000}"/>
    <cellStyle name="40% - Accent4 2 3 6 2" xfId="6646" xr:uid="{00000000-0005-0000-0000-0000DD050000}"/>
    <cellStyle name="40% - Accent4 2 3 6 2 2" xfId="15096" xr:uid="{04E9B7B0-D215-4817-9DA7-E1625FCBFAAF}"/>
    <cellStyle name="40% - Accent4 2 3 6 3" xfId="10878" xr:uid="{93A385BF-B3E9-4BC0-A6A6-6B717AA80AD5}"/>
    <cellStyle name="40% - Accent4 2 3 7" xfId="4580" xr:uid="{00000000-0005-0000-0000-0000DE050000}"/>
    <cellStyle name="40% - Accent4 2 3 7 2" xfId="13030" xr:uid="{5B572795-21C3-483D-A502-9569C4FCCAAB}"/>
    <cellStyle name="40% - Accent4 2 3 8" xfId="8812" xr:uid="{BFB24678-9871-45F6-968E-8E9610A0454C}"/>
    <cellStyle name="40% - Accent4 2 4" xfId="643" xr:uid="{00000000-0005-0000-0000-0000DF050000}"/>
    <cellStyle name="40% - Accent4 2 4 2" xfId="2914" xr:uid="{00000000-0005-0000-0000-0000E0050000}"/>
    <cellStyle name="40% - Accent4 2 4 2 2" xfId="7136" xr:uid="{00000000-0005-0000-0000-0000E1050000}"/>
    <cellStyle name="40% - Accent4 2 4 2 2 2" xfId="15586" xr:uid="{54D9A021-C459-4058-8F4A-24D4ABB7AAF0}"/>
    <cellStyle name="40% - Accent4 2 4 2 3" xfId="11368" xr:uid="{DCFAE403-1445-4D10-8ABC-773FA7544D58}"/>
    <cellStyle name="40% - Accent4 2 4 3" xfId="4991" xr:uid="{00000000-0005-0000-0000-0000E2050000}"/>
    <cellStyle name="40% - Accent4 2 4 3 2" xfId="13441" xr:uid="{006BA0E9-C89D-49F7-BC37-32541C9A2D55}"/>
    <cellStyle name="40% - Accent4 2 4 4" xfId="9223" xr:uid="{A544581D-455C-4637-AF0B-24365D47C08A}"/>
    <cellStyle name="40% - Accent4 2 5" xfId="1096" xr:uid="{00000000-0005-0000-0000-0000E3050000}"/>
    <cellStyle name="40% - Accent4 2 5 2" xfId="3327" xr:uid="{00000000-0005-0000-0000-0000E4050000}"/>
    <cellStyle name="40% - Accent4 2 5 2 2" xfId="7549" xr:uid="{00000000-0005-0000-0000-0000E5050000}"/>
    <cellStyle name="40% - Accent4 2 5 2 2 2" xfId="15999" xr:uid="{DD7E6B23-B18B-4753-B272-55EED2575437}"/>
    <cellStyle name="40% - Accent4 2 5 2 3" xfId="11781" xr:uid="{73C155C7-5851-4BC6-96D6-8A91037F1F77}"/>
    <cellStyle name="40% - Accent4 2 5 3" xfId="5404" xr:uid="{00000000-0005-0000-0000-0000E6050000}"/>
    <cellStyle name="40% - Accent4 2 5 3 2" xfId="13854" xr:uid="{7CFC7A1E-DA54-41C2-8E19-EDCAEACD6D96}"/>
    <cellStyle name="40% - Accent4 2 5 4" xfId="9636" xr:uid="{A9D61044-B5DF-4D03-BE42-EFD76B405626}"/>
    <cellStyle name="40% - Accent4 2 6" xfId="1510" xr:uid="{00000000-0005-0000-0000-0000E7050000}"/>
    <cellStyle name="40% - Accent4 2 6 2" xfId="3740" xr:uid="{00000000-0005-0000-0000-0000E8050000}"/>
    <cellStyle name="40% - Accent4 2 6 2 2" xfId="7962" xr:uid="{00000000-0005-0000-0000-0000E9050000}"/>
    <cellStyle name="40% - Accent4 2 6 2 2 2" xfId="16412" xr:uid="{6D7B9F4F-6129-4C37-9AE4-FCCF9A8418ED}"/>
    <cellStyle name="40% - Accent4 2 6 2 3" xfId="12194" xr:uid="{10B69A7C-0796-4153-833D-D7410C5FB625}"/>
    <cellStyle name="40% - Accent4 2 6 3" xfId="5817" xr:uid="{00000000-0005-0000-0000-0000EA050000}"/>
    <cellStyle name="40% - Accent4 2 6 3 2" xfId="14267" xr:uid="{80596C5C-9B22-4605-961C-624EE515E1F4}"/>
    <cellStyle name="40% - Accent4 2 6 4" xfId="10049" xr:uid="{7ECDB3B5-A3D9-4CF2-8C0E-6F9BC9000EEB}"/>
    <cellStyle name="40% - Accent4 2 7" xfId="1924" xr:uid="{00000000-0005-0000-0000-0000EB050000}"/>
    <cellStyle name="40% - Accent4 2 7 2" xfId="4153" xr:uid="{00000000-0005-0000-0000-0000EC050000}"/>
    <cellStyle name="40% - Accent4 2 7 2 2" xfId="8375" xr:uid="{00000000-0005-0000-0000-0000ED050000}"/>
    <cellStyle name="40% - Accent4 2 7 2 2 2" xfId="16825" xr:uid="{1A937B5A-825A-4639-B8E5-724EF57169E8}"/>
    <cellStyle name="40% - Accent4 2 7 2 3" xfId="12607" xr:uid="{33929DF9-4A35-4B72-A69A-7F6E02AE25D8}"/>
    <cellStyle name="40% - Accent4 2 7 3" xfId="6230" xr:uid="{00000000-0005-0000-0000-0000EE050000}"/>
    <cellStyle name="40% - Accent4 2 7 3 2" xfId="14680" xr:uid="{2AD21E25-F3F8-4D13-9509-1370BF234227}"/>
    <cellStyle name="40% - Accent4 2 7 4" xfId="10462" xr:uid="{526DADB5-707E-4C97-941F-441002C6E0E2}"/>
    <cellStyle name="40% - Accent4 2 8" xfId="2337" xr:uid="{00000000-0005-0000-0000-0000EF050000}"/>
    <cellStyle name="40% - Accent4 2 8 2" xfId="6643" xr:uid="{00000000-0005-0000-0000-0000F0050000}"/>
    <cellStyle name="40% - Accent4 2 8 2 2" xfId="15093" xr:uid="{1804515B-1361-49F8-B87F-C02C6B15F5EA}"/>
    <cellStyle name="40% - Accent4 2 8 3" xfId="10875" xr:uid="{E7B502E3-2035-4C82-84F4-8E57829B2E81}"/>
    <cellStyle name="40% - Accent4 2 9" xfId="4577" xr:uid="{00000000-0005-0000-0000-0000F1050000}"/>
    <cellStyle name="40% - Accent4 2 9 2" xfId="13027" xr:uid="{06CB6F6C-61D2-4737-9AAD-8E4ACD983545}"/>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2 2 2" xfId="15591" xr:uid="{003CCC51-FBEF-401C-87B8-0908FE11AD39}"/>
    <cellStyle name="40% - Accent4 3 2 2 2 3" xfId="11373" xr:uid="{74B1D89A-2294-476C-B9C1-EC789528F600}"/>
    <cellStyle name="40% - Accent4 3 2 2 3" xfId="4996" xr:uid="{00000000-0005-0000-0000-0000F7050000}"/>
    <cellStyle name="40% - Accent4 3 2 2 3 2" xfId="13446" xr:uid="{6F362AD1-57F4-4737-97EB-435EFBA6D1DD}"/>
    <cellStyle name="40% - Accent4 3 2 2 4" xfId="9228" xr:uid="{12D6CD86-945B-4642-AC38-7A01C797FCCB}"/>
    <cellStyle name="40% - Accent4 3 2 3" xfId="1101" xr:uid="{00000000-0005-0000-0000-0000F8050000}"/>
    <cellStyle name="40% - Accent4 3 2 3 2" xfId="3332" xr:uid="{00000000-0005-0000-0000-0000F9050000}"/>
    <cellStyle name="40% - Accent4 3 2 3 2 2" xfId="7554" xr:uid="{00000000-0005-0000-0000-0000FA050000}"/>
    <cellStyle name="40% - Accent4 3 2 3 2 2 2" xfId="16004" xr:uid="{C1AF04D1-5317-4C5C-BD66-0CCCAA82D2C4}"/>
    <cellStyle name="40% - Accent4 3 2 3 2 3" xfId="11786" xr:uid="{4D14E093-E370-49F1-85D3-A23097165CE6}"/>
    <cellStyle name="40% - Accent4 3 2 3 3" xfId="5409" xr:uid="{00000000-0005-0000-0000-0000FB050000}"/>
    <cellStyle name="40% - Accent4 3 2 3 3 2" xfId="13859" xr:uid="{8B31BDF8-C48E-4490-B2D3-26F4619F04D0}"/>
    <cellStyle name="40% - Accent4 3 2 3 4" xfId="9641" xr:uid="{7558C95F-9018-4F41-9624-781E51702BB4}"/>
    <cellStyle name="40% - Accent4 3 2 4" xfId="1515" xr:uid="{00000000-0005-0000-0000-0000FC050000}"/>
    <cellStyle name="40% - Accent4 3 2 4 2" xfId="3745" xr:uid="{00000000-0005-0000-0000-0000FD050000}"/>
    <cellStyle name="40% - Accent4 3 2 4 2 2" xfId="7967" xr:uid="{00000000-0005-0000-0000-0000FE050000}"/>
    <cellStyle name="40% - Accent4 3 2 4 2 2 2" xfId="16417" xr:uid="{2467149F-D9D7-4AF0-9250-C123ACC538B6}"/>
    <cellStyle name="40% - Accent4 3 2 4 2 3" xfId="12199" xr:uid="{BB428C54-74BC-4FB0-87BA-A87F14D75D8F}"/>
    <cellStyle name="40% - Accent4 3 2 4 3" xfId="5822" xr:uid="{00000000-0005-0000-0000-0000FF050000}"/>
    <cellStyle name="40% - Accent4 3 2 4 3 2" xfId="14272" xr:uid="{272FD249-DB49-49A5-8D5D-ECF4DC517B98}"/>
    <cellStyle name="40% - Accent4 3 2 4 4" xfId="10054" xr:uid="{F261D81F-26D9-42A7-AC51-B1BEC6E2CB09}"/>
    <cellStyle name="40% - Accent4 3 2 5" xfId="1929" xr:uid="{00000000-0005-0000-0000-000000060000}"/>
    <cellStyle name="40% - Accent4 3 2 5 2" xfId="4158" xr:uid="{00000000-0005-0000-0000-000001060000}"/>
    <cellStyle name="40% - Accent4 3 2 5 2 2" xfId="8380" xr:uid="{00000000-0005-0000-0000-000002060000}"/>
    <cellStyle name="40% - Accent4 3 2 5 2 2 2" xfId="16830" xr:uid="{313E9336-08D5-4AE4-A291-15FDA2CC51B8}"/>
    <cellStyle name="40% - Accent4 3 2 5 2 3" xfId="12612" xr:uid="{41D0B6B8-40EB-4CB0-82F7-3B9123B1D5A4}"/>
    <cellStyle name="40% - Accent4 3 2 5 3" xfId="6235" xr:uid="{00000000-0005-0000-0000-000003060000}"/>
    <cellStyle name="40% - Accent4 3 2 5 3 2" xfId="14685" xr:uid="{616F9A1A-944C-4C86-BBB9-D00911B7C0CF}"/>
    <cellStyle name="40% - Accent4 3 2 5 4" xfId="10467" xr:uid="{5C4028F7-50B8-4798-A168-365F09AF2E93}"/>
    <cellStyle name="40% - Accent4 3 2 6" xfId="2342" xr:uid="{00000000-0005-0000-0000-000004060000}"/>
    <cellStyle name="40% - Accent4 3 2 6 2" xfId="6648" xr:uid="{00000000-0005-0000-0000-000005060000}"/>
    <cellStyle name="40% - Accent4 3 2 6 2 2" xfId="15098" xr:uid="{8865D5EF-ADA6-4787-81DA-366E103F2E5F}"/>
    <cellStyle name="40% - Accent4 3 2 6 3" xfId="10880" xr:uid="{9E3B93F5-BC75-4021-B90F-21FAD37B9AF7}"/>
    <cellStyle name="40% - Accent4 3 2 7" xfId="4582" xr:uid="{00000000-0005-0000-0000-000006060000}"/>
    <cellStyle name="40% - Accent4 3 2 7 2" xfId="13032" xr:uid="{C2FAF690-B1CC-4044-B83D-CB85260BA03C}"/>
    <cellStyle name="40% - Accent4 3 2 8" xfId="8814" xr:uid="{7407B17B-464E-407F-82CB-8E684332D5DA}"/>
    <cellStyle name="40% - Accent4 3 3" xfId="647" xr:uid="{00000000-0005-0000-0000-000007060000}"/>
    <cellStyle name="40% - Accent4 3 3 2" xfId="2918" xr:uid="{00000000-0005-0000-0000-000008060000}"/>
    <cellStyle name="40% - Accent4 3 3 2 2" xfId="7140" xr:uid="{00000000-0005-0000-0000-000009060000}"/>
    <cellStyle name="40% - Accent4 3 3 2 2 2" xfId="15590" xr:uid="{BB775A4A-D376-4DE0-B7EC-E8B29BBDC74A}"/>
    <cellStyle name="40% - Accent4 3 3 2 3" xfId="11372" xr:uid="{3D4857B0-534B-4722-BC21-4BE1FB9B9A8D}"/>
    <cellStyle name="40% - Accent4 3 3 3" xfId="4995" xr:uid="{00000000-0005-0000-0000-00000A060000}"/>
    <cellStyle name="40% - Accent4 3 3 3 2" xfId="13445" xr:uid="{44AF1C09-018C-49F2-AD80-ED1ECCED80E0}"/>
    <cellStyle name="40% - Accent4 3 3 4" xfId="9227" xr:uid="{15E95DDA-B117-4979-A3EF-7F8B691ED9D3}"/>
    <cellStyle name="40% - Accent4 3 4" xfId="1100" xr:uid="{00000000-0005-0000-0000-00000B060000}"/>
    <cellStyle name="40% - Accent4 3 4 2" xfId="3331" xr:uid="{00000000-0005-0000-0000-00000C060000}"/>
    <cellStyle name="40% - Accent4 3 4 2 2" xfId="7553" xr:uid="{00000000-0005-0000-0000-00000D060000}"/>
    <cellStyle name="40% - Accent4 3 4 2 2 2" xfId="16003" xr:uid="{15CC466D-1370-4BFA-A3CA-05DEE3FCABC3}"/>
    <cellStyle name="40% - Accent4 3 4 2 3" xfId="11785" xr:uid="{686755EB-AB76-4D45-A2A9-8C78BC423AF1}"/>
    <cellStyle name="40% - Accent4 3 4 3" xfId="5408" xr:uid="{00000000-0005-0000-0000-00000E060000}"/>
    <cellStyle name="40% - Accent4 3 4 3 2" xfId="13858" xr:uid="{A152A99E-D0EF-4ACD-AE85-18F4B9B851B0}"/>
    <cellStyle name="40% - Accent4 3 4 4" xfId="9640" xr:uid="{7C79CB07-FEF3-47FA-98C1-209A70EC8867}"/>
    <cellStyle name="40% - Accent4 3 5" xfId="1514" xr:uid="{00000000-0005-0000-0000-00000F060000}"/>
    <cellStyle name="40% - Accent4 3 5 2" xfId="3744" xr:uid="{00000000-0005-0000-0000-000010060000}"/>
    <cellStyle name="40% - Accent4 3 5 2 2" xfId="7966" xr:uid="{00000000-0005-0000-0000-000011060000}"/>
    <cellStyle name="40% - Accent4 3 5 2 2 2" xfId="16416" xr:uid="{3A56A07D-5F17-4C50-994E-1C4E27F89540}"/>
    <cellStyle name="40% - Accent4 3 5 2 3" xfId="12198" xr:uid="{5BE77686-D186-4053-9F3B-1FCD7C077832}"/>
    <cellStyle name="40% - Accent4 3 5 3" xfId="5821" xr:uid="{00000000-0005-0000-0000-000012060000}"/>
    <cellStyle name="40% - Accent4 3 5 3 2" xfId="14271" xr:uid="{287D2422-4485-4D8B-8698-5DF6FD5DB9E9}"/>
    <cellStyle name="40% - Accent4 3 5 4" xfId="10053" xr:uid="{42BD2FBC-48D0-4B1C-BFAB-07D338298910}"/>
    <cellStyle name="40% - Accent4 3 6" xfId="1928" xr:uid="{00000000-0005-0000-0000-000013060000}"/>
    <cellStyle name="40% - Accent4 3 6 2" xfId="4157" xr:uid="{00000000-0005-0000-0000-000014060000}"/>
    <cellStyle name="40% - Accent4 3 6 2 2" xfId="8379" xr:uid="{00000000-0005-0000-0000-000015060000}"/>
    <cellStyle name="40% - Accent4 3 6 2 2 2" xfId="16829" xr:uid="{73B773DF-1474-49D9-BCBE-9A02E68FA6B0}"/>
    <cellStyle name="40% - Accent4 3 6 2 3" xfId="12611" xr:uid="{26A3490B-8C89-4090-A90F-57FA8EA75039}"/>
    <cellStyle name="40% - Accent4 3 6 3" xfId="6234" xr:uid="{00000000-0005-0000-0000-000016060000}"/>
    <cellStyle name="40% - Accent4 3 6 3 2" xfId="14684" xr:uid="{A5C97088-D7C5-4917-8630-F19DB2AF164C}"/>
    <cellStyle name="40% - Accent4 3 6 4" xfId="10466" xr:uid="{73974EAE-12C6-4A35-9D23-3549AC5800E9}"/>
    <cellStyle name="40% - Accent4 3 7" xfId="2341" xr:uid="{00000000-0005-0000-0000-000017060000}"/>
    <cellStyle name="40% - Accent4 3 7 2" xfId="6647" xr:uid="{00000000-0005-0000-0000-000018060000}"/>
    <cellStyle name="40% - Accent4 3 7 2 2" xfId="15097" xr:uid="{1914DBE5-BC2B-4EBD-88EF-969D3A3CA611}"/>
    <cellStyle name="40% - Accent4 3 7 3" xfId="10879" xr:uid="{1A8CA4ED-CCBA-42A9-B332-BEBD7E3AB9AA}"/>
    <cellStyle name="40% - Accent4 3 8" xfId="4581" xr:uid="{00000000-0005-0000-0000-000019060000}"/>
    <cellStyle name="40% - Accent4 3 8 2" xfId="13031" xr:uid="{595A2B19-4E8C-46AA-ABDB-066311F0CB39}"/>
    <cellStyle name="40% - Accent4 3 9" xfId="8813" xr:uid="{D8A81989-BE53-4D45-9ED9-4D2BDA0CDA1F}"/>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2 2 2" xfId="15592" xr:uid="{DAFE225F-B9A7-43C3-A769-0EF50DBDEDD6}"/>
    <cellStyle name="40% - Accent4 4 2 2 3" xfId="11374" xr:uid="{149282FD-CA6C-49D6-882D-405BE1384627}"/>
    <cellStyle name="40% - Accent4 4 2 3" xfId="4997" xr:uid="{00000000-0005-0000-0000-00001E060000}"/>
    <cellStyle name="40% - Accent4 4 2 3 2" xfId="13447" xr:uid="{C3ECAF27-7911-4C9A-90AB-3CA91B14384E}"/>
    <cellStyle name="40% - Accent4 4 2 4" xfId="9229" xr:uid="{4687988D-42B3-42AC-B609-AE84881B9AC0}"/>
    <cellStyle name="40% - Accent4 4 3" xfId="1102" xr:uid="{00000000-0005-0000-0000-00001F060000}"/>
    <cellStyle name="40% - Accent4 4 3 2" xfId="3333" xr:uid="{00000000-0005-0000-0000-000020060000}"/>
    <cellStyle name="40% - Accent4 4 3 2 2" xfId="7555" xr:uid="{00000000-0005-0000-0000-000021060000}"/>
    <cellStyle name="40% - Accent4 4 3 2 2 2" xfId="16005" xr:uid="{25CE1552-0508-4211-A154-32526028B22D}"/>
    <cellStyle name="40% - Accent4 4 3 2 3" xfId="11787" xr:uid="{A9D64B9D-55B3-4F9B-ACAB-ACF5981CA6E0}"/>
    <cellStyle name="40% - Accent4 4 3 3" xfId="5410" xr:uid="{00000000-0005-0000-0000-000022060000}"/>
    <cellStyle name="40% - Accent4 4 3 3 2" xfId="13860" xr:uid="{AFCC84B1-4AC9-4A1B-8724-3DF70483D821}"/>
    <cellStyle name="40% - Accent4 4 3 4" xfId="9642" xr:uid="{0F1A3754-840A-4473-8F41-D70D68478D14}"/>
    <cellStyle name="40% - Accent4 4 4" xfId="1516" xr:uid="{00000000-0005-0000-0000-000023060000}"/>
    <cellStyle name="40% - Accent4 4 4 2" xfId="3746" xr:uid="{00000000-0005-0000-0000-000024060000}"/>
    <cellStyle name="40% - Accent4 4 4 2 2" xfId="7968" xr:uid="{00000000-0005-0000-0000-000025060000}"/>
    <cellStyle name="40% - Accent4 4 4 2 2 2" xfId="16418" xr:uid="{0E4ED1E2-45B8-43CC-B2DD-941219E00E7A}"/>
    <cellStyle name="40% - Accent4 4 4 2 3" xfId="12200" xr:uid="{5457A510-A05C-4D4F-9146-2DBA0E30FD55}"/>
    <cellStyle name="40% - Accent4 4 4 3" xfId="5823" xr:uid="{00000000-0005-0000-0000-000026060000}"/>
    <cellStyle name="40% - Accent4 4 4 3 2" xfId="14273" xr:uid="{2FEE76C7-1762-4401-99A3-D2EC5D69C5B6}"/>
    <cellStyle name="40% - Accent4 4 4 4" xfId="10055" xr:uid="{5B05F88F-C93E-402B-BD04-E551CD080859}"/>
    <cellStyle name="40% - Accent4 4 5" xfId="1930" xr:uid="{00000000-0005-0000-0000-000027060000}"/>
    <cellStyle name="40% - Accent4 4 5 2" xfId="4159" xr:uid="{00000000-0005-0000-0000-000028060000}"/>
    <cellStyle name="40% - Accent4 4 5 2 2" xfId="8381" xr:uid="{00000000-0005-0000-0000-000029060000}"/>
    <cellStyle name="40% - Accent4 4 5 2 2 2" xfId="16831" xr:uid="{54212E5D-4D5C-4DA9-B5D0-9FF77DEE9A3D}"/>
    <cellStyle name="40% - Accent4 4 5 2 3" xfId="12613" xr:uid="{149F6983-F9B6-435F-A92B-5118CC8E0E72}"/>
    <cellStyle name="40% - Accent4 4 5 3" xfId="6236" xr:uid="{00000000-0005-0000-0000-00002A060000}"/>
    <cellStyle name="40% - Accent4 4 5 3 2" xfId="14686" xr:uid="{5DCFC483-E058-49E8-959D-4041CA65B9C3}"/>
    <cellStyle name="40% - Accent4 4 5 4" xfId="10468" xr:uid="{AC153766-200E-45D8-B880-EE06D7C8F26A}"/>
    <cellStyle name="40% - Accent4 4 6" xfId="2343" xr:uid="{00000000-0005-0000-0000-00002B060000}"/>
    <cellStyle name="40% - Accent4 4 6 2" xfId="6649" xr:uid="{00000000-0005-0000-0000-00002C060000}"/>
    <cellStyle name="40% - Accent4 4 6 2 2" xfId="15099" xr:uid="{424187C2-9572-494B-80B9-436C6901B6A3}"/>
    <cellStyle name="40% - Accent4 4 6 3" xfId="10881" xr:uid="{10EE6004-265F-4828-AAD6-EC61D88626A2}"/>
    <cellStyle name="40% - Accent4 4 7" xfId="4583" xr:uid="{00000000-0005-0000-0000-00002D060000}"/>
    <cellStyle name="40% - Accent4 4 7 2" xfId="13033" xr:uid="{6C3F5DCC-B637-4FA7-9761-FD8347104715}"/>
    <cellStyle name="40% - Accent4 4 8" xfId="8815" xr:uid="{06149093-61AB-4786-A633-45B5B7943647}"/>
    <cellStyle name="40% - Accent4 5" xfId="642" xr:uid="{00000000-0005-0000-0000-00002E060000}"/>
    <cellStyle name="40% - Accent4 5 2" xfId="2913" xr:uid="{00000000-0005-0000-0000-00002F060000}"/>
    <cellStyle name="40% - Accent4 5 2 2" xfId="7135" xr:uid="{00000000-0005-0000-0000-000030060000}"/>
    <cellStyle name="40% - Accent4 5 2 2 2" xfId="15585" xr:uid="{9ADBB762-03A8-4232-9D6F-6C1B2756C523}"/>
    <cellStyle name="40% - Accent4 5 2 3" xfId="11367" xr:uid="{500EBC66-F4EE-4C49-AD50-484A632D3E6D}"/>
    <cellStyle name="40% - Accent4 5 3" xfId="4990" xr:uid="{00000000-0005-0000-0000-000031060000}"/>
    <cellStyle name="40% - Accent4 5 3 2" xfId="13440" xr:uid="{36E6E2B6-753D-4BC6-B69C-3D578D15A615}"/>
    <cellStyle name="40% - Accent4 5 4" xfId="9222" xr:uid="{9525EEA2-89ED-49B4-9668-18F57F998C2B}"/>
    <cellStyle name="40% - Accent4 6" xfId="1095" xr:uid="{00000000-0005-0000-0000-000032060000}"/>
    <cellStyle name="40% - Accent4 6 2" xfId="3326" xr:uid="{00000000-0005-0000-0000-000033060000}"/>
    <cellStyle name="40% - Accent4 6 2 2" xfId="7548" xr:uid="{00000000-0005-0000-0000-000034060000}"/>
    <cellStyle name="40% - Accent4 6 2 2 2" xfId="15998" xr:uid="{09744656-0DA9-4D1A-993B-984319412635}"/>
    <cellStyle name="40% - Accent4 6 2 3" xfId="11780" xr:uid="{34350DA4-E64E-4D99-9624-E17710D453EF}"/>
    <cellStyle name="40% - Accent4 6 3" xfId="5403" xr:uid="{00000000-0005-0000-0000-000035060000}"/>
    <cellStyle name="40% - Accent4 6 3 2" xfId="13853" xr:uid="{FE636C34-416A-46CA-99AC-023018EF6E36}"/>
    <cellStyle name="40% - Accent4 6 4" xfId="9635" xr:uid="{DCEC21E9-98E4-40EB-BDD2-FD00E6BA01FB}"/>
    <cellStyle name="40% - Accent4 7" xfId="1509" xr:uid="{00000000-0005-0000-0000-000036060000}"/>
    <cellStyle name="40% - Accent4 7 2" xfId="3739" xr:uid="{00000000-0005-0000-0000-000037060000}"/>
    <cellStyle name="40% - Accent4 7 2 2" xfId="7961" xr:uid="{00000000-0005-0000-0000-000038060000}"/>
    <cellStyle name="40% - Accent4 7 2 2 2" xfId="16411" xr:uid="{08AAB2BE-776A-417E-BDD4-8EEBE6793797}"/>
    <cellStyle name="40% - Accent4 7 2 3" xfId="12193" xr:uid="{B5BAFD6D-51B8-4E32-B815-B7D9901AFDF3}"/>
    <cellStyle name="40% - Accent4 7 3" xfId="5816" xr:uid="{00000000-0005-0000-0000-000039060000}"/>
    <cellStyle name="40% - Accent4 7 3 2" xfId="14266" xr:uid="{5B080379-E461-41F1-92C6-3FA987B4AA93}"/>
    <cellStyle name="40% - Accent4 7 4" xfId="10048" xr:uid="{95457D3A-B1D3-4F89-901B-5153F030B4F9}"/>
    <cellStyle name="40% - Accent4 8" xfId="1923" xr:uid="{00000000-0005-0000-0000-00003A060000}"/>
    <cellStyle name="40% - Accent4 8 2" xfId="4152" xr:uid="{00000000-0005-0000-0000-00003B060000}"/>
    <cellStyle name="40% - Accent4 8 2 2" xfId="8374" xr:uid="{00000000-0005-0000-0000-00003C060000}"/>
    <cellStyle name="40% - Accent4 8 2 2 2" xfId="16824" xr:uid="{7C6C7F13-1BA7-40B1-A47C-D7FE93E41C38}"/>
    <cellStyle name="40% - Accent4 8 2 3" xfId="12606" xr:uid="{D3682CE5-1560-45F6-AD38-6A207B73827D}"/>
    <cellStyle name="40% - Accent4 8 3" xfId="6229" xr:uid="{00000000-0005-0000-0000-00003D060000}"/>
    <cellStyle name="40% - Accent4 8 3 2" xfId="14679" xr:uid="{5D2484BE-B4A8-4A12-8303-FD0648A0623E}"/>
    <cellStyle name="40% - Accent4 8 4" xfId="10461" xr:uid="{E7EBF209-DEB3-446F-855A-729C43E5CB2B}"/>
    <cellStyle name="40% - Accent4 9" xfId="2336" xr:uid="{00000000-0005-0000-0000-00003E060000}"/>
    <cellStyle name="40% - Accent4 9 2" xfId="6642" xr:uid="{00000000-0005-0000-0000-00003F060000}"/>
    <cellStyle name="40% - Accent4 9 2 2" xfId="15092" xr:uid="{B18C4B3D-68C9-4ED5-B46A-A232915EAAC1}"/>
    <cellStyle name="40% - Accent4 9 3" xfId="10874" xr:uid="{FE0FDF54-9AEA-4E58-A1CB-B452F10A1C97}"/>
    <cellStyle name="40% - Accent5" xfId="81" builtinId="47" customBuiltin="1"/>
    <cellStyle name="40% - Accent5 10" xfId="4584" xr:uid="{00000000-0005-0000-0000-000041060000}"/>
    <cellStyle name="40% - Accent5 10 2" xfId="13034" xr:uid="{05B186EC-1CF2-4006-B482-A48F0B50D606}"/>
    <cellStyle name="40% - Accent5 11" xfId="8816" xr:uid="{E4ABB56D-3CFB-4F4E-A9CC-EE8ED450EB79}"/>
    <cellStyle name="40% - Accent5 2" xfId="82" xr:uid="{00000000-0005-0000-0000-000042060000}"/>
    <cellStyle name="40% - Accent5 2 10" xfId="8817" xr:uid="{C9459006-C09C-41BD-9AB3-CAE9EC39BCB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2 2 2" xfId="15596" xr:uid="{285E2E5E-CA00-4240-8568-69C4436263B0}"/>
    <cellStyle name="40% - Accent5 2 2 2 2 2 3" xfId="11378" xr:uid="{DAEEA354-C01B-4D23-A601-B87B2ACAF829}"/>
    <cellStyle name="40% - Accent5 2 2 2 2 3" xfId="5001" xr:uid="{00000000-0005-0000-0000-000048060000}"/>
    <cellStyle name="40% - Accent5 2 2 2 2 3 2" xfId="13451" xr:uid="{6FC84309-4342-40B2-BAAA-978EA19F37BC}"/>
    <cellStyle name="40% - Accent5 2 2 2 2 4" xfId="9233" xr:uid="{F78ED0B0-9D8F-47F8-B8D7-E5AF6AED9883}"/>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2 2 2" xfId="16009" xr:uid="{2AECDD10-B921-4696-80F6-0CACDBB0610E}"/>
    <cellStyle name="40% - Accent5 2 2 2 3 2 3" xfId="11791" xr:uid="{D3C39443-538A-42CC-A921-B4588984F864}"/>
    <cellStyle name="40% - Accent5 2 2 2 3 3" xfId="5414" xr:uid="{00000000-0005-0000-0000-00004C060000}"/>
    <cellStyle name="40% - Accent5 2 2 2 3 3 2" xfId="13864" xr:uid="{A705A166-6F89-4A91-A379-3A8145121584}"/>
    <cellStyle name="40% - Accent5 2 2 2 3 4" xfId="9646" xr:uid="{6257637A-7AD3-4BE7-8FD5-3720AF747175}"/>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2 2 2" xfId="16422" xr:uid="{BFDAA177-FFA2-47FD-8135-4990857AA69C}"/>
    <cellStyle name="40% - Accent5 2 2 2 4 2 3" xfId="12204" xr:uid="{B1F3F862-A274-4628-BBD8-68883DDC1450}"/>
    <cellStyle name="40% - Accent5 2 2 2 4 3" xfId="5827" xr:uid="{00000000-0005-0000-0000-000050060000}"/>
    <cellStyle name="40% - Accent5 2 2 2 4 3 2" xfId="14277" xr:uid="{B746C792-0965-481B-9A4B-54B14E3824D1}"/>
    <cellStyle name="40% - Accent5 2 2 2 4 4" xfId="10059" xr:uid="{FD485EE6-53AE-457E-B4EE-B8C2CA974D4B}"/>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2 2 2" xfId="16835" xr:uid="{E7A44D82-6C9E-430C-B059-A53E3F8C6BBC}"/>
    <cellStyle name="40% - Accent5 2 2 2 5 2 3" xfId="12617" xr:uid="{2DE9EBD2-847A-42C5-960C-AA582D1DC851}"/>
    <cellStyle name="40% - Accent5 2 2 2 5 3" xfId="6240" xr:uid="{00000000-0005-0000-0000-000054060000}"/>
    <cellStyle name="40% - Accent5 2 2 2 5 3 2" xfId="14690" xr:uid="{13554ECC-2B0A-4D0D-9C33-51F00F895CA8}"/>
    <cellStyle name="40% - Accent5 2 2 2 5 4" xfId="10472" xr:uid="{DE7A02D4-A8D5-4B1A-9C19-A11218401689}"/>
    <cellStyle name="40% - Accent5 2 2 2 6" xfId="2347" xr:uid="{00000000-0005-0000-0000-000055060000}"/>
    <cellStyle name="40% - Accent5 2 2 2 6 2" xfId="6653" xr:uid="{00000000-0005-0000-0000-000056060000}"/>
    <cellStyle name="40% - Accent5 2 2 2 6 2 2" xfId="15103" xr:uid="{E13F0994-3B1A-4082-A948-C54F3C907C79}"/>
    <cellStyle name="40% - Accent5 2 2 2 6 3" xfId="10885" xr:uid="{BCB21435-4390-47D3-998A-870401310D05}"/>
    <cellStyle name="40% - Accent5 2 2 2 7" xfId="4587" xr:uid="{00000000-0005-0000-0000-000057060000}"/>
    <cellStyle name="40% - Accent5 2 2 2 7 2" xfId="13037" xr:uid="{69125C91-0015-4C6A-84D6-262BA317E016}"/>
    <cellStyle name="40% - Accent5 2 2 2 8" xfId="8819" xr:uid="{7F81A14B-AD6B-437A-B1E3-D40C8D847E93}"/>
    <cellStyle name="40% - Accent5 2 2 3" xfId="652" xr:uid="{00000000-0005-0000-0000-000058060000}"/>
    <cellStyle name="40% - Accent5 2 2 3 2" xfId="2923" xr:uid="{00000000-0005-0000-0000-000059060000}"/>
    <cellStyle name="40% - Accent5 2 2 3 2 2" xfId="7145" xr:uid="{00000000-0005-0000-0000-00005A060000}"/>
    <cellStyle name="40% - Accent5 2 2 3 2 2 2" xfId="15595" xr:uid="{2168E51F-D1F8-4544-8792-A6EB053FCC0A}"/>
    <cellStyle name="40% - Accent5 2 2 3 2 3" xfId="11377" xr:uid="{04C5C352-7B3C-4D64-87C3-AAD9083AE909}"/>
    <cellStyle name="40% - Accent5 2 2 3 3" xfId="5000" xr:uid="{00000000-0005-0000-0000-00005B060000}"/>
    <cellStyle name="40% - Accent5 2 2 3 3 2" xfId="13450" xr:uid="{B1181BA6-A506-48DF-8406-3261485DF6B5}"/>
    <cellStyle name="40% - Accent5 2 2 3 4" xfId="9232" xr:uid="{3390DA82-8262-4A7F-8F7F-84F6CA6B1D6B}"/>
    <cellStyle name="40% - Accent5 2 2 4" xfId="1105" xr:uid="{00000000-0005-0000-0000-00005C060000}"/>
    <cellStyle name="40% - Accent5 2 2 4 2" xfId="3336" xr:uid="{00000000-0005-0000-0000-00005D060000}"/>
    <cellStyle name="40% - Accent5 2 2 4 2 2" xfId="7558" xr:uid="{00000000-0005-0000-0000-00005E060000}"/>
    <cellStyle name="40% - Accent5 2 2 4 2 2 2" xfId="16008" xr:uid="{FBE35810-CE76-4AD5-8A6A-CA02B52DF5DE}"/>
    <cellStyle name="40% - Accent5 2 2 4 2 3" xfId="11790" xr:uid="{848362F5-35AA-4FAB-89ED-FE4BAFBF4309}"/>
    <cellStyle name="40% - Accent5 2 2 4 3" xfId="5413" xr:uid="{00000000-0005-0000-0000-00005F060000}"/>
    <cellStyle name="40% - Accent5 2 2 4 3 2" xfId="13863" xr:uid="{A95A3BC8-BDCB-4E45-91AD-8E037CB8B253}"/>
    <cellStyle name="40% - Accent5 2 2 4 4" xfId="9645" xr:uid="{F34E99E3-49AA-407D-956B-2FB8A45F3237}"/>
    <cellStyle name="40% - Accent5 2 2 5" xfId="1519" xr:uid="{00000000-0005-0000-0000-000060060000}"/>
    <cellStyle name="40% - Accent5 2 2 5 2" xfId="3749" xr:uid="{00000000-0005-0000-0000-000061060000}"/>
    <cellStyle name="40% - Accent5 2 2 5 2 2" xfId="7971" xr:uid="{00000000-0005-0000-0000-000062060000}"/>
    <cellStyle name="40% - Accent5 2 2 5 2 2 2" xfId="16421" xr:uid="{176B2360-260E-4F9E-9212-E691B097A7A5}"/>
    <cellStyle name="40% - Accent5 2 2 5 2 3" xfId="12203" xr:uid="{AF9B84AD-6F2D-4125-83CE-B49563081D68}"/>
    <cellStyle name="40% - Accent5 2 2 5 3" xfId="5826" xr:uid="{00000000-0005-0000-0000-000063060000}"/>
    <cellStyle name="40% - Accent5 2 2 5 3 2" xfId="14276" xr:uid="{2784C408-6401-4E1A-9964-35FFBEE5475A}"/>
    <cellStyle name="40% - Accent5 2 2 5 4" xfId="10058" xr:uid="{0EC98196-2315-49F4-915C-9D4EC5437D70}"/>
    <cellStyle name="40% - Accent5 2 2 6" xfId="1933" xr:uid="{00000000-0005-0000-0000-000064060000}"/>
    <cellStyle name="40% - Accent5 2 2 6 2" xfId="4162" xr:uid="{00000000-0005-0000-0000-000065060000}"/>
    <cellStyle name="40% - Accent5 2 2 6 2 2" xfId="8384" xr:uid="{00000000-0005-0000-0000-000066060000}"/>
    <cellStyle name="40% - Accent5 2 2 6 2 2 2" xfId="16834" xr:uid="{EABE322A-EC5E-4703-B550-3000BEBA3B6F}"/>
    <cellStyle name="40% - Accent5 2 2 6 2 3" xfId="12616" xr:uid="{E4EBE6A4-FE7F-4C8E-B51C-ABFA5217FEE9}"/>
    <cellStyle name="40% - Accent5 2 2 6 3" xfId="6239" xr:uid="{00000000-0005-0000-0000-000067060000}"/>
    <cellStyle name="40% - Accent5 2 2 6 3 2" xfId="14689" xr:uid="{E390D8A7-436A-43D3-913B-62C3C6EB1579}"/>
    <cellStyle name="40% - Accent5 2 2 6 4" xfId="10471" xr:uid="{D0D97FAA-8C11-45B4-B273-1C18C185C861}"/>
    <cellStyle name="40% - Accent5 2 2 7" xfId="2346" xr:uid="{00000000-0005-0000-0000-000068060000}"/>
    <cellStyle name="40% - Accent5 2 2 7 2" xfId="6652" xr:uid="{00000000-0005-0000-0000-000069060000}"/>
    <cellStyle name="40% - Accent5 2 2 7 2 2" xfId="15102" xr:uid="{B44C11EB-182D-42BF-8C88-619BBE34FCFC}"/>
    <cellStyle name="40% - Accent5 2 2 7 3" xfId="10884" xr:uid="{F4875987-EE8F-4DDE-B511-16BA0E599B47}"/>
    <cellStyle name="40% - Accent5 2 2 8" xfId="4586" xr:uid="{00000000-0005-0000-0000-00006A060000}"/>
    <cellStyle name="40% - Accent5 2 2 8 2" xfId="13036" xr:uid="{5CF7DAB1-A173-45A6-9272-596A2610B5A3}"/>
    <cellStyle name="40% - Accent5 2 2 9" xfId="8818" xr:uid="{05A838F8-7E94-4030-94D3-98E28DE1A2DE}"/>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2 2 2" xfId="15597" xr:uid="{E8494B93-9C16-47F9-99A9-020086E1BEDB}"/>
    <cellStyle name="40% - Accent5 2 3 2 2 3" xfId="11379" xr:uid="{F3646C6B-B381-4B2B-A2AC-BD5EACCF5519}"/>
    <cellStyle name="40% - Accent5 2 3 2 3" xfId="5002" xr:uid="{00000000-0005-0000-0000-00006F060000}"/>
    <cellStyle name="40% - Accent5 2 3 2 3 2" xfId="13452" xr:uid="{CDF2E410-22AA-46C9-B17D-A57BBB096357}"/>
    <cellStyle name="40% - Accent5 2 3 2 4" xfId="9234" xr:uid="{446E7A27-BBDD-4544-806F-3EEA94002A17}"/>
    <cellStyle name="40% - Accent5 2 3 3" xfId="1107" xr:uid="{00000000-0005-0000-0000-000070060000}"/>
    <cellStyle name="40% - Accent5 2 3 3 2" xfId="3338" xr:uid="{00000000-0005-0000-0000-000071060000}"/>
    <cellStyle name="40% - Accent5 2 3 3 2 2" xfId="7560" xr:uid="{00000000-0005-0000-0000-000072060000}"/>
    <cellStyle name="40% - Accent5 2 3 3 2 2 2" xfId="16010" xr:uid="{B3F046BB-54A1-4790-A21E-41A9CF0EA522}"/>
    <cellStyle name="40% - Accent5 2 3 3 2 3" xfId="11792" xr:uid="{C5A391E2-C689-4500-A9D3-2EC19CCA74B7}"/>
    <cellStyle name="40% - Accent5 2 3 3 3" xfId="5415" xr:uid="{00000000-0005-0000-0000-000073060000}"/>
    <cellStyle name="40% - Accent5 2 3 3 3 2" xfId="13865" xr:uid="{E671128E-E731-40FF-8C0C-992C7B0E9E5F}"/>
    <cellStyle name="40% - Accent5 2 3 3 4" xfId="9647" xr:uid="{47B72897-0AAE-4549-A38A-D491C61366B9}"/>
    <cellStyle name="40% - Accent5 2 3 4" xfId="1521" xr:uid="{00000000-0005-0000-0000-000074060000}"/>
    <cellStyle name="40% - Accent5 2 3 4 2" xfId="3751" xr:uid="{00000000-0005-0000-0000-000075060000}"/>
    <cellStyle name="40% - Accent5 2 3 4 2 2" xfId="7973" xr:uid="{00000000-0005-0000-0000-000076060000}"/>
    <cellStyle name="40% - Accent5 2 3 4 2 2 2" xfId="16423" xr:uid="{0F7AF607-4631-4933-AE62-FA8A82D9002A}"/>
    <cellStyle name="40% - Accent5 2 3 4 2 3" xfId="12205" xr:uid="{EB247B9F-7681-401C-A77D-8C3235BDB7AC}"/>
    <cellStyle name="40% - Accent5 2 3 4 3" xfId="5828" xr:uid="{00000000-0005-0000-0000-000077060000}"/>
    <cellStyle name="40% - Accent5 2 3 4 3 2" xfId="14278" xr:uid="{F4E62557-2869-4F8F-9F1B-6C434EE38C9D}"/>
    <cellStyle name="40% - Accent5 2 3 4 4" xfId="10060" xr:uid="{EBA9AEF5-C6ED-47A5-AB81-C178929537DF}"/>
    <cellStyle name="40% - Accent5 2 3 5" xfId="1935" xr:uid="{00000000-0005-0000-0000-000078060000}"/>
    <cellStyle name="40% - Accent5 2 3 5 2" xfId="4164" xr:uid="{00000000-0005-0000-0000-000079060000}"/>
    <cellStyle name="40% - Accent5 2 3 5 2 2" xfId="8386" xr:uid="{00000000-0005-0000-0000-00007A060000}"/>
    <cellStyle name="40% - Accent5 2 3 5 2 2 2" xfId="16836" xr:uid="{70785018-BDB8-41F6-B86F-D04A7AD34467}"/>
    <cellStyle name="40% - Accent5 2 3 5 2 3" xfId="12618" xr:uid="{F157ADC4-DFD2-45D7-8116-157D5B9A9496}"/>
    <cellStyle name="40% - Accent5 2 3 5 3" xfId="6241" xr:uid="{00000000-0005-0000-0000-00007B060000}"/>
    <cellStyle name="40% - Accent5 2 3 5 3 2" xfId="14691" xr:uid="{286B5893-6F58-40ED-896C-686B16118BA0}"/>
    <cellStyle name="40% - Accent5 2 3 5 4" xfId="10473" xr:uid="{ACB27668-8269-4D31-A260-51FCC1D9D7DC}"/>
    <cellStyle name="40% - Accent5 2 3 6" xfId="2348" xr:uid="{00000000-0005-0000-0000-00007C060000}"/>
    <cellStyle name="40% - Accent5 2 3 6 2" xfId="6654" xr:uid="{00000000-0005-0000-0000-00007D060000}"/>
    <cellStyle name="40% - Accent5 2 3 6 2 2" xfId="15104" xr:uid="{4FF5FB8A-93D0-44BC-97CB-0350DD5D01EB}"/>
    <cellStyle name="40% - Accent5 2 3 6 3" xfId="10886" xr:uid="{80F61F0F-DD48-4442-9F65-C5772DD4AC63}"/>
    <cellStyle name="40% - Accent5 2 3 7" xfId="4588" xr:uid="{00000000-0005-0000-0000-00007E060000}"/>
    <cellStyle name="40% - Accent5 2 3 7 2" xfId="13038" xr:uid="{CC664497-FC1E-4B09-9879-316E6478BC79}"/>
    <cellStyle name="40% - Accent5 2 3 8" xfId="8820" xr:uid="{43349635-B073-41CF-90B5-98FE56359506}"/>
    <cellStyle name="40% - Accent5 2 4" xfId="651" xr:uid="{00000000-0005-0000-0000-00007F060000}"/>
    <cellStyle name="40% - Accent5 2 4 2" xfId="2922" xr:uid="{00000000-0005-0000-0000-000080060000}"/>
    <cellStyle name="40% - Accent5 2 4 2 2" xfId="7144" xr:uid="{00000000-0005-0000-0000-000081060000}"/>
    <cellStyle name="40% - Accent5 2 4 2 2 2" xfId="15594" xr:uid="{44D0D072-9A96-46EB-9559-F34740686CB4}"/>
    <cellStyle name="40% - Accent5 2 4 2 3" xfId="11376" xr:uid="{2FDAFA41-3F02-4913-ADF4-7C68DF3BC92A}"/>
    <cellStyle name="40% - Accent5 2 4 3" xfId="4999" xr:uid="{00000000-0005-0000-0000-000082060000}"/>
    <cellStyle name="40% - Accent5 2 4 3 2" xfId="13449" xr:uid="{03EE12C2-1D50-41C1-8DF0-111029E5D1F7}"/>
    <cellStyle name="40% - Accent5 2 4 4" xfId="9231" xr:uid="{BA88833A-D2FA-435B-A7A9-D7A9BACCC1EE}"/>
    <cellStyle name="40% - Accent5 2 5" xfId="1104" xr:uid="{00000000-0005-0000-0000-000083060000}"/>
    <cellStyle name="40% - Accent5 2 5 2" xfId="3335" xr:uid="{00000000-0005-0000-0000-000084060000}"/>
    <cellStyle name="40% - Accent5 2 5 2 2" xfId="7557" xr:uid="{00000000-0005-0000-0000-000085060000}"/>
    <cellStyle name="40% - Accent5 2 5 2 2 2" xfId="16007" xr:uid="{34840FD1-8054-4C4A-9CDE-7034D3B1637C}"/>
    <cellStyle name="40% - Accent5 2 5 2 3" xfId="11789" xr:uid="{56285062-4020-46F4-A9C7-6A7BED2B4176}"/>
    <cellStyle name="40% - Accent5 2 5 3" xfId="5412" xr:uid="{00000000-0005-0000-0000-000086060000}"/>
    <cellStyle name="40% - Accent5 2 5 3 2" xfId="13862" xr:uid="{C144FEAE-29C8-4B17-AA35-336E2A081A97}"/>
    <cellStyle name="40% - Accent5 2 5 4" xfId="9644" xr:uid="{4FEF7BF6-C120-45F9-A865-CF5E583CF2DC}"/>
    <cellStyle name="40% - Accent5 2 6" xfId="1518" xr:uid="{00000000-0005-0000-0000-000087060000}"/>
    <cellStyle name="40% - Accent5 2 6 2" xfId="3748" xr:uid="{00000000-0005-0000-0000-000088060000}"/>
    <cellStyle name="40% - Accent5 2 6 2 2" xfId="7970" xr:uid="{00000000-0005-0000-0000-000089060000}"/>
    <cellStyle name="40% - Accent5 2 6 2 2 2" xfId="16420" xr:uid="{4C09A2BE-40A6-4473-94E8-F83DA3CBC262}"/>
    <cellStyle name="40% - Accent5 2 6 2 3" xfId="12202" xr:uid="{F0316EBA-90EC-4354-821A-AF721545985E}"/>
    <cellStyle name="40% - Accent5 2 6 3" xfId="5825" xr:uid="{00000000-0005-0000-0000-00008A060000}"/>
    <cellStyle name="40% - Accent5 2 6 3 2" xfId="14275" xr:uid="{55B98973-C434-47FF-922E-A5AC8916C86C}"/>
    <cellStyle name="40% - Accent5 2 6 4" xfId="10057" xr:uid="{F5F2B0C3-5651-4285-87C8-021D925291FB}"/>
    <cellStyle name="40% - Accent5 2 7" xfId="1932" xr:uid="{00000000-0005-0000-0000-00008B060000}"/>
    <cellStyle name="40% - Accent5 2 7 2" xfId="4161" xr:uid="{00000000-0005-0000-0000-00008C060000}"/>
    <cellStyle name="40% - Accent5 2 7 2 2" xfId="8383" xr:uid="{00000000-0005-0000-0000-00008D060000}"/>
    <cellStyle name="40% - Accent5 2 7 2 2 2" xfId="16833" xr:uid="{F74C07C6-C262-4D29-850E-D5CD0DB4710D}"/>
    <cellStyle name="40% - Accent5 2 7 2 3" xfId="12615" xr:uid="{D7899C25-9830-493B-BC94-F53F88C2A3A3}"/>
    <cellStyle name="40% - Accent5 2 7 3" xfId="6238" xr:uid="{00000000-0005-0000-0000-00008E060000}"/>
    <cellStyle name="40% - Accent5 2 7 3 2" xfId="14688" xr:uid="{3DBFDD20-E2F7-40CB-8D73-517C3C29C059}"/>
    <cellStyle name="40% - Accent5 2 7 4" xfId="10470" xr:uid="{12151B7A-C30A-4DA5-8531-5DCCE1C8C060}"/>
    <cellStyle name="40% - Accent5 2 8" xfId="2345" xr:uid="{00000000-0005-0000-0000-00008F060000}"/>
    <cellStyle name="40% - Accent5 2 8 2" xfId="6651" xr:uid="{00000000-0005-0000-0000-000090060000}"/>
    <cellStyle name="40% - Accent5 2 8 2 2" xfId="15101" xr:uid="{66F593D1-F2B6-40F7-A509-C72154E0E5A5}"/>
    <cellStyle name="40% - Accent5 2 8 3" xfId="10883" xr:uid="{A759E80D-4D41-4A40-8861-E2749808F9BC}"/>
    <cellStyle name="40% - Accent5 2 9" xfId="4585" xr:uid="{00000000-0005-0000-0000-000091060000}"/>
    <cellStyle name="40% - Accent5 2 9 2" xfId="13035" xr:uid="{F0FAFC49-5CA0-4B92-A52E-1FAED2747BFF}"/>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2 2 2" xfId="15599" xr:uid="{2B0086F2-6336-446F-B518-93F98378E4DF}"/>
    <cellStyle name="40% - Accent5 3 2 2 2 3" xfId="11381" xr:uid="{EFC8ACFB-EEC1-45A5-AB0E-1621AF14F6F9}"/>
    <cellStyle name="40% - Accent5 3 2 2 3" xfId="5004" xr:uid="{00000000-0005-0000-0000-000097060000}"/>
    <cellStyle name="40% - Accent5 3 2 2 3 2" xfId="13454" xr:uid="{8DA826C5-BDB1-4DF9-858A-8CF578C85EA0}"/>
    <cellStyle name="40% - Accent5 3 2 2 4" xfId="9236" xr:uid="{2656A9F2-41B3-4098-A598-7F857F17EE7E}"/>
    <cellStyle name="40% - Accent5 3 2 3" xfId="1109" xr:uid="{00000000-0005-0000-0000-000098060000}"/>
    <cellStyle name="40% - Accent5 3 2 3 2" xfId="3340" xr:uid="{00000000-0005-0000-0000-000099060000}"/>
    <cellStyle name="40% - Accent5 3 2 3 2 2" xfId="7562" xr:uid="{00000000-0005-0000-0000-00009A060000}"/>
    <cellStyle name="40% - Accent5 3 2 3 2 2 2" xfId="16012" xr:uid="{F572BDAA-565E-4970-9361-C34607F58711}"/>
    <cellStyle name="40% - Accent5 3 2 3 2 3" xfId="11794" xr:uid="{3257AE1D-ECEC-4D97-B148-4354AC92BE60}"/>
    <cellStyle name="40% - Accent5 3 2 3 3" xfId="5417" xr:uid="{00000000-0005-0000-0000-00009B060000}"/>
    <cellStyle name="40% - Accent5 3 2 3 3 2" xfId="13867" xr:uid="{4392FFCA-A653-49DC-A962-DAD2B6ABFF8C}"/>
    <cellStyle name="40% - Accent5 3 2 3 4" xfId="9649" xr:uid="{0375CEE4-C2BC-46DA-9321-3F7793BBC37B}"/>
    <cellStyle name="40% - Accent5 3 2 4" xfId="1523" xr:uid="{00000000-0005-0000-0000-00009C060000}"/>
    <cellStyle name="40% - Accent5 3 2 4 2" xfId="3753" xr:uid="{00000000-0005-0000-0000-00009D060000}"/>
    <cellStyle name="40% - Accent5 3 2 4 2 2" xfId="7975" xr:uid="{00000000-0005-0000-0000-00009E060000}"/>
    <cellStyle name="40% - Accent5 3 2 4 2 2 2" xfId="16425" xr:uid="{073011F3-6C66-4111-A65C-39D705D5ACD6}"/>
    <cellStyle name="40% - Accent5 3 2 4 2 3" xfId="12207" xr:uid="{630D37CF-58F4-4364-B276-34AD68A4E68A}"/>
    <cellStyle name="40% - Accent5 3 2 4 3" xfId="5830" xr:uid="{00000000-0005-0000-0000-00009F060000}"/>
    <cellStyle name="40% - Accent5 3 2 4 3 2" xfId="14280" xr:uid="{9C084495-0838-4C7E-BA83-ECEAC58A558D}"/>
    <cellStyle name="40% - Accent5 3 2 4 4" xfId="10062" xr:uid="{B3DFB642-0168-4BA1-91D3-9B9B03A1805B}"/>
    <cellStyle name="40% - Accent5 3 2 5" xfId="1937" xr:uid="{00000000-0005-0000-0000-0000A0060000}"/>
    <cellStyle name="40% - Accent5 3 2 5 2" xfId="4166" xr:uid="{00000000-0005-0000-0000-0000A1060000}"/>
    <cellStyle name="40% - Accent5 3 2 5 2 2" xfId="8388" xr:uid="{00000000-0005-0000-0000-0000A2060000}"/>
    <cellStyle name="40% - Accent5 3 2 5 2 2 2" xfId="16838" xr:uid="{6A6D0A50-B02F-4D6B-836E-9A6878061441}"/>
    <cellStyle name="40% - Accent5 3 2 5 2 3" xfId="12620" xr:uid="{93AA56D8-550B-4923-81D2-3DFDEEEBD978}"/>
    <cellStyle name="40% - Accent5 3 2 5 3" xfId="6243" xr:uid="{00000000-0005-0000-0000-0000A3060000}"/>
    <cellStyle name="40% - Accent5 3 2 5 3 2" xfId="14693" xr:uid="{5F678345-91CD-426C-84C4-A90769DF9CFB}"/>
    <cellStyle name="40% - Accent5 3 2 5 4" xfId="10475" xr:uid="{CD1401DB-2123-4F9F-9604-96ACBA9795E1}"/>
    <cellStyle name="40% - Accent5 3 2 6" xfId="2350" xr:uid="{00000000-0005-0000-0000-0000A4060000}"/>
    <cellStyle name="40% - Accent5 3 2 6 2" xfId="6656" xr:uid="{00000000-0005-0000-0000-0000A5060000}"/>
    <cellStyle name="40% - Accent5 3 2 6 2 2" xfId="15106" xr:uid="{696B7835-6099-4D96-B1D4-A16A6E5978F5}"/>
    <cellStyle name="40% - Accent5 3 2 6 3" xfId="10888" xr:uid="{46D2A002-3964-4A20-8BAC-6B3325F4DBFF}"/>
    <cellStyle name="40% - Accent5 3 2 7" xfId="4590" xr:uid="{00000000-0005-0000-0000-0000A6060000}"/>
    <cellStyle name="40% - Accent5 3 2 7 2" xfId="13040" xr:uid="{2DDB0FE8-1CF2-490C-8412-51D3B28F9074}"/>
    <cellStyle name="40% - Accent5 3 2 8" xfId="8822" xr:uid="{32EC9F83-9318-475E-9C9E-F77FBCE99F6A}"/>
    <cellStyle name="40% - Accent5 3 3" xfId="655" xr:uid="{00000000-0005-0000-0000-0000A7060000}"/>
    <cellStyle name="40% - Accent5 3 3 2" xfId="2926" xr:uid="{00000000-0005-0000-0000-0000A8060000}"/>
    <cellStyle name="40% - Accent5 3 3 2 2" xfId="7148" xr:uid="{00000000-0005-0000-0000-0000A9060000}"/>
    <cellStyle name="40% - Accent5 3 3 2 2 2" xfId="15598" xr:uid="{7A8A5290-EAE8-44D7-B7CF-803263224D9B}"/>
    <cellStyle name="40% - Accent5 3 3 2 3" xfId="11380" xr:uid="{60BBC01B-2F19-4B63-BAA4-68F08ED596BD}"/>
    <cellStyle name="40% - Accent5 3 3 3" xfId="5003" xr:uid="{00000000-0005-0000-0000-0000AA060000}"/>
    <cellStyle name="40% - Accent5 3 3 3 2" xfId="13453" xr:uid="{A91273C9-D268-40C5-9910-AED2A2A73199}"/>
    <cellStyle name="40% - Accent5 3 3 4" xfId="9235" xr:uid="{93EE0FF2-5B46-4EEE-B53F-7125B98B6734}"/>
    <cellStyle name="40% - Accent5 3 4" xfId="1108" xr:uid="{00000000-0005-0000-0000-0000AB060000}"/>
    <cellStyle name="40% - Accent5 3 4 2" xfId="3339" xr:uid="{00000000-0005-0000-0000-0000AC060000}"/>
    <cellStyle name="40% - Accent5 3 4 2 2" xfId="7561" xr:uid="{00000000-0005-0000-0000-0000AD060000}"/>
    <cellStyle name="40% - Accent5 3 4 2 2 2" xfId="16011" xr:uid="{CD732AED-B811-4CDC-A4F0-A2241306882E}"/>
    <cellStyle name="40% - Accent5 3 4 2 3" xfId="11793" xr:uid="{CFE9E3BB-932A-4508-9B2B-9E619757A767}"/>
    <cellStyle name="40% - Accent5 3 4 3" xfId="5416" xr:uid="{00000000-0005-0000-0000-0000AE060000}"/>
    <cellStyle name="40% - Accent5 3 4 3 2" xfId="13866" xr:uid="{7D5A4642-6ABD-4800-9816-DD406BB20847}"/>
    <cellStyle name="40% - Accent5 3 4 4" xfId="9648" xr:uid="{673AE53D-37C7-45F6-A8B3-AA31ABD0FC51}"/>
    <cellStyle name="40% - Accent5 3 5" xfId="1522" xr:uid="{00000000-0005-0000-0000-0000AF060000}"/>
    <cellStyle name="40% - Accent5 3 5 2" xfId="3752" xr:uid="{00000000-0005-0000-0000-0000B0060000}"/>
    <cellStyle name="40% - Accent5 3 5 2 2" xfId="7974" xr:uid="{00000000-0005-0000-0000-0000B1060000}"/>
    <cellStyle name="40% - Accent5 3 5 2 2 2" xfId="16424" xr:uid="{F958150C-08A3-4EC4-8B70-D97CBE64EEBA}"/>
    <cellStyle name="40% - Accent5 3 5 2 3" xfId="12206" xr:uid="{C96A3CD0-6AFF-493E-8A63-F90871889D91}"/>
    <cellStyle name="40% - Accent5 3 5 3" xfId="5829" xr:uid="{00000000-0005-0000-0000-0000B2060000}"/>
    <cellStyle name="40% - Accent5 3 5 3 2" xfId="14279" xr:uid="{010481E5-01D9-41DA-96C2-4553CE0FFE6D}"/>
    <cellStyle name="40% - Accent5 3 5 4" xfId="10061" xr:uid="{3060A23B-1B7B-4B5B-8952-CF0B75DB8787}"/>
    <cellStyle name="40% - Accent5 3 6" xfId="1936" xr:uid="{00000000-0005-0000-0000-0000B3060000}"/>
    <cellStyle name="40% - Accent5 3 6 2" xfId="4165" xr:uid="{00000000-0005-0000-0000-0000B4060000}"/>
    <cellStyle name="40% - Accent5 3 6 2 2" xfId="8387" xr:uid="{00000000-0005-0000-0000-0000B5060000}"/>
    <cellStyle name="40% - Accent5 3 6 2 2 2" xfId="16837" xr:uid="{C7443CED-6805-41AE-88D7-F1D055195B72}"/>
    <cellStyle name="40% - Accent5 3 6 2 3" xfId="12619" xr:uid="{0BB4FE66-A419-4427-A69B-0B25A0D275A0}"/>
    <cellStyle name="40% - Accent5 3 6 3" xfId="6242" xr:uid="{00000000-0005-0000-0000-0000B6060000}"/>
    <cellStyle name="40% - Accent5 3 6 3 2" xfId="14692" xr:uid="{AF390FF4-8CB2-4BE8-B484-6FE3648EE8DF}"/>
    <cellStyle name="40% - Accent5 3 6 4" xfId="10474" xr:uid="{C42F18EE-4763-43E9-B7F6-88CEAEF56BCF}"/>
    <cellStyle name="40% - Accent5 3 7" xfId="2349" xr:uid="{00000000-0005-0000-0000-0000B7060000}"/>
    <cellStyle name="40% - Accent5 3 7 2" xfId="6655" xr:uid="{00000000-0005-0000-0000-0000B8060000}"/>
    <cellStyle name="40% - Accent5 3 7 2 2" xfId="15105" xr:uid="{C0243A54-9810-4082-B716-B83EC090B3F7}"/>
    <cellStyle name="40% - Accent5 3 7 3" xfId="10887" xr:uid="{522E0874-BEC1-40CF-9D32-FD0A4A830A54}"/>
    <cellStyle name="40% - Accent5 3 8" xfId="4589" xr:uid="{00000000-0005-0000-0000-0000B9060000}"/>
    <cellStyle name="40% - Accent5 3 8 2" xfId="13039" xr:uid="{3D9ED48C-6DB3-49B3-ABCA-D3B2103661E7}"/>
    <cellStyle name="40% - Accent5 3 9" xfId="8821" xr:uid="{A19939BE-850A-4FAA-9BFF-060CBF8611A4}"/>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2 2 2" xfId="15600" xr:uid="{5A1E1E94-B56A-4DA2-B9DF-5EC09BCEEF7D}"/>
    <cellStyle name="40% - Accent5 4 2 2 3" xfId="11382" xr:uid="{C5490FC5-2C68-4AFE-8DBD-7F83C3830961}"/>
    <cellStyle name="40% - Accent5 4 2 3" xfId="5005" xr:uid="{00000000-0005-0000-0000-0000BE060000}"/>
    <cellStyle name="40% - Accent5 4 2 3 2" xfId="13455" xr:uid="{98865788-F034-4CF2-8E7B-71F54F481919}"/>
    <cellStyle name="40% - Accent5 4 2 4" xfId="9237" xr:uid="{16E90054-0247-4B42-A2BF-68CCA26BB14D}"/>
    <cellStyle name="40% - Accent5 4 3" xfId="1110" xr:uid="{00000000-0005-0000-0000-0000BF060000}"/>
    <cellStyle name="40% - Accent5 4 3 2" xfId="3341" xr:uid="{00000000-0005-0000-0000-0000C0060000}"/>
    <cellStyle name="40% - Accent5 4 3 2 2" xfId="7563" xr:uid="{00000000-0005-0000-0000-0000C1060000}"/>
    <cellStyle name="40% - Accent5 4 3 2 2 2" xfId="16013" xr:uid="{CC3DE4FB-FDCD-4185-8C64-EBF69E8F8D86}"/>
    <cellStyle name="40% - Accent5 4 3 2 3" xfId="11795" xr:uid="{0B4EDDDD-8A39-4547-8076-48FF9EE73BA6}"/>
    <cellStyle name="40% - Accent5 4 3 3" xfId="5418" xr:uid="{00000000-0005-0000-0000-0000C2060000}"/>
    <cellStyle name="40% - Accent5 4 3 3 2" xfId="13868" xr:uid="{1FACB2FD-9AA6-4E03-BE6B-538393FBF9EB}"/>
    <cellStyle name="40% - Accent5 4 3 4" xfId="9650" xr:uid="{45F02F6E-6A3F-4805-A84E-8AA9BC235794}"/>
    <cellStyle name="40% - Accent5 4 4" xfId="1524" xr:uid="{00000000-0005-0000-0000-0000C3060000}"/>
    <cellStyle name="40% - Accent5 4 4 2" xfId="3754" xr:uid="{00000000-0005-0000-0000-0000C4060000}"/>
    <cellStyle name="40% - Accent5 4 4 2 2" xfId="7976" xr:uid="{00000000-0005-0000-0000-0000C5060000}"/>
    <cellStyle name="40% - Accent5 4 4 2 2 2" xfId="16426" xr:uid="{22323D9F-AF99-4813-A949-E5598D08D3F9}"/>
    <cellStyle name="40% - Accent5 4 4 2 3" xfId="12208" xr:uid="{E794778F-8707-4760-95A0-6FE843716A5B}"/>
    <cellStyle name="40% - Accent5 4 4 3" xfId="5831" xr:uid="{00000000-0005-0000-0000-0000C6060000}"/>
    <cellStyle name="40% - Accent5 4 4 3 2" xfId="14281" xr:uid="{EFB9DA1F-44D7-494C-9655-CAE449AE29C7}"/>
    <cellStyle name="40% - Accent5 4 4 4" xfId="10063" xr:uid="{107EAD60-5ED5-459A-8EF6-9D04F94AB5E7}"/>
    <cellStyle name="40% - Accent5 4 5" xfId="1938" xr:uid="{00000000-0005-0000-0000-0000C7060000}"/>
    <cellStyle name="40% - Accent5 4 5 2" xfId="4167" xr:uid="{00000000-0005-0000-0000-0000C8060000}"/>
    <cellStyle name="40% - Accent5 4 5 2 2" xfId="8389" xr:uid="{00000000-0005-0000-0000-0000C9060000}"/>
    <cellStyle name="40% - Accent5 4 5 2 2 2" xfId="16839" xr:uid="{9F11EF34-1C9C-419A-9F0E-941608C884C9}"/>
    <cellStyle name="40% - Accent5 4 5 2 3" xfId="12621" xr:uid="{96824611-3C8E-47D6-AC8B-10E4030F8C87}"/>
    <cellStyle name="40% - Accent5 4 5 3" xfId="6244" xr:uid="{00000000-0005-0000-0000-0000CA060000}"/>
    <cellStyle name="40% - Accent5 4 5 3 2" xfId="14694" xr:uid="{D92373F2-7185-42E7-8060-5A2894F942B7}"/>
    <cellStyle name="40% - Accent5 4 5 4" xfId="10476" xr:uid="{77595778-EAFF-4615-AA05-B6EA3B828A45}"/>
    <cellStyle name="40% - Accent5 4 6" xfId="2351" xr:uid="{00000000-0005-0000-0000-0000CB060000}"/>
    <cellStyle name="40% - Accent5 4 6 2" xfId="6657" xr:uid="{00000000-0005-0000-0000-0000CC060000}"/>
    <cellStyle name="40% - Accent5 4 6 2 2" xfId="15107" xr:uid="{1C686599-6B82-49BE-9754-D4B629B42596}"/>
    <cellStyle name="40% - Accent5 4 6 3" xfId="10889" xr:uid="{A8C1DFCA-785B-4D05-9A30-E6DF9D158DB0}"/>
    <cellStyle name="40% - Accent5 4 7" xfId="4591" xr:uid="{00000000-0005-0000-0000-0000CD060000}"/>
    <cellStyle name="40% - Accent5 4 7 2" xfId="13041" xr:uid="{2B164392-BCC3-46EF-A785-EAAAC0513610}"/>
    <cellStyle name="40% - Accent5 4 8" xfId="8823" xr:uid="{E243B5C4-1453-4DF9-8E14-5A14156BC97E}"/>
    <cellStyle name="40% - Accent5 5" xfId="650" xr:uid="{00000000-0005-0000-0000-0000CE060000}"/>
    <cellStyle name="40% - Accent5 5 2" xfId="2921" xr:uid="{00000000-0005-0000-0000-0000CF060000}"/>
    <cellStyle name="40% - Accent5 5 2 2" xfId="7143" xr:uid="{00000000-0005-0000-0000-0000D0060000}"/>
    <cellStyle name="40% - Accent5 5 2 2 2" xfId="15593" xr:uid="{E93EEFFF-1083-41D8-B05A-5F10CC7A77AD}"/>
    <cellStyle name="40% - Accent5 5 2 3" xfId="11375" xr:uid="{FDAC5151-6543-4313-AA38-D51173AFDEF9}"/>
    <cellStyle name="40% - Accent5 5 3" xfId="4998" xr:uid="{00000000-0005-0000-0000-0000D1060000}"/>
    <cellStyle name="40% - Accent5 5 3 2" xfId="13448" xr:uid="{CB365A24-23C6-4C8E-AFDD-6539CB04207C}"/>
    <cellStyle name="40% - Accent5 5 4" xfId="9230" xr:uid="{535FCF5E-D883-4200-8682-6CED755999C1}"/>
    <cellStyle name="40% - Accent5 6" xfId="1103" xr:uid="{00000000-0005-0000-0000-0000D2060000}"/>
    <cellStyle name="40% - Accent5 6 2" xfId="3334" xr:uid="{00000000-0005-0000-0000-0000D3060000}"/>
    <cellStyle name="40% - Accent5 6 2 2" xfId="7556" xr:uid="{00000000-0005-0000-0000-0000D4060000}"/>
    <cellStyle name="40% - Accent5 6 2 2 2" xfId="16006" xr:uid="{F3FD64C9-D3E7-4DD9-9675-881FA23F3A7E}"/>
    <cellStyle name="40% - Accent5 6 2 3" xfId="11788" xr:uid="{2F1B18D5-C70B-4AC3-B4FC-D8006EE92905}"/>
    <cellStyle name="40% - Accent5 6 3" xfId="5411" xr:uid="{00000000-0005-0000-0000-0000D5060000}"/>
    <cellStyle name="40% - Accent5 6 3 2" xfId="13861" xr:uid="{6702B6BD-9AE5-4803-9E7F-14C378577B7E}"/>
    <cellStyle name="40% - Accent5 6 4" xfId="9643" xr:uid="{9A261E11-ED7D-468B-A7A3-6C693A5134A3}"/>
    <cellStyle name="40% - Accent5 7" xfId="1517" xr:uid="{00000000-0005-0000-0000-0000D6060000}"/>
    <cellStyle name="40% - Accent5 7 2" xfId="3747" xr:uid="{00000000-0005-0000-0000-0000D7060000}"/>
    <cellStyle name="40% - Accent5 7 2 2" xfId="7969" xr:uid="{00000000-0005-0000-0000-0000D8060000}"/>
    <cellStyle name="40% - Accent5 7 2 2 2" xfId="16419" xr:uid="{D0528267-A7A3-4ED5-8FF0-7FB35160CB51}"/>
    <cellStyle name="40% - Accent5 7 2 3" xfId="12201" xr:uid="{F21C8F3A-3FAB-4FD4-94BD-0961AC9DD89D}"/>
    <cellStyle name="40% - Accent5 7 3" xfId="5824" xr:uid="{00000000-0005-0000-0000-0000D9060000}"/>
    <cellStyle name="40% - Accent5 7 3 2" xfId="14274" xr:uid="{5181803D-4905-4105-84E6-834B63746BAF}"/>
    <cellStyle name="40% - Accent5 7 4" xfId="10056" xr:uid="{A039CA6A-D278-4131-9BE5-F89821E1D3DE}"/>
    <cellStyle name="40% - Accent5 8" xfId="1931" xr:uid="{00000000-0005-0000-0000-0000DA060000}"/>
    <cellStyle name="40% - Accent5 8 2" xfId="4160" xr:uid="{00000000-0005-0000-0000-0000DB060000}"/>
    <cellStyle name="40% - Accent5 8 2 2" xfId="8382" xr:uid="{00000000-0005-0000-0000-0000DC060000}"/>
    <cellStyle name="40% - Accent5 8 2 2 2" xfId="16832" xr:uid="{759F64E9-DE40-4FE2-AB91-7BF3C3443831}"/>
    <cellStyle name="40% - Accent5 8 2 3" xfId="12614" xr:uid="{7EBF0E6B-F1D6-4588-87CE-66D618FA7C85}"/>
    <cellStyle name="40% - Accent5 8 3" xfId="6237" xr:uid="{00000000-0005-0000-0000-0000DD060000}"/>
    <cellStyle name="40% - Accent5 8 3 2" xfId="14687" xr:uid="{D0035F1A-0268-40F7-B7E4-DAF60D09D26A}"/>
    <cellStyle name="40% - Accent5 8 4" xfId="10469" xr:uid="{45F43BBA-8C44-4959-AC7C-CAC8090A0AA2}"/>
    <cellStyle name="40% - Accent5 9" xfId="2344" xr:uid="{00000000-0005-0000-0000-0000DE060000}"/>
    <cellStyle name="40% - Accent5 9 2" xfId="6650" xr:uid="{00000000-0005-0000-0000-0000DF060000}"/>
    <cellStyle name="40% - Accent5 9 2 2" xfId="15100" xr:uid="{EBBA6C29-D610-4E46-8C40-5A343FF1015B}"/>
    <cellStyle name="40% - Accent5 9 3" xfId="10882" xr:uid="{EF3EF279-A84E-4467-B0F5-DB659819921A}"/>
    <cellStyle name="40% - Accent6" xfId="89" builtinId="51" customBuiltin="1"/>
    <cellStyle name="40% - Accent6 10" xfId="4592" xr:uid="{00000000-0005-0000-0000-0000E1060000}"/>
    <cellStyle name="40% - Accent6 10 2" xfId="13042" xr:uid="{747BC759-2DAC-4CE7-82F2-4227682E2C6C}"/>
    <cellStyle name="40% - Accent6 11" xfId="8824" xr:uid="{3012C5F0-2054-43DF-BEAA-01665006C401}"/>
    <cellStyle name="40% - Accent6 2" xfId="90" xr:uid="{00000000-0005-0000-0000-0000E2060000}"/>
    <cellStyle name="40% - Accent6 2 10" xfId="8825" xr:uid="{E70336DA-912A-4DD2-9B1E-FADDAE8F0D5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2 2 2" xfId="15604" xr:uid="{60211CB3-7D7B-467B-8898-9510E5CE6E34}"/>
    <cellStyle name="40% - Accent6 2 2 2 2 2 3" xfId="11386" xr:uid="{C2961114-C6AD-4ECC-9339-D7DD09EE213D}"/>
    <cellStyle name="40% - Accent6 2 2 2 2 3" xfId="5009" xr:uid="{00000000-0005-0000-0000-0000E8060000}"/>
    <cellStyle name="40% - Accent6 2 2 2 2 3 2" xfId="13459" xr:uid="{291C4E50-E795-4799-83A9-4C408F3F8B0A}"/>
    <cellStyle name="40% - Accent6 2 2 2 2 4" xfId="9241" xr:uid="{892FE2B4-C002-4FE1-830C-F0DADD91BEE1}"/>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2 2 2" xfId="16017" xr:uid="{A0A57772-F881-4D6A-958E-9F02F8D42F9C}"/>
    <cellStyle name="40% - Accent6 2 2 2 3 2 3" xfId="11799" xr:uid="{61AF062C-17C9-41A1-9465-2F8683269B33}"/>
    <cellStyle name="40% - Accent6 2 2 2 3 3" xfId="5422" xr:uid="{00000000-0005-0000-0000-0000EC060000}"/>
    <cellStyle name="40% - Accent6 2 2 2 3 3 2" xfId="13872" xr:uid="{E1A831D0-683A-44AE-A25D-ABE92D0ECC71}"/>
    <cellStyle name="40% - Accent6 2 2 2 3 4" xfId="9654" xr:uid="{915B15CD-086B-4A9D-9199-92AC07E1158C}"/>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2 2 2" xfId="16430" xr:uid="{232967A2-AAA2-4D22-A025-586853515BA4}"/>
    <cellStyle name="40% - Accent6 2 2 2 4 2 3" xfId="12212" xr:uid="{636AA185-CACD-4341-A579-C382A062F466}"/>
    <cellStyle name="40% - Accent6 2 2 2 4 3" xfId="5835" xr:uid="{00000000-0005-0000-0000-0000F0060000}"/>
    <cellStyle name="40% - Accent6 2 2 2 4 3 2" xfId="14285" xr:uid="{5ED7DFA1-4958-42FD-B19A-A14B114FFDEB}"/>
    <cellStyle name="40% - Accent6 2 2 2 4 4" xfId="10067" xr:uid="{6225EB9A-4D62-4342-8CC9-F6AB4F9542FA}"/>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2 2 2" xfId="16843" xr:uid="{AA4E9B4E-A371-40BC-B421-F4394E5F8A00}"/>
    <cellStyle name="40% - Accent6 2 2 2 5 2 3" xfId="12625" xr:uid="{92BDE07D-443F-41F2-9EDE-5929D12E95A4}"/>
    <cellStyle name="40% - Accent6 2 2 2 5 3" xfId="6248" xr:uid="{00000000-0005-0000-0000-0000F4060000}"/>
    <cellStyle name="40% - Accent6 2 2 2 5 3 2" xfId="14698" xr:uid="{4B98BFE7-8363-4D54-BD21-E2B4C6A938AF}"/>
    <cellStyle name="40% - Accent6 2 2 2 5 4" xfId="10480" xr:uid="{D1AA7210-566A-445C-BC21-D9FA2DCD02B5}"/>
    <cellStyle name="40% - Accent6 2 2 2 6" xfId="2355" xr:uid="{00000000-0005-0000-0000-0000F5060000}"/>
    <cellStyle name="40% - Accent6 2 2 2 6 2" xfId="6661" xr:uid="{00000000-0005-0000-0000-0000F6060000}"/>
    <cellStyle name="40% - Accent6 2 2 2 6 2 2" xfId="15111" xr:uid="{FFFC7A02-0ECD-45E4-81E2-852832BE4211}"/>
    <cellStyle name="40% - Accent6 2 2 2 6 3" xfId="10893" xr:uid="{4FE39501-D69D-4992-85A5-C6F4A07B6152}"/>
    <cellStyle name="40% - Accent6 2 2 2 7" xfId="4595" xr:uid="{00000000-0005-0000-0000-0000F7060000}"/>
    <cellStyle name="40% - Accent6 2 2 2 7 2" xfId="13045" xr:uid="{316653DE-0CAC-43D0-92AF-6FC3C77D73C6}"/>
    <cellStyle name="40% - Accent6 2 2 2 8" xfId="8827" xr:uid="{EC53A900-52F3-4FE2-946F-B99495FCA2E1}"/>
    <cellStyle name="40% - Accent6 2 2 3" xfId="660" xr:uid="{00000000-0005-0000-0000-0000F8060000}"/>
    <cellStyle name="40% - Accent6 2 2 3 2" xfId="2931" xr:uid="{00000000-0005-0000-0000-0000F9060000}"/>
    <cellStyle name="40% - Accent6 2 2 3 2 2" xfId="7153" xr:uid="{00000000-0005-0000-0000-0000FA060000}"/>
    <cellStyle name="40% - Accent6 2 2 3 2 2 2" xfId="15603" xr:uid="{A6199470-D027-4DD6-83DF-C6A24695F346}"/>
    <cellStyle name="40% - Accent6 2 2 3 2 3" xfId="11385" xr:uid="{3C70D8C1-CCAF-4B56-9B33-BDA6159C2A2D}"/>
    <cellStyle name="40% - Accent6 2 2 3 3" xfId="5008" xr:uid="{00000000-0005-0000-0000-0000FB060000}"/>
    <cellStyle name="40% - Accent6 2 2 3 3 2" xfId="13458" xr:uid="{E286DAA7-B915-4957-BAB6-5C98A3F7E0EF}"/>
    <cellStyle name="40% - Accent6 2 2 3 4" xfId="9240" xr:uid="{C028319F-032B-4AE4-BB4C-1403EE76D495}"/>
    <cellStyle name="40% - Accent6 2 2 4" xfId="1113" xr:uid="{00000000-0005-0000-0000-0000FC060000}"/>
    <cellStyle name="40% - Accent6 2 2 4 2" xfId="3344" xr:uid="{00000000-0005-0000-0000-0000FD060000}"/>
    <cellStyle name="40% - Accent6 2 2 4 2 2" xfId="7566" xr:uid="{00000000-0005-0000-0000-0000FE060000}"/>
    <cellStyle name="40% - Accent6 2 2 4 2 2 2" xfId="16016" xr:uid="{958376ED-5B41-4D98-A04D-F1812471B0FA}"/>
    <cellStyle name="40% - Accent6 2 2 4 2 3" xfId="11798" xr:uid="{CC0CB7D4-6E32-40BD-AD10-A28243C6D615}"/>
    <cellStyle name="40% - Accent6 2 2 4 3" xfId="5421" xr:uid="{00000000-0005-0000-0000-0000FF060000}"/>
    <cellStyle name="40% - Accent6 2 2 4 3 2" xfId="13871" xr:uid="{D7D04C6F-6F0C-48FC-8430-CE49E8D7E313}"/>
    <cellStyle name="40% - Accent6 2 2 4 4" xfId="9653" xr:uid="{86795604-58ED-49E6-A17B-FABEB0369523}"/>
    <cellStyle name="40% - Accent6 2 2 5" xfId="1527" xr:uid="{00000000-0005-0000-0000-000000070000}"/>
    <cellStyle name="40% - Accent6 2 2 5 2" xfId="3757" xr:uid="{00000000-0005-0000-0000-000001070000}"/>
    <cellStyle name="40% - Accent6 2 2 5 2 2" xfId="7979" xr:uid="{00000000-0005-0000-0000-000002070000}"/>
    <cellStyle name="40% - Accent6 2 2 5 2 2 2" xfId="16429" xr:uid="{1C3961F8-208E-4449-9B05-6B2E880B06AB}"/>
    <cellStyle name="40% - Accent6 2 2 5 2 3" xfId="12211" xr:uid="{11ECAABC-95A0-4924-9B6F-E5AD2ACEF6B1}"/>
    <cellStyle name="40% - Accent6 2 2 5 3" xfId="5834" xr:uid="{00000000-0005-0000-0000-000003070000}"/>
    <cellStyle name="40% - Accent6 2 2 5 3 2" xfId="14284" xr:uid="{007699EF-C350-42FE-8C2B-8C728954D043}"/>
    <cellStyle name="40% - Accent6 2 2 5 4" xfId="10066" xr:uid="{83743313-04BF-4AF6-BA68-15A72116D469}"/>
    <cellStyle name="40% - Accent6 2 2 6" xfId="1941" xr:uid="{00000000-0005-0000-0000-000004070000}"/>
    <cellStyle name="40% - Accent6 2 2 6 2" xfId="4170" xr:uid="{00000000-0005-0000-0000-000005070000}"/>
    <cellStyle name="40% - Accent6 2 2 6 2 2" xfId="8392" xr:uid="{00000000-0005-0000-0000-000006070000}"/>
    <cellStyle name="40% - Accent6 2 2 6 2 2 2" xfId="16842" xr:uid="{85861FDB-D1FC-4214-A6C6-3115DBC4E56C}"/>
    <cellStyle name="40% - Accent6 2 2 6 2 3" xfId="12624" xr:uid="{27CA9926-1F61-472C-ADD4-FC76FAEF3238}"/>
    <cellStyle name="40% - Accent6 2 2 6 3" xfId="6247" xr:uid="{00000000-0005-0000-0000-000007070000}"/>
    <cellStyle name="40% - Accent6 2 2 6 3 2" xfId="14697" xr:uid="{2BF17FCD-8223-445B-9338-6803FBCC510C}"/>
    <cellStyle name="40% - Accent6 2 2 6 4" xfId="10479" xr:uid="{DCCD529F-327A-47FA-BB90-0018EF29898A}"/>
    <cellStyle name="40% - Accent6 2 2 7" xfId="2354" xr:uid="{00000000-0005-0000-0000-000008070000}"/>
    <cellStyle name="40% - Accent6 2 2 7 2" xfId="6660" xr:uid="{00000000-0005-0000-0000-000009070000}"/>
    <cellStyle name="40% - Accent6 2 2 7 2 2" xfId="15110" xr:uid="{11648E5A-9C2C-44BE-B47E-A78029FE1195}"/>
    <cellStyle name="40% - Accent6 2 2 7 3" xfId="10892" xr:uid="{6886DB3C-03B6-4574-8563-0F933A9F0551}"/>
    <cellStyle name="40% - Accent6 2 2 8" xfId="4594" xr:uid="{00000000-0005-0000-0000-00000A070000}"/>
    <cellStyle name="40% - Accent6 2 2 8 2" xfId="13044" xr:uid="{AC52EED6-FCCA-4EFC-ABFB-C53849A32842}"/>
    <cellStyle name="40% - Accent6 2 2 9" xfId="8826" xr:uid="{5A74B11C-BF47-4622-8293-333ADE4BF2E9}"/>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2 2 2" xfId="15605" xr:uid="{2CCDEBA4-1FC8-4D20-AC2C-7C08B08C5B11}"/>
    <cellStyle name="40% - Accent6 2 3 2 2 3" xfId="11387" xr:uid="{1B51A01D-C6CA-4B80-95A9-1B118098564F}"/>
    <cellStyle name="40% - Accent6 2 3 2 3" xfId="5010" xr:uid="{00000000-0005-0000-0000-00000F070000}"/>
    <cellStyle name="40% - Accent6 2 3 2 3 2" xfId="13460" xr:uid="{FD83F59B-51D9-4A63-9744-974A90085493}"/>
    <cellStyle name="40% - Accent6 2 3 2 4" xfId="9242" xr:uid="{62B8C059-4A8A-47D3-B87E-E5C41F4F36EE}"/>
    <cellStyle name="40% - Accent6 2 3 3" xfId="1115" xr:uid="{00000000-0005-0000-0000-000010070000}"/>
    <cellStyle name="40% - Accent6 2 3 3 2" xfId="3346" xr:uid="{00000000-0005-0000-0000-000011070000}"/>
    <cellStyle name="40% - Accent6 2 3 3 2 2" xfId="7568" xr:uid="{00000000-0005-0000-0000-000012070000}"/>
    <cellStyle name="40% - Accent6 2 3 3 2 2 2" xfId="16018" xr:uid="{441673A8-22AF-4C9D-A0ED-E28B7F1FC076}"/>
    <cellStyle name="40% - Accent6 2 3 3 2 3" xfId="11800" xr:uid="{53963AEB-6966-44D7-A7FE-4A86AB398FFC}"/>
    <cellStyle name="40% - Accent6 2 3 3 3" xfId="5423" xr:uid="{00000000-0005-0000-0000-000013070000}"/>
    <cellStyle name="40% - Accent6 2 3 3 3 2" xfId="13873" xr:uid="{3142D748-F017-442A-B0DE-28FEF4E5F965}"/>
    <cellStyle name="40% - Accent6 2 3 3 4" xfId="9655" xr:uid="{BE8FDF60-FF80-4DD3-9F3C-657A85CF1E4F}"/>
    <cellStyle name="40% - Accent6 2 3 4" xfId="1529" xr:uid="{00000000-0005-0000-0000-000014070000}"/>
    <cellStyle name="40% - Accent6 2 3 4 2" xfId="3759" xr:uid="{00000000-0005-0000-0000-000015070000}"/>
    <cellStyle name="40% - Accent6 2 3 4 2 2" xfId="7981" xr:uid="{00000000-0005-0000-0000-000016070000}"/>
    <cellStyle name="40% - Accent6 2 3 4 2 2 2" xfId="16431" xr:uid="{376D37E6-6138-43AE-ADAC-6475CEA70760}"/>
    <cellStyle name="40% - Accent6 2 3 4 2 3" xfId="12213" xr:uid="{7B29B42C-5344-488E-B180-9A572231A2F7}"/>
    <cellStyle name="40% - Accent6 2 3 4 3" xfId="5836" xr:uid="{00000000-0005-0000-0000-000017070000}"/>
    <cellStyle name="40% - Accent6 2 3 4 3 2" xfId="14286" xr:uid="{003C85D6-3E94-42EE-85B3-32F775A8B5FD}"/>
    <cellStyle name="40% - Accent6 2 3 4 4" xfId="10068" xr:uid="{4768AA01-CA09-4D9B-B066-233A6AAA130D}"/>
    <cellStyle name="40% - Accent6 2 3 5" xfId="1943" xr:uid="{00000000-0005-0000-0000-000018070000}"/>
    <cellStyle name="40% - Accent6 2 3 5 2" xfId="4172" xr:uid="{00000000-0005-0000-0000-000019070000}"/>
    <cellStyle name="40% - Accent6 2 3 5 2 2" xfId="8394" xr:uid="{00000000-0005-0000-0000-00001A070000}"/>
    <cellStyle name="40% - Accent6 2 3 5 2 2 2" xfId="16844" xr:uid="{3BB038B7-23FD-488C-AF88-8F3E74F8C071}"/>
    <cellStyle name="40% - Accent6 2 3 5 2 3" xfId="12626" xr:uid="{D4AD9C21-7411-431E-B391-916E3B88D875}"/>
    <cellStyle name="40% - Accent6 2 3 5 3" xfId="6249" xr:uid="{00000000-0005-0000-0000-00001B070000}"/>
    <cellStyle name="40% - Accent6 2 3 5 3 2" xfId="14699" xr:uid="{55C3DCFE-F338-469C-9A59-E98A16F7E9D7}"/>
    <cellStyle name="40% - Accent6 2 3 5 4" xfId="10481" xr:uid="{5B6A7C24-4610-408B-911E-46DA690D5DDE}"/>
    <cellStyle name="40% - Accent6 2 3 6" xfId="2356" xr:uid="{00000000-0005-0000-0000-00001C070000}"/>
    <cellStyle name="40% - Accent6 2 3 6 2" xfId="6662" xr:uid="{00000000-0005-0000-0000-00001D070000}"/>
    <cellStyle name="40% - Accent6 2 3 6 2 2" xfId="15112" xr:uid="{CE7BB5EA-7F2B-4371-8F74-722054DE6626}"/>
    <cellStyle name="40% - Accent6 2 3 6 3" xfId="10894" xr:uid="{F83A72B9-E197-4628-A991-FC84B00E6855}"/>
    <cellStyle name="40% - Accent6 2 3 7" xfId="4596" xr:uid="{00000000-0005-0000-0000-00001E070000}"/>
    <cellStyle name="40% - Accent6 2 3 7 2" xfId="13046" xr:uid="{7FB5CDF9-F5DE-49F3-B058-20756FA4FB2F}"/>
    <cellStyle name="40% - Accent6 2 3 8" xfId="8828" xr:uid="{75C9A1FD-B0D0-461A-BC30-640FFF2A34A1}"/>
    <cellStyle name="40% - Accent6 2 4" xfId="659" xr:uid="{00000000-0005-0000-0000-00001F070000}"/>
    <cellStyle name="40% - Accent6 2 4 2" xfId="2930" xr:uid="{00000000-0005-0000-0000-000020070000}"/>
    <cellStyle name="40% - Accent6 2 4 2 2" xfId="7152" xr:uid="{00000000-0005-0000-0000-000021070000}"/>
    <cellStyle name="40% - Accent6 2 4 2 2 2" xfId="15602" xr:uid="{AE941FFA-388E-430C-A0B0-ED9DF53F779B}"/>
    <cellStyle name="40% - Accent6 2 4 2 3" xfId="11384" xr:uid="{B9839CE8-63CB-4E27-8A6C-5D57A553F811}"/>
    <cellStyle name="40% - Accent6 2 4 3" xfId="5007" xr:uid="{00000000-0005-0000-0000-000022070000}"/>
    <cellStyle name="40% - Accent6 2 4 3 2" xfId="13457" xr:uid="{61A194BF-EB59-491A-8A0C-1E0330C5A236}"/>
    <cellStyle name="40% - Accent6 2 4 4" xfId="9239" xr:uid="{DC383AC1-3668-478A-BB31-6B62D32E703D}"/>
    <cellStyle name="40% - Accent6 2 5" xfId="1112" xr:uid="{00000000-0005-0000-0000-000023070000}"/>
    <cellStyle name="40% - Accent6 2 5 2" xfId="3343" xr:uid="{00000000-0005-0000-0000-000024070000}"/>
    <cellStyle name="40% - Accent6 2 5 2 2" xfId="7565" xr:uid="{00000000-0005-0000-0000-000025070000}"/>
    <cellStyle name="40% - Accent6 2 5 2 2 2" xfId="16015" xr:uid="{70D66AD3-16DA-41A3-866C-585243AA9AE4}"/>
    <cellStyle name="40% - Accent6 2 5 2 3" xfId="11797" xr:uid="{A80B1B52-7152-487E-BD7F-8245C5D7B7FD}"/>
    <cellStyle name="40% - Accent6 2 5 3" xfId="5420" xr:uid="{00000000-0005-0000-0000-000026070000}"/>
    <cellStyle name="40% - Accent6 2 5 3 2" xfId="13870" xr:uid="{4F93A90D-FCDF-4675-B198-216773002451}"/>
    <cellStyle name="40% - Accent6 2 5 4" xfId="9652" xr:uid="{DB67EB97-4C3F-4D47-A89D-F18193FBFA2F}"/>
    <cellStyle name="40% - Accent6 2 6" xfId="1526" xr:uid="{00000000-0005-0000-0000-000027070000}"/>
    <cellStyle name="40% - Accent6 2 6 2" xfId="3756" xr:uid="{00000000-0005-0000-0000-000028070000}"/>
    <cellStyle name="40% - Accent6 2 6 2 2" xfId="7978" xr:uid="{00000000-0005-0000-0000-000029070000}"/>
    <cellStyle name="40% - Accent6 2 6 2 2 2" xfId="16428" xr:uid="{38F898C2-2169-499F-BE3C-E7DF92CF4FC9}"/>
    <cellStyle name="40% - Accent6 2 6 2 3" xfId="12210" xr:uid="{0AA972B3-9E6C-4E6E-B5C2-333E69311423}"/>
    <cellStyle name="40% - Accent6 2 6 3" xfId="5833" xr:uid="{00000000-0005-0000-0000-00002A070000}"/>
    <cellStyle name="40% - Accent6 2 6 3 2" xfId="14283" xr:uid="{497DA238-0ED2-4AAC-9F5A-B5B7C1C584DF}"/>
    <cellStyle name="40% - Accent6 2 6 4" xfId="10065" xr:uid="{8F515C17-ED68-4FC7-A0EC-EE370CB006C4}"/>
    <cellStyle name="40% - Accent6 2 7" xfId="1940" xr:uid="{00000000-0005-0000-0000-00002B070000}"/>
    <cellStyle name="40% - Accent6 2 7 2" xfId="4169" xr:uid="{00000000-0005-0000-0000-00002C070000}"/>
    <cellStyle name="40% - Accent6 2 7 2 2" xfId="8391" xr:uid="{00000000-0005-0000-0000-00002D070000}"/>
    <cellStyle name="40% - Accent6 2 7 2 2 2" xfId="16841" xr:uid="{5ADCB58B-697F-4C49-A433-74C163E0A01D}"/>
    <cellStyle name="40% - Accent6 2 7 2 3" xfId="12623" xr:uid="{ECD82840-4BAC-4AD1-925D-F5D346581BBA}"/>
    <cellStyle name="40% - Accent6 2 7 3" xfId="6246" xr:uid="{00000000-0005-0000-0000-00002E070000}"/>
    <cellStyle name="40% - Accent6 2 7 3 2" xfId="14696" xr:uid="{039F0295-BA77-4180-81EB-5818CDF43B77}"/>
    <cellStyle name="40% - Accent6 2 7 4" xfId="10478" xr:uid="{BD7C2093-85AD-4698-9752-9FE7747158BD}"/>
    <cellStyle name="40% - Accent6 2 8" xfId="2353" xr:uid="{00000000-0005-0000-0000-00002F070000}"/>
    <cellStyle name="40% - Accent6 2 8 2" xfId="6659" xr:uid="{00000000-0005-0000-0000-000030070000}"/>
    <cellStyle name="40% - Accent6 2 8 2 2" xfId="15109" xr:uid="{690C9E15-C902-4BAD-A67D-AE4D925EFD39}"/>
    <cellStyle name="40% - Accent6 2 8 3" xfId="10891" xr:uid="{34B94465-C1D6-4FFA-B3E1-300A43709E13}"/>
    <cellStyle name="40% - Accent6 2 9" xfId="4593" xr:uid="{00000000-0005-0000-0000-000031070000}"/>
    <cellStyle name="40% - Accent6 2 9 2" xfId="13043" xr:uid="{29562C6A-69BF-41EB-B864-C0C7B8749982}"/>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2 2 2" xfId="15607" xr:uid="{B9E8578C-7FF9-45C3-92F3-EE8962CC181E}"/>
    <cellStyle name="40% - Accent6 3 2 2 2 3" xfId="11389" xr:uid="{CEA0855C-9250-4A5B-907E-6F1F69F5252D}"/>
    <cellStyle name="40% - Accent6 3 2 2 3" xfId="5012" xr:uid="{00000000-0005-0000-0000-000037070000}"/>
    <cellStyle name="40% - Accent6 3 2 2 3 2" xfId="13462" xr:uid="{E8D7788B-D6BF-4505-822E-113DD1A68FE4}"/>
    <cellStyle name="40% - Accent6 3 2 2 4" xfId="9244" xr:uid="{155C9210-7D5A-4E05-B02D-B2E0189B6898}"/>
    <cellStyle name="40% - Accent6 3 2 3" xfId="1117" xr:uid="{00000000-0005-0000-0000-000038070000}"/>
    <cellStyle name="40% - Accent6 3 2 3 2" xfId="3348" xr:uid="{00000000-0005-0000-0000-000039070000}"/>
    <cellStyle name="40% - Accent6 3 2 3 2 2" xfId="7570" xr:uid="{00000000-0005-0000-0000-00003A070000}"/>
    <cellStyle name="40% - Accent6 3 2 3 2 2 2" xfId="16020" xr:uid="{EE3D2496-F8D0-4800-A0C0-37B5632CC9AC}"/>
    <cellStyle name="40% - Accent6 3 2 3 2 3" xfId="11802" xr:uid="{B2349730-BEB4-4B50-A1B9-4B804FD3923F}"/>
    <cellStyle name="40% - Accent6 3 2 3 3" xfId="5425" xr:uid="{00000000-0005-0000-0000-00003B070000}"/>
    <cellStyle name="40% - Accent6 3 2 3 3 2" xfId="13875" xr:uid="{55EFA435-0A19-4F99-A18B-85ABF161F37A}"/>
    <cellStyle name="40% - Accent6 3 2 3 4" xfId="9657" xr:uid="{7C2A8A0C-1BB0-4A8F-BF6D-D40CBDFF7C17}"/>
    <cellStyle name="40% - Accent6 3 2 4" xfId="1531" xr:uid="{00000000-0005-0000-0000-00003C070000}"/>
    <cellStyle name="40% - Accent6 3 2 4 2" xfId="3761" xr:uid="{00000000-0005-0000-0000-00003D070000}"/>
    <cellStyle name="40% - Accent6 3 2 4 2 2" xfId="7983" xr:uid="{00000000-0005-0000-0000-00003E070000}"/>
    <cellStyle name="40% - Accent6 3 2 4 2 2 2" xfId="16433" xr:uid="{52665102-07D6-497F-89D3-984B53045BF6}"/>
    <cellStyle name="40% - Accent6 3 2 4 2 3" xfId="12215" xr:uid="{3D5C7811-52C0-45F6-AF62-22C0CD3B4E85}"/>
    <cellStyle name="40% - Accent6 3 2 4 3" xfId="5838" xr:uid="{00000000-0005-0000-0000-00003F070000}"/>
    <cellStyle name="40% - Accent6 3 2 4 3 2" xfId="14288" xr:uid="{497AAA7D-E426-4EC4-9392-907CD2D3A922}"/>
    <cellStyle name="40% - Accent6 3 2 4 4" xfId="10070" xr:uid="{33E63D98-7D11-43E0-B710-A44C61C33D48}"/>
    <cellStyle name="40% - Accent6 3 2 5" xfId="1945" xr:uid="{00000000-0005-0000-0000-000040070000}"/>
    <cellStyle name="40% - Accent6 3 2 5 2" xfId="4174" xr:uid="{00000000-0005-0000-0000-000041070000}"/>
    <cellStyle name="40% - Accent6 3 2 5 2 2" xfId="8396" xr:uid="{00000000-0005-0000-0000-000042070000}"/>
    <cellStyle name="40% - Accent6 3 2 5 2 2 2" xfId="16846" xr:uid="{DF9BEA75-776C-448F-8BFC-B39CF2D44567}"/>
    <cellStyle name="40% - Accent6 3 2 5 2 3" xfId="12628" xr:uid="{6090FDEA-1201-44A7-A9D5-0E28F18EB19E}"/>
    <cellStyle name="40% - Accent6 3 2 5 3" xfId="6251" xr:uid="{00000000-0005-0000-0000-000043070000}"/>
    <cellStyle name="40% - Accent6 3 2 5 3 2" xfId="14701" xr:uid="{5DAF34E8-D80C-4911-B56C-7B1129246D01}"/>
    <cellStyle name="40% - Accent6 3 2 5 4" xfId="10483" xr:uid="{126D2E59-430C-4370-A68C-6FBB45A00280}"/>
    <cellStyle name="40% - Accent6 3 2 6" xfId="2358" xr:uid="{00000000-0005-0000-0000-000044070000}"/>
    <cellStyle name="40% - Accent6 3 2 6 2" xfId="6664" xr:uid="{00000000-0005-0000-0000-000045070000}"/>
    <cellStyle name="40% - Accent6 3 2 6 2 2" xfId="15114" xr:uid="{A8977634-DE0C-4D41-84AE-0F5A95728509}"/>
    <cellStyle name="40% - Accent6 3 2 6 3" xfId="10896" xr:uid="{C98AFF98-B201-4033-B589-7B6BA15C6682}"/>
    <cellStyle name="40% - Accent6 3 2 7" xfId="4598" xr:uid="{00000000-0005-0000-0000-000046070000}"/>
    <cellStyle name="40% - Accent6 3 2 7 2" xfId="13048" xr:uid="{433EEFFE-4FCD-4B21-9B8C-C4BAB4A3AAB4}"/>
    <cellStyle name="40% - Accent6 3 2 8" xfId="8830" xr:uid="{F32E894D-B35B-46FD-9362-BE31DB893EB1}"/>
    <cellStyle name="40% - Accent6 3 3" xfId="663" xr:uid="{00000000-0005-0000-0000-000047070000}"/>
    <cellStyle name="40% - Accent6 3 3 2" xfId="2934" xr:uid="{00000000-0005-0000-0000-000048070000}"/>
    <cellStyle name="40% - Accent6 3 3 2 2" xfId="7156" xr:uid="{00000000-0005-0000-0000-000049070000}"/>
    <cellStyle name="40% - Accent6 3 3 2 2 2" xfId="15606" xr:uid="{8E2AC90D-8893-47B7-A84A-1A949EB10402}"/>
    <cellStyle name="40% - Accent6 3 3 2 3" xfId="11388" xr:uid="{AB1DD3DD-ACAE-450F-93FA-1AFC57AB59D5}"/>
    <cellStyle name="40% - Accent6 3 3 3" xfId="5011" xr:uid="{00000000-0005-0000-0000-00004A070000}"/>
    <cellStyle name="40% - Accent6 3 3 3 2" xfId="13461" xr:uid="{153698CC-E6D7-415E-8898-8BB72431E9A8}"/>
    <cellStyle name="40% - Accent6 3 3 4" xfId="9243" xr:uid="{3D417571-1F4E-4130-82E6-F495E48B7E06}"/>
    <cellStyle name="40% - Accent6 3 4" xfId="1116" xr:uid="{00000000-0005-0000-0000-00004B070000}"/>
    <cellStyle name="40% - Accent6 3 4 2" xfId="3347" xr:uid="{00000000-0005-0000-0000-00004C070000}"/>
    <cellStyle name="40% - Accent6 3 4 2 2" xfId="7569" xr:uid="{00000000-0005-0000-0000-00004D070000}"/>
    <cellStyle name="40% - Accent6 3 4 2 2 2" xfId="16019" xr:uid="{38052B9C-F5E3-48FB-8CF5-745B39E91151}"/>
    <cellStyle name="40% - Accent6 3 4 2 3" xfId="11801" xr:uid="{09610E44-42DC-41D4-B0F7-F6C17DD23B95}"/>
    <cellStyle name="40% - Accent6 3 4 3" xfId="5424" xr:uid="{00000000-0005-0000-0000-00004E070000}"/>
    <cellStyle name="40% - Accent6 3 4 3 2" xfId="13874" xr:uid="{F95C6BD6-F253-4588-B0A1-6181FE091408}"/>
    <cellStyle name="40% - Accent6 3 4 4" xfId="9656" xr:uid="{1AF67F24-9260-43EA-8D20-1A91C28EB2F0}"/>
    <cellStyle name="40% - Accent6 3 5" xfId="1530" xr:uid="{00000000-0005-0000-0000-00004F070000}"/>
    <cellStyle name="40% - Accent6 3 5 2" xfId="3760" xr:uid="{00000000-0005-0000-0000-000050070000}"/>
    <cellStyle name="40% - Accent6 3 5 2 2" xfId="7982" xr:uid="{00000000-0005-0000-0000-000051070000}"/>
    <cellStyle name="40% - Accent6 3 5 2 2 2" xfId="16432" xr:uid="{51F75B45-FF1A-486D-B608-992C80EA3819}"/>
    <cellStyle name="40% - Accent6 3 5 2 3" xfId="12214" xr:uid="{919EDB91-4324-437C-BBBC-EAFB4BCADDB0}"/>
    <cellStyle name="40% - Accent6 3 5 3" xfId="5837" xr:uid="{00000000-0005-0000-0000-000052070000}"/>
    <cellStyle name="40% - Accent6 3 5 3 2" xfId="14287" xr:uid="{43B7CA41-655A-48A3-9AAE-E6CC882BA91E}"/>
    <cellStyle name="40% - Accent6 3 5 4" xfId="10069" xr:uid="{FA52C3C4-219F-4E84-80C1-9B3E06EA7D29}"/>
    <cellStyle name="40% - Accent6 3 6" xfId="1944" xr:uid="{00000000-0005-0000-0000-000053070000}"/>
    <cellStyle name="40% - Accent6 3 6 2" xfId="4173" xr:uid="{00000000-0005-0000-0000-000054070000}"/>
    <cellStyle name="40% - Accent6 3 6 2 2" xfId="8395" xr:uid="{00000000-0005-0000-0000-000055070000}"/>
    <cellStyle name="40% - Accent6 3 6 2 2 2" xfId="16845" xr:uid="{DB78F4EA-46E2-4D7C-B7DD-B054B19E0F55}"/>
    <cellStyle name="40% - Accent6 3 6 2 3" xfId="12627" xr:uid="{EF363124-93D2-40E6-B137-581F75698B05}"/>
    <cellStyle name="40% - Accent6 3 6 3" xfId="6250" xr:uid="{00000000-0005-0000-0000-000056070000}"/>
    <cellStyle name="40% - Accent6 3 6 3 2" xfId="14700" xr:uid="{2766CC65-726F-4A24-ABF6-F86733D13F85}"/>
    <cellStyle name="40% - Accent6 3 6 4" xfId="10482" xr:uid="{B4E27638-6B69-467D-8610-B1C9642D805C}"/>
    <cellStyle name="40% - Accent6 3 7" xfId="2357" xr:uid="{00000000-0005-0000-0000-000057070000}"/>
    <cellStyle name="40% - Accent6 3 7 2" xfId="6663" xr:uid="{00000000-0005-0000-0000-000058070000}"/>
    <cellStyle name="40% - Accent6 3 7 2 2" xfId="15113" xr:uid="{6C37A545-A275-4E6B-9230-C993BEB22137}"/>
    <cellStyle name="40% - Accent6 3 7 3" xfId="10895" xr:uid="{57A35664-7D57-4160-BBD0-774F9E91475F}"/>
    <cellStyle name="40% - Accent6 3 8" xfId="4597" xr:uid="{00000000-0005-0000-0000-000059070000}"/>
    <cellStyle name="40% - Accent6 3 8 2" xfId="13047" xr:uid="{D114DB93-45D3-484C-9597-C160A0EA32F1}"/>
    <cellStyle name="40% - Accent6 3 9" xfId="8829" xr:uid="{992F52C4-32FE-45B9-BF93-468DC876ACDD}"/>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2 2 2" xfId="15608" xr:uid="{F42F6173-D5DB-409A-94CE-ACFF5A0A8F73}"/>
    <cellStyle name="40% - Accent6 4 2 2 3" xfId="11390" xr:uid="{6961C474-8C77-4E57-B3C3-E30629850FB8}"/>
    <cellStyle name="40% - Accent6 4 2 3" xfId="5013" xr:uid="{00000000-0005-0000-0000-00005E070000}"/>
    <cellStyle name="40% - Accent6 4 2 3 2" xfId="13463" xr:uid="{54BC8F37-7986-44FD-8A5A-068B236888DB}"/>
    <cellStyle name="40% - Accent6 4 2 4" xfId="9245" xr:uid="{3CBFD017-6B43-458F-BC13-F59643970755}"/>
    <cellStyle name="40% - Accent6 4 3" xfId="1118" xr:uid="{00000000-0005-0000-0000-00005F070000}"/>
    <cellStyle name="40% - Accent6 4 3 2" xfId="3349" xr:uid="{00000000-0005-0000-0000-000060070000}"/>
    <cellStyle name="40% - Accent6 4 3 2 2" xfId="7571" xr:uid="{00000000-0005-0000-0000-000061070000}"/>
    <cellStyle name="40% - Accent6 4 3 2 2 2" xfId="16021" xr:uid="{E44F3BE6-A01C-4659-9FDF-E56085023684}"/>
    <cellStyle name="40% - Accent6 4 3 2 3" xfId="11803" xr:uid="{B197F81E-470F-44A2-A66B-19F64242FE35}"/>
    <cellStyle name="40% - Accent6 4 3 3" xfId="5426" xr:uid="{00000000-0005-0000-0000-000062070000}"/>
    <cellStyle name="40% - Accent6 4 3 3 2" xfId="13876" xr:uid="{347838F5-E357-426C-99E6-EC4A18E1AF6E}"/>
    <cellStyle name="40% - Accent6 4 3 4" xfId="9658" xr:uid="{AFB33314-3D39-4B45-B175-3EACAB261815}"/>
    <cellStyle name="40% - Accent6 4 4" xfId="1532" xr:uid="{00000000-0005-0000-0000-000063070000}"/>
    <cellStyle name="40% - Accent6 4 4 2" xfId="3762" xr:uid="{00000000-0005-0000-0000-000064070000}"/>
    <cellStyle name="40% - Accent6 4 4 2 2" xfId="7984" xr:uid="{00000000-0005-0000-0000-000065070000}"/>
    <cellStyle name="40% - Accent6 4 4 2 2 2" xfId="16434" xr:uid="{5F2BE178-8A17-4ECA-BF33-6EA562C315D1}"/>
    <cellStyle name="40% - Accent6 4 4 2 3" xfId="12216" xr:uid="{40DADAE5-27C6-44D1-BD07-E96346E91ED8}"/>
    <cellStyle name="40% - Accent6 4 4 3" xfId="5839" xr:uid="{00000000-0005-0000-0000-000066070000}"/>
    <cellStyle name="40% - Accent6 4 4 3 2" xfId="14289" xr:uid="{99003331-4CD5-4675-9016-55616FDA0B4E}"/>
    <cellStyle name="40% - Accent6 4 4 4" xfId="10071" xr:uid="{9CBD4431-5C55-47D1-84DC-0727BBB1B216}"/>
    <cellStyle name="40% - Accent6 4 5" xfId="1946" xr:uid="{00000000-0005-0000-0000-000067070000}"/>
    <cellStyle name="40% - Accent6 4 5 2" xfId="4175" xr:uid="{00000000-0005-0000-0000-000068070000}"/>
    <cellStyle name="40% - Accent6 4 5 2 2" xfId="8397" xr:uid="{00000000-0005-0000-0000-000069070000}"/>
    <cellStyle name="40% - Accent6 4 5 2 2 2" xfId="16847" xr:uid="{C8218DCE-49E9-4D0A-9F4D-608BFBF5067F}"/>
    <cellStyle name="40% - Accent6 4 5 2 3" xfId="12629" xr:uid="{EA702C9F-EECC-40CE-BBAE-45BAA9163649}"/>
    <cellStyle name="40% - Accent6 4 5 3" xfId="6252" xr:uid="{00000000-0005-0000-0000-00006A070000}"/>
    <cellStyle name="40% - Accent6 4 5 3 2" xfId="14702" xr:uid="{F5FB6AE9-9D85-4CDB-B286-3D81731F8CE6}"/>
    <cellStyle name="40% - Accent6 4 5 4" xfId="10484" xr:uid="{90CE157A-FAA6-4D0B-B4CF-8F80E918AE2B}"/>
    <cellStyle name="40% - Accent6 4 6" xfId="2359" xr:uid="{00000000-0005-0000-0000-00006B070000}"/>
    <cellStyle name="40% - Accent6 4 6 2" xfId="6665" xr:uid="{00000000-0005-0000-0000-00006C070000}"/>
    <cellStyle name="40% - Accent6 4 6 2 2" xfId="15115" xr:uid="{B5A2FEDA-B694-4BAB-B884-001DBF56063D}"/>
    <cellStyle name="40% - Accent6 4 6 3" xfId="10897" xr:uid="{00AE5B99-AFD3-4203-9EE8-08B81933E45B}"/>
    <cellStyle name="40% - Accent6 4 7" xfId="4599" xr:uid="{00000000-0005-0000-0000-00006D070000}"/>
    <cellStyle name="40% - Accent6 4 7 2" xfId="13049" xr:uid="{4B46A00B-8180-4A6E-95C1-6B51C733638A}"/>
    <cellStyle name="40% - Accent6 4 8" xfId="8831" xr:uid="{694BD199-2C16-4722-A3AD-BD19D58FB60B}"/>
    <cellStyle name="40% - Accent6 5" xfId="658" xr:uid="{00000000-0005-0000-0000-00006E070000}"/>
    <cellStyle name="40% - Accent6 5 2" xfId="2929" xr:uid="{00000000-0005-0000-0000-00006F070000}"/>
    <cellStyle name="40% - Accent6 5 2 2" xfId="7151" xr:uid="{00000000-0005-0000-0000-000070070000}"/>
    <cellStyle name="40% - Accent6 5 2 2 2" xfId="15601" xr:uid="{34F49BFB-BC9C-4ACF-97F0-8ED3A18AEE78}"/>
    <cellStyle name="40% - Accent6 5 2 3" xfId="11383" xr:uid="{E177564F-CC7D-4DF4-A443-F606903A0FBE}"/>
    <cellStyle name="40% - Accent6 5 3" xfId="5006" xr:uid="{00000000-0005-0000-0000-000071070000}"/>
    <cellStyle name="40% - Accent6 5 3 2" xfId="13456" xr:uid="{A8BE0B22-166F-4EA6-B098-E2B9CA2AC435}"/>
    <cellStyle name="40% - Accent6 5 4" xfId="9238" xr:uid="{7565E570-9CD9-4593-A598-D79E3202A66F}"/>
    <cellStyle name="40% - Accent6 6" xfId="1111" xr:uid="{00000000-0005-0000-0000-000072070000}"/>
    <cellStyle name="40% - Accent6 6 2" xfId="3342" xr:uid="{00000000-0005-0000-0000-000073070000}"/>
    <cellStyle name="40% - Accent6 6 2 2" xfId="7564" xr:uid="{00000000-0005-0000-0000-000074070000}"/>
    <cellStyle name="40% - Accent6 6 2 2 2" xfId="16014" xr:uid="{9113578C-962B-4834-B243-64FCB2CCE3EA}"/>
    <cellStyle name="40% - Accent6 6 2 3" xfId="11796" xr:uid="{1CACC661-1CF8-40E3-A249-90FDC5C211A3}"/>
    <cellStyle name="40% - Accent6 6 3" xfId="5419" xr:uid="{00000000-0005-0000-0000-000075070000}"/>
    <cellStyle name="40% - Accent6 6 3 2" xfId="13869" xr:uid="{0BCA1AAB-A24A-41BF-8090-DE33E3CBA55C}"/>
    <cellStyle name="40% - Accent6 6 4" xfId="9651" xr:uid="{45F7DAA4-567D-4E2B-8CD9-3597B47F0B43}"/>
    <cellStyle name="40% - Accent6 7" xfId="1525" xr:uid="{00000000-0005-0000-0000-000076070000}"/>
    <cellStyle name="40% - Accent6 7 2" xfId="3755" xr:uid="{00000000-0005-0000-0000-000077070000}"/>
    <cellStyle name="40% - Accent6 7 2 2" xfId="7977" xr:uid="{00000000-0005-0000-0000-000078070000}"/>
    <cellStyle name="40% - Accent6 7 2 2 2" xfId="16427" xr:uid="{101F3424-296C-4250-8D88-348DA6255366}"/>
    <cellStyle name="40% - Accent6 7 2 3" xfId="12209" xr:uid="{FFA17024-85D5-4509-8D1F-CF1DD27AD0F9}"/>
    <cellStyle name="40% - Accent6 7 3" xfId="5832" xr:uid="{00000000-0005-0000-0000-000079070000}"/>
    <cellStyle name="40% - Accent6 7 3 2" xfId="14282" xr:uid="{5109054A-7B8F-4605-9CEE-B2305DB1AB48}"/>
    <cellStyle name="40% - Accent6 7 4" xfId="10064" xr:uid="{E1CA15A9-EDB9-4C43-A46E-897451C2F847}"/>
    <cellStyle name="40% - Accent6 8" xfId="1939" xr:uid="{00000000-0005-0000-0000-00007A070000}"/>
    <cellStyle name="40% - Accent6 8 2" xfId="4168" xr:uid="{00000000-0005-0000-0000-00007B070000}"/>
    <cellStyle name="40% - Accent6 8 2 2" xfId="8390" xr:uid="{00000000-0005-0000-0000-00007C070000}"/>
    <cellStyle name="40% - Accent6 8 2 2 2" xfId="16840" xr:uid="{2EFB1CD8-9BC4-4A5C-A6FD-05BB0D80C14B}"/>
    <cellStyle name="40% - Accent6 8 2 3" xfId="12622" xr:uid="{21B338F3-538A-45DE-9FDA-0DBCBAA5176C}"/>
    <cellStyle name="40% - Accent6 8 3" xfId="6245" xr:uid="{00000000-0005-0000-0000-00007D070000}"/>
    <cellStyle name="40% - Accent6 8 3 2" xfId="14695" xr:uid="{EAF271E8-2DBC-4AB8-BA34-F0734F422382}"/>
    <cellStyle name="40% - Accent6 8 4" xfId="10477" xr:uid="{E5108B20-D459-4B29-9B7E-A28BFFE5254B}"/>
    <cellStyle name="40% - Accent6 9" xfId="2352" xr:uid="{00000000-0005-0000-0000-00007E070000}"/>
    <cellStyle name="40% - Accent6 9 2" xfId="6658" xr:uid="{00000000-0005-0000-0000-00007F070000}"/>
    <cellStyle name="40% - Accent6 9 2 2" xfId="15108" xr:uid="{D429A06C-6556-4D62-A6FB-0998FAC16D41}"/>
    <cellStyle name="40% - Accent6 9 3" xfId="10890" xr:uid="{91D0DA07-D54C-4BCC-99F2-FB025DF6DF6F}"/>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0 2 2" xfId="15433" xr:uid="{46F504AB-3CA9-4E9F-BB14-802AFF76D193}"/>
    <cellStyle name="Comma 4 2 2 2 10 3" xfId="11215" xr:uid="{EF35C567-C43A-4579-9F99-5BBAD9AE38A4}"/>
    <cellStyle name="Comma 4 2 2 2 11" xfId="4600" xr:uid="{00000000-0005-0000-0000-0000A3070000}"/>
    <cellStyle name="Comma 4 2 2 2 11 2" xfId="13050" xr:uid="{2FFD00A6-A92B-44A8-9DB9-5C1E45374A22}"/>
    <cellStyle name="Comma 4 2 2 2 12" xfId="8832" xr:uid="{0E7723F1-90D0-423F-8CD9-DA6698395CF2}"/>
    <cellStyle name="Comma 4 2 2 2 2" xfId="129" xr:uid="{00000000-0005-0000-0000-0000A4070000}"/>
    <cellStyle name="Comma 4 2 2 2 2 10" xfId="4601" xr:uid="{00000000-0005-0000-0000-0000A5070000}"/>
    <cellStyle name="Comma 4 2 2 2 2 10 2" xfId="13051" xr:uid="{01EA55F0-7354-4E4C-8698-59F8CDBE30DE}"/>
    <cellStyle name="Comma 4 2 2 2 2 11" xfId="8833" xr:uid="{ADCDF864-F7B5-4133-8F7E-5330223684E1}"/>
    <cellStyle name="Comma 4 2 2 2 2 2" xfId="130" xr:uid="{00000000-0005-0000-0000-0000A6070000}"/>
    <cellStyle name="Comma 4 2 2 2 2 2 10" xfId="8834" xr:uid="{BF826FC3-EDA8-4788-97BA-D249EF296EB5}"/>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2 2 2" xfId="15611" xr:uid="{96E0B622-4E90-47AE-AB42-228280144123}"/>
    <cellStyle name="Comma 4 2 2 2 2 2 2 2 3" xfId="11393" xr:uid="{BE1EAF44-A479-43A0-AC7A-AECB2C8DDB9E}"/>
    <cellStyle name="Comma 4 2 2 2 2 2 2 3" xfId="5016" xr:uid="{00000000-0005-0000-0000-0000AA070000}"/>
    <cellStyle name="Comma 4 2 2 2 2 2 2 3 2" xfId="13466" xr:uid="{11A6EA68-763A-4225-AAFF-0F59B8AE678F}"/>
    <cellStyle name="Comma 4 2 2 2 2 2 2 4" xfId="9248" xr:uid="{58A73311-16AE-4C37-BE81-F8CE11F8501D}"/>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2 2 2" xfId="16024" xr:uid="{B74C9A1E-A7C9-4F6B-8C43-825B1DBCD41A}"/>
    <cellStyle name="Comma 4 2 2 2 2 2 3 2 3" xfId="11806" xr:uid="{DAFEE26B-23BE-4D75-A059-30E6162508DA}"/>
    <cellStyle name="Comma 4 2 2 2 2 2 3 3" xfId="5429" xr:uid="{00000000-0005-0000-0000-0000AE070000}"/>
    <cellStyle name="Comma 4 2 2 2 2 2 3 3 2" xfId="13879" xr:uid="{FB639DE1-EB28-4890-A5F2-732536A82C39}"/>
    <cellStyle name="Comma 4 2 2 2 2 2 3 4" xfId="9661" xr:uid="{2E261473-2E72-49E7-BC60-D31277CE4A84}"/>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2 2 2" xfId="16437" xr:uid="{8B380719-ACC6-4EF6-8325-B3772F7557AD}"/>
    <cellStyle name="Comma 4 2 2 2 2 2 4 2 3" xfId="12219" xr:uid="{10CBEC83-975D-4592-B1DB-03DE2EFD70FC}"/>
    <cellStyle name="Comma 4 2 2 2 2 2 4 3" xfId="5842" xr:uid="{00000000-0005-0000-0000-0000B2070000}"/>
    <cellStyle name="Comma 4 2 2 2 2 2 4 3 2" xfId="14292" xr:uid="{F4CEA32A-CE04-4634-A3EA-519CC80CDD58}"/>
    <cellStyle name="Comma 4 2 2 2 2 2 4 4" xfId="10074" xr:uid="{5BBC3169-5F0C-4C12-A53E-A03205944DE2}"/>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2 2 2" xfId="16850" xr:uid="{8771BFB4-2953-461D-A75F-3F2A8E3186B8}"/>
    <cellStyle name="Comma 4 2 2 2 2 2 5 2 3" xfId="12632" xr:uid="{24E83EFE-A3E7-443D-AC4B-3FD65BD53A93}"/>
    <cellStyle name="Comma 4 2 2 2 2 2 5 3" xfId="6255" xr:uid="{00000000-0005-0000-0000-0000B6070000}"/>
    <cellStyle name="Comma 4 2 2 2 2 2 5 3 2" xfId="14705" xr:uid="{321BFE1C-2EAF-4B1F-B78D-812DB2188471}"/>
    <cellStyle name="Comma 4 2 2 2 2 2 5 4" xfId="10487" xr:uid="{09B75C97-7B0D-4DC5-9C8A-7DD6372ED8C9}"/>
    <cellStyle name="Comma 4 2 2 2 2 2 6" xfId="2384" xr:uid="{00000000-0005-0000-0000-0000B7070000}"/>
    <cellStyle name="Comma 4 2 2 2 2 2 6 2" xfId="6668" xr:uid="{00000000-0005-0000-0000-0000B8070000}"/>
    <cellStyle name="Comma 4 2 2 2 2 2 6 2 2" xfId="15118" xr:uid="{D747CCC7-9082-4C15-BB5B-0D72A3EB0812}"/>
    <cellStyle name="Comma 4 2 2 2 2 2 6 3" xfId="10900" xr:uid="{DB02A4D4-1A8B-4083-BB84-FE500424AFE8}"/>
    <cellStyle name="Comma 4 2 2 2 2 2 7" xfId="2379" xr:uid="{00000000-0005-0000-0000-0000B9070000}"/>
    <cellStyle name="Comma 4 2 2 2 2 2 8" xfId="2762" xr:uid="{00000000-0005-0000-0000-0000BA070000}"/>
    <cellStyle name="Comma 4 2 2 2 2 2 8 2" xfId="6985" xr:uid="{00000000-0005-0000-0000-0000BB070000}"/>
    <cellStyle name="Comma 4 2 2 2 2 2 8 2 2" xfId="15435" xr:uid="{4F651F1F-9ECC-432E-A6CD-DDF249996011}"/>
    <cellStyle name="Comma 4 2 2 2 2 2 8 3" xfId="11217" xr:uid="{BC7AEF73-6EF3-4078-8BA3-1ABF0BCBE020}"/>
    <cellStyle name="Comma 4 2 2 2 2 2 9" xfId="4602" xr:uid="{00000000-0005-0000-0000-0000BC070000}"/>
    <cellStyle name="Comma 4 2 2 2 2 2 9 2" xfId="13052" xr:uid="{FA6A2788-E3F2-4DE5-A305-F96A60EDD435}"/>
    <cellStyle name="Comma 4 2 2 2 2 3" xfId="667" xr:uid="{00000000-0005-0000-0000-0000BD070000}"/>
    <cellStyle name="Comma 4 2 2 2 2 3 2" xfId="2938" xr:uid="{00000000-0005-0000-0000-0000BE070000}"/>
    <cellStyle name="Comma 4 2 2 2 2 3 2 2" xfId="7160" xr:uid="{00000000-0005-0000-0000-0000BF070000}"/>
    <cellStyle name="Comma 4 2 2 2 2 3 2 2 2" xfId="15610" xr:uid="{405A87FD-11B7-47D1-B075-E2B3D7B857BA}"/>
    <cellStyle name="Comma 4 2 2 2 2 3 2 3" xfId="11392" xr:uid="{B07F99B3-2830-48FF-B4A4-8D41E9797273}"/>
    <cellStyle name="Comma 4 2 2 2 2 3 3" xfId="5015" xr:uid="{00000000-0005-0000-0000-0000C0070000}"/>
    <cellStyle name="Comma 4 2 2 2 2 3 3 2" xfId="13465" xr:uid="{9173DC80-8503-4D95-AF8E-90DC8F2DCBAC}"/>
    <cellStyle name="Comma 4 2 2 2 2 3 4" xfId="9247" xr:uid="{DD244280-1765-4B54-895B-8A9EA8A914F1}"/>
    <cellStyle name="Comma 4 2 2 2 2 4" xfId="1120" xr:uid="{00000000-0005-0000-0000-0000C1070000}"/>
    <cellStyle name="Comma 4 2 2 2 2 4 2" xfId="3351" xr:uid="{00000000-0005-0000-0000-0000C2070000}"/>
    <cellStyle name="Comma 4 2 2 2 2 4 2 2" xfId="7573" xr:uid="{00000000-0005-0000-0000-0000C3070000}"/>
    <cellStyle name="Comma 4 2 2 2 2 4 2 2 2" xfId="16023" xr:uid="{0A33F289-CFB8-49A3-B795-F2134ABE31B7}"/>
    <cellStyle name="Comma 4 2 2 2 2 4 2 3" xfId="11805" xr:uid="{3B37B2FA-B133-42EC-8683-2A3AAB567A67}"/>
    <cellStyle name="Comma 4 2 2 2 2 4 3" xfId="5428" xr:uid="{00000000-0005-0000-0000-0000C4070000}"/>
    <cellStyle name="Comma 4 2 2 2 2 4 3 2" xfId="13878" xr:uid="{23EA076C-0496-4916-9C96-5CE4F250078B}"/>
    <cellStyle name="Comma 4 2 2 2 2 4 4" xfId="9660" xr:uid="{C76E0ED4-49B3-41FF-BE80-2C95D1C8935E}"/>
    <cellStyle name="Comma 4 2 2 2 2 5" xfId="1534" xr:uid="{00000000-0005-0000-0000-0000C5070000}"/>
    <cellStyle name="Comma 4 2 2 2 2 5 2" xfId="3764" xr:uid="{00000000-0005-0000-0000-0000C6070000}"/>
    <cellStyle name="Comma 4 2 2 2 2 5 2 2" xfId="7986" xr:uid="{00000000-0005-0000-0000-0000C7070000}"/>
    <cellStyle name="Comma 4 2 2 2 2 5 2 2 2" xfId="16436" xr:uid="{F11D3737-D350-4C01-81F6-636FF1D9C1F3}"/>
    <cellStyle name="Comma 4 2 2 2 2 5 2 3" xfId="12218" xr:uid="{209532FF-0E85-49B5-A509-471F13EA5958}"/>
    <cellStyle name="Comma 4 2 2 2 2 5 3" xfId="5841" xr:uid="{00000000-0005-0000-0000-0000C8070000}"/>
    <cellStyle name="Comma 4 2 2 2 2 5 3 2" xfId="14291" xr:uid="{D7CC89A8-D605-4C15-8958-E60EC0CA376E}"/>
    <cellStyle name="Comma 4 2 2 2 2 5 4" xfId="10073" xr:uid="{6C5AA4BC-8392-47B5-BCF7-9F1C8A456544}"/>
    <cellStyle name="Comma 4 2 2 2 2 6" xfId="1948" xr:uid="{00000000-0005-0000-0000-0000C9070000}"/>
    <cellStyle name="Comma 4 2 2 2 2 6 2" xfId="4177" xr:uid="{00000000-0005-0000-0000-0000CA070000}"/>
    <cellStyle name="Comma 4 2 2 2 2 6 2 2" xfId="8399" xr:uid="{00000000-0005-0000-0000-0000CB070000}"/>
    <cellStyle name="Comma 4 2 2 2 2 6 2 2 2" xfId="16849" xr:uid="{DAFB2EDB-41D4-4B18-9300-045B99C925FF}"/>
    <cellStyle name="Comma 4 2 2 2 2 6 2 3" xfId="12631" xr:uid="{626704E0-471B-498E-B1A6-831284FABDBD}"/>
    <cellStyle name="Comma 4 2 2 2 2 6 3" xfId="6254" xr:uid="{00000000-0005-0000-0000-0000CC070000}"/>
    <cellStyle name="Comma 4 2 2 2 2 6 3 2" xfId="14704" xr:uid="{B043B212-09DE-421D-BFE6-ABBEC63A78A8}"/>
    <cellStyle name="Comma 4 2 2 2 2 6 4" xfId="10486" xr:uid="{0CE3BEFC-AC39-44AA-A6E3-B3026AD4A7CC}"/>
    <cellStyle name="Comma 4 2 2 2 2 7" xfId="2383" xr:uid="{00000000-0005-0000-0000-0000CD070000}"/>
    <cellStyle name="Comma 4 2 2 2 2 7 2" xfId="6667" xr:uid="{00000000-0005-0000-0000-0000CE070000}"/>
    <cellStyle name="Comma 4 2 2 2 2 7 2 2" xfId="15117" xr:uid="{CFD7F99F-D206-430C-92F2-829C2A430191}"/>
    <cellStyle name="Comma 4 2 2 2 2 7 3" xfId="10899" xr:uid="{AC86BB92-C859-4B4D-B8F9-552EA364529A}"/>
    <cellStyle name="Comma 4 2 2 2 2 8" xfId="2380" xr:uid="{00000000-0005-0000-0000-0000CF070000}"/>
    <cellStyle name="Comma 4 2 2 2 2 9" xfId="2761" xr:uid="{00000000-0005-0000-0000-0000D0070000}"/>
    <cellStyle name="Comma 4 2 2 2 2 9 2" xfId="6984" xr:uid="{00000000-0005-0000-0000-0000D1070000}"/>
    <cellStyle name="Comma 4 2 2 2 2 9 2 2" xfId="15434" xr:uid="{2B298778-1A4B-4BD5-B917-776EC9852457}"/>
    <cellStyle name="Comma 4 2 2 2 2 9 3" xfId="11216" xr:uid="{BDFDD4E1-D838-4907-8028-7E49C467E0D5}"/>
    <cellStyle name="Comma 4 2 2 2 3" xfId="131" xr:uid="{00000000-0005-0000-0000-0000D2070000}"/>
    <cellStyle name="Comma 4 2 2 2 3 10" xfId="8835" xr:uid="{F44622B6-31DA-4A97-AD87-20FB5D73AE8F}"/>
    <cellStyle name="Comma 4 2 2 2 3 2" xfId="669" xr:uid="{00000000-0005-0000-0000-0000D3070000}"/>
    <cellStyle name="Comma 4 2 2 2 3 2 2" xfId="2940" xr:uid="{00000000-0005-0000-0000-0000D4070000}"/>
    <cellStyle name="Comma 4 2 2 2 3 2 2 2" xfId="7162" xr:uid="{00000000-0005-0000-0000-0000D5070000}"/>
    <cellStyle name="Comma 4 2 2 2 3 2 2 2 2" xfId="15612" xr:uid="{7331F910-3EEB-40DB-B782-ADE997757D67}"/>
    <cellStyle name="Comma 4 2 2 2 3 2 2 3" xfId="11394" xr:uid="{07B1FE63-3403-484C-8355-A8F73627D12C}"/>
    <cellStyle name="Comma 4 2 2 2 3 2 3" xfId="5017" xr:uid="{00000000-0005-0000-0000-0000D6070000}"/>
    <cellStyle name="Comma 4 2 2 2 3 2 3 2" xfId="13467" xr:uid="{6228319B-1E3E-4598-A839-AF36DA4DD905}"/>
    <cellStyle name="Comma 4 2 2 2 3 2 4" xfId="9249" xr:uid="{CC1585D2-ADF3-4C7E-895B-6E62CD798CF9}"/>
    <cellStyle name="Comma 4 2 2 2 3 3" xfId="1122" xr:uid="{00000000-0005-0000-0000-0000D7070000}"/>
    <cellStyle name="Comma 4 2 2 2 3 3 2" xfId="3353" xr:uid="{00000000-0005-0000-0000-0000D8070000}"/>
    <cellStyle name="Comma 4 2 2 2 3 3 2 2" xfId="7575" xr:uid="{00000000-0005-0000-0000-0000D9070000}"/>
    <cellStyle name="Comma 4 2 2 2 3 3 2 2 2" xfId="16025" xr:uid="{B860B767-1807-4272-B35D-0F06C2A8F508}"/>
    <cellStyle name="Comma 4 2 2 2 3 3 2 3" xfId="11807" xr:uid="{23169D1E-8F7C-4483-8E54-6D8D8E284F96}"/>
    <cellStyle name="Comma 4 2 2 2 3 3 3" xfId="5430" xr:uid="{00000000-0005-0000-0000-0000DA070000}"/>
    <cellStyle name="Comma 4 2 2 2 3 3 3 2" xfId="13880" xr:uid="{D04625DC-0C28-4614-9728-896F4E3BE6DC}"/>
    <cellStyle name="Comma 4 2 2 2 3 3 4" xfId="9662" xr:uid="{E18323DB-50C8-4E4E-B8D9-D307B6E69EBA}"/>
    <cellStyle name="Comma 4 2 2 2 3 4" xfId="1536" xr:uid="{00000000-0005-0000-0000-0000DB070000}"/>
    <cellStyle name="Comma 4 2 2 2 3 4 2" xfId="3766" xr:uid="{00000000-0005-0000-0000-0000DC070000}"/>
    <cellStyle name="Comma 4 2 2 2 3 4 2 2" xfId="7988" xr:uid="{00000000-0005-0000-0000-0000DD070000}"/>
    <cellStyle name="Comma 4 2 2 2 3 4 2 2 2" xfId="16438" xr:uid="{E3C96C21-C904-4354-983A-9B0B4BFB0ADE}"/>
    <cellStyle name="Comma 4 2 2 2 3 4 2 3" xfId="12220" xr:uid="{9F9ACE73-F224-4343-BA6D-59623AC95A03}"/>
    <cellStyle name="Comma 4 2 2 2 3 4 3" xfId="5843" xr:uid="{00000000-0005-0000-0000-0000DE070000}"/>
    <cellStyle name="Comma 4 2 2 2 3 4 3 2" xfId="14293" xr:uid="{F32E44A8-4D06-4531-B917-92FE8888B553}"/>
    <cellStyle name="Comma 4 2 2 2 3 4 4" xfId="10075" xr:uid="{CD08048B-05EF-4C3D-B7F7-FC5773424A13}"/>
    <cellStyle name="Comma 4 2 2 2 3 5" xfId="1950" xr:uid="{00000000-0005-0000-0000-0000DF070000}"/>
    <cellStyle name="Comma 4 2 2 2 3 5 2" xfId="4179" xr:uid="{00000000-0005-0000-0000-0000E0070000}"/>
    <cellStyle name="Comma 4 2 2 2 3 5 2 2" xfId="8401" xr:uid="{00000000-0005-0000-0000-0000E1070000}"/>
    <cellStyle name="Comma 4 2 2 2 3 5 2 2 2" xfId="16851" xr:uid="{74AB54CA-3417-4039-8A69-A7C5C18FC852}"/>
    <cellStyle name="Comma 4 2 2 2 3 5 2 3" xfId="12633" xr:uid="{C8BF3EFB-C15C-4C7F-825C-A3AE388FD5BB}"/>
    <cellStyle name="Comma 4 2 2 2 3 5 3" xfId="6256" xr:uid="{00000000-0005-0000-0000-0000E2070000}"/>
    <cellStyle name="Comma 4 2 2 2 3 5 3 2" xfId="14706" xr:uid="{F1A3E46C-B76B-4A46-BA89-C3DD62CA8FDA}"/>
    <cellStyle name="Comma 4 2 2 2 3 5 4" xfId="10488" xr:uid="{8A802A6E-A7B4-4BC7-9566-47D4CED744ED}"/>
    <cellStyle name="Comma 4 2 2 2 3 6" xfId="2385" xr:uid="{00000000-0005-0000-0000-0000E3070000}"/>
    <cellStyle name="Comma 4 2 2 2 3 6 2" xfId="6669" xr:uid="{00000000-0005-0000-0000-0000E4070000}"/>
    <cellStyle name="Comma 4 2 2 2 3 6 2 2" xfId="15119" xr:uid="{4803368B-8496-4C02-AE38-BED17ED4F7B4}"/>
    <cellStyle name="Comma 4 2 2 2 3 6 3" xfId="10901" xr:uid="{996D19B7-9527-47F2-A11E-630BCB8B2ED1}"/>
    <cellStyle name="Comma 4 2 2 2 3 7" xfId="2378" xr:uid="{00000000-0005-0000-0000-0000E5070000}"/>
    <cellStyle name="Comma 4 2 2 2 3 8" xfId="2763" xr:uid="{00000000-0005-0000-0000-0000E6070000}"/>
    <cellStyle name="Comma 4 2 2 2 3 8 2" xfId="6986" xr:uid="{00000000-0005-0000-0000-0000E7070000}"/>
    <cellStyle name="Comma 4 2 2 2 3 8 2 2" xfId="15436" xr:uid="{BA9E8D44-3A0B-4693-86D5-5EEA9E287C70}"/>
    <cellStyle name="Comma 4 2 2 2 3 8 3" xfId="11218" xr:uid="{277C10DF-B64A-4D9A-B8E3-D622E25B24C9}"/>
    <cellStyle name="Comma 4 2 2 2 3 9" xfId="4603" xr:uid="{00000000-0005-0000-0000-0000E8070000}"/>
    <cellStyle name="Comma 4 2 2 2 3 9 2" xfId="13053" xr:uid="{A70EDACF-4D6D-477A-964D-3F4B7487A545}"/>
    <cellStyle name="Comma 4 2 2 2 4" xfId="666" xr:uid="{00000000-0005-0000-0000-0000E9070000}"/>
    <cellStyle name="Comma 4 2 2 2 4 2" xfId="2937" xr:uid="{00000000-0005-0000-0000-0000EA070000}"/>
    <cellStyle name="Comma 4 2 2 2 4 2 2" xfId="7159" xr:uid="{00000000-0005-0000-0000-0000EB070000}"/>
    <cellStyle name="Comma 4 2 2 2 4 2 2 2" xfId="15609" xr:uid="{98FFD544-FB32-4BB4-8DFD-B755258B61CD}"/>
    <cellStyle name="Comma 4 2 2 2 4 2 3" xfId="11391" xr:uid="{82F140EF-2B5E-41D2-AE26-76AEA0563EE7}"/>
    <cellStyle name="Comma 4 2 2 2 4 3" xfId="5014" xr:uid="{00000000-0005-0000-0000-0000EC070000}"/>
    <cellStyle name="Comma 4 2 2 2 4 3 2" xfId="13464" xr:uid="{A576E8A7-8F44-4340-A5B3-CDF9653946A2}"/>
    <cellStyle name="Comma 4 2 2 2 4 4" xfId="9246" xr:uid="{E052EB54-7888-42B3-8523-851D8E6DA830}"/>
    <cellStyle name="Comma 4 2 2 2 5" xfId="1119" xr:uid="{00000000-0005-0000-0000-0000ED070000}"/>
    <cellStyle name="Comma 4 2 2 2 5 2" xfId="3350" xr:uid="{00000000-0005-0000-0000-0000EE070000}"/>
    <cellStyle name="Comma 4 2 2 2 5 2 2" xfId="7572" xr:uid="{00000000-0005-0000-0000-0000EF070000}"/>
    <cellStyle name="Comma 4 2 2 2 5 2 2 2" xfId="16022" xr:uid="{A881E54D-B966-45A0-B57C-E760294E97AE}"/>
    <cellStyle name="Comma 4 2 2 2 5 2 3" xfId="11804" xr:uid="{11ED635B-8F6D-45F4-B82D-4449BFD1248E}"/>
    <cellStyle name="Comma 4 2 2 2 5 3" xfId="5427" xr:uid="{00000000-0005-0000-0000-0000F0070000}"/>
    <cellStyle name="Comma 4 2 2 2 5 3 2" xfId="13877" xr:uid="{4C4685C8-8258-47D4-AF9F-57B698D763B7}"/>
    <cellStyle name="Comma 4 2 2 2 5 4" xfId="9659" xr:uid="{824A22C8-8B6F-45FE-B63F-A824CBA2F941}"/>
    <cellStyle name="Comma 4 2 2 2 6" xfId="1533" xr:uid="{00000000-0005-0000-0000-0000F1070000}"/>
    <cellStyle name="Comma 4 2 2 2 6 2" xfId="3763" xr:uid="{00000000-0005-0000-0000-0000F2070000}"/>
    <cellStyle name="Comma 4 2 2 2 6 2 2" xfId="7985" xr:uid="{00000000-0005-0000-0000-0000F3070000}"/>
    <cellStyle name="Comma 4 2 2 2 6 2 2 2" xfId="16435" xr:uid="{98DEB6F8-80C7-4BA1-BF15-9B2E3693F2E5}"/>
    <cellStyle name="Comma 4 2 2 2 6 2 3" xfId="12217" xr:uid="{28B20650-80BA-46C5-AB7B-15769E797D0E}"/>
    <cellStyle name="Comma 4 2 2 2 6 3" xfId="5840" xr:uid="{00000000-0005-0000-0000-0000F4070000}"/>
    <cellStyle name="Comma 4 2 2 2 6 3 2" xfId="14290" xr:uid="{9DE9DB79-6668-4510-B0D1-B1144ABA9212}"/>
    <cellStyle name="Comma 4 2 2 2 6 4" xfId="10072" xr:uid="{F516E34F-E4F9-413B-841D-792468C0D5D4}"/>
    <cellStyle name="Comma 4 2 2 2 7" xfId="1947" xr:uid="{00000000-0005-0000-0000-0000F5070000}"/>
    <cellStyle name="Comma 4 2 2 2 7 2" xfId="4176" xr:uid="{00000000-0005-0000-0000-0000F6070000}"/>
    <cellStyle name="Comma 4 2 2 2 7 2 2" xfId="8398" xr:uid="{00000000-0005-0000-0000-0000F7070000}"/>
    <cellStyle name="Comma 4 2 2 2 7 2 2 2" xfId="16848" xr:uid="{67BE26A6-0AFC-4A54-AEC7-39E7387E7BAB}"/>
    <cellStyle name="Comma 4 2 2 2 7 2 3" xfId="12630" xr:uid="{7EC9AA89-15EC-49FA-8A7F-A805E25F22F8}"/>
    <cellStyle name="Comma 4 2 2 2 7 3" xfId="6253" xr:uid="{00000000-0005-0000-0000-0000F8070000}"/>
    <cellStyle name="Comma 4 2 2 2 7 3 2" xfId="14703" xr:uid="{819B7BA7-DCA9-4A68-AEF3-5127A766730D}"/>
    <cellStyle name="Comma 4 2 2 2 7 4" xfId="10485" xr:uid="{3C3EB975-59F0-4F16-A013-C16CAF83ABA5}"/>
    <cellStyle name="Comma 4 2 2 2 8" xfId="2382" xr:uid="{00000000-0005-0000-0000-0000F9070000}"/>
    <cellStyle name="Comma 4 2 2 2 8 2" xfId="6666" xr:uid="{00000000-0005-0000-0000-0000FA070000}"/>
    <cellStyle name="Comma 4 2 2 2 8 2 2" xfId="15116" xr:uid="{72B8A075-E51F-4FF6-9B9B-FA6D09573558}"/>
    <cellStyle name="Comma 4 2 2 2 8 3" xfId="10898" xr:uid="{AF50E905-C43A-46B1-BE88-C2F0E40E3B34}"/>
    <cellStyle name="Comma 4 2 2 2 9" xfId="2381" xr:uid="{00000000-0005-0000-0000-0000FB070000}"/>
    <cellStyle name="Comma 4 2 2 3" xfId="132" xr:uid="{00000000-0005-0000-0000-0000FC070000}"/>
    <cellStyle name="Comma 4 2 2 3 10" xfId="4604" xr:uid="{00000000-0005-0000-0000-0000FD070000}"/>
    <cellStyle name="Comma 4 2 2 3 10 2" xfId="13054" xr:uid="{20DE9A25-3C93-46F9-AC55-1D1E810D70F4}"/>
    <cellStyle name="Comma 4 2 2 3 11" xfId="8836" xr:uid="{9128DBD7-8A15-49C4-ABCC-8E04B1B098C6}"/>
    <cellStyle name="Comma 4 2 2 3 2" xfId="133" xr:uid="{00000000-0005-0000-0000-0000FE070000}"/>
    <cellStyle name="Comma 4 2 2 3 2 10" xfId="8837" xr:uid="{7FFD1E3F-E1ED-4C09-9906-A5FE65C5EA91}"/>
    <cellStyle name="Comma 4 2 2 3 2 2" xfId="671" xr:uid="{00000000-0005-0000-0000-0000FF070000}"/>
    <cellStyle name="Comma 4 2 2 3 2 2 2" xfId="2942" xr:uid="{00000000-0005-0000-0000-000000080000}"/>
    <cellStyle name="Comma 4 2 2 3 2 2 2 2" xfId="7164" xr:uid="{00000000-0005-0000-0000-000001080000}"/>
    <cellStyle name="Comma 4 2 2 3 2 2 2 2 2" xfId="15614" xr:uid="{96628C3A-81B0-4B59-AD1C-CCF9455EBAA2}"/>
    <cellStyle name="Comma 4 2 2 3 2 2 2 3" xfId="11396" xr:uid="{05DD4C92-A886-4F5A-B733-E3C74FCDD240}"/>
    <cellStyle name="Comma 4 2 2 3 2 2 3" xfId="5019" xr:uid="{00000000-0005-0000-0000-000002080000}"/>
    <cellStyle name="Comma 4 2 2 3 2 2 3 2" xfId="13469" xr:uid="{C1D8ED84-30F3-4BD1-BB6D-5855D08A11A2}"/>
    <cellStyle name="Comma 4 2 2 3 2 2 4" xfId="9251" xr:uid="{375F6136-A462-41A8-8287-A4D6CC8CD141}"/>
    <cellStyle name="Comma 4 2 2 3 2 3" xfId="1124" xr:uid="{00000000-0005-0000-0000-000003080000}"/>
    <cellStyle name="Comma 4 2 2 3 2 3 2" xfId="3355" xr:uid="{00000000-0005-0000-0000-000004080000}"/>
    <cellStyle name="Comma 4 2 2 3 2 3 2 2" xfId="7577" xr:uid="{00000000-0005-0000-0000-000005080000}"/>
    <cellStyle name="Comma 4 2 2 3 2 3 2 2 2" xfId="16027" xr:uid="{64E69364-1D6B-43F2-8714-2CBC529E6829}"/>
    <cellStyle name="Comma 4 2 2 3 2 3 2 3" xfId="11809" xr:uid="{8892B389-B711-4F73-8E68-169A64EAA5BE}"/>
    <cellStyle name="Comma 4 2 2 3 2 3 3" xfId="5432" xr:uid="{00000000-0005-0000-0000-000006080000}"/>
    <cellStyle name="Comma 4 2 2 3 2 3 3 2" xfId="13882" xr:uid="{4F0BBDFF-AF5C-4F34-96A8-15E671DF70FD}"/>
    <cellStyle name="Comma 4 2 2 3 2 3 4" xfId="9664" xr:uid="{38A59201-5956-4D3E-84C9-F528FDD61EC9}"/>
    <cellStyle name="Comma 4 2 2 3 2 4" xfId="1538" xr:uid="{00000000-0005-0000-0000-000007080000}"/>
    <cellStyle name="Comma 4 2 2 3 2 4 2" xfId="3768" xr:uid="{00000000-0005-0000-0000-000008080000}"/>
    <cellStyle name="Comma 4 2 2 3 2 4 2 2" xfId="7990" xr:uid="{00000000-0005-0000-0000-000009080000}"/>
    <cellStyle name="Comma 4 2 2 3 2 4 2 2 2" xfId="16440" xr:uid="{21373E5F-484D-42A8-B30A-EEE22A419E3D}"/>
    <cellStyle name="Comma 4 2 2 3 2 4 2 3" xfId="12222" xr:uid="{7A9C4B59-5DC8-49C5-B5E6-65D731FEDA01}"/>
    <cellStyle name="Comma 4 2 2 3 2 4 3" xfId="5845" xr:uid="{00000000-0005-0000-0000-00000A080000}"/>
    <cellStyle name="Comma 4 2 2 3 2 4 3 2" xfId="14295" xr:uid="{93846BB5-1300-4136-A33A-4F8AC325D37C}"/>
    <cellStyle name="Comma 4 2 2 3 2 4 4" xfId="10077" xr:uid="{CDAF16EA-7FC0-46D2-8707-C95AC6333A5B}"/>
    <cellStyle name="Comma 4 2 2 3 2 5" xfId="1952" xr:uid="{00000000-0005-0000-0000-00000B080000}"/>
    <cellStyle name="Comma 4 2 2 3 2 5 2" xfId="4181" xr:uid="{00000000-0005-0000-0000-00000C080000}"/>
    <cellStyle name="Comma 4 2 2 3 2 5 2 2" xfId="8403" xr:uid="{00000000-0005-0000-0000-00000D080000}"/>
    <cellStyle name="Comma 4 2 2 3 2 5 2 2 2" xfId="16853" xr:uid="{7947DB4A-6EE5-486C-B965-06BB4015AA6F}"/>
    <cellStyle name="Comma 4 2 2 3 2 5 2 3" xfId="12635" xr:uid="{B9710FB8-141B-428E-B3DD-3B4B55A17A02}"/>
    <cellStyle name="Comma 4 2 2 3 2 5 3" xfId="6258" xr:uid="{00000000-0005-0000-0000-00000E080000}"/>
    <cellStyle name="Comma 4 2 2 3 2 5 3 2" xfId="14708" xr:uid="{1DD97903-F082-44C3-A0FE-F35065BA1C5C}"/>
    <cellStyle name="Comma 4 2 2 3 2 5 4" xfId="10490" xr:uid="{7ACA99FD-D65F-4F5C-B08C-1F54758D803A}"/>
    <cellStyle name="Comma 4 2 2 3 2 6" xfId="2387" xr:uid="{00000000-0005-0000-0000-00000F080000}"/>
    <cellStyle name="Comma 4 2 2 3 2 6 2" xfId="6671" xr:uid="{00000000-0005-0000-0000-000010080000}"/>
    <cellStyle name="Comma 4 2 2 3 2 6 2 2" xfId="15121" xr:uid="{EDA395E4-4F53-4AAC-9EE9-B0F0CA2F69E1}"/>
    <cellStyle name="Comma 4 2 2 3 2 6 3" xfId="10903" xr:uid="{9BCD1970-114A-45F7-8E77-DABD67074C3E}"/>
    <cellStyle name="Comma 4 2 2 3 2 7" xfId="2376" xr:uid="{00000000-0005-0000-0000-000011080000}"/>
    <cellStyle name="Comma 4 2 2 3 2 8" xfId="2765" xr:uid="{00000000-0005-0000-0000-000012080000}"/>
    <cellStyle name="Comma 4 2 2 3 2 8 2" xfId="6988" xr:uid="{00000000-0005-0000-0000-000013080000}"/>
    <cellStyle name="Comma 4 2 2 3 2 8 2 2" xfId="15438" xr:uid="{E5A4C704-B02A-4CD5-AFAA-17FC10B3F34A}"/>
    <cellStyle name="Comma 4 2 2 3 2 8 3" xfId="11220" xr:uid="{1DC65330-E772-4984-8DE4-DE3339E83AA2}"/>
    <cellStyle name="Comma 4 2 2 3 2 9" xfId="4605" xr:uid="{00000000-0005-0000-0000-000014080000}"/>
    <cellStyle name="Comma 4 2 2 3 2 9 2" xfId="13055" xr:uid="{3886FE60-A087-46B3-BBEE-6C8349470074}"/>
    <cellStyle name="Comma 4 2 2 3 3" xfId="670" xr:uid="{00000000-0005-0000-0000-000015080000}"/>
    <cellStyle name="Comma 4 2 2 3 3 2" xfId="2941" xr:uid="{00000000-0005-0000-0000-000016080000}"/>
    <cellStyle name="Comma 4 2 2 3 3 2 2" xfId="7163" xr:uid="{00000000-0005-0000-0000-000017080000}"/>
    <cellStyle name="Comma 4 2 2 3 3 2 2 2" xfId="15613" xr:uid="{6895D200-96DD-41A9-B86F-89FC9AD7A0C6}"/>
    <cellStyle name="Comma 4 2 2 3 3 2 3" xfId="11395" xr:uid="{9D3995CD-757A-430E-93E5-DADC71D9238C}"/>
    <cellStyle name="Comma 4 2 2 3 3 3" xfId="5018" xr:uid="{00000000-0005-0000-0000-000018080000}"/>
    <cellStyle name="Comma 4 2 2 3 3 3 2" xfId="13468" xr:uid="{3EB441AC-7527-4CD6-85B3-34D2ABBDDF15}"/>
    <cellStyle name="Comma 4 2 2 3 3 4" xfId="9250" xr:uid="{CAFDB34C-8568-495D-B3D7-8BF662554CBE}"/>
    <cellStyle name="Comma 4 2 2 3 4" xfId="1123" xr:uid="{00000000-0005-0000-0000-000019080000}"/>
    <cellStyle name="Comma 4 2 2 3 4 2" xfId="3354" xr:uid="{00000000-0005-0000-0000-00001A080000}"/>
    <cellStyle name="Comma 4 2 2 3 4 2 2" xfId="7576" xr:uid="{00000000-0005-0000-0000-00001B080000}"/>
    <cellStyle name="Comma 4 2 2 3 4 2 2 2" xfId="16026" xr:uid="{9D65F253-8361-4679-98BE-C0BD6BCF6C6C}"/>
    <cellStyle name="Comma 4 2 2 3 4 2 3" xfId="11808" xr:uid="{F3D2A3F3-916A-4F85-A52F-B39524F35BC9}"/>
    <cellStyle name="Comma 4 2 2 3 4 3" xfId="5431" xr:uid="{00000000-0005-0000-0000-00001C080000}"/>
    <cellStyle name="Comma 4 2 2 3 4 3 2" xfId="13881" xr:uid="{908810BB-E255-4DF9-ABAB-E8A82CCD8C37}"/>
    <cellStyle name="Comma 4 2 2 3 4 4" xfId="9663" xr:uid="{D96CEE86-DF9E-4379-974C-3293F19991CA}"/>
    <cellStyle name="Comma 4 2 2 3 5" xfId="1537" xr:uid="{00000000-0005-0000-0000-00001D080000}"/>
    <cellStyle name="Comma 4 2 2 3 5 2" xfId="3767" xr:uid="{00000000-0005-0000-0000-00001E080000}"/>
    <cellStyle name="Comma 4 2 2 3 5 2 2" xfId="7989" xr:uid="{00000000-0005-0000-0000-00001F080000}"/>
    <cellStyle name="Comma 4 2 2 3 5 2 2 2" xfId="16439" xr:uid="{F7ACF657-3C81-4D62-B529-113BEE79780B}"/>
    <cellStyle name="Comma 4 2 2 3 5 2 3" xfId="12221" xr:uid="{60162444-D9FF-481F-8F7C-8FE8178A7315}"/>
    <cellStyle name="Comma 4 2 2 3 5 3" xfId="5844" xr:uid="{00000000-0005-0000-0000-000020080000}"/>
    <cellStyle name="Comma 4 2 2 3 5 3 2" xfId="14294" xr:uid="{D6D43A9F-DAD3-4BE4-AF01-885AA2264BA5}"/>
    <cellStyle name="Comma 4 2 2 3 5 4" xfId="10076" xr:uid="{86134235-8318-4956-A8CC-8D0ECA9C9106}"/>
    <cellStyle name="Comma 4 2 2 3 6" xfId="1951" xr:uid="{00000000-0005-0000-0000-000021080000}"/>
    <cellStyle name="Comma 4 2 2 3 6 2" xfId="4180" xr:uid="{00000000-0005-0000-0000-000022080000}"/>
    <cellStyle name="Comma 4 2 2 3 6 2 2" xfId="8402" xr:uid="{00000000-0005-0000-0000-000023080000}"/>
    <cellStyle name="Comma 4 2 2 3 6 2 2 2" xfId="16852" xr:uid="{E28F2F08-9E56-479F-A0FE-97BB3E224890}"/>
    <cellStyle name="Comma 4 2 2 3 6 2 3" xfId="12634" xr:uid="{F7304CAF-E070-43DE-9D99-B51EC7D9CAC8}"/>
    <cellStyle name="Comma 4 2 2 3 6 3" xfId="6257" xr:uid="{00000000-0005-0000-0000-000024080000}"/>
    <cellStyle name="Comma 4 2 2 3 6 3 2" xfId="14707" xr:uid="{BC114C7D-3EF1-4A3B-950B-E9FEA61AF26C}"/>
    <cellStyle name="Comma 4 2 2 3 6 4" xfId="10489" xr:uid="{3B5B0E11-A7DE-4F15-82FE-35BB6FC2CB1C}"/>
    <cellStyle name="Comma 4 2 2 3 7" xfId="2386" xr:uid="{00000000-0005-0000-0000-000025080000}"/>
    <cellStyle name="Comma 4 2 2 3 7 2" xfId="6670" xr:uid="{00000000-0005-0000-0000-000026080000}"/>
    <cellStyle name="Comma 4 2 2 3 7 2 2" xfId="15120" xr:uid="{8687A0B4-63DF-4C56-B18D-8F71880EA8D4}"/>
    <cellStyle name="Comma 4 2 2 3 7 3" xfId="10902" xr:uid="{155E099D-4E8F-4EE6-B212-DBD08A59184C}"/>
    <cellStyle name="Comma 4 2 2 3 8" xfId="2377" xr:uid="{00000000-0005-0000-0000-000027080000}"/>
    <cellStyle name="Comma 4 2 2 3 9" xfId="2764" xr:uid="{00000000-0005-0000-0000-000028080000}"/>
    <cellStyle name="Comma 4 2 2 3 9 2" xfId="6987" xr:uid="{00000000-0005-0000-0000-000029080000}"/>
    <cellStyle name="Comma 4 2 2 3 9 2 2" xfId="15437" xr:uid="{B687AC5E-3D28-441C-B6A8-F9C36D347CA4}"/>
    <cellStyle name="Comma 4 2 2 3 9 3" xfId="11219" xr:uid="{CEDFD1FD-DDBC-4C2E-A717-B336192C8D78}"/>
    <cellStyle name="Comma 4 2 2 4" xfId="134" xr:uid="{00000000-0005-0000-0000-00002A080000}"/>
    <cellStyle name="Comma 4 2 2 4 10" xfId="8838" xr:uid="{421B10E1-8BC5-470F-B31A-51AAEF5DF05B}"/>
    <cellStyle name="Comma 4 2 2 4 2" xfId="672" xr:uid="{00000000-0005-0000-0000-00002B080000}"/>
    <cellStyle name="Comma 4 2 2 4 2 2" xfId="2943" xr:uid="{00000000-0005-0000-0000-00002C080000}"/>
    <cellStyle name="Comma 4 2 2 4 2 2 2" xfId="7165" xr:uid="{00000000-0005-0000-0000-00002D080000}"/>
    <cellStyle name="Comma 4 2 2 4 2 2 2 2" xfId="15615" xr:uid="{80661F9D-4D5B-4878-BD2F-11B8508D15F5}"/>
    <cellStyle name="Comma 4 2 2 4 2 2 3" xfId="11397" xr:uid="{51CC3BA7-81CE-4AD6-9045-C17AB1DC8098}"/>
    <cellStyle name="Comma 4 2 2 4 2 3" xfId="5020" xr:uid="{00000000-0005-0000-0000-00002E080000}"/>
    <cellStyle name="Comma 4 2 2 4 2 3 2" xfId="13470" xr:uid="{9D02C43C-F710-4C92-BF47-5A020D55A8EB}"/>
    <cellStyle name="Comma 4 2 2 4 2 4" xfId="9252" xr:uid="{E316938A-830B-4BC1-BEED-7C44B2DBEE09}"/>
    <cellStyle name="Comma 4 2 2 4 3" xfId="1125" xr:uid="{00000000-0005-0000-0000-00002F080000}"/>
    <cellStyle name="Comma 4 2 2 4 3 2" xfId="3356" xr:uid="{00000000-0005-0000-0000-000030080000}"/>
    <cellStyle name="Comma 4 2 2 4 3 2 2" xfId="7578" xr:uid="{00000000-0005-0000-0000-000031080000}"/>
    <cellStyle name="Comma 4 2 2 4 3 2 2 2" xfId="16028" xr:uid="{5BE291B3-CADC-4E1A-A4BC-5C1D9ADA3268}"/>
    <cellStyle name="Comma 4 2 2 4 3 2 3" xfId="11810" xr:uid="{5F57D345-506D-4DF7-9633-03543C551215}"/>
    <cellStyle name="Comma 4 2 2 4 3 3" xfId="5433" xr:uid="{00000000-0005-0000-0000-000032080000}"/>
    <cellStyle name="Comma 4 2 2 4 3 3 2" xfId="13883" xr:uid="{5C690270-DC00-4F35-930F-2DCE3679A148}"/>
    <cellStyle name="Comma 4 2 2 4 3 4" xfId="9665" xr:uid="{7B75A46A-AFE0-401B-9CE3-493EE2656EDA}"/>
    <cellStyle name="Comma 4 2 2 4 4" xfId="1539" xr:uid="{00000000-0005-0000-0000-000033080000}"/>
    <cellStyle name="Comma 4 2 2 4 4 2" xfId="3769" xr:uid="{00000000-0005-0000-0000-000034080000}"/>
    <cellStyle name="Comma 4 2 2 4 4 2 2" xfId="7991" xr:uid="{00000000-0005-0000-0000-000035080000}"/>
    <cellStyle name="Comma 4 2 2 4 4 2 2 2" xfId="16441" xr:uid="{013E97F0-1ECE-4976-835A-C6A55FCEDF8C}"/>
    <cellStyle name="Comma 4 2 2 4 4 2 3" xfId="12223" xr:uid="{195820B9-FCFD-4BAE-981D-4DEDEF13508A}"/>
    <cellStyle name="Comma 4 2 2 4 4 3" xfId="5846" xr:uid="{00000000-0005-0000-0000-000036080000}"/>
    <cellStyle name="Comma 4 2 2 4 4 3 2" xfId="14296" xr:uid="{237F1720-69CB-43BE-B23C-D8E7AAB238C6}"/>
    <cellStyle name="Comma 4 2 2 4 4 4" xfId="10078" xr:uid="{EB6EF622-6C5F-494C-89C4-7A0B1224DDD8}"/>
    <cellStyle name="Comma 4 2 2 4 5" xfId="1953" xr:uid="{00000000-0005-0000-0000-000037080000}"/>
    <cellStyle name="Comma 4 2 2 4 5 2" xfId="4182" xr:uid="{00000000-0005-0000-0000-000038080000}"/>
    <cellStyle name="Comma 4 2 2 4 5 2 2" xfId="8404" xr:uid="{00000000-0005-0000-0000-000039080000}"/>
    <cellStyle name="Comma 4 2 2 4 5 2 2 2" xfId="16854" xr:uid="{C67211B1-DE66-4877-9072-96ECDE45F0FB}"/>
    <cellStyle name="Comma 4 2 2 4 5 2 3" xfId="12636" xr:uid="{C90CA0A8-5257-4EF1-9CD5-231E9B369387}"/>
    <cellStyle name="Comma 4 2 2 4 5 3" xfId="6259" xr:uid="{00000000-0005-0000-0000-00003A080000}"/>
    <cellStyle name="Comma 4 2 2 4 5 3 2" xfId="14709" xr:uid="{2F35D22D-7534-4609-ADCA-560D7B9AD4E9}"/>
    <cellStyle name="Comma 4 2 2 4 5 4" xfId="10491" xr:uid="{0A9B5A29-E9F7-4DBC-9007-DB5617511D75}"/>
    <cellStyle name="Comma 4 2 2 4 6" xfId="2388" xr:uid="{00000000-0005-0000-0000-00003B080000}"/>
    <cellStyle name="Comma 4 2 2 4 6 2" xfId="6672" xr:uid="{00000000-0005-0000-0000-00003C080000}"/>
    <cellStyle name="Comma 4 2 2 4 6 2 2" xfId="15122" xr:uid="{136ACE28-8F21-4CF1-8F93-36544C21F090}"/>
    <cellStyle name="Comma 4 2 2 4 6 3" xfId="10904" xr:uid="{AEAD38D8-0791-47C0-9A07-1B1CAD0883F2}"/>
    <cellStyle name="Comma 4 2 2 4 7" xfId="2375" xr:uid="{00000000-0005-0000-0000-00003D080000}"/>
    <cellStyle name="Comma 4 2 2 4 8" xfId="2766" xr:uid="{00000000-0005-0000-0000-00003E080000}"/>
    <cellStyle name="Comma 4 2 2 4 8 2" xfId="6989" xr:uid="{00000000-0005-0000-0000-00003F080000}"/>
    <cellStyle name="Comma 4 2 2 4 8 2 2" xfId="15439" xr:uid="{2D49738B-B168-4665-80D4-DF4DA9CB3965}"/>
    <cellStyle name="Comma 4 2 2 4 8 3" xfId="11221" xr:uid="{2B997331-5EF2-4652-98B3-67A09FF8AEFF}"/>
    <cellStyle name="Comma 4 2 2 4 9" xfId="4606" xr:uid="{00000000-0005-0000-0000-000040080000}"/>
    <cellStyle name="Comma 4 2 2 4 9 2" xfId="13056" xr:uid="{287F8F8E-7395-4CB9-BE07-16E91CF1F331}"/>
    <cellStyle name="Comma 4 2 2 5" xfId="135" xr:uid="{00000000-0005-0000-0000-000041080000}"/>
    <cellStyle name="Comma 4 2 2 5 10" xfId="8839" xr:uid="{CE3D8A27-B22D-41FA-B3D2-AFAF41B1138E}"/>
    <cellStyle name="Comma 4 2 2 5 2" xfId="673" xr:uid="{00000000-0005-0000-0000-000042080000}"/>
    <cellStyle name="Comma 4 2 2 5 2 2" xfId="2944" xr:uid="{00000000-0005-0000-0000-000043080000}"/>
    <cellStyle name="Comma 4 2 2 5 2 2 2" xfId="7166" xr:uid="{00000000-0005-0000-0000-000044080000}"/>
    <cellStyle name="Comma 4 2 2 5 2 2 2 2" xfId="15616" xr:uid="{FA29EE03-E092-4036-853A-7E8E10713C90}"/>
    <cellStyle name="Comma 4 2 2 5 2 2 3" xfId="11398" xr:uid="{A9E016E5-5CE6-46F4-950C-D5C809E35B7F}"/>
    <cellStyle name="Comma 4 2 2 5 2 3" xfId="5021" xr:uid="{00000000-0005-0000-0000-000045080000}"/>
    <cellStyle name="Comma 4 2 2 5 2 3 2" xfId="13471" xr:uid="{719C96CE-1CFD-49CA-B4F6-51BDB4A9483D}"/>
    <cellStyle name="Comma 4 2 2 5 2 4" xfId="9253" xr:uid="{A0CFE39F-F1B8-4FB3-9F80-C7F9A4A8958B}"/>
    <cellStyle name="Comma 4 2 2 5 3" xfId="1126" xr:uid="{00000000-0005-0000-0000-000046080000}"/>
    <cellStyle name="Comma 4 2 2 5 3 2" xfId="3357" xr:uid="{00000000-0005-0000-0000-000047080000}"/>
    <cellStyle name="Comma 4 2 2 5 3 2 2" xfId="7579" xr:uid="{00000000-0005-0000-0000-000048080000}"/>
    <cellStyle name="Comma 4 2 2 5 3 2 2 2" xfId="16029" xr:uid="{1A817811-97B5-44A0-9A75-F6093F1EF80C}"/>
    <cellStyle name="Comma 4 2 2 5 3 2 3" xfId="11811" xr:uid="{4BEE8122-762C-4786-A4A5-612345B28229}"/>
    <cellStyle name="Comma 4 2 2 5 3 3" xfId="5434" xr:uid="{00000000-0005-0000-0000-000049080000}"/>
    <cellStyle name="Comma 4 2 2 5 3 3 2" xfId="13884" xr:uid="{00C29568-8672-4A84-93BE-007F3C05C586}"/>
    <cellStyle name="Comma 4 2 2 5 3 4" xfId="9666" xr:uid="{7E0AF4AD-3432-4872-87B2-5435389122C3}"/>
    <cellStyle name="Comma 4 2 2 5 4" xfId="1540" xr:uid="{00000000-0005-0000-0000-00004A080000}"/>
    <cellStyle name="Comma 4 2 2 5 4 2" xfId="3770" xr:uid="{00000000-0005-0000-0000-00004B080000}"/>
    <cellStyle name="Comma 4 2 2 5 4 2 2" xfId="7992" xr:uid="{00000000-0005-0000-0000-00004C080000}"/>
    <cellStyle name="Comma 4 2 2 5 4 2 2 2" xfId="16442" xr:uid="{3BA92E76-8067-498C-AEAF-B231D8C9A561}"/>
    <cellStyle name="Comma 4 2 2 5 4 2 3" xfId="12224" xr:uid="{1A7732DB-AA73-42C2-97B5-8543B8BF09A2}"/>
    <cellStyle name="Comma 4 2 2 5 4 3" xfId="5847" xr:uid="{00000000-0005-0000-0000-00004D080000}"/>
    <cellStyle name="Comma 4 2 2 5 4 3 2" xfId="14297" xr:uid="{5CE225CC-5BD4-4C09-BA3B-D4D6D5297B2C}"/>
    <cellStyle name="Comma 4 2 2 5 4 4" xfId="10079" xr:uid="{44818BE9-E6C5-4F2B-A9DB-5E20ABA5DB6F}"/>
    <cellStyle name="Comma 4 2 2 5 5" xfId="1954" xr:uid="{00000000-0005-0000-0000-00004E080000}"/>
    <cellStyle name="Comma 4 2 2 5 5 2" xfId="4183" xr:uid="{00000000-0005-0000-0000-00004F080000}"/>
    <cellStyle name="Comma 4 2 2 5 5 2 2" xfId="8405" xr:uid="{00000000-0005-0000-0000-000050080000}"/>
    <cellStyle name="Comma 4 2 2 5 5 2 2 2" xfId="16855" xr:uid="{B8552CFE-44EE-4E42-B163-426985A9D4FB}"/>
    <cellStyle name="Comma 4 2 2 5 5 2 3" xfId="12637" xr:uid="{803AAF5D-B78C-48D8-8241-0696369F6F72}"/>
    <cellStyle name="Comma 4 2 2 5 5 3" xfId="6260" xr:uid="{00000000-0005-0000-0000-000051080000}"/>
    <cellStyle name="Comma 4 2 2 5 5 3 2" xfId="14710" xr:uid="{531073DC-680F-48F1-948B-162D2BE468E4}"/>
    <cellStyle name="Comma 4 2 2 5 5 4" xfId="10492" xr:uid="{C0E78ACF-9EFC-4036-9FEC-1DB29DDC062D}"/>
    <cellStyle name="Comma 4 2 2 5 6" xfId="2389" xr:uid="{00000000-0005-0000-0000-000052080000}"/>
    <cellStyle name="Comma 4 2 2 5 6 2" xfId="6673" xr:uid="{00000000-0005-0000-0000-000053080000}"/>
    <cellStyle name="Comma 4 2 2 5 6 2 2" xfId="15123" xr:uid="{F4B22168-725E-4BAA-97D6-5615EB10B994}"/>
    <cellStyle name="Comma 4 2 2 5 6 3" xfId="10905" xr:uid="{C4D8360F-580B-45E0-8F03-B57EFA37FB6E}"/>
    <cellStyle name="Comma 4 2 2 5 7" xfId="2374" xr:uid="{00000000-0005-0000-0000-000054080000}"/>
    <cellStyle name="Comma 4 2 2 5 8" xfId="2767" xr:uid="{00000000-0005-0000-0000-000055080000}"/>
    <cellStyle name="Comma 4 2 2 5 8 2" xfId="6990" xr:uid="{00000000-0005-0000-0000-000056080000}"/>
    <cellStyle name="Comma 4 2 2 5 8 2 2" xfId="15440" xr:uid="{1992632E-6244-41A0-B87B-9F66A7B5BFA7}"/>
    <cellStyle name="Comma 4 2 2 5 8 3" xfId="11222" xr:uid="{6C71344B-C495-4E78-BC28-69C6EF163096}"/>
    <cellStyle name="Comma 4 2 2 5 9" xfId="4607" xr:uid="{00000000-0005-0000-0000-000057080000}"/>
    <cellStyle name="Comma 4 2 2 5 9 2" xfId="13057" xr:uid="{41F49B35-0104-4704-9164-1819EEA22DE2}"/>
    <cellStyle name="Comma 4 2 3" xfId="136" xr:uid="{00000000-0005-0000-0000-000058080000}"/>
    <cellStyle name="Comma 4 2 3 10" xfId="2768" xr:uid="{00000000-0005-0000-0000-000059080000}"/>
    <cellStyle name="Comma 4 2 3 10 2" xfId="6991" xr:uid="{00000000-0005-0000-0000-00005A080000}"/>
    <cellStyle name="Comma 4 2 3 10 2 2" xfId="15441" xr:uid="{F91D38F0-B9F3-47D1-8E0F-B8A076021643}"/>
    <cellStyle name="Comma 4 2 3 10 3" xfId="11223" xr:uid="{E18BAACF-9FCB-4A85-9FE4-67A0379A059A}"/>
    <cellStyle name="Comma 4 2 3 11" xfId="4608" xr:uid="{00000000-0005-0000-0000-00005B080000}"/>
    <cellStyle name="Comma 4 2 3 11 2" xfId="13058" xr:uid="{B8B4CC7C-8937-4DB9-A299-B6753ED918AC}"/>
    <cellStyle name="Comma 4 2 3 12" xfId="8840" xr:uid="{68E91581-39EF-4139-B3FA-DDFA6B25BAC4}"/>
    <cellStyle name="Comma 4 2 3 2" xfId="137" xr:uid="{00000000-0005-0000-0000-00005C080000}"/>
    <cellStyle name="Comma 4 2 3 2 10" xfId="4609" xr:uid="{00000000-0005-0000-0000-00005D080000}"/>
    <cellStyle name="Comma 4 2 3 2 10 2" xfId="13059" xr:uid="{9B1B2442-BC18-432A-9DA9-F6EB4A109376}"/>
    <cellStyle name="Comma 4 2 3 2 11" xfId="8841" xr:uid="{D86CA376-B90A-4DC2-8B38-CBE61B911FE4}"/>
    <cellStyle name="Comma 4 2 3 2 2" xfId="138" xr:uid="{00000000-0005-0000-0000-00005E080000}"/>
    <cellStyle name="Comma 4 2 3 2 2 10" xfId="8842" xr:uid="{56227965-5807-46AB-9189-AACFAE556E35}"/>
    <cellStyle name="Comma 4 2 3 2 2 2" xfId="676" xr:uid="{00000000-0005-0000-0000-00005F080000}"/>
    <cellStyle name="Comma 4 2 3 2 2 2 2" xfId="2947" xr:uid="{00000000-0005-0000-0000-000060080000}"/>
    <cellStyle name="Comma 4 2 3 2 2 2 2 2" xfId="7169" xr:uid="{00000000-0005-0000-0000-000061080000}"/>
    <cellStyle name="Comma 4 2 3 2 2 2 2 2 2" xfId="15619" xr:uid="{CF5BC96C-0E86-4FAF-BEA0-D8EBCA6BAC0B}"/>
    <cellStyle name="Comma 4 2 3 2 2 2 2 3" xfId="11401" xr:uid="{DE1D4427-D062-4814-A967-C68E8CB814CD}"/>
    <cellStyle name="Comma 4 2 3 2 2 2 3" xfId="5024" xr:uid="{00000000-0005-0000-0000-000062080000}"/>
    <cellStyle name="Comma 4 2 3 2 2 2 3 2" xfId="13474" xr:uid="{9A1115D7-DE37-4D1D-AC77-1273C375D5AA}"/>
    <cellStyle name="Comma 4 2 3 2 2 2 4" xfId="9256" xr:uid="{716909DA-0898-49EF-BBBA-518F10CEDAC9}"/>
    <cellStyle name="Comma 4 2 3 2 2 3" xfId="1129" xr:uid="{00000000-0005-0000-0000-000063080000}"/>
    <cellStyle name="Comma 4 2 3 2 2 3 2" xfId="3360" xr:uid="{00000000-0005-0000-0000-000064080000}"/>
    <cellStyle name="Comma 4 2 3 2 2 3 2 2" xfId="7582" xr:uid="{00000000-0005-0000-0000-000065080000}"/>
    <cellStyle name="Comma 4 2 3 2 2 3 2 2 2" xfId="16032" xr:uid="{2012524D-8235-4403-A4A2-49CC46DB908E}"/>
    <cellStyle name="Comma 4 2 3 2 2 3 2 3" xfId="11814" xr:uid="{CEAB29CD-B8E0-404B-9682-CE1DC7126C9D}"/>
    <cellStyle name="Comma 4 2 3 2 2 3 3" xfId="5437" xr:uid="{00000000-0005-0000-0000-000066080000}"/>
    <cellStyle name="Comma 4 2 3 2 2 3 3 2" xfId="13887" xr:uid="{1ABFEC4D-E345-4A99-B7F2-12D1BE1B2279}"/>
    <cellStyle name="Comma 4 2 3 2 2 3 4" xfId="9669" xr:uid="{A4605B7F-8D14-4B61-98BB-16E9B7B96D36}"/>
    <cellStyle name="Comma 4 2 3 2 2 4" xfId="1543" xr:uid="{00000000-0005-0000-0000-000067080000}"/>
    <cellStyle name="Comma 4 2 3 2 2 4 2" xfId="3773" xr:uid="{00000000-0005-0000-0000-000068080000}"/>
    <cellStyle name="Comma 4 2 3 2 2 4 2 2" xfId="7995" xr:uid="{00000000-0005-0000-0000-000069080000}"/>
    <cellStyle name="Comma 4 2 3 2 2 4 2 2 2" xfId="16445" xr:uid="{7798B62A-20DF-449D-8AA5-886603D68AF0}"/>
    <cellStyle name="Comma 4 2 3 2 2 4 2 3" xfId="12227" xr:uid="{1AF992EC-7E9C-44B4-9120-722694662AD1}"/>
    <cellStyle name="Comma 4 2 3 2 2 4 3" xfId="5850" xr:uid="{00000000-0005-0000-0000-00006A080000}"/>
    <cellStyle name="Comma 4 2 3 2 2 4 3 2" xfId="14300" xr:uid="{863BA001-E1A1-4787-891D-5CC602B387D3}"/>
    <cellStyle name="Comma 4 2 3 2 2 4 4" xfId="10082" xr:uid="{C055B328-D23F-42A7-891D-B804F9C83439}"/>
    <cellStyle name="Comma 4 2 3 2 2 5" xfId="1957" xr:uid="{00000000-0005-0000-0000-00006B080000}"/>
    <cellStyle name="Comma 4 2 3 2 2 5 2" xfId="4186" xr:uid="{00000000-0005-0000-0000-00006C080000}"/>
    <cellStyle name="Comma 4 2 3 2 2 5 2 2" xfId="8408" xr:uid="{00000000-0005-0000-0000-00006D080000}"/>
    <cellStyle name="Comma 4 2 3 2 2 5 2 2 2" xfId="16858" xr:uid="{8B0C89ED-9AA4-4F25-B593-0F157C7A3635}"/>
    <cellStyle name="Comma 4 2 3 2 2 5 2 3" xfId="12640" xr:uid="{4219536A-46FA-4446-A978-D4849FEBB4A2}"/>
    <cellStyle name="Comma 4 2 3 2 2 5 3" xfId="6263" xr:uid="{00000000-0005-0000-0000-00006E080000}"/>
    <cellStyle name="Comma 4 2 3 2 2 5 3 2" xfId="14713" xr:uid="{6254874D-943C-4E8C-BFA1-192676E88718}"/>
    <cellStyle name="Comma 4 2 3 2 2 5 4" xfId="10495" xr:uid="{548E4041-299B-4770-9C59-C27A82253388}"/>
    <cellStyle name="Comma 4 2 3 2 2 6" xfId="2392" xr:uid="{00000000-0005-0000-0000-00006F080000}"/>
    <cellStyle name="Comma 4 2 3 2 2 6 2" xfId="6676" xr:uid="{00000000-0005-0000-0000-000070080000}"/>
    <cellStyle name="Comma 4 2 3 2 2 6 2 2" xfId="15126" xr:uid="{E11AA6E4-42BA-4A8A-8E42-A5D4EAA7CC14}"/>
    <cellStyle name="Comma 4 2 3 2 2 6 3" xfId="10908" xr:uid="{380CBD1D-B40F-4C78-BB78-30B411C85D2E}"/>
    <cellStyle name="Comma 4 2 3 2 2 7" xfId="2371" xr:uid="{00000000-0005-0000-0000-000071080000}"/>
    <cellStyle name="Comma 4 2 3 2 2 8" xfId="2770" xr:uid="{00000000-0005-0000-0000-000072080000}"/>
    <cellStyle name="Comma 4 2 3 2 2 8 2" xfId="6993" xr:uid="{00000000-0005-0000-0000-000073080000}"/>
    <cellStyle name="Comma 4 2 3 2 2 8 2 2" xfId="15443" xr:uid="{B21569CA-182C-4D9E-9900-6964452DDB72}"/>
    <cellStyle name="Comma 4 2 3 2 2 8 3" xfId="11225" xr:uid="{FA2DD21A-4621-41BF-96EB-DE1B9F536326}"/>
    <cellStyle name="Comma 4 2 3 2 2 9" xfId="4610" xr:uid="{00000000-0005-0000-0000-000074080000}"/>
    <cellStyle name="Comma 4 2 3 2 2 9 2" xfId="13060" xr:uid="{B4651C10-06A5-49A7-B6D2-5702FA002C30}"/>
    <cellStyle name="Comma 4 2 3 2 3" xfId="675" xr:uid="{00000000-0005-0000-0000-000075080000}"/>
    <cellStyle name="Comma 4 2 3 2 3 2" xfId="2946" xr:uid="{00000000-0005-0000-0000-000076080000}"/>
    <cellStyle name="Comma 4 2 3 2 3 2 2" xfId="7168" xr:uid="{00000000-0005-0000-0000-000077080000}"/>
    <cellStyle name="Comma 4 2 3 2 3 2 2 2" xfId="15618" xr:uid="{1B35B9E9-6DEB-4AF9-83AD-0E2FD24305BB}"/>
    <cellStyle name="Comma 4 2 3 2 3 2 3" xfId="11400" xr:uid="{0A12DEC9-EED6-4341-99AA-41460A4B38EB}"/>
    <cellStyle name="Comma 4 2 3 2 3 3" xfId="5023" xr:uid="{00000000-0005-0000-0000-000078080000}"/>
    <cellStyle name="Comma 4 2 3 2 3 3 2" xfId="13473" xr:uid="{397C6AED-7977-4861-AFBC-41523327CB63}"/>
    <cellStyle name="Comma 4 2 3 2 3 4" xfId="9255" xr:uid="{969D2709-FE3F-41CD-A6E3-598B4920C069}"/>
    <cellStyle name="Comma 4 2 3 2 4" xfId="1128" xr:uid="{00000000-0005-0000-0000-000079080000}"/>
    <cellStyle name="Comma 4 2 3 2 4 2" xfId="3359" xr:uid="{00000000-0005-0000-0000-00007A080000}"/>
    <cellStyle name="Comma 4 2 3 2 4 2 2" xfId="7581" xr:uid="{00000000-0005-0000-0000-00007B080000}"/>
    <cellStyle name="Comma 4 2 3 2 4 2 2 2" xfId="16031" xr:uid="{01FB454A-11B4-449C-A069-EDAC9FFE1048}"/>
    <cellStyle name="Comma 4 2 3 2 4 2 3" xfId="11813" xr:uid="{D59D6FCD-C757-461C-922A-E9E83F2B6FFF}"/>
    <cellStyle name="Comma 4 2 3 2 4 3" xfId="5436" xr:uid="{00000000-0005-0000-0000-00007C080000}"/>
    <cellStyle name="Comma 4 2 3 2 4 3 2" xfId="13886" xr:uid="{4CA85BDC-3AC1-43E1-AA0D-E784B04B6E42}"/>
    <cellStyle name="Comma 4 2 3 2 4 4" xfId="9668" xr:uid="{1D0A07E6-CBCF-4C31-8BED-BA436F4860D7}"/>
    <cellStyle name="Comma 4 2 3 2 5" xfId="1542" xr:uid="{00000000-0005-0000-0000-00007D080000}"/>
    <cellStyle name="Comma 4 2 3 2 5 2" xfId="3772" xr:uid="{00000000-0005-0000-0000-00007E080000}"/>
    <cellStyle name="Comma 4 2 3 2 5 2 2" xfId="7994" xr:uid="{00000000-0005-0000-0000-00007F080000}"/>
    <cellStyle name="Comma 4 2 3 2 5 2 2 2" xfId="16444" xr:uid="{755310EF-D48F-4B14-B95B-B8D57FA897AF}"/>
    <cellStyle name="Comma 4 2 3 2 5 2 3" xfId="12226" xr:uid="{24CC0545-D81A-416E-A54F-64C6350168B4}"/>
    <cellStyle name="Comma 4 2 3 2 5 3" xfId="5849" xr:uid="{00000000-0005-0000-0000-000080080000}"/>
    <cellStyle name="Comma 4 2 3 2 5 3 2" xfId="14299" xr:uid="{07F2188B-E812-4B1E-A428-73DFAE39BDFE}"/>
    <cellStyle name="Comma 4 2 3 2 5 4" xfId="10081" xr:uid="{0E77AFF2-C4C3-4DC1-B381-1AC464A18F14}"/>
    <cellStyle name="Comma 4 2 3 2 6" xfId="1956" xr:uid="{00000000-0005-0000-0000-000081080000}"/>
    <cellStyle name="Comma 4 2 3 2 6 2" xfId="4185" xr:uid="{00000000-0005-0000-0000-000082080000}"/>
    <cellStyle name="Comma 4 2 3 2 6 2 2" xfId="8407" xr:uid="{00000000-0005-0000-0000-000083080000}"/>
    <cellStyle name="Comma 4 2 3 2 6 2 2 2" xfId="16857" xr:uid="{856C80D5-7A98-4B7B-8496-E5D406A9D817}"/>
    <cellStyle name="Comma 4 2 3 2 6 2 3" xfId="12639" xr:uid="{77A26D43-C43E-4FE0-B27D-3734D9E84A72}"/>
    <cellStyle name="Comma 4 2 3 2 6 3" xfId="6262" xr:uid="{00000000-0005-0000-0000-000084080000}"/>
    <cellStyle name="Comma 4 2 3 2 6 3 2" xfId="14712" xr:uid="{17A1E442-399C-4ED2-81EE-51997B99AA25}"/>
    <cellStyle name="Comma 4 2 3 2 6 4" xfId="10494" xr:uid="{D337D362-6493-4C77-B457-FEE2F244AF41}"/>
    <cellStyle name="Comma 4 2 3 2 7" xfId="2391" xr:uid="{00000000-0005-0000-0000-000085080000}"/>
    <cellStyle name="Comma 4 2 3 2 7 2" xfId="6675" xr:uid="{00000000-0005-0000-0000-000086080000}"/>
    <cellStyle name="Comma 4 2 3 2 7 2 2" xfId="15125" xr:uid="{6066DF70-B22E-4811-B0D9-4A6C566BD029}"/>
    <cellStyle name="Comma 4 2 3 2 7 3" xfId="10907" xr:uid="{3B6C6747-C4D3-4179-8A73-26F1D2912D23}"/>
    <cellStyle name="Comma 4 2 3 2 8" xfId="2372" xr:uid="{00000000-0005-0000-0000-000087080000}"/>
    <cellStyle name="Comma 4 2 3 2 9" xfId="2769" xr:uid="{00000000-0005-0000-0000-000088080000}"/>
    <cellStyle name="Comma 4 2 3 2 9 2" xfId="6992" xr:uid="{00000000-0005-0000-0000-000089080000}"/>
    <cellStyle name="Comma 4 2 3 2 9 2 2" xfId="15442" xr:uid="{5B6E149E-2118-4C7A-8AB2-A92A895DA903}"/>
    <cellStyle name="Comma 4 2 3 2 9 3" xfId="11224" xr:uid="{C6E9C787-7999-4152-93B8-FF38E4FF4766}"/>
    <cellStyle name="Comma 4 2 3 3" xfId="139" xr:uid="{00000000-0005-0000-0000-00008A080000}"/>
    <cellStyle name="Comma 4 2 3 3 10" xfId="8843" xr:uid="{41DDD6A1-6856-4411-AF66-1C01E3C573C2}"/>
    <cellStyle name="Comma 4 2 3 3 2" xfId="677" xr:uid="{00000000-0005-0000-0000-00008B080000}"/>
    <cellStyle name="Comma 4 2 3 3 2 2" xfId="2948" xr:uid="{00000000-0005-0000-0000-00008C080000}"/>
    <cellStyle name="Comma 4 2 3 3 2 2 2" xfId="7170" xr:uid="{00000000-0005-0000-0000-00008D080000}"/>
    <cellStyle name="Comma 4 2 3 3 2 2 2 2" xfId="15620" xr:uid="{C164D135-EE4C-422D-8014-B3D802429B94}"/>
    <cellStyle name="Comma 4 2 3 3 2 2 3" xfId="11402" xr:uid="{11424A18-83DC-48ED-BFEF-EFEB5ED9D566}"/>
    <cellStyle name="Comma 4 2 3 3 2 3" xfId="5025" xr:uid="{00000000-0005-0000-0000-00008E080000}"/>
    <cellStyle name="Comma 4 2 3 3 2 3 2" xfId="13475" xr:uid="{CA239480-62B2-4C60-B36E-685EA7783260}"/>
    <cellStyle name="Comma 4 2 3 3 2 4" xfId="9257" xr:uid="{AF40A955-C902-4CF9-8D38-BD028E866039}"/>
    <cellStyle name="Comma 4 2 3 3 3" xfId="1130" xr:uid="{00000000-0005-0000-0000-00008F080000}"/>
    <cellStyle name="Comma 4 2 3 3 3 2" xfId="3361" xr:uid="{00000000-0005-0000-0000-000090080000}"/>
    <cellStyle name="Comma 4 2 3 3 3 2 2" xfId="7583" xr:uid="{00000000-0005-0000-0000-000091080000}"/>
    <cellStyle name="Comma 4 2 3 3 3 2 2 2" xfId="16033" xr:uid="{67774156-34C2-4A9C-8466-30918C642911}"/>
    <cellStyle name="Comma 4 2 3 3 3 2 3" xfId="11815" xr:uid="{8F24C283-885C-42FE-ADAC-977630BBB811}"/>
    <cellStyle name="Comma 4 2 3 3 3 3" xfId="5438" xr:uid="{00000000-0005-0000-0000-000092080000}"/>
    <cellStyle name="Comma 4 2 3 3 3 3 2" xfId="13888" xr:uid="{9C03AE71-9073-44BA-A260-D134823FB8C7}"/>
    <cellStyle name="Comma 4 2 3 3 3 4" xfId="9670" xr:uid="{A72E5063-4FAB-494B-96CB-633830822F4C}"/>
    <cellStyle name="Comma 4 2 3 3 4" xfId="1544" xr:uid="{00000000-0005-0000-0000-000093080000}"/>
    <cellStyle name="Comma 4 2 3 3 4 2" xfId="3774" xr:uid="{00000000-0005-0000-0000-000094080000}"/>
    <cellStyle name="Comma 4 2 3 3 4 2 2" xfId="7996" xr:uid="{00000000-0005-0000-0000-000095080000}"/>
    <cellStyle name="Comma 4 2 3 3 4 2 2 2" xfId="16446" xr:uid="{6345B31A-1864-4BB0-BA38-5279B4E272CA}"/>
    <cellStyle name="Comma 4 2 3 3 4 2 3" xfId="12228" xr:uid="{3B7E1773-D64C-4906-83E1-7CE9D4D1B54B}"/>
    <cellStyle name="Comma 4 2 3 3 4 3" xfId="5851" xr:uid="{00000000-0005-0000-0000-000096080000}"/>
    <cellStyle name="Comma 4 2 3 3 4 3 2" xfId="14301" xr:uid="{4A33F218-220F-46CE-855A-821B651066EC}"/>
    <cellStyle name="Comma 4 2 3 3 4 4" xfId="10083" xr:uid="{843BA035-4CF2-41E1-BF1D-EF2DCAB6D51D}"/>
    <cellStyle name="Comma 4 2 3 3 5" xfId="1958" xr:uid="{00000000-0005-0000-0000-000097080000}"/>
    <cellStyle name="Comma 4 2 3 3 5 2" xfId="4187" xr:uid="{00000000-0005-0000-0000-000098080000}"/>
    <cellStyle name="Comma 4 2 3 3 5 2 2" xfId="8409" xr:uid="{00000000-0005-0000-0000-000099080000}"/>
    <cellStyle name="Comma 4 2 3 3 5 2 2 2" xfId="16859" xr:uid="{86F022C4-8E0A-493C-8EA4-1DF0D40FB686}"/>
    <cellStyle name="Comma 4 2 3 3 5 2 3" xfId="12641" xr:uid="{027A2C0E-ECE6-4004-82E0-A1371A863439}"/>
    <cellStyle name="Comma 4 2 3 3 5 3" xfId="6264" xr:uid="{00000000-0005-0000-0000-00009A080000}"/>
    <cellStyle name="Comma 4 2 3 3 5 3 2" xfId="14714" xr:uid="{F317D688-4BA9-46C1-BE4D-DAA319CAAA60}"/>
    <cellStyle name="Comma 4 2 3 3 5 4" xfId="10496" xr:uid="{8638A092-49E6-4E83-B412-CFBE01DAE876}"/>
    <cellStyle name="Comma 4 2 3 3 6" xfId="2393" xr:uid="{00000000-0005-0000-0000-00009B080000}"/>
    <cellStyle name="Comma 4 2 3 3 6 2" xfId="6677" xr:uid="{00000000-0005-0000-0000-00009C080000}"/>
    <cellStyle name="Comma 4 2 3 3 6 2 2" xfId="15127" xr:uid="{3418C7B2-C4F3-4AF4-AF9C-3BEEB433FB6F}"/>
    <cellStyle name="Comma 4 2 3 3 6 3" xfId="10909" xr:uid="{D3BF44D8-F781-4493-974C-56C6F855F895}"/>
    <cellStyle name="Comma 4 2 3 3 7" xfId="2370" xr:uid="{00000000-0005-0000-0000-00009D080000}"/>
    <cellStyle name="Comma 4 2 3 3 8" xfId="2771" xr:uid="{00000000-0005-0000-0000-00009E080000}"/>
    <cellStyle name="Comma 4 2 3 3 8 2" xfId="6994" xr:uid="{00000000-0005-0000-0000-00009F080000}"/>
    <cellStyle name="Comma 4 2 3 3 8 2 2" xfId="15444" xr:uid="{A5A5E273-6F6B-413C-809C-AB972F4E8D86}"/>
    <cellStyle name="Comma 4 2 3 3 8 3" xfId="11226" xr:uid="{E89B67EF-6B9B-46F3-AB17-CC23827E31F1}"/>
    <cellStyle name="Comma 4 2 3 3 9" xfId="4611" xr:uid="{00000000-0005-0000-0000-0000A0080000}"/>
    <cellStyle name="Comma 4 2 3 3 9 2" xfId="13061" xr:uid="{00E427E7-7405-4AF8-97AB-F54EC1C024BB}"/>
    <cellStyle name="Comma 4 2 3 4" xfId="674" xr:uid="{00000000-0005-0000-0000-0000A1080000}"/>
    <cellStyle name="Comma 4 2 3 4 2" xfId="2945" xr:uid="{00000000-0005-0000-0000-0000A2080000}"/>
    <cellStyle name="Comma 4 2 3 4 2 2" xfId="7167" xr:uid="{00000000-0005-0000-0000-0000A3080000}"/>
    <cellStyle name="Comma 4 2 3 4 2 2 2" xfId="15617" xr:uid="{25135932-1624-4C03-809B-421ECA736CDA}"/>
    <cellStyle name="Comma 4 2 3 4 2 3" xfId="11399" xr:uid="{CD26DFD3-2703-4D2C-8D41-87E43A276EEA}"/>
    <cellStyle name="Comma 4 2 3 4 3" xfId="5022" xr:uid="{00000000-0005-0000-0000-0000A4080000}"/>
    <cellStyle name="Comma 4 2 3 4 3 2" xfId="13472" xr:uid="{80EFB7D2-29C8-468B-B2F0-85985A0ACE8D}"/>
    <cellStyle name="Comma 4 2 3 4 4" xfId="9254" xr:uid="{26F1011D-BDE9-489D-848D-621D7A8ED2E8}"/>
    <cellStyle name="Comma 4 2 3 5" xfId="1127" xr:uid="{00000000-0005-0000-0000-0000A5080000}"/>
    <cellStyle name="Comma 4 2 3 5 2" xfId="3358" xr:uid="{00000000-0005-0000-0000-0000A6080000}"/>
    <cellStyle name="Comma 4 2 3 5 2 2" xfId="7580" xr:uid="{00000000-0005-0000-0000-0000A7080000}"/>
    <cellStyle name="Comma 4 2 3 5 2 2 2" xfId="16030" xr:uid="{CF8A2AF9-1FD4-408F-874A-8CEDD252E7D6}"/>
    <cellStyle name="Comma 4 2 3 5 2 3" xfId="11812" xr:uid="{3FE38F62-A8B0-4FE1-8F52-468DBF8E215C}"/>
    <cellStyle name="Comma 4 2 3 5 3" xfId="5435" xr:uid="{00000000-0005-0000-0000-0000A8080000}"/>
    <cellStyle name="Comma 4 2 3 5 3 2" xfId="13885" xr:uid="{B774FC35-D5FF-4E7F-970D-903F896B346E}"/>
    <cellStyle name="Comma 4 2 3 5 4" xfId="9667" xr:uid="{56253F5B-4612-4D59-BADE-B4D201EA6496}"/>
    <cellStyle name="Comma 4 2 3 6" xfId="1541" xr:uid="{00000000-0005-0000-0000-0000A9080000}"/>
    <cellStyle name="Comma 4 2 3 6 2" xfId="3771" xr:uid="{00000000-0005-0000-0000-0000AA080000}"/>
    <cellStyle name="Comma 4 2 3 6 2 2" xfId="7993" xr:uid="{00000000-0005-0000-0000-0000AB080000}"/>
    <cellStyle name="Comma 4 2 3 6 2 2 2" xfId="16443" xr:uid="{57518B0F-34AE-4E06-A160-F6F3C10A8227}"/>
    <cellStyle name="Comma 4 2 3 6 2 3" xfId="12225" xr:uid="{E1F7F8FD-8844-4538-AD09-408C9D6096BA}"/>
    <cellStyle name="Comma 4 2 3 6 3" xfId="5848" xr:uid="{00000000-0005-0000-0000-0000AC080000}"/>
    <cellStyle name="Comma 4 2 3 6 3 2" xfId="14298" xr:uid="{2649BB8B-C082-41E2-B828-E847C8EA00DD}"/>
    <cellStyle name="Comma 4 2 3 6 4" xfId="10080" xr:uid="{70FB80A0-4B5F-4F27-8F97-1E55BCC78EC6}"/>
    <cellStyle name="Comma 4 2 3 7" xfId="1955" xr:uid="{00000000-0005-0000-0000-0000AD080000}"/>
    <cellStyle name="Comma 4 2 3 7 2" xfId="4184" xr:uid="{00000000-0005-0000-0000-0000AE080000}"/>
    <cellStyle name="Comma 4 2 3 7 2 2" xfId="8406" xr:uid="{00000000-0005-0000-0000-0000AF080000}"/>
    <cellStyle name="Comma 4 2 3 7 2 2 2" xfId="16856" xr:uid="{54BEE8CC-616B-4BDC-B5EB-C44A9E568014}"/>
    <cellStyle name="Comma 4 2 3 7 2 3" xfId="12638" xr:uid="{DAB93934-3416-4D0C-9BF9-3F18CB2E0AEA}"/>
    <cellStyle name="Comma 4 2 3 7 3" xfId="6261" xr:uid="{00000000-0005-0000-0000-0000B0080000}"/>
    <cellStyle name="Comma 4 2 3 7 3 2" xfId="14711" xr:uid="{76B6C380-C155-411B-9841-451D6219EC22}"/>
    <cellStyle name="Comma 4 2 3 7 4" xfId="10493" xr:uid="{16B2D78C-5765-4CC2-965C-FB122BF73D0A}"/>
    <cellStyle name="Comma 4 2 3 8" xfId="2390" xr:uid="{00000000-0005-0000-0000-0000B1080000}"/>
    <cellStyle name="Comma 4 2 3 8 2" xfId="6674" xr:uid="{00000000-0005-0000-0000-0000B2080000}"/>
    <cellStyle name="Comma 4 2 3 8 2 2" xfId="15124" xr:uid="{CE0EB692-93EF-4F99-9FEE-4B173C4C0098}"/>
    <cellStyle name="Comma 4 2 3 8 3" xfId="10906" xr:uid="{FB5B17E9-2026-4777-9371-B1DA669FF0F5}"/>
    <cellStyle name="Comma 4 2 3 9" xfId="2373" xr:uid="{00000000-0005-0000-0000-0000B3080000}"/>
    <cellStyle name="Comma 4 2 4" xfId="140" xr:uid="{00000000-0005-0000-0000-0000B4080000}"/>
    <cellStyle name="Comma 4 2 4 10" xfId="4612" xr:uid="{00000000-0005-0000-0000-0000B5080000}"/>
    <cellStyle name="Comma 4 2 4 10 2" xfId="13062" xr:uid="{54EE38C1-C967-4586-B9FA-969B26007563}"/>
    <cellStyle name="Comma 4 2 4 11" xfId="8844" xr:uid="{8210B1BC-1548-4E7E-9876-1788A09C9662}"/>
    <cellStyle name="Comma 4 2 4 2" xfId="141" xr:uid="{00000000-0005-0000-0000-0000B6080000}"/>
    <cellStyle name="Comma 4 2 4 2 10" xfId="8845" xr:uid="{165917CE-2AC4-43BC-ADF3-F526AB67057D}"/>
    <cellStyle name="Comma 4 2 4 2 2" xfId="679" xr:uid="{00000000-0005-0000-0000-0000B7080000}"/>
    <cellStyle name="Comma 4 2 4 2 2 2" xfId="2950" xr:uid="{00000000-0005-0000-0000-0000B8080000}"/>
    <cellStyle name="Comma 4 2 4 2 2 2 2" xfId="7172" xr:uid="{00000000-0005-0000-0000-0000B9080000}"/>
    <cellStyle name="Comma 4 2 4 2 2 2 2 2" xfId="15622" xr:uid="{269B1556-453C-4D10-8765-B45CE445EDFC}"/>
    <cellStyle name="Comma 4 2 4 2 2 2 3" xfId="11404" xr:uid="{1AE4DF9F-7C16-41E3-8561-60556F8E4B8B}"/>
    <cellStyle name="Comma 4 2 4 2 2 3" xfId="5027" xr:uid="{00000000-0005-0000-0000-0000BA080000}"/>
    <cellStyle name="Comma 4 2 4 2 2 3 2" xfId="13477" xr:uid="{1274D716-BC63-45B9-88FC-F6D6B4B4E1EF}"/>
    <cellStyle name="Comma 4 2 4 2 2 4" xfId="9259" xr:uid="{76C8F6B8-FF5C-4634-8CE3-C348FDF7EA85}"/>
    <cellStyle name="Comma 4 2 4 2 3" xfId="1132" xr:uid="{00000000-0005-0000-0000-0000BB080000}"/>
    <cellStyle name="Comma 4 2 4 2 3 2" xfId="3363" xr:uid="{00000000-0005-0000-0000-0000BC080000}"/>
    <cellStyle name="Comma 4 2 4 2 3 2 2" xfId="7585" xr:uid="{00000000-0005-0000-0000-0000BD080000}"/>
    <cellStyle name="Comma 4 2 4 2 3 2 2 2" xfId="16035" xr:uid="{0B034A9B-DB39-4A02-BDB0-A98D8FC8CD67}"/>
    <cellStyle name="Comma 4 2 4 2 3 2 3" xfId="11817" xr:uid="{BBE59FED-0F6C-4ABA-95FA-AD58C00D4FF5}"/>
    <cellStyle name="Comma 4 2 4 2 3 3" xfId="5440" xr:uid="{00000000-0005-0000-0000-0000BE080000}"/>
    <cellStyle name="Comma 4 2 4 2 3 3 2" xfId="13890" xr:uid="{D73E963B-966F-4737-BE63-586552455DD4}"/>
    <cellStyle name="Comma 4 2 4 2 3 4" xfId="9672" xr:uid="{8979E0BB-2E71-4D11-94E7-DDA4717B63CA}"/>
    <cellStyle name="Comma 4 2 4 2 4" xfId="1546" xr:uid="{00000000-0005-0000-0000-0000BF080000}"/>
    <cellStyle name="Comma 4 2 4 2 4 2" xfId="3776" xr:uid="{00000000-0005-0000-0000-0000C0080000}"/>
    <cellStyle name="Comma 4 2 4 2 4 2 2" xfId="7998" xr:uid="{00000000-0005-0000-0000-0000C1080000}"/>
    <cellStyle name="Comma 4 2 4 2 4 2 2 2" xfId="16448" xr:uid="{57E46480-87B9-400C-92D1-8BA6CE6A8C8E}"/>
    <cellStyle name="Comma 4 2 4 2 4 2 3" xfId="12230" xr:uid="{64008848-A045-47E8-887F-E0CF23A2CBF0}"/>
    <cellStyle name="Comma 4 2 4 2 4 3" xfId="5853" xr:uid="{00000000-0005-0000-0000-0000C2080000}"/>
    <cellStyle name="Comma 4 2 4 2 4 3 2" xfId="14303" xr:uid="{52386406-7894-4C5D-9123-DC81C984E778}"/>
    <cellStyle name="Comma 4 2 4 2 4 4" xfId="10085" xr:uid="{00C7F24E-4720-4316-9E36-9F1BA58500A5}"/>
    <cellStyle name="Comma 4 2 4 2 5" xfId="1960" xr:uid="{00000000-0005-0000-0000-0000C3080000}"/>
    <cellStyle name="Comma 4 2 4 2 5 2" xfId="4189" xr:uid="{00000000-0005-0000-0000-0000C4080000}"/>
    <cellStyle name="Comma 4 2 4 2 5 2 2" xfId="8411" xr:uid="{00000000-0005-0000-0000-0000C5080000}"/>
    <cellStyle name="Comma 4 2 4 2 5 2 2 2" xfId="16861" xr:uid="{CBF1DD18-2F43-491D-B2DD-F77B57EFD044}"/>
    <cellStyle name="Comma 4 2 4 2 5 2 3" xfId="12643" xr:uid="{AEE82466-2091-42A6-BA44-F6F384F369BD}"/>
    <cellStyle name="Comma 4 2 4 2 5 3" xfId="6266" xr:uid="{00000000-0005-0000-0000-0000C6080000}"/>
    <cellStyle name="Comma 4 2 4 2 5 3 2" xfId="14716" xr:uid="{5FEF29BF-B066-4D10-8FD0-9FD776DF1B0D}"/>
    <cellStyle name="Comma 4 2 4 2 5 4" xfId="10498" xr:uid="{FC61386D-5988-4FBB-8D95-337200F276E9}"/>
    <cellStyle name="Comma 4 2 4 2 6" xfId="2395" xr:uid="{00000000-0005-0000-0000-0000C7080000}"/>
    <cellStyle name="Comma 4 2 4 2 6 2" xfId="6679" xr:uid="{00000000-0005-0000-0000-0000C8080000}"/>
    <cellStyle name="Comma 4 2 4 2 6 2 2" xfId="15129" xr:uid="{B524F528-FFBF-4315-B214-5FD5E66ADA1F}"/>
    <cellStyle name="Comma 4 2 4 2 6 3" xfId="10911" xr:uid="{38D632C9-6643-4A52-88A3-3D27629A30E2}"/>
    <cellStyle name="Comma 4 2 4 2 7" xfId="2368" xr:uid="{00000000-0005-0000-0000-0000C9080000}"/>
    <cellStyle name="Comma 4 2 4 2 8" xfId="2773" xr:uid="{00000000-0005-0000-0000-0000CA080000}"/>
    <cellStyle name="Comma 4 2 4 2 8 2" xfId="6996" xr:uid="{00000000-0005-0000-0000-0000CB080000}"/>
    <cellStyle name="Comma 4 2 4 2 8 2 2" xfId="15446" xr:uid="{91BECD03-8F9B-4D66-A299-2D8982A84D17}"/>
    <cellStyle name="Comma 4 2 4 2 8 3" xfId="11228" xr:uid="{2B59797D-20F5-4909-AC05-A0593F5B239F}"/>
    <cellStyle name="Comma 4 2 4 2 9" xfId="4613" xr:uid="{00000000-0005-0000-0000-0000CC080000}"/>
    <cellStyle name="Comma 4 2 4 2 9 2" xfId="13063" xr:uid="{3D620C9C-0D73-40CC-A7BB-8E538E9A8A55}"/>
    <cellStyle name="Comma 4 2 4 3" xfId="678" xr:uid="{00000000-0005-0000-0000-0000CD080000}"/>
    <cellStyle name="Comma 4 2 4 3 2" xfId="2949" xr:uid="{00000000-0005-0000-0000-0000CE080000}"/>
    <cellStyle name="Comma 4 2 4 3 2 2" xfId="7171" xr:uid="{00000000-0005-0000-0000-0000CF080000}"/>
    <cellStyle name="Comma 4 2 4 3 2 2 2" xfId="15621" xr:uid="{416FD9A5-DD88-4B5F-AAFD-69628E352664}"/>
    <cellStyle name="Comma 4 2 4 3 2 3" xfId="11403" xr:uid="{6DD7264D-FD58-436B-BB66-FF099F9FF28A}"/>
    <cellStyle name="Comma 4 2 4 3 3" xfId="5026" xr:uid="{00000000-0005-0000-0000-0000D0080000}"/>
    <cellStyle name="Comma 4 2 4 3 3 2" xfId="13476" xr:uid="{68E582DF-9F9B-410C-B567-101573A29653}"/>
    <cellStyle name="Comma 4 2 4 3 4" xfId="9258" xr:uid="{2A48EDC0-7D15-41EB-86D1-2402CCA26898}"/>
    <cellStyle name="Comma 4 2 4 4" xfId="1131" xr:uid="{00000000-0005-0000-0000-0000D1080000}"/>
    <cellStyle name="Comma 4 2 4 4 2" xfId="3362" xr:uid="{00000000-0005-0000-0000-0000D2080000}"/>
    <cellStyle name="Comma 4 2 4 4 2 2" xfId="7584" xr:uid="{00000000-0005-0000-0000-0000D3080000}"/>
    <cellStyle name="Comma 4 2 4 4 2 2 2" xfId="16034" xr:uid="{DE70A242-A556-4B69-B22C-B5A1975D2272}"/>
    <cellStyle name="Comma 4 2 4 4 2 3" xfId="11816" xr:uid="{9E476B7D-6894-485A-973E-4B82A942E8A4}"/>
    <cellStyle name="Comma 4 2 4 4 3" xfId="5439" xr:uid="{00000000-0005-0000-0000-0000D4080000}"/>
    <cellStyle name="Comma 4 2 4 4 3 2" xfId="13889" xr:uid="{03AF3784-8695-48C0-8B0C-E5349C7DAD81}"/>
    <cellStyle name="Comma 4 2 4 4 4" xfId="9671" xr:uid="{48D54C8D-876A-4FA1-B416-E7E0418F11ED}"/>
    <cellStyle name="Comma 4 2 4 5" xfId="1545" xr:uid="{00000000-0005-0000-0000-0000D5080000}"/>
    <cellStyle name="Comma 4 2 4 5 2" xfId="3775" xr:uid="{00000000-0005-0000-0000-0000D6080000}"/>
    <cellStyle name="Comma 4 2 4 5 2 2" xfId="7997" xr:uid="{00000000-0005-0000-0000-0000D7080000}"/>
    <cellStyle name="Comma 4 2 4 5 2 2 2" xfId="16447" xr:uid="{8C195B24-01E7-401C-9540-88201E51C8E5}"/>
    <cellStyle name="Comma 4 2 4 5 2 3" xfId="12229" xr:uid="{8F8BDD52-9060-4C1C-A1AB-20BA18D00573}"/>
    <cellStyle name="Comma 4 2 4 5 3" xfId="5852" xr:uid="{00000000-0005-0000-0000-0000D8080000}"/>
    <cellStyle name="Comma 4 2 4 5 3 2" xfId="14302" xr:uid="{1E9DBB33-E31B-4C8B-B9EC-2CEC60E3A178}"/>
    <cellStyle name="Comma 4 2 4 5 4" xfId="10084" xr:uid="{C8AB0468-9978-4DB9-96F0-B963568282D0}"/>
    <cellStyle name="Comma 4 2 4 6" xfId="1959" xr:uid="{00000000-0005-0000-0000-0000D9080000}"/>
    <cellStyle name="Comma 4 2 4 6 2" xfId="4188" xr:uid="{00000000-0005-0000-0000-0000DA080000}"/>
    <cellStyle name="Comma 4 2 4 6 2 2" xfId="8410" xr:uid="{00000000-0005-0000-0000-0000DB080000}"/>
    <cellStyle name="Comma 4 2 4 6 2 2 2" xfId="16860" xr:uid="{168B3B21-7EB2-4AE4-9C89-58CA6F807547}"/>
    <cellStyle name="Comma 4 2 4 6 2 3" xfId="12642" xr:uid="{30F58F47-AD5F-4051-8ADA-1E8BCE6BC775}"/>
    <cellStyle name="Comma 4 2 4 6 3" xfId="6265" xr:uid="{00000000-0005-0000-0000-0000DC080000}"/>
    <cellStyle name="Comma 4 2 4 6 3 2" xfId="14715" xr:uid="{9E5D6C4D-B10E-4A89-8CEB-273CDEDAB82A}"/>
    <cellStyle name="Comma 4 2 4 6 4" xfId="10497" xr:uid="{548C04E5-2E4D-4B3C-B43A-692FF7179DC4}"/>
    <cellStyle name="Comma 4 2 4 7" xfId="2394" xr:uid="{00000000-0005-0000-0000-0000DD080000}"/>
    <cellStyle name="Comma 4 2 4 7 2" xfId="6678" xr:uid="{00000000-0005-0000-0000-0000DE080000}"/>
    <cellStyle name="Comma 4 2 4 7 2 2" xfId="15128" xr:uid="{640D3463-9B21-4C52-8697-8CBA6B5AA39C}"/>
    <cellStyle name="Comma 4 2 4 7 3" xfId="10910" xr:uid="{3B313AF6-1425-445E-9297-32178677D47E}"/>
    <cellStyle name="Comma 4 2 4 8" xfId="2369" xr:uid="{00000000-0005-0000-0000-0000DF080000}"/>
    <cellStyle name="Comma 4 2 4 9" xfId="2772" xr:uid="{00000000-0005-0000-0000-0000E0080000}"/>
    <cellStyle name="Comma 4 2 4 9 2" xfId="6995" xr:uid="{00000000-0005-0000-0000-0000E1080000}"/>
    <cellStyle name="Comma 4 2 4 9 2 2" xfId="15445" xr:uid="{EBF2BA69-C0EE-400A-ABC2-B52CA83EFD99}"/>
    <cellStyle name="Comma 4 2 4 9 3" xfId="11227" xr:uid="{4F236405-A470-4DEB-9144-CAD5D7135ED6}"/>
    <cellStyle name="Comma 4 2 5" xfId="142" xr:uid="{00000000-0005-0000-0000-0000E2080000}"/>
    <cellStyle name="Comma 4 2 5 10" xfId="8846" xr:uid="{E7CDD1DB-9E31-4A26-9A1E-DB67D7F1C78F}"/>
    <cellStyle name="Comma 4 2 5 2" xfId="680" xr:uid="{00000000-0005-0000-0000-0000E3080000}"/>
    <cellStyle name="Comma 4 2 5 2 2" xfId="2951" xr:uid="{00000000-0005-0000-0000-0000E4080000}"/>
    <cellStyle name="Comma 4 2 5 2 2 2" xfId="7173" xr:uid="{00000000-0005-0000-0000-0000E5080000}"/>
    <cellStyle name="Comma 4 2 5 2 2 2 2" xfId="15623" xr:uid="{DC5D7237-EAED-46B7-A370-A5FEBFFDBA62}"/>
    <cellStyle name="Comma 4 2 5 2 2 3" xfId="11405" xr:uid="{43EBB3D6-949A-4615-AA12-1F5C7A1231EC}"/>
    <cellStyle name="Comma 4 2 5 2 3" xfId="5028" xr:uid="{00000000-0005-0000-0000-0000E6080000}"/>
    <cellStyle name="Comma 4 2 5 2 3 2" xfId="13478" xr:uid="{3D030C8E-F934-4B10-B41D-9223699C93D2}"/>
    <cellStyle name="Comma 4 2 5 2 4" xfId="9260" xr:uid="{7A05D44A-AD61-401C-BF74-940629CAF1E2}"/>
    <cellStyle name="Comma 4 2 5 3" xfId="1133" xr:uid="{00000000-0005-0000-0000-0000E7080000}"/>
    <cellStyle name="Comma 4 2 5 3 2" xfId="3364" xr:uid="{00000000-0005-0000-0000-0000E8080000}"/>
    <cellStyle name="Comma 4 2 5 3 2 2" xfId="7586" xr:uid="{00000000-0005-0000-0000-0000E9080000}"/>
    <cellStyle name="Comma 4 2 5 3 2 2 2" xfId="16036" xr:uid="{BF0B708D-CE74-410F-90FB-41CECDDD54FD}"/>
    <cellStyle name="Comma 4 2 5 3 2 3" xfId="11818" xr:uid="{EC36A116-7F2F-4B0F-BF4E-BB88D5C9DB80}"/>
    <cellStyle name="Comma 4 2 5 3 3" xfId="5441" xr:uid="{00000000-0005-0000-0000-0000EA080000}"/>
    <cellStyle name="Comma 4 2 5 3 3 2" xfId="13891" xr:uid="{09E42AC8-F432-4ADC-B17E-B65A7DBC7123}"/>
    <cellStyle name="Comma 4 2 5 3 4" xfId="9673" xr:uid="{4BBFF7D6-849F-4C51-8C6B-C507D4B0A1CE}"/>
    <cellStyle name="Comma 4 2 5 4" xfId="1547" xr:uid="{00000000-0005-0000-0000-0000EB080000}"/>
    <cellStyle name="Comma 4 2 5 4 2" xfId="3777" xr:uid="{00000000-0005-0000-0000-0000EC080000}"/>
    <cellStyle name="Comma 4 2 5 4 2 2" xfId="7999" xr:uid="{00000000-0005-0000-0000-0000ED080000}"/>
    <cellStyle name="Comma 4 2 5 4 2 2 2" xfId="16449" xr:uid="{17F1A275-0141-4601-ABA5-D7D2D93DB269}"/>
    <cellStyle name="Comma 4 2 5 4 2 3" xfId="12231" xr:uid="{30B11A28-CF44-4B5E-B3EA-9F372C00F6C8}"/>
    <cellStyle name="Comma 4 2 5 4 3" xfId="5854" xr:uid="{00000000-0005-0000-0000-0000EE080000}"/>
    <cellStyle name="Comma 4 2 5 4 3 2" xfId="14304" xr:uid="{5027AC30-ADA2-422C-945D-24AB2FD672A9}"/>
    <cellStyle name="Comma 4 2 5 4 4" xfId="10086" xr:uid="{82F325BE-61BA-457C-B65D-21690E0AD274}"/>
    <cellStyle name="Comma 4 2 5 5" xfId="1961" xr:uid="{00000000-0005-0000-0000-0000EF080000}"/>
    <cellStyle name="Comma 4 2 5 5 2" xfId="4190" xr:uid="{00000000-0005-0000-0000-0000F0080000}"/>
    <cellStyle name="Comma 4 2 5 5 2 2" xfId="8412" xr:uid="{00000000-0005-0000-0000-0000F1080000}"/>
    <cellStyle name="Comma 4 2 5 5 2 2 2" xfId="16862" xr:uid="{10079653-D8DD-4993-967F-BBB73D676044}"/>
    <cellStyle name="Comma 4 2 5 5 2 3" xfId="12644" xr:uid="{C623FB59-9E38-4D84-881C-842EE11CCE72}"/>
    <cellStyle name="Comma 4 2 5 5 3" xfId="6267" xr:uid="{00000000-0005-0000-0000-0000F2080000}"/>
    <cellStyle name="Comma 4 2 5 5 3 2" xfId="14717" xr:uid="{71E5A7E3-5E93-492F-BEB3-58C18C008632}"/>
    <cellStyle name="Comma 4 2 5 5 4" xfId="10499" xr:uid="{6723F7CF-19E8-4049-AC3C-788520E27AE2}"/>
    <cellStyle name="Comma 4 2 5 6" xfId="2396" xr:uid="{00000000-0005-0000-0000-0000F3080000}"/>
    <cellStyle name="Comma 4 2 5 6 2" xfId="6680" xr:uid="{00000000-0005-0000-0000-0000F4080000}"/>
    <cellStyle name="Comma 4 2 5 6 2 2" xfId="15130" xr:uid="{9D2FF9B0-19C5-4FC6-93C0-E972A8B10EED}"/>
    <cellStyle name="Comma 4 2 5 6 3" xfId="10912" xr:uid="{AECC4AB3-6698-44CC-A944-FF6254F4778F}"/>
    <cellStyle name="Comma 4 2 5 7" xfId="2367" xr:uid="{00000000-0005-0000-0000-0000F5080000}"/>
    <cellStyle name="Comma 4 2 5 8" xfId="2774" xr:uid="{00000000-0005-0000-0000-0000F6080000}"/>
    <cellStyle name="Comma 4 2 5 8 2" xfId="6997" xr:uid="{00000000-0005-0000-0000-0000F7080000}"/>
    <cellStyle name="Comma 4 2 5 8 2 2" xfId="15447" xr:uid="{A4EF0565-D6EF-453E-8634-72D8F421AE84}"/>
    <cellStyle name="Comma 4 2 5 8 3" xfId="11229" xr:uid="{58A71E30-5C58-44BB-9C97-5DF1056003A9}"/>
    <cellStyle name="Comma 4 2 5 9" xfId="4614" xr:uid="{00000000-0005-0000-0000-0000F8080000}"/>
    <cellStyle name="Comma 4 2 5 9 2" xfId="13064" xr:uid="{D0E00642-AEB7-4553-8480-91062EACFBA6}"/>
    <cellStyle name="Comma 4 2 6" xfId="143" xr:uid="{00000000-0005-0000-0000-0000F9080000}"/>
    <cellStyle name="Comma 4 2 6 10" xfId="8847" xr:uid="{65390FAD-82B7-4138-8606-FD9875C8426B}"/>
    <cellStyle name="Comma 4 2 6 2" xfId="681" xr:uid="{00000000-0005-0000-0000-0000FA080000}"/>
    <cellStyle name="Comma 4 2 6 2 2" xfId="2952" xr:uid="{00000000-0005-0000-0000-0000FB080000}"/>
    <cellStyle name="Comma 4 2 6 2 2 2" xfId="7174" xr:uid="{00000000-0005-0000-0000-0000FC080000}"/>
    <cellStyle name="Comma 4 2 6 2 2 2 2" xfId="15624" xr:uid="{13FDA187-1AB8-495B-A593-C166F8074540}"/>
    <cellStyle name="Comma 4 2 6 2 2 3" xfId="11406" xr:uid="{6A295D56-C326-4E2E-A1F3-8B5AF3A037A0}"/>
    <cellStyle name="Comma 4 2 6 2 3" xfId="5029" xr:uid="{00000000-0005-0000-0000-0000FD080000}"/>
    <cellStyle name="Comma 4 2 6 2 3 2" xfId="13479" xr:uid="{9AA40C40-32AB-4428-81D9-7DC6D71ABB8F}"/>
    <cellStyle name="Comma 4 2 6 2 4" xfId="9261" xr:uid="{0910CA46-9F30-4EED-AF30-6F62B46D877D}"/>
    <cellStyle name="Comma 4 2 6 3" xfId="1134" xr:uid="{00000000-0005-0000-0000-0000FE080000}"/>
    <cellStyle name="Comma 4 2 6 3 2" xfId="3365" xr:uid="{00000000-0005-0000-0000-0000FF080000}"/>
    <cellStyle name="Comma 4 2 6 3 2 2" xfId="7587" xr:uid="{00000000-0005-0000-0000-000000090000}"/>
    <cellStyle name="Comma 4 2 6 3 2 2 2" xfId="16037" xr:uid="{CE709D06-47FE-4570-9070-8E7C831D94C0}"/>
    <cellStyle name="Comma 4 2 6 3 2 3" xfId="11819" xr:uid="{8F0C462F-ADE1-4E62-ABBD-05B2E78C07F6}"/>
    <cellStyle name="Comma 4 2 6 3 3" xfId="5442" xr:uid="{00000000-0005-0000-0000-000001090000}"/>
    <cellStyle name="Comma 4 2 6 3 3 2" xfId="13892" xr:uid="{7EB01998-7E56-4001-B035-7BE9B270CDD9}"/>
    <cellStyle name="Comma 4 2 6 3 4" xfId="9674" xr:uid="{20E7E79D-4F2F-4EB5-88A4-DC88492A44E6}"/>
    <cellStyle name="Comma 4 2 6 4" xfId="1548" xr:uid="{00000000-0005-0000-0000-000002090000}"/>
    <cellStyle name="Comma 4 2 6 4 2" xfId="3778" xr:uid="{00000000-0005-0000-0000-000003090000}"/>
    <cellStyle name="Comma 4 2 6 4 2 2" xfId="8000" xr:uid="{00000000-0005-0000-0000-000004090000}"/>
    <cellStyle name="Comma 4 2 6 4 2 2 2" xfId="16450" xr:uid="{402A59A3-D150-4A83-8800-6FD1C01829C2}"/>
    <cellStyle name="Comma 4 2 6 4 2 3" xfId="12232" xr:uid="{077DBFEE-DC64-42AC-A2E6-B31B6795DDFB}"/>
    <cellStyle name="Comma 4 2 6 4 3" xfId="5855" xr:uid="{00000000-0005-0000-0000-000005090000}"/>
    <cellStyle name="Comma 4 2 6 4 3 2" xfId="14305" xr:uid="{2C9B6E25-2B34-46F5-BFD0-43627839818C}"/>
    <cellStyle name="Comma 4 2 6 4 4" xfId="10087" xr:uid="{D6AACD9A-BA7C-4801-9BCE-D5CCBE6B2A6A}"/>
    <cellStyle name="Comma 4 2 6 5" xfId="1962" xr:uid="{00000000-0005-0000-0000-000006090000}"/>
    <cellStyle name="Comma 4 2 6 5 2" xfId="4191" xr:uid="{00000000-0005-0000-0000-000007090000}"/>
    <cellStyle name="Comma 4 2 6 5 2 2" xfId="8413" xr:uid="{00000000-0005-0000-0000-000008090000}"/>
    <cellStyle name="Comma 4 2 6 5 2 2 2" xfId="16863" xr:uid="{414919DC-D295-4B53-8BDC-65590B953533}"/>
    <cellStyle name="Comma 4 2 6 5 2 3" xfId="12645" xr:uid="{C30679EF-A9A4-4C5C-9730-A01AC24BA317}"/>
    <cellStyle name="Comma 4 2 6 5 3" xfId="6268" xr:uid="{00000000-0005-0000-0000-000009090000}"/>
    <cellStyle name="Comma 4 2 6 5 3 2" xfId="14718" xr:uid="{E84F1CD4-1CD7-4BC4-AC2E-7E90FCEB49A8}"/>
    <cellStyle name="Comma 4 2 6 5 4" xfId="10500" xr:uid="{8F6B4295-36BF-468D-BC8D-20B956E779FD}"/>
    <cellStyle name="Comma 4 2 6 6" xfId="2397" xr:uid="{00000000-0005-0000-0000-00000A090000}"/>
    <cellStyle name="Comma 4 2 6 6 2" xfId="6681" xr:uid="{00000000-0005-0000-0000-00000B090000}"/>
    <cellStyle name="Comma 4 2 6 6 2 2" xfId="15131" xr:uid="{14AF9C87-EA12-4C12-964C-403ABF2BB191}"/>
    <cellStyle name="Comma 4 2 6 6 3" xfId="10913" xr:uid="{017A6406-2314-4813-A23F-92127974FAE1}"/>
    <cellStyle name="Comma 4 2 6 7" xfId="2366" xr:uid="{00000000-0005-0000-0000-00000C090000}"/>
    <cellStyle name="Comma 4 2 6 8" xfId="2775" xr:uid="{00000000-0005-0000-0000-00000D090000}"/>
    <cellStyle name="Comma 4 2 6 8 2" xfId="6998" xr:uid="{00000000-0005-0000-0000-00000E090000}"/>
    <cellStyle name="Comma 4 2 6 8 2 2" xfId="15448" xr:uid="{87F0F9EA-62EF-47B1-8837-2DBD07F66DC9}"/>
    <cellStyle name="Comma 4 2 6 8 3" xfId="11230" xr:uid="{F952C5D0-C369-400C-A529-DE52C5ECDC9D}"/>
    <cellStyle name="Comma 4 2 6 9" xfId="4615" xr:uid="{00000000-0005-0000-0000-00000F090000}"/>
    <cellStyle name="Comma 4 2 6 9 2" xfId="13065" xr:uid="{DA311A61-34A4-4B83-AC94-4C14D7289779}"/>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0 2 2" xfId="15449" xr:uid="{C6D7AE00-9441-48D9-AC1D-DB6182933602}"/>
    <cellStyle name="Comma 4 3 2 10 3" xfId="11231" xr:uid="{1FBE7C40-1A48-459E-9B8D-B29665E16937}"/>
    <cellStyle name="Comma 4 3 2 11" xfId="4616" xr:uid="{00000000-0005-0000-0000-000014090000}"/>
    <cellStyle name="Comma 4 3 2 11 2" xfId="13066" xr:uid="{89941B25-1840-456E-A8D8-0203BCA153A3}"/>
    <cellStyle name="Comma 4 3 2 12" xfId="8848" xr:uid="{C635A7CB-0C9D-426A-AA0D-6979F3D98630}"/>
    <cellStyle name="Comma 4 3 2 2" xfId="146" xr:uid="{00000000-0005-0000-0000-000015090000}"/>
    <cellStyle name="Comma 4 3 2 2 10" xfId="4617" xr:uid="{00000000-0005-0000-0000-000016090000}"/>
    <cellStyle name="Comma 4 3 2 2 10 2" xfId="13067" xr:uid="{86A8A473-D96E-469E-8912-7006F2D01208}"/>
    <cellStyle name="Comma 4 3 2 2 11" xfId="8849" xr:uid="{ACB8FB99-3419-4E3E-A11C-DF39F54C4CD0}"/>
    <cellStyle name="Comma 4 3 2 2 2" xfId="147" xr:uid="{00000000-0005-0000-0000-000017090000}"/>
    <cellStyle name="Comma 4 3 2 2 2 10" xfId="8850" xr:uid="{07EF816E-0E4A-46F9-A059-3E1203AC73F6}"/>
    <cellStyle name="Comma 4 3 2 2 2 2" xfId="684" xr:uid="{00000000-0005-0000-0000-000018090000}"/>
    <cellStyle name="Comma 4 3 2 2 2 2 2" xfId="2955" xr:uid="{00000000-0005-0000-0000-000019090000}"/>
    <cellStyle name="Comma 4 3 2 2 2 2 2 2" xfId="7177" xr:uid="{00000000-0005-0000-0000-00001A090000}"/>
    <cellStyle name="Comma 4 3 2 2 2 2 2 2 2" xfId="15627" xr:uid="{84C64566-5312-4A81-9A02-038D39B6955B}"/>
    <cellStyle name="Comma 4 3 2 2 2 2 2 3" xfId="11409" xr:uid="{ECA2A96F-9D19-46B5-8C10-4F3C1216C27C}"/>
    <cellStyle name="Comma 4 3 2 2 2 2 3" xfId="5032" xr:uid="{00000000-0005-0000-0000-00001B090000}"/>
    <cellStyle name="Comma 4 3 2 2 2 2 3 2" xfId="13482" xr:uid="{85381AB2-17CD-4569-BC2F-182EBE0D4D50}"/>
    <cellStyle name="Comma 4 3 2 2 2 2 4" xfId="9264" xr:uid="{9C76ECA5-F9B0-48FA-8342-5361413AB0CB}"/>
    <cellStyle name="Comma 4 3 2 2 2 3" xfId="1137" xr:uid="{00000000-0005-0000-0000-00001C090000}"/>
    <cellStyle name="Comma 4 3 2 2 2 3 2" xfId="3368" xr:uid="{00000000-0005-0000-0000-00001D090000}"/>
    <cellStyle name="Comma 4 3 2 2 2 3 2 2" xfId="7590" xr:uid="{00000000-0005-0000-0000-00001E090000}"/>
    <cellStyle name="Comma 4 3 2 2 2 3 2 2 2" xfId="16040" xr:uid="{0CB7338E-31DE-4A0D-B60B-D982B8BDFD74}"/>
    <cellStyle name="Comma 4 3 2 2 2 3 2 3" xfId="11822" xr:uid="{1F82682B-2909-4FCE-9052-805BC85FAB97}"/>
    <cellStyle name="Comma 4 3 2 2 2 3 3" xfId="5445" xr:uid="{00000000-0005-0000-0000-00001F090000}"/>
    <cellStyle name="Comma 4 3 2 2 2 3 3 2" xfId="13895" xr:uid="{6B8843E9-0726-4732-A9A6-8CD29C004B1A}"/>
    <cellStyle name="Comma 4 3 2 2 2 3 4" xfId="9677" xr:uid="{D2426F65-27B5-438A-BE80-F23AA65EFBA3}"/>
    <cellStyle name="Comma 4 3 2 2 2 4" xfId="1551" xr:uid="{00000000-0005-0000-0000-000020090000}"/>
    <cellStyle name="Comma 4 3 2 2 2 4 2" xfId="3781" xr:uid="{00000000-0005-0000-0000-000021090000}"/>
    <cellStyle name="Comma 4 3 2 2 2 4 2 2" xfId="8003" xr:uid="{00000000-0005-0000-0000-000022090000}"/>
    <cellStyle name="Comma 4 3 2 2 2 4 2 2 2" xfId="16453" xr:uid="{75C62AEA-C5FB-4BB2-826E-4FAB7EEB984F}"/>
    <cellStyle name="Comma 4 3 2 2 2 4 2 3" xfId="12235" xr:uid="{59B7156F-4308-4E27-B11D-7A79D40A2D27}"/>
    <cellStyle name="Comma 4 3 2 2 2 4 3" xfId="5858" xr:uid="{00000000-0005-0000-0000-000023090000}"/>
    <cellStyle name="Comma 4 3 2 2 2 4 3 2" xfId="14308" xr:uid="{8FF045F8-F158-438C-95D3-DFD2EA4D3A98}"/>
    <cellStyle name="Comma 4 3 2 2 2 4 4" xfId="10090" xr:uid="{B2206738-6E91-4217-87DA-00E4F883E004}"/>
    <cellStyle name="Comma 4 3 2 2 2 5" xfId="1965" xr:uid="{00000000-0005-0000-0000-000024090000}"/>
    <cellStyle name="Comma 4 3 2 2 2 5 2" xfId="4194" xr:uid="{00000000-0005-0000-0000-000025090000}"/>
    <cellStyle name="Comma 4 3 2 2 2 5 2 2" xfId="8416" xr:uid="{00000000-0005-0000-0000-000026090000}"/>
    <cellStyle name="Comma 4 3 2 2 2 5 2 2 2" xfId="16866" xr:uid="{790E85C6-C6C1-4D5B-82D1-32F3DEFC9379}"/>
    <cellStyle name="Comma 4 3 2 2 2 5 2 3" xfId="12648" xr:uid="{9C5A7425-FA76-4D8D-9EC6-89DFF8546F1C}"/>
    <cellStyle name="Comma 4 3 2 2 2 5 3" xfId="6271" xr:uid="{00000000-0005-0000-0000-000027090000}"/>
    <cellStyle name="Comma 4 3 2 2 2 5 3 2" xfId="14721" xr:uid="{7EEFB6E0-6687-4D69-BE9B-607645A63E71}"/>
    <cellStyle name="Comma 4 3 2 2 2 5 4" xfId="10503" xr:uid="{DE725461-A8D6-4412-BCC6-FE4FFE93B2A3}"/>
    <cellStyle name="Comma 4 3 2 2 2 6" xfId="2400" xr:uid="{00000000-0005-0000-0000-000028090000}"/>
    <cellStyle name="Comma 4 3 2 2 2 6 2" xfId="6684" xr:uid="{00000000-0005-0000-0000-000029090000}"/>
    <cellStyle name="Comma 4 3 2 2 2 6 2 2" xfId="15134" xr:uid="{489B7D6D-2847-4E0F-8D15-15C10ED7239F}"/>
    <cellStyle name="Comma 4 3 2 2 2 6 3" xfId="10916" xr:uid="{92AADC80-EA62-4FC4-A806-34E078C305A3}"/>
    <cellStyle name="Comma 4 3 2 2 2 7" xfId="2363" xr:uid="{00000000-0005-0000-0000-00002A090000}"/>
    <cellStyle name="Comma 4 3 2 2 2 8" xfId="2778" xr:uid="{00000000-0005-0000-0000-00002B090000}"/>
    <cellStyle name="Comma 4 3 2 2 2 8 2" xfId="7001" xr:uid="{00000000-0005-0000-0000-00002C090000}"/>
    <cellStyle name="Comma 4 3 2 2 2 8 2 2" xfId="15451" xr:uid="{832E7143-3E20-401B-AA36-21E937F6CD90}"/>
    <cellStyle name="Comma 4 3 2 2 2 8 3" xfId="11233" xr:uid="{540CD072-45F3-44E2-88CF-B8702C3BF85C}"/>
    <cellStyle name="Comma 4 3 2 2 2 9" xfId="4618" xr:uid="{00000000-0005-0000-0000-00002D090000}"/>
    <cellStyle name="Comma 4 3 2 2 2 9 2" xfId="13068" xr:uid="{BB08425E-21C9-41E7-A4EA-7CE2554719CB}"/>
    <cellStyle name="Comma 4 3 2 2 3" xfId="683" xr:uid="{00000000-0005-0000-0000-00002E090000}"/>
    <cellStyle name="Comma 4 3 2 2 3 2" xfId="2954" xr:uid="{00000000-0005-0000-0000-00002F090000}"/>
    <cellStyle name="Comma 4 3 2 2 3 2 2" xfId="7176" xr:uid="{00000000-0005-0000-0000-000030090000}"/>
    <cellStyle name="Comma 4 3 2 2 3 2 2 2" xfId="15626" xr:uid="{6CC4D1FA-953E-46EA-8A5D-748245110C83}"/>
    <cellStyle name="Comma 4 3 2 2 3 2 3" xfId="11408" xr:uid="{64F0D27B-A291-4D5A-97BD-AC57245BDECA}"/>
    <cellStyle name="Comma 4 3 2 2 3 3" xfId="5031" xr:uid="{00000000-0005-0000-0000-000031090000}"/>
    <cellStyle name="Comma 4 3 2 2 3 3 2" xfId="13481" xr:uid="{DD9C327A-4C54-4478-AF61-F18A6E2C2790}"/>
    <cellStyle name="Comma 4 3 2 2 3 4" xfId="9263" xr:uid="{397C01EF-1955-48B6-B444-8081F6B5FBD5}"/>
    <cellStyle name="Comma 4 3 2 2 4" xfId="1136" xr:uid="{00000000-0005-0000-0000-000032090000}"/>
    <cellStyle name="Comma 4 3 2 2 4 2" xfId="3367" xr:uid="{00000000-0005-0000-0000-000033090000}"/>
    <cellStyle name="Comma 4 3 2 2 4 2 2" xfId="7589" xr:uid="{00000000-0005-0000-0000-000034090000}"/>
    <cellStyle name="Comma 4 3 2 2 4 2 2 2" xfId="16039" xr:uid="{46FCEDC8-C76E-4D65-A5D1-2A30954937BE}"/>
    <cellStyle name="Comma 4 3 2 2 4 2 3" xfId="11821" xr:uid="{CDFA0CD0-39CF-4778-8C06-79E07986E7BA}"/>
    <cellStyle name="Comma 4 3 2 2 4 3" xfId="5444" xr:uid="{00000000-0005-0000-0000-000035090000}"/>
    <cellStyle name="Comma 4 3 2 2 4 3 2" xfId="13894" xr:uid="{4D18A1CC-4EC1-459A-A2F1-61D4326831BF}"/>
    <cellStyle name="Comma 4 3 2 2 4 4" xfId="9676" xr:uid="{34F88290-B0D9-493A-8AA4-A6B3872C4157}"/>
    <cellStyle name="Comma 4 3 2 2 5" xfId="1550" xr:uid="{00000000-0005-0000-0000-000036090000}"/>
    <cellStyle name="Comma 4 3 2 2 5 2" xfId="3780" xr:uid="{00000000-0005-0000-0000-000037090000}"/>
    <cellStyle name="Comma 4 3 2 2 5 2 2" xfId="8002" xr:uid="{00000000-0005-0000-0000-000038090000}"/>
    <cellStyle name="Comma 4 3 2 2 5 2 2 2" xfId="16452" xr:uid="{6936A029-68D4-4C25-8757-67024D9EC597}"/>
    <cellStyle name="Comma 4 3 2 2 5 2 3" xfId="12234" xr:uid="{3A73D4F2-3B74-4F1D-89AB-2DDD34A7D16B}"/>
    <cellStyle name="Comma 4 3 2 2 5 3" xfId="5857" xr:uid="{00000000-0005-0000-0000-000039090000}"/>
    <cellStyle name="Comma 4 3 2 2 5 3 2" xfId="14307" xr:uid="{A63F6D97-07B2-4E8D-BDB0-4F4FEA640862}"/>
    <cellStyle name="Comma 4 3 2 2 5 4" xfId="10089" xr:uid="{7E8D7FDF-6114-4634-955D-3946CCA0F193}"/>
    <cellStyle name="Comma 4 3 2 2 6" xfId="1964" xr:uid="{00000000-0005-0000-0000-00003A090000}"/>
    <cellStyle name="Comma 4 3 2 2 6 2" xfId="4193" xr:uid="{00000000-0005-0000-0000-00003B090000}"/>
    <cellStyle name="Comma 4 3 2 2 6 2 2" xfId="8415" xr:uid="{00000000-0005-0000-0000-00003C090000}"/>
    <cellStyle name="Comma 4 3 2 2 6 2 2 2" xfId="16865" xr:uid="{E9A5FCB5-75FD-4719-AFD6-6985B1146938}"/>
    <cellStyle name="Comma 4 3 2 2 6 2 3" xfId="12647" xr:uid="{5E02270E-F496-4016-9ACD-34D2B33B991D}"/>
    <cellStyle name="Comma 4 3 2 2 6 3" xfId="6270" xr:uid="{00000000-0005-0000-0000-00003D090000}"/>
    <cellStyle name="Comma 4 3 2 2 6 3 2" xfId="14720" xr:uid="{3E55F05D-7EB2-46D1-BD5B-B437009C02B2}"/>
    <cellStyle name="Comma 4 3 2 2 6 4" xfId="10502" xr:uid="{174A0412-5A6A-4FE2-BE93-CC13B01B94F8}"/>
    <cellStyle name="Comma 4 3 2 2 7" xfId="2399" xr:uid="{00000000-0005-0000-0000-00003E090000}"/>
    <cellStyle name="Comma 4 3 2 2 7 2" xfId="6683" xr:uid="{00000000-0005-0000-0000-00003F090000}"/>
    <cellStyle name="Comma 4 3 2 2 7 2 2" xfId="15133" xr:uid="{D33F28FD-6856-4BA3-8B26-F8384D001D8D}"/>
    <cellStyle name="Comma 4 3 2 2 7 3" xfId="10915" xr:uid="{ACAF342F-F18E-4F30-ADA4-F2B2ACF60C73}"/>
    <cellStyle name="Comma 4 3 2 2 8" xfId="2364" xr:uid="{00000000-0005-0000-0000-000040090000}"/>
    <cellStyle name="Comma 4 3 2 2 9" xfId="2777" xr:uid="{00000000-0005-0000-0000-000041090000}"/>
    <cellStyle name="Comma 4 3 2 2 9 2" xfId="7000" xr:uid="{00000000-0005-0000-0000-000042090000}"/>
    <cellStyle name="Comma 4 3 2 2 9 2 2" xfId="15450" xr:uid="{4FD2DE80-B00A-4F44-BCC1-3F0938FD5ECA}"/>
    <cellStyle name="Comma 4 3 2 2 9 3" xfId="11232" xr:uid="{AF425802-1A3C-43EB-BDAA-A1FDA470FF2A}"/>
    <cellStyle name="Comma 4 3 2 3" xfId="148" xr:uid="{00000000-0005-0000-0000-000043090000}"/>
    <cellStyle name="Comma 4 3 2 3 10" xfId="8851" xr:uid="{F2FE2189-C26F-4BEA-B0D2-1126470363AE}"/>
    <cellStyle name="Comma 4 3 2 3 2" xfId="685" xr:uid="{00000000-0005-0000-0000-000044090000}"/>
    <cellStyle name="Comma 4 3 2 3 2 2" xfId="2956" xr:uid="{00000000-0005-0000-0000-000045090000}"/>
    <cellStyle name="Comma 4 3 2 3 2 2 2" xfId="7178" xr:uid="{00000000-0005-0000-0000-000046090000}"/>
    <cellStyle name="Comma 4 3 2 3 2 2 2 2" xfId="15628" xr:uid="{A4EDF269-2290-4255-910F-D4F02F72F18C}"/>
    <cellStyle name="Comma 4 3 2 3 2 2 3" xfId="11410" xr:uid="{90170F26-551E-4A3A-A631-B3F8487A7AF7}"/>
    <cellStyle name="Comma 4 3 2 3 2 3" xfId="5033" xr:uid="{00000000-0005-0000-0000-000047090000}"/>
    <cellStyle name="Comma 4 3 2 3 2 3 2" xfId="13483" xr:uid="{F6EF6F93-87E7-45DC-8FC5-3EDF5A284689}"/>
    <cellStyle name="Comma 4 3 2 3 2 4" xfId="9265" xr:uid="{8F136F17-4FAD-4673-8F28-58AF1B5D9016}"/>
    <cellStyle name="Comma 4 3 2 3 3" xfId="1138" xr:uid="{00000000-0005-0000-0000-000048090000}"/>
    <cellStyle name="Comma 4 3 2 3 3 2" xfId="3369" xr:uid="{00000000-0005-0000-0000-000049090000}"/>
    <cellStyle name="Comma 4 3 2 3 3 2 2" xfId="7591" xr:uid="{00000000-0005-0000-0000-00004A090000}"/>
    <cellStyle name="Comma 4 3 2 3 3 2 2 2" xfId="16041" xr:uid="{690449B2-15FD-4B94-AB5E-9CF71BD56F51}"/>
    <cellStyle name="Comma 4 3 2 3 3 2 3" xfId="11823" xr:uid="{6AE7CF2B-0FA1-40E7-B329-83236352EEB2}"/>
    <cellStyle name="Comma 4 3 2 3 3 3" xfId="5446" xr:uid="{00000000-0005-0000-0000-00004B090000}"/>
    <cellStyle name="Comma 4 3 2 3 3 3 2" xfId="13896" xr:uid="{361EA971-1A6C-4376-8EAB-ECA29443230E}"/>
    <cellStyle name="Comma 4 3 2 3 3 4" xfId="9678" xr:uid="{820044D8-1EC2-4671-9EE9-85620784D806}"/>
    <cellStyle name="Comma 4 3 2 3 4" xfId="1552" xr:uid="{00000000-0005-0000-0000-00004C090000}"/>
    <cellStyle name="Comma 4 3 2 3 4 2" xfId="3782" xr:uid="{00000000-0005-0000-0000-00004D090000}"/>
    <cellStyle name="Comma 4 3 2 3 4 2 2" xfId="8004" xr:uid="{00000000-0005-0000-0000-00004E090000}"/>
    <cellStyle name="Comma 4 3 2 3 4 2 2 2" xfId="16454" xr:uid="{E051F92E-36F7-4DBA-86F9-5865ECEB9B9B}"/>
    <cellStyle name="Comma 4 3 2 3 4 2 3" xfId="12236" xr:uid="{7B84CDCD-66B4-41A1-A756-0DBB5B26C2CE}"/>
    <cellStyle name="Comma 4 3 2 3 4 3" xfId="5859" xr:uid="{00000000-0005-0000-0000-00004F090000}"/>
    <cellStyle name="Comma 4 3 2 3 4 3 2" xfId="14309" xr:uid="{DA100D45-61D0-458F-BD13-60CFCD8E3971}"/>
    <cellStyle name="Comma 4 3 2 3 4 4" xfId="10091" xr:uid="{02B056FF-9A1F-4643-A2FB-D46A1E9C4940}"/>
    <cellStyle name="Comma 4 3 2 3 5" xfId="1966" xr:uid="{00000000-0005-0000-0000-000050090000}"/>
    <cellStyle name="Comma 4 3 2 3 5 2" xfId="4195" xr:uid="{00000000-0005-0000-0000-000051090000}"/>
    <cellStyle name="Comma 4 3 2 3 5 2 2" xfId="8417" xr:uid="{00000000-0005-0000-0000-000052090000}"/>
    <cellStyle name="Comma 4 3 2 3 5 2 2 2" xfId="16867" xr:uid="{1631B190-B6B1-408E-B1AD-4855DBF636C2}"/>
    <cellStyle name="Comma 4 3 2 3 5 2 3" xfId="12649" xr:uid="{4EC9DDB9-1D3E-42E9-9B24-503DF9A9EC08}"/>
    <cellStyle name="Comma 4 3 2 3 5 3" xfId="6272" xr:uid="{00000000-0005-0000-0000-000053090000}"/>
    <cellStyle name="Comma 4 3 2 3 5 3 2" xfId="14722" xr:uid="{269BDBB3-BC36-4DBD-BAE2-85B15EEAA469}"/>
    <cellStyle name="Comma 4 3 2 3 5 4" xfId="10504" xr:uid="{EEB839E1-9AAA-450B-ADA0-E76AACF4D6FC}"/>
    <cellStyle name="Comma 4 3 2 3 6" xfId="2401" xr:uid="{00000000-0005-0000-0000-000054090000}"/>
    <cellStyle name="Comma 4 3 2 3 6 2" xfId="6685" xr:uid="{00000000-0005-0000-0000-000055090000}"/>
    <cellStyle name="Comma 4 3 2 3 6 2 2" xfId="15135" xr:uid="{C85EC101-1F45-424F-BEDF-3182C2A12018}"/>
    <cellStyle name="Comma 4 3 2 3 6 3" xfId="10917" xr:uid="{56EB9C4B-C4E9-444F-BCCD-F6D27168CF9D}"/>
    <cellStyle name="Comma 4 3 2 3 7" xfId="2362" xr:uid="{00000000-0005-0000-0000-000056090000}"/>
    <cellStyle name="Comma 4 3 2 3 8" xfId="2779" xr:uid="{00000000-0005-0000-0000-000057090000}"/>
    <cellStyle name="Comma 4 3 2 3 8 2" xfId="7002" xr:uid="{00000000-0005-0000-0000-000058090000}"/>
    <cellStyle name="Comma 4 3 2 3 8 2 2" xfId="15452" xr:uid="{8AA06182-193A-4B04-80B1-1727D2059E6A}"/>
    <cellStyle name="Comma 4 3 2 3 8 3" xfId="11234" xr:uid="{6358992C-9F8F-4617-B864-0DB7F9D66AAD}"/>
    <cellStyle name="Comma 4 3 2 3 9" xfId="4619" xr:uid="{00000000-0005-0000-0000-000059090000}"/>
    <cellStyle name="Comma 4 3 2 3 9 2" xfId="13069" xr:uid="{803EC409-F3CD-4DAA-990E-E4AD8282D36B}"/>
    <cellStyle name="Comma 4 3 2 4" xfId="682" xr:uid="{00000000-0005-0000-0000-00005A090000}"/>
    <cellStyle name="Comma 4 3 2 4 2" xfId="2953" xr:uid="{00000000-0005-0000-0000-00005B090000}"/>
    <cellStyle name="Comma 4 3 2 4 2 2" xfId="7175" xr:uid="{00000000-0005-0000-0000-00005C090000}"/>
    <cellStyle name="Comma 4 3 2 4 2 2 2" xfId="15625" xr:uid="{1A3982CE-00BE-4BA8-8F89-F44D53C3324E}"/>
    <cellStyle name="Comma 4 3 2 4 2 3" xfId="11407" xr:uid="{781EAAC4-24D3-4E6F-8DDF-31BD50B0BC95}"/>
    <cellStyle name="Comma 4 3 2 4 3" xfId="5030" xr:uid="{00000000-0005-0000-0000-00005D090000}"/>
    <cellStyle name="Comma 4 3 2 4 3 2" xfId="13480" xr:uid="{9ED8145B-5756-49C8-A098-F1413F9A2061}"/>
    <cellStyle name="Comma 4 3 2 4 4" xfId="9262" xr:uid="{5477B461-3DC9-4A7E-A5CD-021DF41876A7}"/>
    <cellStyle name="Comma 4 3 2 5" xfId="1135" xr:uid="{00000000-0005-0000-0000-00005E090000}"/>
    <cellStyle name="Comma 4 3 2 5 2" xfId="3366" xr:uid="{00000000-0005-0000-0000-00005F090000}"/>
    <cellStyle name="Comma 4 3 2 5 2 2" xfId="7588" xr:uid="{00000000-0005-0000-0000-000060090000}"/>
    <cellStyle name="Comma 4 3 2 5 2 2 2" xfId="16038" xr:uid="{D263E57F-4D8B-4BC8-8E62-27A08F79D871}"/>
    <cellStyle name="Comma 4 3 2 5 2 3" xfId="11820" xr:uid="{478A4223-A352-4086-ABC1-93188C4E0C59}"/>
    <cellStyle name="Comma 4 3 2 5 3" xfId="5443" xr:uid="{00000000-0005-0000-0000-000061090000}"/>
    <cellStyle name="Comma 4 3 2 5 3 2" xfId="13893" xr:uid="{1BD97FAF-478F-48CE-8F59-6F1A6095CEA7}"/>
    <cellStyle name="Comma 4 3 2 5 4" xfId="9675" xr:uid="{08F0C571-840D-4A08-835F-423D9731A110}"/>
    <cellStyle name="Comma 4 3 2 6" xfId="1549" xr:uid="{00000000-0005-0000-0000-000062090000}"/>
    <cellStyle name="Comma 4 3 2 6 2" xfId="3779" xr:uid="{00000000-0005-0000-0000-000063090000}"/>
    <cellStyle name="Comma 4 3 2 6 2 2" xfId="8001" xr:uid="{00000000-0005-0000-0000-000064090000}"/>
    <cellStyle name="Comma 4 3 2 6 2 2 2" xfId="16451" xr:uid="{8C3B9700-984E-446F-B281-35CE3257DC82}"/>
    <cellStyle name="Comma 4 3 2 6 2 3" xfId="12233" xr:uid="{FA15C196-45C5-4A4B-85F1-8C14FA9E416D}"/>
    <cellStyle name="Comma 4 3 2 6 3" xfId="5856" xr:uid="{00000000-0005-0000-0000-000065090000}"/>
    <cellStyle name="Comma 4 3 2 6 3 2" xfId="14306" xr:uid="{C4FF5212-967F-4714-8F32-957771DF01DC}"/>
    <cellStyle name="Comma 4 3 2 6 4" xfId="10088" xr:uid="{7F35BC81-9968-42E0-8D48-78CF7551AB49}"/>
    <cellStyle name="Comma 4 3 2 7" xfId="1963" xr:uid="{00000000-0005-0000-0000-000066090000}"/>
    <cellStyle name="Comma 4 3 2 7 2" xfId="4192" xr:uid="{00000000-0005-0000-0000-000067090000}"/>
    <cellStyle name="Comma 4 3 2 7 2 2" xfId="8414" xr:uid="{00000000-0005-0000-0000-000068090000}"/>
    <cellStyle name="Comma 4 3 2 7 2 2 2" xfId="16864" xr:uid="{8608C4F3-B985-4560-B3FE-98974D60F8D5}"/>
    <cellStyle name="Comma 4 3 2 7 2 3" xfId="12646" xr:uid="{57CF8677-95E7-4371-82F4-BD7E837F8CBE}"/>
    <cellStyle name="Comma 4 3 2 7 3" xfId="6269" xr:uid="{00000000-0005-0000-0000-000069090000}"/>
    <cellStyle name="Comma 4 3 2 7 3 2" xfId="14719" xr:uid="{1EA45323-3633-4C88-8C5B-3EE8E129CFA9}"/>
    <cellStyle name="Comma 4 3 2 7 4" xfId="10501" xr:uid="{7CD7F369-52FA-4CA1-8AF0-C757E408B40D}"/>
    <cellStyle name="Comma 4 3 2 8" xfId="2398" xr:uid="{00000000-0005-0000-0000-00006A090000}"/>
    <cellStyle name="Comma 4 3 2 8 2" xfId="6682" xr:uid="{00000000-0005-0000-0000-00006B090000}"/>
    <cellStyle name="Comma 4 3 2 8 2 2" xfId="15132" xr:uid="{2AD1E218-CF1E-4A41-BA45-5F52505E3F74}"/>
    <cellStyle name="Comma 4 3 2 8 3" xfId="10914" xr:uid="{C955C8E2-DFC6-412E-A591-8B768DA24B16}"/>
    <cellStyle name="Comma 4 3 2 9" xfId="2365" xr:uid="{00000000-0005-0000-0000-00006C090000}"/>
    <cellStyle name="Comma 4 3 3" xfId="149" xr:uid="{00000000-0005-0000-0000-00006D090000}"/>
    <cellStyle name="Comma 4 3 3 10" xfId="4620" xr:uid="{00000000-0005-0000-0000-00006E090000}"/>
    <cellStyle name="Comma 4 3 3 10 2" xfId="13070" xr:uid="{F108FBE6-26B4-4E6D-956E-794F89FDC7EA}"/>
    <cellStyle name="Comma 4 3 3 11" xfId="8852" xr:uid="{292A97B0-7020-47A4-955B-FF735140AB34}"/>
    <cellStyle name="Comma 4 3 3 2" xfId="150" xr:uid="{00000000-0005-0000-0000-00006F090000}"/>
    <cellStyle name="Comma 4 3 3 2 10" xfId="8853" xr:uid="{7E957CCD-52DE-4467-81C0-AA23F823D0D6}"/>
    <cellStyle name="Comma 4 3 3 2 2" xfId="687" xr:uid="{00000000-0005-0000-0000-000070090000}"/>
    <cellStyle name="Comma 4 3 3 2 2 2" xfId="2958" xr:uid="{00000000-0005-0000-0000-000071090000}"/>
    <cellStyle name="Comma 4 3 3 2 2 2 2" xfId="7180" xr:uid="{00000000-0005-0000-0000-000072090000}"/>
    <cellStyle name="Comma 4 3 3 2 2 2 2 2" xfId="15630" xr:uid="{4222AF05-EF0A-41F9-BCB9-A9A8092AC720}"/>
    <cellStyle name="Comma 4 3 3 2 2 2 3" xfId="11412" xr:uid="{B63E0DA7-A69F-48C0-BA97-EBBBAF189BD5}"/>
    <cellStyle name="Comma 4 3 3 2 2 3" xfId="5035" xr:uid="{00000000-0005-0000-0000-000073090000}"/>
    <cellStyle name="Comma 4 3 3 2 2 3 2" xfId="13485" xr:uid="{1152F5D9-BDB2-4A07-89C9-932AFB495491}"/>
    <cellStyle name="Comma 4 3 3 2 2 4" xfId="9267" xr:uid="{4E56034C-9DFB-4D66-A10A-ADAAD0311209}"/>
    <cellStyle name="Comma 4 3 3 2 3" xfId="1140" xr:uid="{00000000-0005-0000-0000-000074090000}"/>
    <cellStyle name="Comma 4 3 3 2 3 2" xfId="3371" xr:uid="{00000000-0005-0000-0000-000075090000}"/>
    <cellStyle name="Comma 4 3 3 2 3 2 2" xfId="7593" xr:uid="{00000000-0005-0000-0000-000076090000}"/>
    <cellStyle name="Comma 4 3 3 2 3 2 2 2" xfId="16043" xr:uid="{3127BA35-2804-4862-8A57-86C589FBF7D4}"/>
    <cellStyle name="Comma 4 3 3 2 3 2 3" xfId="11825" xr:uid="{5860773E-A7A7-4D78-988A-53DFC9CB80A1}"/>
    <cellStyle name="Comma 4 3 3 2 3 3" xfId="5448" xr:uid="{00000000-0005-0000-0000-000077090000}"/>
    <cellStyle name="Comma 4 3 3 2 3 3 2" xfId="13898" xr:uid="{62D01E95-E396-4EDC-AF9C-C405F45AD4CA}"/>
    <cellStyle name="Comma 4 3 3 2 3 4" xfId="9680" xr:uid="{F60FFD2D-E9D4-4116-BA96-E1746C13B652}"/>
    <cellStyle name="Comma 4 3 3 2 4" xfId="1554" xr:uid="{00000000-0005-0000-0000-000078090000}"/>
    <cellStyle name="Comma 4 3 3 2 4 2" xfId="3784" xr:uid="{00000000-0005-0000-0000-000079090000}"/>
    <cellStyle name="Comma 4 3 3 2 4 2 2" xfId="8006" xr:uid="{00000000-0005-0000-0000-00007A090000}"/>
    <cellStyle name="Comma 4 3 3 2 4 2 2 2" xfId="16456" xr:uid="{F427F9E1-D1D1-44D0-9586-36B5E6EDCE41}"/>
    <cellStyle name="Comma 4 3 3 2 4 2 3" xfId="12238" xr:uid="{A635CE26-1DD5-4AA8-8AFA-CE40E3D904AB}"/>
    <cellStyle name="Comma 4 3 3 2 4 3" xfId="5861" xr:uid="{00000000-0005-0000-0000-00007B090000}"/>
    <cellStyle name="Comma 4 3 3 2 4 3 2" xfId="14311" xr:uid="{CBA52449-C9F5-4E80-85E1-7E12DDE4B521}"/>
    <cellStyle name="Comma 4 3 3 2 4 4" xfId="10093" xr:uid="{BF11D0F0-30AD-4C62-9666-289EE2952E40}"/>
    <cellStyle name="Comma 4 3 3 2 5" xfId="1968" xr:uid="{00000000-0005-0000-0000-00007C090000}"/>
    <cellStyle name="Comma 4 3 3 2 5 2" xfId="4197" xr:uid="{00000000-0005-0000-0000-00007D090000}"/>
    <cellStyle name="Comma 4 3 3 2 5 2 2" xfId="8419" xr:uid="{00000000-0005-0000-0000-00007E090000}"/>
    <cellStyle name="Comma 4 3 3 2 5 2 2 2" xfId="16869" xr:uid="{4546D8E9-1BAC-4FD0-BD8A-4B2ED56B385B}"/>
    <cellStyle name="Comma 4 3 3 2 5 2 3" xfId="12651" xr:uid="{8A9488DE-67DB-4B0D-9839-BEDE414C4716}"/>
    <cellStyle name="Comma 4 3 3 2 5 3" xfId="6274" xr:uid="{00000000-0005-0000-0000-00007F090000}"/>
    <cellStyle name="Comma 4 3 3 2 5 3 2" xfId="14724" xr:uid="{CEBF9B48-FE66-45B3-912D-739E291B9504}"/>
    <cellStyle name="Comma 4 3 3 2 5 4" xfId="10506" xr:uid="{F44F75AC-E158-4E20-BAE5-E842CA562E98}"/>
    <cellStyle name="Comma 4 3 3 2 6" xfId="2403" xr:uid="{00000000-0005-0000-0000-000080090000}"/>
    <cellStyle name="Comma 4 3 3 2 6 2" xfId="6687" xr:uid="{00000000-0005-0000-0000-000081090000}"/>
    <cellStyle name="Comma 4 3 3 2 6 2 2" xfId="15137" xr:uid="{6150889D-C57C-464E-8BF3-B40A53D31A98}"/>
    <cellStyle name="Comma 4 3 3 2 6 3" xfId="10919" xr:uid="{A46B9D43-8D4D-4522-9872-547BA324ABCB}"/>
    <cellStyle name="Comma 4 3 3 2 7" xfId="2360" xr:uid="{00000000-0005-0000-0000-000082090000}"/>
    <cellStyle name="Comma 4 3 3 2 8" xfId="2781" xr:uid="{00000000-0005-0000-0000-000083090000}"/>
    <cellStyle name="Comma 4 3 3 2 8 2" xfId="7004" xr:uid="{00000000-0005-0000-0000-000084090000}"/>
    <cellStyle name="Comma 4 3 3 2 8 2 2" xfId="15454" xr:uid="{1E476ECF-A7B4-400B-B56E-821A3524E8FE}"/>
    <cellStyle name="Comma 4 3 3 2 8 3" xfId="11236" xr:uid="{CCB50E0C-93FC-41FC-8336-FE446C43FE71}"/>
    <cellStyle name="Comma 4 3 3 2 9" xfId="4621" xr:uid="{00000000-0005-0000-0000-000085090000}"/>
    <cellStyle name="Comma 4 3 3 2 9 2" xfId="13071" xr:uid="{A9E1BD1B-9EEF-4FF6-8C75-21BF3780B7C7}"/>
    <cellStyle name="Comma 4 3 3 3" xfId="686" xr:uid="{00000000-0005-0000-0000-000086090000}"/>
    <cellStyle name="Comma 4 3 3 3 2" xfId="2957" xr:uid="{00000000-0005-0000-0000-000087090000}"/>
    <cellStyle name="Comma 4 3 3 3 2 2" xfId="7179" xr:uid="{00000000-0005-0000-0000-000088090000}"/>
    <cellStyle name="Comma 4 3 3 3 2 2 2" xfId="15629" xr:uid="{7FE70B8C-3FB5-48C1-B05E-0ED02DAA0E66}"/>
    <cellStyle name="Comma 4 3 3 3 2 3" xfId="11411" xr:uid="{391807AC-C8ED-4600-ABD2-D14EB44101EA}"/>
    <cellStyle name="Comma 4 3 3 3 3" xfId="5034" xr:uid="{00000000-0005-0000-0000-000089090000}"/>
    <cellStyle name="Comma 4 3 3 3 3 2" xfId="13484" xr:uid="{4471A517-8415-440F-B452-793736526DB9}"/>
    <cellStyle name="Comma 4 3 3 3 4" xfId="9266" xr:uid="{34B47741-14C0-4D0E-A635-0CD996F1EA38}"/>
    <cellStyle name="Comma 4 3 3 4" xfId="1139" xr:uid="{00000000-0005-0000-0000-00008A090000}"/>
    <cellStyle name="Comma 4 3 3 4 2" xfId="3370" xr:uid="{00000000-0005-0000-0000-00008B090000}"/>
    <cellStyle name="Comma 4 3 3 4 2 2" xfId="7592" xr:uid="{00000000-0005-0000-0000-00008C090000}"/>
    <cellStyle name="Comma 4 3 3 4 2 2 2" xfId="16042" xr:uid="{581289F5-0A87-4126-9804-83447344B07A}"/>
    <cellStyle name="Comma 4 3 3 4 2 3" xfId="11824" xr:uid="{CB2290EA-4C93-4E0D-9F6E-E4F52E9BDC8E}"/>
    <cellStyle name="Comma 4 3 3 4 3" xfId="5447" xr:uid="{00000000-0005-0000-0000-00008D090000}"/>
    <cellStyle name="Comma 4 3 3 4 3 2" xfId="13897" xr:uid="{E42438E8-E154-4358-B681-9E7EAA6622B7}"/>
    <cellStyle name="Comma 4 3 3 4 4" xfId="9679" xr:uid="{D1A47666-05FA-48AD-A2F1-4AC09BF33EB4}"/>
    <cellStyle name="Comma 4 3 3 5" xfId="1553" xr:uid="{00000000-0005-0000-0000-00008E090000}"/>
    <cellStyle name="Comma 4 3 3 5 2" xfId="3783" xr:uid="{00000000-0005-0000-0000-00008F090000}"/>
    <cellStyle name="Comma 4 3 3 5 2 2" xfId="8005" xr:uid="{00000000-0005-0000-0000-000090090000}"/>
    <cellStyle name="Comma 4 3 3 5 2 2 2" xfId="16455" xr:uid="{ED98BF6C-C3CC-4673-B76B-2D43C2B7C7FD}"/>
    <cellStyle name="Comma 4 3 3 5 2 3" xfId="12237" xr:uid="{EF712DB2-3D0D-48E7-93E1-4AF4C5455A3F}"/>
    <cellStyle name="Comma 4 3 3 5 3" xfId="5860" xr:uid="{00000000-0005-0000-0000-000091090000}"/>
    <cellStyle name="Comma 4 3 3 5 3 2" xfId="14310" xr:uid="{5583D59A-380C-46CB-8BDE-7D06DF774BDD}"/>
    <cellStyle name="Comma 4 3 3 5 4" xfId="10092" xr:uid="{94E26418-C9E9-48F0-BF81-E821FC4045B5}"/>
    <cellStyle name="Comma 4 3 3 6" xfId="1967" xr:uid="{00000000-0005-0000-0000-000092090000}"/>
    <cellStyle name="Comma 4 3 3 6 2" xfId="4196" xr:uid="{00000000-0005-0000-0000-000093090000}"/>
    <cellStyle name="Comma 4 3 3 6 2 2" xfId="8418" xr:uid="{00000000-0005-0000-0000-000094090000}"/>
    <cellStyle name="Comma 4 3 3 6 2 2 2" xfId="16868" xr:uid="{DBBBB8C7-0C63-4B8C-9F4C-2AD49F477C1A}"/>
    <cellStyle name="Comma 4 3 3 6 2 3" xfId="12650" xr:uid="{82D30882-D2E6-4844-A836-71D15A3793FB}"/>
    <cellStyle name="Comma 4 3 3 6 3" xfId="6273" xr:uid="{00000000-0005-0000-0000-000095090000}"/>
    <cellStyle name="Comma 4 3 3 6 3 2" xfId="14723" xr:uid="{AC8BBEF3-AA5E-4AFC-B0D9-4E68F60E47C5}"/>
    <cellStyle name="Comma 4 3 3 6 4" xfId="10505" xr:uid="{BCF3088E-0C04-4DEB-AA28-66A32BF538E1}"/>
    <cellStyle name="Comma 4 3 3 7" xfId="2402" xr:uid="{00000000-0005-0000-0000-000096090000}"/>
    <cellStyle name="Comma 4 3 3 7 2" xfId="6686" xr:uid="{00000000-0005-0000-0000-000097090000}"/>
    <cellStyle name="Comma 4 3 3 7 2 2" xfId="15136" xr:uid="{3EDAB0E0-BF95-4482-A228-DBD9F6D10FC9}"/>
    <cellStyle name="Comma 4 3 3 7 3" xfId="10918" xr:uid="{CF37AF5C-A7B0-4577-8620-DBDD9AE0AF42}"/>
    <cellStyle name="Comma 4 3 3 8" xfId="2361" xr:uid="{00000000-0005-0000-0000-000098090000}"/>
    <cellStyle name="Comma 4 3 3 9" xfId="2780" xr:uid="{00000000-0005-0000-0000-000099090000}"/>
    <cellStyle name="Comma 4 3 3 9 2" xfId="7003" xr:uid="{00000000-0005-0000-0000-00009A090000}"/>
    <cellStyle name="Comma 4 3 3 9 2 2" xfId="15453" xr:uid="{214DABB1-B709-4137-9441-B4A2AF395D98}"/>
    <cellStyle name="Comma 4 3 3 9 3" xfId="11235" xr:uid="{59C2A012-A4FE-4A8E-B784-98AB5BC2518C}"/>
    <cellStyle name="Comma 4 3 4" xfId="151" xr:uid="{00000000-0005-0000-0000-00009B090000}"/>
    <cellStyle name="Comma 4 3 4 10" xfId="8854" xr:uid="{266C8F8A-C9A1-47A2-B227-F2FC9D0B1D35}"/>
    <cellStyle name="Comma 4 3 4 2" xfId="688" xr:uid="{00000000-0005-0000-0000-00009C090000}"/>
    <cellStyle name="Comma 4 3 4 2 2" xfId="2959" xr:uid="{00000000-0005-0000-0000-00009D090000}"/>
    <cellStyle name="Comma 4 3 4 2 2 2" xfId="7181" xr:uid="{00000000-0005-0000-0000-00009E090000}"/>
    <cellStyle name="Comma 4 3 4 2 2 2 2" xfId="15631" xr:uid="{979CE9DA-09A3-44D0-95F7-4647964D24B9}"/>
    <cellStyle name="Comma 4 3 4 2 2 3" xfId="11413" xr:uid="{0E504A50-F4A6-4D5A-8F58-15891ACEFC7C}"/>
    <cellStyle name="Comma 4 3 4 2 3" xfId="5036" xr:uid="{00000000-0005-0000-0000-00009F090000}"/>
    <cellStyle name="Comma 4 3 4 2 3 2" xfId="13486" xr:uid="{0B3781C8-1059-4F0C-8764-290B70964BC7}"/>
    <cellStyle name="Comma 4 3 4 2 4" xfId="9268" xr:uid="{65226C91-07AF-4332-AD88-99BF3C47BAA5}"/>
    <cellStyle name="Comma 4 3 4 3" xfId="1141" xr:uid="{00000000-0005-0000-0000-0000A0090000}"/>
    <cellStyle name="Comma 4 3 4 3 2" xfId="3372" xr:uid="{00000000-0005-0000-0000-0000A1090000}"/>
    <cellStyle name="Comma 4 3 4 3 2 2" xfId="7594" xr:uid="{00000000-0005-0000-0000-0000A2090000}"/>
    <cellStyle name="Comma 4 3 4 3 2 2 2" xfId="16044" xr:uid="{44D71E28-1B30-4570-AE21-3035A70849F5}"/>
    <cellStyle name="Comma 4 3 4 3 2 3" xfId="11826" xr:uid="{FC74F752-85CF-449E-971A-FB54254DE692}"/>
    <cellStyle name="Comma 4 3 4 3 3" xfId="5449" xr:uid="{00000000-0005-0000-0000-0000A3090000}"/>
    <cellStyle name="Comma 4 3 4 3 3 2" xfId="13899" xr:uid="{7B90E26D-2306-428E-89DD-2FADA893B568}"/>
    <cellStyle name="Comma 4 3 4 3 4" xfId="9681" xr:uid="{C708C760-46A6-49FF-9A23-07EB2E16176E}"/>
    <cellStyle name="Comma 4 3 4 4" xfId="1555" xr:uid="{00000000-0005-0000-0000-0000A4090000}"/>
    <cellStyle name="Comma 4 3 4 4 2" xfId="3785" xr:uid="{00000000-0005-0000-0000-0000A5090000}"/>
    <cellStyle name="Comma 4 3 4 4 2 2" xfId="8007" xr:uid="{00000000-0005-0000-0000-0000A6090000}"/>
    <cellStyle name="Comma 4 3 4 4 2 2 2" xfId="16457" xr:uid="{C823AB89-E399-4B58-BF62-3106DADBDB6F}"/>
    <cellStyle name="Comma 4 3 4 4 2 3" xfId="12239" xr:uid="{569F4874-9131-4E4F-993E-3FF12FE6F63C}"/>
    <cellStyle name="Comma 4 3 4 4 3" xfId="5862" xr:uid="{00000000-0005-0000-0000-0000A7090000}"/>
    <cellStyle name="Comma 4 3 4 4 3 2" xfId="14312" xr:uid="{B5681117-BCC2-4C16-94B6-0C103F9194A7}"/>
    <cellStyle name="Comma 4 3 4 4 4" xfId="10094" xr:uid="{0567EB9A-BC3D-4561-9965-66FDCC739BF6}"/>
    <cellStyle name="Comma 4 3 4 5" xfId="1969" xr:uid="{00000000-0005-0000-0000-0000A8090000}"/>
    <cellStyle name="Comma 4 3 4 5 2" xfId="4198" xr:uid="{00000000-0005-0000-0000-0000A9090000}"/>
    <cellStyle name="Comma 4 3 4 5 2 2" xfId="8420" xr:uid="{00000000-0005-0000-0000-0000AA090000}"/>
    <cellStyle name="Comma 4 3 4 5 2 2 2" xfId="16870" xr:uid="{287921F5-7197-40ED-A97E-2DDCC1FE3D20}"/>
    <cellStyle name="Comma 4 3 4 5 2 3" xfId="12652" xr:uid="{5158A99A-EC59-4139-88FD-38A309F66CF0}"/>
    <cellStyle name="Comma 4 3 4 5 3" xfId="6275" xr:uid="{00000000-0005-0000-0000-0000AB090000}"/>
    <cellStyle name="Comma 4 3 4 5 3 2" xfId="14725" xr:uid="{6532785F-3F27-4AC7-A6A1-2584FBE503BA}"/>
    <cellStyle name="Comma 4 3 4 5 4" xfId="10507" xr:uid="{9600BB74-606A-4C29-888F-742A3DAB42AC}"/>
    <cellStyle name="Comma 4 3 4 6" xfId="2404" xr:uid="{00000000-0005-0000-0000-0000AC090000}"/>
    <cellStyle name="Comma 4 3 4 6 2" xfId="6688" xr:uid="{00000000-0005-0000-0000-0000AD090000}"/>
    <cellStyle name="Comma 4 3 4 6 2 2" xfId="15138" xr:uid="{8E69FAAE-64E8-45AB-9908-AA75A69AE4FA}"/>
    <cellStyle name="Comma 4 3 4 6 3" xfId="10920" xr:uid="{7571CCCB-7162-443D-A476-F6A77679B14D}"/>
    <cellStyle name="Comma 4 3 4 7" xfId="2700" xr:uid="{00000000-0005-0000-0000-0000AE090000}"/>
    <cellStyle name="Comma 4 3 4 8" xfId="2782" xr:uid="{00000000-0005-0000-0000-0000AF090000}"/>
    <cellStyle name="Comma 4 3 4 8 2" xfId="7005" xr:uid="{00000000-0005-0000-0000-0000B0090000}"/>
    <cellStyle name="Comma 4 3 4 8 2 2" xfId="15455" xr:uid="{BCB04047-45D4-4F49-8DA5-5B6C63E3A359}"/>
    <cellStyle name="Comma 4 3 4 8 3" xfId="11237" xr:uid="{1BD14F4F-0099-405A-8BC9-5D1E82C03B9F}"/>
    <cellStyle name="Comma 4 3 4 9" xfId="4622" xr:uid="{00000000-0005-0000-0000-0000B1090000}"/>
    <cellStyle name="Comma 4 3 4 9 2" xfId="13072" xr:uid="{50DEED66-CE72-40A8-AC84-29669B603E9B}"/>
    <cellStyle name="Comma 4 3 5" xfId="152" xr:uid="{00000000-0005-0000-0000-0000B2090000}"/>
    <cellStyle name="Comma 4 3 5 10" xfId="8855" xr:uid="{6281B855-99E9-4FB6-8768-309AC525AABC}"/>
    <cellStyle name="Comma 4 3 5 2" xfId="689" xr:uid="{00000000-0005-0000-0000-0000B3090000}"/>
    <cellStyle name="Comma 4 3 5 2 2" xfId="2960" xr:uid="{00000000-0005-0000-0000-0000B4090000}"/>
    <cellStyle name="Comma 4 3 5 2 2 2" xfId="7182" xr:uid="{00000000-0005-0000-0000-0000B5090000}"/>
    <cellStyle name="Comma 4 3 5 2 2 2 2" xfId="15632" xr:uid="{6F4E75A5-2D14-4B07-962C-05BE9E2E007F}"/>
    <cellStyle name="Comma 4 3 5 2 2 3" xfId="11414" xr:uid="{9028FA22-73A4-4599-8DDD-49A52517F439}"/>
    <cellStyle name="Comma 4 3 5 2 3" xfId="5037" xr:uid="{00000000-0005-0000-0000-0000B6090000}"/>
    <cellStyle name="Comma 4 3 5 2 3 2" xfId="13487" xr:uid="{9A8B3985-0B0E-4EB8-AF28-59CE0C4E11A6}"/>
    <cellStyle name="Comma 4 3 5 2 4" xfId="9269" xr:uid="{0038DFB0-F638-4671-9471-BB0E1E322196}"/>
    <cellStyle name="Comma 4 3 5 3" xfId="1142" xr:uid="{00000000-0005-0000-0000-0000B7090000}"/>
    <cellStyle name="Comma 4 3 5 3 2" xfId="3373" xr:uid="{00000000-0005-0000-0000-0000B8090000}"/>
    <cellStyle name="Comma 4 3 5 3 2 2" xfId="7595" xr:uid="{00000000-0005-0000-0000-0000B9090000}"/>
    <cellStyle name="Comma 4 3 5 3 2 2 2" xfId="16045" xr:uid="{90692018-CBD9-4E40-8A66-294A94E90B9F}"/>
    <cellStyle name="Comma 4 3 5 3 2 3" xfId="11827" xr:uid="{B728731B-F4DC-4C58-B7D1-0D01C6E1539C}"/>
    <cellStyle name="Comma 4 3 5 3 3" xfId="5450" xr:uid="{00000000-0005-0000-0000-0000BA090000}"/>
    <cellStyle name="Comma 4 3 5 3 3 2" xfId="13900" xr:uid="{44174A9D-AF0A-46A0-B1B3-FEEFE22F75A1}"/>
    <cellStyle name="Comma 4 3 5 3 4" xfId="9682" xr:uid="{032E54B8-A1C3-4BBF-94CA-2A066BCEFB27}"/>
    <cellStyle name="Comma 4 3 5 4" xfId="1556" xr:uid="{00000000-0005-0000-0000-0000BB090000}"/>
    <cellStyle name="Comma 4 3 5 4 2" xfId="3786" xr:uid="{00000000-0005-0000-0000-0000BC090000}"/>
    <cellStyle name="Comma 4 3 5 4 2 2" xfId="8008" xr:uid="{00000000-0005-0000-0000-0000BD090000}"/>
    <cellStyle name="Comma 4 3 5 4 2 2 2" xfId="16458" xr:uid="{E24B5619-2CCB-490A-87BD-688B80A9FFF7}"/>
    <cellStyle name="Comma 4 3 5 4 2 3" xfId="12240" xr:uid="{9355B903-6A85-4C51-9D59-96E80F654950}"/>
    <cellStyle name="Comma 4 3 5 4 3" xfId="5863" xr:uid="{00000000-0005-0000-0000-0000BE090000}"/>
    <cellStyle name="Comma 4 3 5 4 3 2" xfId="14313" xr:uid="{345E7082-8D85-48C1-AB0E-7A0AEEF82DDA}"/>
    <cellStyle name="Comma 4 3 5 4 4" xfId="10095" xr:uid="{D47134FF-8332-49E5-85D6-5EC69190C688}"/>
    <cellStyle name="Comma 4 3 5 5" xfId="1970" xr:uid="{00000000-0005-0000-0000-0000BF090000}"/>
    <cellStyle name="Comma 4 3 5 5 2" xfId="4199" xr:uid="{00000000-0005-0000-0000-0000C0090000}"/>
    <cellStyle name="Comma 4 3 5 5 2 2" xfId="8421" xr:uid="{00000000-0005-0000-0000-0000C1090000}"/>
    <cellStyle name="Comma 4 3 5 5 2 2 2" xfId="16871" xr:uid="{D5A4FF0E-EE2C-494B-8C66-D786D0C7EAC1}"/>
    <cellStyle name="Comma 4 3 5 5 2 3" xfId="12653" xr:uid="{37079725-7273-4980-9EF0-FBB2A38502DF}"/>
    <cellStyle name="Comma 4 3 5 5 3" xfId="6276" xr:uid="{00000000-0005-0000-0000-0000C2090000}"/>
    <cellStyle name="Comma 4 3 5 5 3 2" xfId="14726" xr:uid="{ADFB5F46-A89A-4E5C-BE97-B44CE85EB06B}"/>
    <cellStyle name="Comma 4 3 5 5 4" xfId="10508" xr:uid="{178EB5EA-8ADF-416A-89B7-CB1BDB9394F5}"/>
    <cellStyle name="Comma 4 3 5 6" xfId="2405" xr:uid="{00000000-0005-0000-0000-0000C3090000}"/>
    <cellStyle name="Comma 4 3 5 6 2" xfId="6689" xr:uid="{00000000-0005-0000-0000-0000C4090000}"/>
    <cellStyle name="Comma 4 3 5 6 2 2" xfId="15139" xr:uid="{B6DF0B0B-485A-44DF-ADC6-F478E956657A}"/>
    <cellStyle name="Comma 4 3 5 6 3" xfId="10921" xr:uid="{F8621E26-0A5E-426F-8DFF-83D020C17950}"/>
    <cellStyle name="Comma 4 3 5 7" xfId="2701" xr:uid="{00000000-0005-0000-0000-0000C5090000}"/>
    <cellStyle name="Comma 4 3 5 8" xfId="2783" xr:uid="{00000000-0005-0000-0000-0000C6090000}"/>
    <cellStyle name="Comma 4 3 5 8 2" xfId="7006" xr:uid="{00000000-0005-0000-0000-0000C7090000}"/>
    <cellStyle name="Comma 4 3 5 8 2 2" xfId="15456" xr:uid="{8AB18545-D077-4C46-BAD7-36A22DEFC36C}"/>
    <cellStyle name="Comma 4 3 5 8 3" xfId="11238" xr:uid="{1D7CA882-4721-49BC-A699-69F22C9AEA02}"/>
    <cellStyle name="Comma 4 3 5 9" xfId="4623" xr:uid="{00000000-0005-0000-0000-0000C8090000}"/>
    <cellStyle name="Comma 4 3 5 9 2" xfId="13073" xr:uid="{7788B0F7-F39D-42B4-9634-9CBE6962184F}"/>
    <cellStyle name="Comma 4 4" xfId="153" xr:uid="{00000000-0005-0000-0000-0000C9090000}"/>
    <cellStyle name="Comma 4 4 10" xfId="2784" xr:uid="{00000000-0005-0000-0000-0000CA090000}"/>
    <cellStyle name="Comma 4 4 10 2" xfId="7007" xr:uid="{00000000-0005-0000-0000-0000CB090000}"/>
    <cellStyle name="Comma 4 4 10 2 2" xfId="15457" xr:uid="{F08213AC-D76B-4EE8-9531-6E50F3E8DDE9}"/>
    <cellStyle name="Comma 4 4 10 3" xfId="11239" xr:uid="{C8A11094-CE5D-48F1-9B9A-78EA1DEB87FE}"/>
    <cellStyle name="Comma 4 4 11" xfId="4624" xr:uid="{00000000-0005-0000-0000-0000CC090000}"/>
    <cellStyle name="Comma 4 4 11 2" xfId="13074" xr:uid="{2679C121-0D02-4038-828D-10F4ABE2A61E}"/>
    <cellStyle name="Comma 4 4 12" xfId="8856" xr:uid="{7FED06B6-86FF-4EFA-87AF-BBD0F1DA9923}"/>
    <cellStyle name="Comma 4 4 2" xfId="154" xr:uid="{00000000-0005-0000-0000-0000CD090000}"/>
    <cellStyle name="Comma 4 4 2 10" xfId="4625" xr:uid="{00000000-0005-0000-0000-0000CE090000}"/>
    <cellStyle name="Comma 4 4 2 10 2" xfId="13075" xr:uid="{9824FD8F-344A-470D-9654-9C7A887930A5}"/>
    <cellStyle name="Comma 4 4 2 11" xfId="8857" xr:uid="{ECDB0666-938C-49DC-AC2A-14D1449E18F4}"/>
    <cellStyle name="Comma 4 4 2 2" xfId="155" xr:uid="{00000000-0005-0000-0000-0000CF090000}"/>
    <cellStyle name="Comma 4 4 2 2 10" xfId="8858" xr:uid="{93BA9C68-B9CF-49A8-8CBF-4262CD19F7BA}"/>
    <cellStyle name="Comma 4 4 2 2 2" xfId="692" xr:uid="{00000000-0005-0000-0000-0000D0090000}"/>
    <cellStyle name="Comma 4 4 2 2 2 2" xfId="2963" xr:uid="{00000000-0005-0000-0000-0000D1090000}"/>
    <cellStyle name="Comma 4 4 2 2 2 2 2" xfId="7185" xr:uid="{00000000-0005-0000-0000-0000D2090000}"/>
    <cellStyle name="Comma 4 4 2 2 2 2 2 2" xfId="15635" xr:uid="{4643FC9F-A19E-4371-8417-475CEB320EEB}"/>
    <cellStyle name="Comma 4 4 2 2 2 2 3" xfId="11417" xr:uid="{C63533F6-E5BC-48B9-9B06-8534D0653253}"/>
    <cellStyle name="Comma 4 4 2 2 2 3" xfId="5040" xr:uid="{00000000-0005-0000-0000-0000D3090000}"/>
    <cellStyle name="Comma 4 4 2 2 2 3 2" xfId="13490" xr:uid="{E0931903-9B0F-43A8-B677-1D6A5E092E8D}"/>
    <cellStyle name="Comma 4 4 2 2 2 4" xfId="9272" xr:uid="{F128C11F-592A-484F-AA50-CF471D27CCA1}"/>
    <cellStyle name="Comma 4 4 2 2 3" xfId="1145" xr:uid="{00000000-0005-0000-0000-0000D4090000}"/>
    <cellStyle name="Comma 4 4 2 2 3 2" xfId="3376" xr:uid="{00000000-0005-0000-0000-0000D5090000}"/>
    <cellStyle name="Comma 4 4 2 2 3 2 2" xfId="7598" xr:uid="{00000000-0005-0000-0000-0000D6090000}"/>
    <cellStyle name="Comma 4 4 2 2 3 2 2 2" xfId="16048" xr:uid="{BD7A7D16-F3A4-485C-89E2-6B96689E132A}"/>
    <cellStyle name="Comma 4 4 2 2 3 2 3" xfId="11830" xr:uid="{5D3E8E3B-3D3B-4551-A535-57551C88F4E8}"/>
    <cellStyle name="Comma 4 4 2 2 3 3" xfId="5453" xr:uid="{00000000-0005-0000-0000-0000D7090000}"/>
    <cellStyle name="Comma 4 4 2 2 3 3 2" xfId="13903" xr:uid="{F6BE6F8F-1DEA-4CB2-8108-3A8AD387EE8D}"/>
    <cellStyle name="Comma 4 4 2 2 3 4" xfId="9685" xr:uid="{A027F9E3-FDB5-4E52-B3E5-E766C91B37DE}"/>
    <cellStyle name="Comma 4 4 2 2 4" xfId="1559" xr:uid="{00000000-0005-0000-0000-0000D8090000}"/>
    <cellStyle name="Comma 4 4 2 2 4 2" xfId="3789" xr:uid="{00000000-0005-0000-0000-0000D9090000}"/>
    <cellStyle name="Comma 4 4 2 2 4 2 2" xfId="8011" xr:uid="{00000000-0005-0000-0000-0000DA090000}"/>
    <cellStyle name="Comma 4 4 2 2 4 2 2 2" xfId="16461" xr:uid="{D99C753E-11EB-4F78-97A9-0B86453A319F}"/>
    <cellStyle name="Comma 4 4 2 2 4 2 3" xfId="12243" xr:uid="{6A752E87-CC30-4840-BEC3-B13B75CD177B}"/>
    <cellStyle name="Comma 4 4 2 2 4 3" xfId="5866" xr:uid="{00000000-0005-0000-0000-0000DB090000}"/>
    <cellStyle name="Comma 4 4 2 2 4 3 2" xfId="14316" xr:uid="{BDFC8CCF-0846-4DB9-A169-DB961A2EDB01}"/>
    <cellStyle name="Comma 4 4 2 2 4 4" xfId="10098" xr:uid="{3E7AE912-8FA4-48E2-8692-7A078D9C0D24}"/>
    <cellStyle name="Comma 4 4 2 2 5" xfId="1973" xr:uid="{00000000-0005-0000-0000-0000DC090000}"/>
    <cellStyle name="Comma 4 4 2 2 5 2" xfId="4202" xr:uid="{00000000-0005-0000-0000-0000DD090000}"/>
    <cellStyle name="Comma 4 4 2 2 5 2 2" xfId="8424" xr:uid="{00000000-0005-0000-0000-0000DE090000}"/>
    <cellStyle name="Comma 4 4 2 2 5 2 2 2" xfId="16874" xr:uid="{C41E643B-2D40-42E6-A801-252C157F887F}"/>
    <cellStyle name="Comma 4 4 2 2 5 2 3" xfId="12656" xr:uid="{DF2D6EB1-C042-4583-A224-2F39DAFFE805}"/>
    <cellStyle name="Comma 4 4 2 2 5 3" xfId="6279" xr:uid="{00000000-0005-0000-0000-0000DF090000}"/>
    <cellStyle name="Comma 4 4 2 2 5 3 2" xfId="14729" xr:uid="{EAA4C78B-0091-4DD7-84AD-B63C88C56499}"/>
    <cellStyle name="Comma 4 4 2 2 5 4" xfId="10511" xr:uid="{4516463F-F0B5-40C0-A6C4-8B2CF2BAC4E2}"/>
    <cellStyle name="Comma 4 4 2 2 6" xfId="2408" xr:uid="{00000000-0005-0000-0000-0000E0090000}"/>
    <cellStyle name="Comma 4 4 2 2 6 2" xfId="6692" xr:uid="{00000000-0005-0000-0000-0000E1090000}"/>
    <cellStyle name="Comma 4 4 2 2 6 2 2" xfId="15142" xr:uid="{FC2993B2-78F9-4DB0-BA87-7EE70F0E6CC0}"/>
    <cellStyle name="Comma 4 4 2 2 6 3" xfId="10924" xr:uid="{FCA3827E-FDEF-41F5-B35D-0A280746FDB9}"/>
    <cellStyle name="Comma 4 4 2 2 7" xfId="2704" xr:uid="{00000000-0005-0000-0000-0000E2090000}"/>
    <cellStyle name="Comma 4 4 2 2 8" xfId="2786" xr:uid="{00000000-0005-0000-0000-0000E3090000}"/>
    <cellStyle name="Comma 4 4 2 2 8 2" xfId="7009" xr:uid="{00000000-0005-0000-0000-0000E4090000}"/>
    <cellStyle name="Comma 4 4 2 2 8 2 2" xfId="15459" xr:uid="{E0CC9443-5BFD-4E07-813F-4A9F4BF08299}"/>
    <cellStyle name="Comma 4 4 2 2 8 3" xfId="11241" xr:uid="{9D7F94BD-3FBB-45E3-92B8-024AFDB22296}"/>
    <cellStyle name="Comma 4 4 2 2 9" xfId="4626" xr:uid="{00000000-0005-0000-0000-0000E5090000}"/>
    <cellStyle name="Comma 4 4 2 2 9 2" xfId="13076" xr:uid="{4A556757-042D-47A8-BC1E-8778EB2FB73A}"/>
    <cellStyle name="Comma 4 4 2 3" xfId="691" xr:uid="{00000000-0005-0000-0000-0000E6090000}"/>
    <cellStyle name="Comma 4 4 2 3 2" xfId="2962" xr:uid="{00000000-0005-0000-0000-0000E7090000}"/>
    <cellStyle name="Comma 4 4 2 3 2 2" xfId="7184" xr:uid="{00000000-0005-0000-0000-0000E8090000}"/>
    <cellStyle name="Comma 4 4 2 3 2 2 2" xfId="15634" xr:uid="{2E505307-2BE4-4C89-AAEC-953B2E2520DD}"/>
    <cellStyle name="Comma 4 4 2 3 2 3" xfId="11416" xr:uid="{6AC34392-BA7A-4CE6-8709-0AF81BE7FC87}"/>
    <cellStyle name="Comma 4 4 2 3 3" xfId="5039" xr:uid="{00000000-0005-0000-0000-0000E9090000}"/>
    <cellStyle name="Comma 4 4 2 3 3 2" xfId="13489" xr:uid="{F83D2D0F-2E49-40F8-936C-0F47BC04FFFD}"/>
    <cellStyle name="Comma 4 4 2 3 4" xfId="9271" xr:uid="{3269CD46-1F00-401A-8D0E-DC61D32024ED}"/>
    <cellStyle name="Comma 4 4 2 4" xfId="1144" xr:uid="{00000000-0005-0000-0000-0000EA090000}"/>
    <cellStyle name="Comma 4 4 2 4 2" xfId="3375" xr:uid="{00000000-0005-0000-0000-0000EB090000}"/>
    <cellStyle name="Comma 4 4 2 4 2 2" xfId="7597" xr:uid="{00000000-0005-0000-0000-0000EC090000}"/>
    <cellStyle name="Comma 4 4 2 4 2 2 2" xfId="16047" xr:uid="{E057B18A-0CB5-4A05-BC6D-6BF336280107}"/>
    <cellStyle name="Comma 4 4 2 4 2 3" xfId="11829" xr:uid="{BEE2827F-0AAC-4472-8549-9824D8659358}"/>
    <cellStyle name="Comma 4 4 2 4 3" xfId="5452" xr:uid="{00000000-0005-0000-0000-0000ED090000}"/>
    <cellStyle name="Comma 4 4 2 4 3 2" xfId="13902" xr:uid="{5020DA33-E2D1-4E59-B85F-54C2A4A0E7E9}"/>
    <cellStyle name="Comma 4 4 2 4 4" xfId="9684" xr:uid="{86AB712F-5E59-4B06-8532-E7BD2D86299B}"/>
    <cellStyle name="Comma 4 4 2 5" xfId="1558" xr:uid="{00000000-0005-0000-0000-0000EE090000}"/>
    <cellStyle name="Comma 4 4 2 5 2" xfId="3788" xr:uid="{00000000-0005-0000-0000-0000EF090000}"/>
    <cellStyle name="Comma 4 4 2 5 2 2" xfId="8010" xr:uid="{00000000-0005-0000-0000-0000F0090000}"/>
    <cellStyle name="Comma 4 4 2 5 2 2 2" xfId="16460" xr:uid="{CDC695AA-68AE-4EF3-A75F-1BAD4B65AB3E}"/>
    <cellStyle name="Comma 4 4 2 5 2 3" xfId="12242" xr:uid="{52DF3673-05B6-4D91-BF04-9845BFD6DC1B}"/>
    <cellStyle name="Comma 4 4 2 5 3" xfId="5865" xr:uid="{00000000-0005-0000-0000-0000F1090000}"/>
    <cellStyle name="Comma 4 4 2 5 3 2" xfId="14315" xr:uid="{74A96B31-BB9D-483D-BD23-6E996C1A06BC}"/>
    <cellStyle name="Comma 4 4 2 5 4" xfId="10097" xr:uid="{91BA778C-4A86-46E3-866A-C6AFC1C6890F}"/>
    <cellStyle name="Comma 4 4 2 6" xfId="1972" xr:uid="{00000000-0005-0000-0000-0000F2090000}"/>
    <cellStyle name="Comma 4 4 2 6 2" xfId="4201" xr:uid="{00000000-0005-0000-0000-0000F3090000}"/>
    <cellStyle name="Comma 4 4 2 6 2 2" xfId="8423" xr:uid="{00000000-0005-0000-0000-0000F4090000}"/>
    <cellStyle name="Comma 4 4 2 6 2 2 2" xfId="16873" xr:uid="{03995D57-3553-442A-A436-0E0D6D69F936}"/>
    <cellStyle name="Comma 4 4 2 6 2 3" xfId="12655" xr:uid="{4F782373-8239-49F8-B0E4-85A494891961}"/>
    <cellStyle name="Comma 4 4 2 6 3" xfId="6278" xr:uid="{00000000-0005-0000-0000-0000F5090000}"/>
    <cellStyle name="Comma 4 4 2 6 3 2" xfId="14728" xr:uid="{52A6AC5C-EF71-45CC-B981-430C5524EC8A}"/>
    <cellStyle name="Comma 4 4 2 6 4" xfId="10510" xr:uid="{2CF65D43-4278-4686-B0B5-81F3721E411B}"/>
    <cellStyle name="Comma 4 4 2 7" xfId="2407" xr:uid="{00000000-0005-0000-0000-0000F6090000}"/>
    <cellStyle name="Comma 4 4 2 7 2" xfId="6691" xr:uid="{00000000-0005-0000-0000-0000F7090000}"/>
    <cellStyle name="Comma 4 4 2 7 2 2" xfId="15141" xr:uid="{B9FAF7F9-6768-4F8B-A884-F214A5623409}"/>
    <cellStyle name="Comma 4 4 2 7 3" xfId="10923" xr:uid="{B33D81CF-9708-40AE-9ACF-F53A780000D4}"/>
    <cellStyle name="Comma 4 4 2 8" xfId="2703" xr:uid="{00000000-0005-0000-0000-0000F8090000}"/>
    <cellStyle name="Comma 4 4 2 9" xfId="2785" xr:uid="{00000000-0005-0000-0000-0000F9090000}"/>
    <cellStyle name="Comma 4 4 2 9 2" xfId="7008" xr:uid="{00000000-0005-0000-0000-0000FA090000}"/>
    <cellStyle name="Comma 4 4 2 9 2 2" xfId="15458" xr:uid="{125C5ECC-719A-44D5-8C0D-E475996DE5C5}"/>
    <cellStyle name="Comma 4 4 2 9 3" xfId="11240" xr:uid="{D5D9E209-0687-4E69-A882-661074E0A9B7}"/>
    <cellStyle name="Comma 4 4 3" xfId="156" xr:uid="{00000000-0005-0000-0000-0000FB090000}"/>
    <cellStyle name="Comma 4 4 3 10" xfId="8859" xr:uid="{A285519F-E4B1-44CE-B5C7-69D0AD224A8C}"/>
    <cellStyle name="Comma 4 4 3 2" xfId="693" xr:uid="{00000000-0005-0000-0000-0000FC090000}"/>
    <cellStyle name="Comma 4 4 3 2 2" xfId="2964" xr:uid="{00000000-0005-0000-0000-0000FD090000}"/>
    <cellStyle name="Comma 4 4 3 2 2 2" xfId="7186" xr:uid="{00000000-0005-0000-0000-0000FE090000}"/>
    <cellStyle name="Comma 4 4 3 2 2 2 2" xfId="15636" xr:uid="{597366D9-68CB-4F55-BC75-ABC78E8F3A34}"/>
    <cellStyle name="Comma 4 4 3 2 2 3" xfId="11418" xr:uid="{41B79957-D68F-4A5C-AF34-F521DF91013B}"/>
    <cellStyle name="Comma 4 4 3 2 3" xfId="5041" xr:uid="{00000000-0005-0000-0000-0000FF090000}"/>
    <cellStyle name="Comma 4 4 3 2 3 2" xfId="13491" xr:uid="{D843FD4D-E927-476E-9C4C-1E0165E9005E}"/>
    <cellStyle name="Comma 4 4 3 2 4" xfId="9273" xr:uid="{26AAA282-1E00-4782-BB82-9E325EE665C1}"/>
    <cellStyle name="Comma 4 4 3 3" xfId="1146" xr:uid="{00000000-0005-0000-0000-0000000A0000}"/>
    <cellStyle name="Comma 4 4 3 3 2" xfId="3377" xr:uid="{00000000-0005-0000-0000-0000010A0000}"/>
    <cellStyle name="Comma 4 4 3 3 2 2" xfId="7599" xr:uid="{00000000-0005-0000-0000-0000020A0000}"/>
    <cellStyle name="Comma 4 4 3 3 2 2 2" xfId="16049" xr:uid="{74BC90F7-1683-4C20-8021-28F0CF7902BC}"/>
    <cellStyle name="Comma 4 4 3 3 2 3" xfId="11831" xr:uid="{AE904D86-BCAB-47AB-90C9-37CDB7C6FE7B}"/>
    <cellStyle name="Comma 4 4 3 3 3" xfId="5454" xr:uid="{00000000-0005-0000-0000-0000030A0000}"/>
    <cellStyle name="Comma 4 4 3 3 3 2" xfId="13904" xr:uid="{69FBAA73-6E10-405F-999F-CA2C81E7286C}"/>
    <cellStyle name="Comma 4 4 3 3 4" xfId="9686" xr:uid="{7E770018-E93E-4A7F-9310-08B39E7F5B08}"/>
    <cellStyle name="Comma 4 4 3 4" xfId="1560" xr:uid="{00000000-0005-0000-0000-0000040A0000}"/>
    <cellStyle name="Comma 4 4 3 4 2" xfId="3790" xr:uid="{00000000-0005-0000-0000-0000050A0000}"/>
    <cellStyle name="Comma 4 4 3 4 2 2" xfId="8012" xr:uid="{00000000-0005-0000-0000-0000060A0000}"/>
    <cellStyle name="Comma 4 4 3 4 2 2 2" xfId="16462" xr:uid="{03961C6C-5BB2-492F-86B9-61591C6D0679}"/>
    <cellStyle name="Comma 4 4 3 4 2 3" xfId="12244" xr:uid="{E4136C86-827D-4963-8CCC-530D5D82A698}"/>
    <cellStyle name="Comma 4 4 3 4 3" xfId="5867" xr:uid="{00000000-0005-0000-0000-0000070A0000}"/>
    <cellStyle name="Comma 4 4 3 4 3 2" xfId="14317" xr:uid="{A57DDE0F-78B7-4F6D-8EFF-D2778A11052F}"/>
    <cellStyle name="Comma 4 4 3 4 4" xfId="10099" xr:uid="{FD232E49-3098-4552-97B4-841F3FEAAA16}"/>
    <cellStyle name="Comma 4 4 3 5" xfId="1974" xr:uid="{00000000-0005-0000-0000-0000080A0000}"/>
    <cellStyle name="Comma 4 4 3 5 2" xfId="4203" xr:uid="{00000000-0005-0000-0000-0000090A0000}"/>
    <cellStyle name="Comma 4 4 3 5 2 2" xfId="8425" xr:uid="{00000000-0005-0000-0000-00000A0A0000}"/>
    <cellStyle name="Comma 4 4 3 5 2 2 2" xfId="16875" xr:uid="{B2B5F3BD-7AA6-421E-99C1-44AA855C4008}"/>
    <cellStyle name="Comma 4 4 3 5 2 3" xfId="12657" xr:uid="{74B5FD87-7A48-4954-AB2B-FFDB789505A0}"/>
    <cellStyle name="Comma 4 4 3 5 3" xfId="6280" xr:uid="{00000000-0005-0000-0000-00000B0A0000}"/>
    <cellStyle name="Comma 4 4 3 5 3 2" xfId="14730" xr:uid="{1815CB4C-0815-4D12-9942-5740CF54C854}"/>
    <cellStyle name="Comma 4 4 3 5 4" xfId="10512" xr:uid="{F32BC0CF-3A6B-423E-B5DC-57772AA51EB4}"/>
    <cellStyle name="Comma 4 4 3 6" xfId="2409" xr:uid="{00000000-0005-0000-0000-00000C0A0000}"/>
    <cellStyle name="Comma 4 4 3 6 2" xfId="6693" xr:uid="{00000000-0005-0000-0000-00000D0A0000}"/>
    <cellStyle name="Comma 4 4 3 6 2 2" xfId="15143" xr:uid="{3B466F7D-F189-4625-BB8F-B843838AC344}"/>
    <cellStyle name="Comma 4 4 3 6 3" xfId="10925" xr:uid="{3998C640-B179-4D1D-AB5B-A9B1A47CB458}"/>
    <cellStyle name="Comma 4 4 3 7" xfId="2705" xr:uid="{00000000-0005-0000-0000-00000E0A0000}"/>
    <cellStyle name="Comma 4 4 3 8" xfId="2787" xr:uid="{00000000-0005-0000-0000-00000F0A0000}"/>
    <cellStyle name="Comma 4 4 3 8 2" xfId="7010" xr:uid="{00000000-0005-0000-0000-0000100A0000}"/>
    <cellStyle name="Comma 4 4 3 8 2 2" xfId="15460" xr:uid="{18596E64-D7AE-403F-98D0-F822DC601207}"/>
    <cellStyle name="Comma 4 4 3 8 3" xfId="11242" xr:uid="{40AA9769-47DB-4942-A806-7FBD8474D83F}"/>
    <cellStyle name="Comma 4 4 3 9" xfId="4627" xr:uid="{00000000-0005-0000-0000-0000110A0000}"/>
    <cellStyle name="Comma 4 4 3 9 2" xfId="13077" xr:uid="{0FF9A8DD-1905-47D4-8C74-94BBF6AF75E2}"/>
    <cellStyle name="Comma 4 4 4" xfId="690" xr:uid="{00000000-0005-0000-0000-0000120A0000}"/>
    <cellStyle name="Comma 4 4 4 2" xfId="2961" xr:uid="{00000000-0005-0000-0000-0000130A0000}"/>
    <cellStyle name="Comma 4 4 4 2 2" xfId="7183" xr:uid="{00000000-0005-0000-0000-0000140A0000}"/>
    <cellStyle name="Comma 4 4 4 2 2 2" xfId="15633" xr:uid="{8C3B71B3-6D06-4738-8678-C841AEF91012}"/>
    <cellStyle name="Comma 4 4 4 2 3" xfId="11415" xr:uid="{E1C4EDA0-FB83-4802-895E-772AB4E31A9D}"/>
    <cellStyle name="Comma 4 4 4 3" xfId="5038" xr:uid="{00000000-0005-0000-0000-0000150A0000}"/>
    <cellStyle name="Comma 4 4 4 3 2" xfId="13488" xr:uid="{6BB41500-1296-4B60-831A-E31005E0EB48}"/>
    <cellStyle name="Comma 4 4 4 4" xfId="9270" xr:uid="{144FB475-AF81-44FC-9183-867E50AEDA42}"/>
    <cellStyle name="Comma 4 4 5" xfId="1143" xr:uid="{00000000-0005-0000-0000-0000160A0000}"/>
    <cellStyle name="Comma 4 4 5 2" xfId="3374" xr:uid="{00000000-0005-0000-0000-0000170A0000}"/>
    <cellStyle name="Comma 4 4 5 2 2" xfId="7596" xr:uid="{00000000-0005-0000-0000-0000180A0000}"/>
    <cellStyle name="Comma 4 4 5 2 2 2" xfId="16046" xr:uid="{974FC8C5-8067-4FD6-A3BF-AF08ECCAC0D8}"/>
    <cellStyle name="Comma 4 4 5 2 3" xfId="11828" xr:uid="{B061FCB9-4C09-408E-924A-296996D68DA3}"/>
    <cellStyle name="Comma 4 4 5 3" xfId="5451" xr:uid="{00000000-0005-0000-0000-0000190A0000}"/>
    <cellStyle name="Comma 4 4 5 3 2" xfId="13901" xr:uid="{C80A7754-048A-4803-AA01-F00DF3F05425}"/>
    <cellStyle name="Comma 4 4 5 4" xfId="9683" xr:uid="{A7E5EB2A-9781-4B74-BB60-1695FBC3A65A}"/>
    <cellStyle name="Comma 4 4 6" xfId="1557" xr:uid="{00000000-0005-0000-0000-00001A0A0000}"/>
    <cellStyle name="Comma 4 4 6 2" xfId="3787" xr:uid="{00000000-0005-0000-0000-00001B0A0000}"/>
    <cellStyle name="Comma 4 4 6 2 2" xfId="8009" xr:uid="{00000000-0005-0000-0000-00001C0A0000}"/>
    <cellStyle name="Comma 4 4 6 2 2 2" xfId="16459" xr:uid="{C625E358-2688-4BAC-BF4C-ED9486372E32}"/>
    <cellStyle name="Comma 4 4 6 2 3" xfId="12241" xr:uid="{37835843-97A5-4634-8F4B-1A42E398621D}"/>
    <cellStyle name="Comma 4 4 6 3" xfId="5864" xr:uid="{00000000-0005-0000-0000-00001D0A0000}"/>
    <cellStyle name="Comma 4 4 6 3 2" xfId="14314" xr:uid="{44A06B25-A223-4120-993F-520AB30925E8}"/>
    <cellStyle name="Comma 4 4 6 4" xfId="10096" xr:uid="{13276C6D-BAF0-4409-98FC-E73B4A3B0BC9}"/>
    <cellStyle name="Comma 4 4 7" xfId="1971" xr:uid="{00000000-0005-0000-0000-00001E0A0000}"/>
    <cellStyle name="Comma 4 4 7 2" xfId="4200" xr:uid="{00000000-0005-0000-0000-00001F0A0000}"/>
    <cellStyle name="Comma 4 4 7 2 2" xfId="8422" xr:uid="{00000000-0005-0000-0000-0000200A0000}"/>
    <cellStyle name="Comma 4 4 7 2 2 2" xfId="16872" xr:uid="{9FB46F89-16B5-401A-B350-32C13E4F9414}"/>
    <cellStyle name="Comma 4 4 7 2 3" xfId="12654" xr:uid="{98C1D0FB-440C-4C99-BA65-8A38AAD81ECE}"/>
    <cellStyle name="Comma 4 4 7 3" xfId="6277" xr:uid="{00000000-0005-0000-0000-0000210A0000}"/>
    <cellStyle name="Comma 4 4 7 3 2" xfId="14727" xr:uid="{E038107B-7205-4C1C-A189-0FB2266B3096}"/>
    <cellStyle name="Comma 4 4 7 4" xfId="10509" xr:uid="{1B4114D2-D884-45DD-BBA0-90378DEED2B0}"/>
    <cellStyle name="Comma 4 4 8" xfId="2406" xr:uid="{00000000-0005-0000-0000-0000220A0000}"/>
    <cellStyle name="Comma 4 4 8 2" xfId="6690" xr:uid="{00000000-0005-0000-0000-0000230A0000}"/>
    <cellStyle name="Comma 4 4 8 2 2" xfId="15140" xr:uid="{024C2A33-B4E1-4779-98BD-78CD622B1208}"/>
    <cellStyle name="Comma 4 4 8 3" xfId="10922" xr:uid="{220EF3F8-E685-4C09-B044-C531F35E0FDD}"/>
    <cellStyle name="Comma 4 4 9" xfId="2702" xr:uid="{00000000-0005-0000-0000-0000240A0000}"/>
    <cellStyle name="Comma 4 5" xfId="157" xr:uid="{00000000-0005-0000-0000-0000250A0000}"/>
    <cellStyle name="Comma 4 5 10" xfId="4628" xr:uid="{00000000-0005-0000-0000-0000260A0000}"/>
    <cellStyle name="Comma 4 5 10 2" xfId="13078" xr:uid="{473FADD6-5F01-4928-88AF-C640E2407ADE}"/>
    <cellStyle name="Comma 4 5 11" xfId="8860" xr:uid="{F4D9BBD8-E9DD-4D21-86B4-DB4F34B0BFB6}"/>
    <cellStyle name="Comma 4 5 2" xfId="158" xr:uid="{00000000-0005-0000-0000-0000270A0000}"/>
    <cellStyle name="Comma 4 5 2 10" xfId="8861" xr:uid="{74F636C4-BCB9-44CB-9957-28AE997D6447}"/>
    <cellStyle name="Comma 4 5 2 2" xfId="695" xr:uid="{00000000-0005-0000-0000-0000280A0000}"/>
    <cellStyle name="Comma 4 5 2 2 2" xfId="2966" xr:uid="{00000000-0005-0000-0000-0000290A0000}"/>
    <cellStyle name="Comma 4 5 2 2 2 2" xfId="7188" xr:uid="{00000000-0005-0000-0000-00002A0A0000}"/>
    <cellStyle name="Comma 4 5 2 2 2 2 2" xfId="15638" xr:uid="{64326569-06A8-4D87-BCDD-E239AA1C844F}"/>
    <cellStyle name="Comma 4 5 2 2 2 3" xfId="11420" xr:uid="{AC1A5AAC-E569-4A91-BFF1-6C740D0C2254}"/>
    <cellStyle name="Comma 4 5 2 2 3" xfId="5043" xr:uid="{00000000-0005-0000-0000-00002B0A0000}"/>
    <cellStyle name="Comma 4 5 2 2 3 2" xfId="13493" xr:uid="{07756744-3345-4D32-9D1D-EB05A67826FD}"/>
    <cellStyle name="Comma 4 5 2 2 4" xfId="9275" xr:uid="{2BBB0F17-FD7C-4E41-8FA1-9AA6A1C83964}"/>
    <cellStyle name="Comma 4 5 2 3" xfId="1148" xr:uid="{00000000-0005-0000-0000-00002C0A0000}"/>
    <cellStyle name="Comma 4 5 2 3 2" xfId="3379" xr:uid="{00000000-0005-0000-0000-00002D0A0000}"/>
    <cellStyle name="Comma 4 5 2 3 2 2" xfId="7601" xr:uid="{00000000-0005-0000-0000-00002E0A0000}"/>
    <cellStyle name="Comma 4 5 2 3 2 2 2" xfId="16051" xr:uid="{1AD20377-6DD6-4D3E-9C7F-DFA0B1DCA749}"/>
    <cellStyle name="Comma 4 5 2 3 2 3" xfId="11833" xr:uid="{725F8796-0E9D-4725-A5CC-691FC896AB6B}"/>
    <cellStyle name="Comma 4 5 2 3 3" xfId="5456" xr:uid="{00000000-0005-0000-0000-00002F0A0000}"/>
    <cellStyle name="Comma 4 5 2 3 3 2" xfId="13906" xr:uid="{9DE1A4AE-FD05-48C2-898C-A710E9806CD0}"/>
    <cellStyle name="Comma 4 5 2 3 4" xfId="9688" xr:uid="{BD82AFD5-88EB-4258-B418-B0C7E6D3533A}"/>
    <cellStyle name="Comma 4 5 2 4" xfId="1562" xr:uid="{00000000-0005-0000-0000-0000300A0000}"/>
    <cellStyle name="Comma 4 5 2 4 2" xfId="3792" xr:uid="{00000000-0005-0000-0000-0000310A0000}"/>
    <cellStyle name="Comma 4 5 2 4 2 2" xfId="8014" xr:uid="{00000000-0005-0000-0000-0000320A0000}"/>
    <cellStyle name="Comma 4 5 2 4 2 2 2" xfId="16464" xr:uid="{A353FE28-2418-4B43-9F27-0C44FBB248D4}"/>
    <cellStyle name="Comma 4 5 2 4 2 3" xfId="12246" xr:uid="{DAC556EC-D34E-4D46-82A0-F579CDACF8DF}"/>
    <cellStyle name="Comma 4 5 2 4 3" xfId="5869" xr:uid="{00000000-0005-0000-0000-0000330A0000}"/>
    <cellStyle name="Comma 4 5 2 4 3 2" xfId="14319" xr:uid="{275D62EA-3042-4593-96DA-2DDC0AF8D5C5}"/>
    <cellStyle name="Comma 4 5 2 4 4" xfId="10101" xr:uid="{767AA902-3DBC-4C74-A17F-D44CD6955A60}"/>
    <cellStyle name="Comma 4 5 2 5" xfId="1976" xr:uid="{00000000-0005-0000-0000-0000340A0000}"/>
    <cellStyle name="Comma 4 5 2 5 2" xfId="4205" xr:uid="{00000000-0005-0000-0000-0000350A0000}"/>
    <cellStyle name="Comma 4 5 2 5 2 2" xfId="8427" xr:uid="{00000000-0005-0000-0000-0000360A0000}"/>
    <cellStyle name="Comma 4 5 2 5 2 2 2" xfId="16877" xr:uid="{3920F7B0-4D6C-47FD-B88D-BEFBA6D217BD}"/>
    <cellStyle name="Comma 4 5 2 5 2 3" xfId="12659" xr:uid="{74F8ED9D-556A-4465-85B6-EBDCD2972279}"/>
    <cellStyle name="Comma 4 5 2 5 3" xfId="6282" xr:uid="{00000000-0005-0000-0000-0000370A0000}"/>
    <cellStyle name="Comma 4 5 2 5 3 2" xfId="14732" xr:uid="{910DB10A-7EAF-46E5-97AA-066EA1415D64}"/>
    <cellStyle name="Comma 4 5 2 5 4" xfId="10514" xr:uid="{5FEBF9DA-0C27-4712-9CD8-33D8871062C2}"/>
    <cellStyle name="Comma 4 5 2 6" xfId="2411" xr:uid="{00000000-0005-0000-0000-0000380A0000}"/>
    <cellStyle name="Comma 4 5 2 6 2" xfId="6695" xr:uid="{00000000-0005-0000-0000-0000390A0000}"/>
    <cellStyle name="Comma 4 5 2 6 2 2" xfId="15145" xr:uid="{B4B912F0-BB00-424D-B081-6C1E650AD350}"/>
    <cellStyle name="Comma 4 5 2 6 3" xfId="10927" xr:uid="{D87752A4-BBA1-4B10-8026-FDAF06DDEDE5}"/>
    <cellStyle name="Comma 4 5 2 7" xfId="2707" xr:uid="{00000000-0005-0000-0000-00003A0A0000}"/>
    <cellStyle name="Comma 4 5 2 8" xfId="2789" xr:uid="{00000000-0005-0000-0000-00003B0A0000}"/>
    <cellStyle name="Comma 4 5 2 8 2" xfId="7012" xr:uid="{00000000-0005-0000-0000-00003C0A0000}"/>
    <cellStyle name="Comma 4 5 2 8 2 2" xfId="15462" xr:uid="{5A611812-8D5A-47C4-9D54-DE8FF2A34DA9}"/>
    <cellStyle name="Comma 4 5 2 8 3" xfId="11244" xr:uid="{3EA1F1A9-BD72-4CE4-9C80-3B16A4C1ABFA}"/>
    <cellStyle name="Comma 4 5 2 9" xfId="4629" xr:uid="{00000000-0005-0000-0000-00003D0A0000}"/>
    <cellStyle name="Comma 4 5 2 9 2" xfId="13079" xr:uid="{2089AD20-7255-42B4-B047-381443D87708}"/>
    <cellStyle name="Comma 4 5 3" xfId="694" xr:uid="{00000000-0005-0000-0000-00003E0A0000}"/>
    <cellStyle name="Comma 4 5 3 2" xfId="2965" xr:uid="{00000000-0005-0000-0000-00003F0A0000}"/>
    <cellStyle name="Comma 4 5 3 2 2" xfId="7187" xr:uid="{00000000-0005-0000-0000-0000400A0000}"/>
    <cellStyle name="Comma 4 5 3 2 2 2" xfId="15637" xr:uid="{A65225AC-5E70-4705-A0E3-5A36F2D0D18D}"/>
    <cellStyle name="Comma 4 5 3 2 3" xfId="11419" xr:uid="{F1827092-F077-494E-B5D7-BCB1088DBB28}"/>
    <cellStyle name="Comma 4 5 3 3" xfId="5042" xr:uid="{00000000-0005-0000-0000-0000410A0000}"/>
    <cellStyle name="Comma 4 5 3 3 2" xfId="13492" xr:uid="{0010A9DE-6A7C-4189-A1B8-31A4F7D36BF1}"/>
    <cellStyle name="Comma 4 5 3 4" xfId="9274" xr:uid="{2B6BF9AC-1C95-438B-83AE-81C44650371A}"/>
    <cellStyle name="Comma 4 5 4" xfId="1147" xr:uid="{00000000-0005-0000-0000-0000420A0000}"/>
    <cellStyle name="Comma 4 5 4 2" xfId="3378" xr:uid="{00000000-0005-0000-0000-0000430A0000}"/>
    <cellStyle name="Comma 4 5 4 2 2" xfId="7600" xr:uid="{00000000-0005-0000-0000-0000440A0000}"/>
    <cellStyle name="Comma 4 5 4 2 2 2" xfId="16050" xr:uid="{A4B9ACEC-906E-43D7-AFF0-E8E9A59B45D9}"/>
    <cellStyle name="Comma 4 5 4 2 3" xfId="11832" xr:uid="{E07AB1D9-756B-4CFE-89B6-EE60FBF3D60F}"/>
    <cellStyle name="Comma 4 5 4 3" xfId="5455" xr:uid="{00000000-0005-0000-0000-0000450A0000}"/>
    <cellStyle name="Comma 4 5 4 3 2" xfId="13905" xr:uid="{2C85F3F2-282D-4A07-B3F7-F19CEECD243A}"/>
    <cellStyle name="Comma 4 5 4 4" xfId="9687" xr:uid="{7AF5D486-2AB6-4258-B610-97615F9F7D93}"/>
    <cellStyle name="Comma 4 5 5" xfId="1561" xr:uid="{00000000-0005-0000-0000-0000460A0000}"/>
    <cellStyle name="Comma 4 5 5 2" xfId="3791" xr:uid="{00000000-0005-0000-0000-0000470A0000}"/>
    <cellStyle name="Comma 4 5 5 2 2" xfId="8013" xr:uid="{00000000-0005-0000-0000-0000480A0000}"/>
    <cellStyle name="Comma 4 5 5 2 2 2" xfId="16463" xr:uid="{CAA64695-01E8-4BB5-9BB0-C91C5316A7DB}"/>
    <cellStyle name="Comma 4 5 5 2 3" xfId="12245" xr:uid="{8EC98B08-2768-4CD3-90DE-B64958D780A1}"/>
    <cellStyle name="Comma 4 5 5 3" xfId="5868" xr:uid="{00000000-0005-0000-0000-0000490A0000}"/>
    <cellStyle name="Comma 4 5 5 3 2" xfId="14318" xr:uid="{6AC55CED-342C-4AAA-B23D-6C02AE4EFD70}"/>
    <cellStyle name="Comma 4 5 5 4" xfId="10100" xr:uid="{45795DF8-1947-457A-B035-1F073B8CCAA2}"/>
    <cellStyle name="Comma 4 5 6" xfId="1975" xr:uid="{00000000-0005-0000-0000-00004A0A0000}"/>
    <cellStyle name="Comma 4 5 6 2" xfId="4204" xr:uid="{00000000-0005-0000-0000-00004B0A0000}"/>
    <cellStyle name="Comma 4 5 6 2 2" xfId="8426" xr:uid="{00000000-0005-0000-0000-00004C0A0000}"/>
    <cellStyle name="Comma 4 5 6 2 2 2" xfId="16876" xr:uid="{8F645C47-7528-47C3-A447-3249CBA99A02}"/>
    <cellStyle name="Comma 4 5 6 2 3" xfId="12658" xr:uid="{7CA94AD2-2EB5-468D-B7D7-865B221E5894}"/>
    <cellStyle name="Comma 4 5 6 3" xfId="6281" xr:uid="{00000000-0005-0000-0000-00004D0A0000}"/>
    <cellStyle name="Comma 4 5 6 3 2" xfId="14731" xr:uid="{BF0E7983-F81E-4D87-A7CC-2FA2A1C09A8E}"/>
    <cellStyle name="Comma 4 5 6 4" xfId="10513" xr:uid="{F1FE74B2-9078-491C-880C-209F24965192}"/>
    <cellStyle name="Comma 4 5 7" xfId="2410" xr:uid="{00000000-0005-0000-0000-00004E0A0000}"/>
    <cellStyle name="Comma 4 5 7 2" xfId="6694" xr:uid="{00000000-0005-0000-0000-00004F0A0000}"/>
    <cellStyle name="Comma 4 5 7 2 2" xfId="15144" xr:uid="{482DC21D-BE99-4B2E-8C49-0FC1677F82BB}"/>
    <cellStyle name="Comma 4 5 7 3" xfId="10926" xr:uid="{4A7794FA-2526-4E70-B0CF-0416F4C319D4}"/>
    <cellStyle name="Comma 4 5 8" xfId="2706" xr:uid="{00000000-0005-0000-0000-0000500A0000}"/>
    <cellStyle name="Comma 4 5 9" xfId="2788" xr:uid="{00000000-0005-0000-0000-0000510A0000}"/>
    <cellStyle name="Comma 4 5 9 2" xfId="7011" xr:uid="{00000000-0005-0000-0000-0000520A0000}"/>
    <cellStyle name="Comma 4 5 9 2 2" xfId="15461" xr:uid="{3270F27E-B943-46E2-8F12-A8113DECF4CD}"/>
    <cellStyle name="Comma 4 5 9 3" xfId="11243" xr:uid="{E58C27B7-AD20-455F-AFAA-FF7D923DC081}"/>
    <cellStyle name="Comma 4 6" xfId="159" xr:uid="{00000000-0005-0000-0000-0000530A0000}"/>
    <cellStyle name="Comma 4 6 10" xfId="8862" xr:uid="{894FBD01-FE7D-4019-A476-6D7AA13C7331}"/>
    <cellStyle name="Comma 4 6 2" xfId="696" xr:uid="{00000000-0005-0000-0000-0000540A0000}"/>
    <cellStyle name="Comma 4 6 2 2" xfId="2967" xr:uid="{00000000-0005-0000-0000-0000550A0000}"/>
    <cellStyle name="Comma 4 6 2 2 2" xfId="7189" xr:uid="{00000000-0005-0000-0000-0000560A0000}"/>
    <cellStyle name="Comma 4 6 2 2 2 2" xfId="15639" xr:uid="{FC29B08F-63A8-41C9-A838-C92AB6980CC4}"/>
    <cellStyle name="Comma 4 6 2 2 3" xfId="11421" xr:uid="{A3DF2897-96F3-491A-95E3-FCB9274D306B}"/>
    <cellStyle name="Comma 4 6 2 3" xfId="5044" xr:uid="{00000000-0005-0000-0000-0000570A0000}"/>
    <cellStyle name="Comma 4 6 2 3 2" xfId="13494" xr:uid="{E8F57478-82BA-4598-8BEF-120D79026B44}"/>
    <cellStyle name="Comma 4 6 2 4" xfId="9276" xr:uid="{15742F8E-F194-4E59-B53D-DD4BC116BC9A}"/>
    <cellStyle name="Comma 4 6 3" xfId="1149" xr:uid="{00000000-0005-0000-0000-0000580A0000}"/>
    <cellStyle name="Comma 4 6 3 2" xfId="3380" xr:uid="{00000000-0005-0000-0000-0000590A0000}"/>
    <cellStyle name="Comma 4 6 3 2 2" xfId="7602" xr:uid="{00000000-0005-0000-0000-00005A0A0000}"/>
    <cellStyle name="Comma 4 6 3 2 2 2" xfId="16052" xr:uid="{DCCF2A6B-7BFF-459C-A8C1-FF939A47550A}"/>
    <cellStyle name="Comma 4 6 3 2 3" xfId="11834" xr:uid="{3B6FD29E-6035-4A76-8D7B-218BB3598FC6}"/>
    <cellStyle name="Comma 4 6 3 3" xfId="5457" xr:uid="{00000000-0005-0000-0000-00005B0A0000}"/>
    <cellStyle name="Comma 4 6 3 3 2" xfId="13907" xr:uid="{359218BB-DF2B-43BB-BCDE-76E2DA019A02}"/>
    <cellStyle name="Comma 4 6 3 4" xfId="9689" xr:uid="{3F9647CF-5C72-4C1E-9FD2-3969B6CD6ADB}"/>
    <cellStyle name="Comma 4 6 4" xfId="1563" xr:uid="{00000000-0005-0000-0000-00005C0A0000}"/>
    <cellStyle name="Comma 4 6 4 2" xfId="3793" xr:uid="{00000000-0005-0000-0000-00005D0A0000}"/>
    <cellStyle name="Comma 4 6 4 2 2" xfId="8015" xr:uid="{00000000-0005-0000-0000-00005E0A0000}"/>
    <cellStyle name="Comma 4 6 4 2 2 2" xfId="16465" xr:uid="{07416A1B-4443-4682-9F15-1678AB6F3AA5}"/>
    <cellStyle name="Comma 4 6 4 2 3" xfId="12247" xr:uid="{B2E6CDE9-B6E5-4041-A76E-896F31DFF75E}"/>
    <cellStyle name="Comma 4 6 4 3" xfId="5870" xr:uid="{00000000-0005-0000-0000-00005F0A0000}"/>
    <cellStyle name="Comma 4 6 4 3 2" xfId="14320" xr:uid="{709C03CA-3E0C-4A33-A1B0-5C108F8DFA21}"/>
    <cellStyle name="Comma 4 6 4 4" xfId="10102" xr:uid="{AFE2528F-C845-439B-ACAA-27D1D263F1CF}"/>
    <cellStyle name="Comma 4 6 5" xfId="1977" xr:uid="{00000000-0005-0000-0000-0000600A0000}"/>
    <cellStyle name="Comma 4 6 5 2" xfId="4206" xr:uid="{00000000-0005-0000-0000-0000610A0000}"/>
    <cellStyle name="Comma 4 6 5 2 2" xfId="8428" xr:uid="{00000000-0005-0000-0000-0000620A0000}"/>
    <cellStyle name="Comma 4 6 5 2 2 2" xfId="16878" xr:uid="{E1A6F59D-4434-4F67-9F35-86136FFE051F}"/>
    <cellStyle name="Comma 4 6 5 2 3" xfId="12660" xr:uid="{1398921D-6011-4E9A-BE89-544423746EB1}"/>
    <cellStyle name="Comma 4 6 5 3" xfId="6283" xr:uid="{00000000-0005-0000-0000-0000630A0000}"/>
    <cellStyle name="Comma 4 6 5 3 2" xfId="14733" xr:uid="{14467A1E-AE8C-428C-A248-ABF12C9CFA04}"/>
    <cellStyle name="Comma 4 6 5 4" xfId="10515" xr:uid="{37E9A1A4-314E-47B6-BA6B-8CBED5EDFA6D}"/>
    <cellStyle name="Comma 4 6 6" xfId="2412" xr:uid="{00000000-0005-0000-0000-0000640A0000}"/>
    <cellStyle name="Comma 4 6 6 2" xfId="6696" xr:uid="{00000000-0005-0000-0000-0000650A0000}"/>
    <cellStyle name="Comma 4 6 6 2 2" xfId="15146" xr:uid="{9D87D6B9-AEAF-4FD0-8EF4-CE1953C644A8}"/>
    <cellStyle name="Comma 4 6 6 3" xfId="10928" xr:uid="{88368DD0-BDF4-40D7-866A-AA3F70DB9E02}"/>
    <cellStyle name="Comma 4 6 7" xfId="2708" xr:uid="{00000000-0005-0000-0000-0000660A0000}"/>
    <cellStyle name="Comma 4 6 8" xfId="2790" xr:uid="{00000000-0005-0000-0000-0000670A0000}"/>
    <cellStyle name="Comma 4 6 8 2" xfId="7013" xr:uid="{00000000-0005-0000-0000-0000680A0000}"/>
    <cellStyle name="Comma 4 6 8 2 2" xfId="15463" xr:uid="{6DE6DEA5-C2A5-41CA-BC8F-4B0ED3505FF0}"/>
    <cellStyle name="Comma 4 6 8 3" xfId="11245" xr:uid="{0A26C3E1-356B-404C-A101-CC76AE706C5C}"/>
    <cellStyle name="Comma 4 6 9" xfId="4630" xr:uid="{00000000-0005-0000-0000-0000690A0000}"/>
    <cellStyle name="Comma 4 6 9 2" xfId="13080" xr:uid="{01905DA7-85E1-4D6D-8BD4-00E15902B5CF}"/>
    <cellStyle name="Comma 4 7" xfId="160" xr:uid="{00000000-0005-0000-0000-00006A0A0000}"/>
    <cellStyle name="Comma 4 7 10" xfId="8863" xr:uid="{C2A96010-791E-4F62-A109-82DAD09C194C}"/>
    <cellStyle name="Comma 4 7 2" xfId="697" xr:uid="{00000000-0005-0000-0000-00006B0A0000}"/>
    <cellStyle name="Comma 4 7 2 2" xfId="2968" xr:uid="{00000000-0005-0000-0000-00006C0A0000}"/>
    <cellStyle name="Comma 4 7 2 2 2" xfId="7190" xr:uid="{00000000-0005-0000-0000-00006D0A0000}"/>
    <cellStyle name="Comma 4 7 2 2 2 2" xfId="15640" xr:uid="{1B847D30-BF5D-41B9-851E-F474993468DB}"/>
    <cellStyle name="Comma 4 7 2 2 3" xfId="11422" xr:uid="{DB02A05F-EABE-4B96-8BC7-65C35AD49E22}"/>
    <cellStyle name="Comma 4 7 2 3" xfId="5045" xr:uid="{00000000-0005-0000-0000-00006E0A0000}"/>
    <cellStyle name="Comma 4 7 2 3 2" xfId="13495" xr:uid="{BB130B14-F389-450B-9A4A-B376ED06FF62}"/>
    <cellStyle name="Comma 4 7 2 4" xfId="9277" xr:uid="{DD26A037-85F9-4A7B-9580-EB45B8F6B606}"/>
    <cellStyle name="Comma 4 7 3" xfId="1150" xr:uid="{00000000-0005-0000-0000-00006F0A0000}"/>
    <cellStyle name="Comma 4 7 3 2" xfId="3381" xr:uid="{00000000-0005-0000-0000-0000700A0000}"/>
    <cellStyle name="Comma 4 7 3 2 2" xfId="7603" xr:uid="{00000000-0005-0000-0000-0000710A0000}"/>
    <cellStyle name="Comma 4 7 3 2 2 2" xfId="16053" xr:uid="{2EF4BFED-F1D6-4D3A-9F59-C6CC4A93FD3A}"/>
    <cellStyle name="Comma 4 7 3 2 3" xfId="11835" xr:uid="{869FE4AF-B485-4FAB-B8B7-280EF47E587B}"/>
    <cellStyle name="Comma 4 7 3 3" xfId="5458" xr:uid="{00000000-0005-0000-0000-0000720A0000}"/>
    <cellStyle name="Comma 4 7 3 3 2" xfId="13908" xr:uid="{BC789477-DFAE-4414-8167-35832051D3B2}"/>
    <cellStyle name="Comma 4 7 3 4" xfId="9690" xr:uid="{BD477047-D74E-4DEE-9851-EA56395AFA3F}"/>
    <cellStyle name="Comma 4 7 4" xfId="1564" xr:uid="{00000000-0005-0000-0000-0000730A0000}"/>
    <cellStyle name="Comma 4 7 4 2" xfId="3794" xr:uid="{00000000-0005-0000-0000-0000740A0000}"/>
    <cellStyle name="Comma 4 7 4 2 2" xfId="8016" xr:uid="{00000000-0005-0000-0000-0000750A0000}"/>
    <cellStyle name="Comma 4 7 4 2 2 2" xfId="16466" xr:uid="{B515CAF2-A2F5-48C8-BDEB-AD8C6EF5CEC2}"/>
    <cellStyle name="Comma 4 7 4 2 3" xfId="12248" xr:uid="{77DBEA1E-3085-46D3-986A-9DBD0706D61D}"/>
    <cellStyle name="Comma 4 7 4 3" xfId="5871" xr:uid="{00000000-0005-0000-0000-0000760A0000}"/>
    <cellStyle name="Comma 4 7 4 3 2" xfId="14321" xr:uid="{EDA88832-CFEA-4B0B-9A1F-059DC981141B}"/>
    <cellStyle name="Comma 4 7 4 4" xfId="10103" xr:uid="{F2FC07DC-49BC-4E1C-BCD2-469FCEFA80F4}"/>
    <cellStyle name="Comma 4 7 5" xfId="1978" xr:uid="{00000000-0005-0000-0000-0000770A0000}"/>
    <cellStyle name="Comma 4 7 5 2" xfId="4207" xr:uid="{00000000-0005-0000-0000-0000780A0000}"/>
    <cellStyle name="Comma 4 7 5 2 2" xfId="8429" xr:uid="{00000000-0005-0000-0000-0000790A0000}"/>
    <cellStyle name="Comma 4 7 5 2 2 2" xfId="16879" xr:uid="{9F877967-5253-4809-AE7B-041FB17334A3}"/>
    <cellStyle name="Comma 4 7 5 2 3" xfId="12661" xr:uid="{85AD6339-718B-4E3E-9E0A-9E7D7616F314}"/>
    <cellStyle name="Comma 4 7 5 3" xfId="6284" xr:uid="{00000000-0005-0000-0000-00007A0A0000}"/>
    <cellStyle name="Comma 4 7 5 3 2" xfId="14734" xr:uid="{89DFA2E9-8F3D-475A-9CAE-56EE8238B7CC}"/>
    <cellStyle name="Comma 4 7 5 4" xfId="10516" xr:uid="{6F567CD3-587E-4FA9-8218-B765C70C3F7D}"/>
    <cellStyle name="Comma 4 7 6" xfId="2413" xr:uid="{00000000-0005-0000-0000-00007B0A0000}"/>
    <cellStyle name="Comma 4 7 6 2" xfId="6697" xr:uid="{00000000-0005-0000-0000-00007C0A0000}"/>
    <cellStyle name="Comma 4 7 6 2 2" xfId="15147" xr:uid="{166CD394-A11B-4BE5-89F5-64867ED32AE2}"/>
    <cellStyle name="Comma 4 7 6 3" xfId="10929" xr:uid="{DD71DD5A-CF77-4F7E-BCE4-0411C4B55738}"/>
    <cellStyle name="Comma 4 7 7" xfId="2709" xr:uid="{00000000-0005-0000-0000-00007D0A0000}"/>
    <cellStyle name="Comma 4 7 8" xfId="2791" xr:uid="{00000000-0005-0000-0000-00007E0A0000}"/>
    <cellStyle name="Comma 4 7 8 2" xfId="7014" xr:uid="{00000000-0005-0000-0000-00007F0A0000}"/>
    <cellStyle name="Comma 4 7 8 2 2" xfId="15464" xr:uid="{0BF9300B-8267-42B9-9E03-441972CB5AC5}"/>
    <cellStyle name="Comma 4 7 8 3" xfId="11246" xr:uid="{E53353C9-44BB-4FA8-B086-931B7BE03BEE}"/>
    <cellStyle name="Comma 4 7 9" xfId="4631" xr:uid="{00000000-0005-0000-0000-0000800A0000}"/>
    <cellStyle name="Comma 4 7 9 2" xfId="13081" xr:uid="{FD329E59-44FD-4EF3-B22F-DDEE3EAA79B7}"/>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omma 7 2" xfId="12949" xr:uid="{40AB6C3A-1764-4113-8557-3C815F5F0974}"/>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2 2" xfId="17166" xr:uid="{2A9F3B03-EE07-450D-87D6-F772C7D7CD3B}"/>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14 3 2 2 2 2 2" xfId="17182" xr:uid="{5AB87C2C-E5D1-44C8-B804-43E6D9E4FFDD}"/>
    <cellStyle name="Currency 14 3 2 2 2 3" xfId="17179" xr:uid="{86E622F8-13E4-4F12-A6FD-0E7F6852A050}"/>
    <cellStyle name="Currency 14 3 2 2 3" xfId="17175" xr:uid="{453F2466-FCE9-441F-A246-CDC086AF752B}"/>
    <cellStyle name="Currency 14 3 2 3" xfId="17172" xr:uid="{301D14F5-806E-4022-B04E-E328EACE4C9A}"/>
    <cellStyle name="Currency 14 3 3" xfId="17169" xr:uid="{AED64F75-F37A-437F-8794-306F84CE510A}"/>
    <cellStyle name="Currency 14 4" xfId="12952" xr:uid="{DBB9AC93-9A10-4882-B30C-F0072F2293D3}"/>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0 2 2" xfId="15465" xr:uid="{15E41914-52C8-4BDA-9F30-9F01493F23D9}"/>
    <cellStyle name="Currency 3 2 2 10 3" xfId="11247" xr:uid="{806D94B3-3838-4AA8-81DF-2BC0AFECEBDC}"/>
    <cellStyle name="Currency 3 2 2 11" xfId="4632" xr:uid="{00000000-0005-0000-0000-0000A50A0000}"/>
    <cellStyle name="Currency 3 2 2 11 2" xfId="13082" xr:uid="{8EEE5010-266F-43D1-A2BC-AFE8AE5FFE46}"/>
    <cellStyle name="Currency 3 2 2 12" xfId="8864" xr:uid="{B07256FC-B5F2-4350-9F81-5D8A0F895590}"/>
    <cellStyle name="Currency 3 2 2 2" xfId="179" xr:uid="{00000000-0005-0000-0000-0000A60A0000}"/>
    <cellStyle name="Currency 3 2 2 2 10" xfId="4633" xr:uid="{00000000-0005-0000-0000-0000A70A0000}"/>
    <cellStyle name="Currency 3 2 2 2 10 2" xfId="13083" xr:uid="{B986F030-B716-47E7-A748-6589AFE59605}"/>
    <cellStyle name="Currency 3 2 2 2 11" xfId="8865" xr:uid="{787E9928-9F25-4A48-9F42-2A1F3B7D762F}"/>
    <cellStyle name="Currency 3 2 2 2 2" xfId="180" xr:uid="{00000000-0005-0000-0000-0000A80A0000}"/>
    <cellStyle name="Currency 3 2 2 2 2 10" xfId="8866" xr:uid="{6A4CB5D9-CA9D-4E51-B9EF-159EB5E63574}"/>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2 2 2" xfId="15643" xr:uid="{F955BD9F-C56F-4E50-BC9F-81319E84EDF2}"/>
    <cellStyle name="Currency 3 2 2 2 2 2 2 3" xfId="11425" xr:uid="{6488E17D-409C-43E0-8B80-7649EE5B2E3A}"/>
    <cellStyle name="Currency 3 2 2 2 2 2 3" xfId="5048" xr:uid="{00000000-0005-0000-0000-0000AC0A0000}"/>
    <cellStyle name="Currency 3 2 2 2 2 2 3 2" xfId="13498" xr:uid="{5CC06D4E-AB90-4C25-A7BA-639AFCB963BF}"/>
    <cellStyle name="Currency 3 2 2 2 2 2 4" xfId="9280" xr:uid="{B3E7AC6C-B22F-4FB3-BE3E-A7A87B44F2D6}"/>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2 2 2" xfId="16056" xr:uid="{A1D4AEEA-25D8-4262-AA4B-9E1ABCBA817A}"/>
    <cellStyle name="Currency 3 2 2 2 2 3 2 3" xfId="11838" xr:uid="{6C927D9F-F7FF-415F-A573-632D3867FF04}"/>
    <cellStyle name="Currency 3 2 2 2 2 3 3" xfId="5461" xr:uid="{00000000-0005-0000-0000-0000B00A0000}"/>
    <cellStyle name="Currency 3 2 2 2 2 3 3 2" xfId="13911" xr:uid="{67B108AA-391C-4B52-9B74-0BF9C1D0165C}"/>
    <cellStyle name="Currency 3 2 2 2 2 3 4" xfId="9693" xr:uid="{64663C7D-9874-4025-BACE-1B98D3D8BFC5}"/>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2 2 2" xfId="16469" xr:uid="{4A1B04C6-FB2B-44B5-A340-7D7B53A407E7}"/>
    <cellStyle name="Currency 3 2 2 2 2 4 2 3" xfId="12251" xr:uid="{E73399F0-B3AB-4A18-B42D-314E24B977A0}"/>
    <cellStyle name="Currency 3 2 2 2 2 4 3" xfId="5874" xr:uid="{00000000-0005-0000-0000-0000B40A0000}"/>
    <cellStyle name="Currency 3 2 2 2 2 4 3 2" xfId="14324" xr:uid="{220AB48E-31BA-4FA7-950A-8E57FAE5B76D}"/>
    <cellStyle name="Currency 3 2 2 2 2 4 4" xfId="10106" xr:uid="{A1E08F14-67B2-46A5-80AB-5E6B6CA7CEB2}"/>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2 2 2" xfId="16882" xr:uid="{FCD25BA6-2897-46B6-A202-88D9D0AFA2EA}"/>
    <cellStyle name="Currency 3 2 2 2 2 5 2 3" xfId="12664" xr:uid="{A04F6616-5265-4B5A-8F00-39F32E97FA4F}"/>
    <cellStyle name="Currency 3 2 2 2 2 5 3" xfId="6287" xr:uid="{00000000-0005-0000-0000-0000B80A0000}"/>
    <cellStyle name="Currency 3 2 2 2 2 5 3 2" xfId="14737" xr:uid="{F37886C1-0948-477D-8AA8-7717F4225412}"/>
    <cellStyle name="Currency 3 2 2 2 2 5 4" xfId="10519" xr:uid="{689EDD38-31BF-41AA-A9E3-9132055942F7}"/>
    <cellStyle name="Currency 3 2 2 2 2 6" xfId="2416" xr:uid="{00000000-0005-0000-0000-0000B90A0000}"/>
    <cellStyle name="Currency 3 2 2 2 2 6 2" xfId="6700" xr:uid="{00000000-0005-0000-0000-0000BA0A0000}"/>
    <cellStyle name="Currency 3 2 2 2 2 6 2 2" xfId="15150" xr:uid="{8716966B-7BD3-4E53-9576-999DDF01DF7A}"/>
    <cellStyle name="Currency 3 2 2 2 2 6 3" xfId="10932" xr:uid="{4C788418-31B5-49F2-AB98-3F4242D11AF6}"/>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8 2 2" xfId="15467" xr:uid="{BF99617A-CE17-4AFD-9C55-845005E69615}"/>
    <cellStyle name="Currency 3 2 2 2 2 8 3" xfId="11249" xr:uid="{9AE0C6F9-C946-4049-9258-A2705C1E9A24}"/>
    <cellStyle name="Currency 3 2 2 2 2 9" xfId="4634" xr:uid="{00000000-0005-0000-0000-0000BE0A0000}"/>
    <cellStyle name="Currency 3 2 2 2 2 9 2" xfId="13084" xr:uid="{82771B59-BFA7-4EA6-AF57-0F89B6FF8E4E}"/>
    <cellStyle name="Currency 3 2 2 2 3" xfId="709" xr:uid="{00000000-0005-0000-0000-0000BF0A0000}"/>
    <cellStyle name="Currency 3 2 2 2 3 2" xfId="2970" xr:uid="{00000000-0005-0000-0000-0000C00A0000}"/>
    <cellStyle name="Currency 3 2 2 2 3 2 2" xfId="7192" xr:uid="{00000000-0005-0000-0000-0000C10A0000}"/>
    <cellStyle name="Currency 3 2 2 2 3 2 2 2" xfId="15642" xr:uid="{EA2F1489-AC40-4456-81C9-4EF9059BA710}"/>
    <cellStyle name="Currency 3 2 2 2 3 2 3" xfId="11424" xr:uid="{BF2928B7-FB3F-4EE4-B91A-312955793717}"/>
    <cellStyle name="Currency 3 2 2 2 3 3" xfId="5047" xr:uid="{00000000-0005-0000-0000-0000C20A0000}"/>
    <cellStyle name="Currency 3 2 2 2 3 3 2" xfId="13497" xr:uid="{5833AE39-9859-491A-B84A-C3E9DA6CE261}"/>
    <cellStyle name="Currency 3 2 2 2 3 4" xfId="9279" xr:uid="{A1D873BB-B431-444D-8E17-A9ADE8C84CF9}"/>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2 2 2" xfId="16055" xr:uid="{7E8733DB-0B2A-4719-9DC3-1BB2A7363EAD}"/>
    <cellStyle name="Currency 3 2 2 2 4 2 3" xfId="11837" xr:uid="{988DC54D-FC05-4F63-BD74-B6F0EBE9177F}"/>
    <cellStyle name="Currency 3 2 2 2 4 3" xfId="5460" xr:uid="{00000000-0005-0000-0000-0000C60A0000}"/>
    <cellStyle name="Currency 3 2 2 2 4 3 2" xfId="13910" xr:uid="{662DC0BB-B8B2-493E-AB97-B2A3F7B0E7D6}"/>
    <cellStyle name="Currency 3 2 2 2 4 4" xfId="9692" xr:uid="{28EC03A7-8EB4-4DB0-A532-5B6CE56C011C}"/>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2 2 2" xfId="16468" xr:uid="{52766C9D-9456-4A52-B571-4C102C0A2D97}"/>
    <cellStyle name="Currency 3 2 2 2 5 2 3" xfId="12250" xr:uid="{6F4A5FC9-61E9-49FC-A5B3-E2E710A07C7C}"/>
    <cellStyle name="Currency 3 2 2 2 5 3" xfId="5873" xr:uid="{00000000-0005-0000-0000-0000CA0A0000}"/>
    <cellStyle name="Currency 3 2 2 2 5 3 2" xfId="14323" xr:uid="{7A76F4C1-12AD-4BA2-8E40-F7FD08BE5F09}"/>
    <cellStyle name="Currency 3 2 2 2 5 4" xfId="10105" xr:uid="{04FF5B89-0571-43A3-97BA-5C3D0C589F0E}"/>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2 2 2" xfId="16881" xr:uid="{12CB8C0C-7CA6-47DF-90CB-A1845E22613E}"/>
    <cellStyle name="Currency 3 2 2 2 6 2 3" xfId="12663" xr:uid="{924E8AE1-C84E-4AF5-BB13-02C68ADA3F71}"/>
    <cellStyle name="Currency 3 2 2 2 6 3" xfId="6286" xr:uid="{00000000-0005-0000-0000-0000CE0A0000}"/>
    <cellStyle name="Currency 3 2 2 2 6 3 2" xfId="14736" xr:uid="{C459B100-43EA-46BC-B79C-4330A26FA3A6}"/>
    <cellStyle name="Currency 3 2 2 2 6 4" xfId="10518" xr:uid="{C295EF8D-BB48-4790-8D92-2928F494614D}"/>
    <cellStyle name="Currency 3 2 2 2 7" xfId="2415" xr:uid="{00000000-0005-0000-0000-0000CF0A0000}"/>
    <cellStyle name="Currency 3 2 2 2 7 2" xfId="6699" xr:uid="{00000000-0005-0000-0000-0000D00A0000}"/>
    <cellStyle name="Currency 3 2 2 2 7 2 2" xfId="15149" xr:uid="{07483DE1-6F98-4987-B588-AD5F0F48CFD2}"/>
    <cellStyle name="Currency 3 2 2 2 7 3" xfId="10931" xr:uid="{348BFE5B-3363-4399-8B34-F92391020A5A}"/>
    <cellStyle name="Currency 3 2 2 2 8" xfId="2712" xr:uid="{00000000-0005-0000-0000-0000D10A0000}"/>
    <cellStyle name="Currency 3 2 2 2 9" xfId="2793" xr:uid="{00000000-0005-0000-0000-0000D20A0000}"/>
    <cellStyle name="Currency 3 2 2 2 9 2" xfId="7016" xr:uid="{00000000-0005-0000-0000-0000D30A0000}"/>
    <cellStyle name="Currency 3 2 2 2 9 2 2" xfId="15466" xr:uid="{0D1D1E14-B8EA-4631-AEA9-AADBBEE14CC8}"/>
    <cellStyle name="Currency 3 2 2 2 9 3" xfId="11248" xr:uid="{5B8A2FB5-F16F-42F6-920B-2F0D6CF1D417}"/>
    <cellStyle name="Currency 3 2 2 3" xfId="181" xr:uid="{00000000-0005-0000-0000-0000D40A0000}"/>
    <cellStyle name="Currency 3 2 2 3 10" xfId="8867" xr:uid="{DE3FD666-B0AD-414C-9DBD-2B10B7E04A9F}"/>
    <cellStyle name="Currency 3 2 2 3 2" xfId="711" xr:uid="{00000000-0005-0000-0000-0000D50A0000}"/>
    <cellStyle name="Currency 3 2 2 3 2 2" xfId="2972" xr:uid="{00000000-0005-0000-0000-0000D60A0000}"/>
    <cellStyle name="Currency 3 2 2 3 2 2 2" xfId="7194" xr:uid="{00000000-0005-0000-0000-0000D70A0000}"/>
    <cellStyle name="Currency 3 2 2 3 2 2 2 2" xfId="15644" xr:uid="{A38B1018-713A-40BF-8E59-EA2684F41292}"/>
    <cellStyle name="Currency 3 2 2 3 2 2 3" xfId="11426" xr:uid="{E21D3F18-679B-44F5-9CE7-59271902BD73}"/>
    <cellStyle name="Currency 3 2 2 3 2 3" xfId="5049" xr:uid="{00000000-0005-0000-0000-0000D80A0000}"/>
    <cellStyle name="Currency 3 2 2 3 2 3 2" xfId="13499" xr:uid="{FAA64A66-2EFA-4FF7-9EBB-A186711CCC4A}"/>
    <cellStyle name="Currency 3 2 2 3 2 4" xfId="9281" xr:uid="{A628CEFB-9C27-4105-906F-F74D55E3A442}"/>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2 2 2" xfId="16057" xr:uid="{CF54EFA1-45EF-4BC2-8FFE-604E27C81DD7}"/>
    <cellStyle name="Currency 3 2 2 3 3 2 3" xfId="11839" xr:uid="{BAF93761-740E-4AFE-AC1B-A34B1EEAF1AF}"/>
    <cellStyle name="Currency 3 2 2 3 3 3" xfId="5462" xr:uid="{00000000-0005-0000-0000-0000DC0A0000}"/>
    <cellStyle name="Currency 3 2 2 3 3 3 2" xfId="13912" xr:uid="{6902F803-65E6-4501-A923-E73B8A52558F}"/>
    <cellStyle name="Currency 3 2 2 3 3 4" xfId="9694" xr:uid="{1058B6DE-5CF7-481E-B51D-B52DA169CC7A}"/>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2 2 2" xfId="16470" xr:uid="{B396CEF7-92D3-4929-A8BF-13154B03097E}"/>
    <cellStyle name="Currency 3 2 2 3 4 2 3" xfId="12252" xr:uid="{0B57C9BA-D6DC-4139-919C-6845E8E9295D}"/>
    <cellStyle name="Currency 3 2 2 3 4 3" xfId="5875" xr:uid="{00000000-0005-0000-0000-0000E00A0000}"/>
    <cellStyle name="Currency 3 2 2 3 4 3 2" xfId="14325" xr:uid="{A61BF8EE-7310-49ED-9055-D40EF87D1E79}"/>
    <cellStyle name="Currency 3 2 2 3 4 4" xfId="10107" xr:uid="{BCF0902E-6833-4B07-AA92-1E41D7B24AA8}"/>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2 2 2" xfId="16883" xr:uid="{D54D7640-BF9E-4778-8DC6-2D91D4950C16}"/>
    <cellStyle name="Currency 3 2 2 3 5 2 3" xfId="12665" xr:uid="{0B16A9D6-8F9B-4AAF-AD33-4B0204280818}"/>
    <cellStyle name="Currency 3 2 2 3 5 3" xfId="6288" xr:uid="{00000000-0005-0000-0000-0000E40A0000}"/>
    <cellStyle name="Currency 3 2 2 3 5 3 2" xfId="14738" xr:uid="{530CCA48-C6A5-4FF0-A060-E652D68213CF}"/>
    <cellStyle name="Currency 3 2 2 3 5 4" xfId="10520" xr:uid="{2FDF1176-D9AF-43C1-A41E-95053664FA30}"/>
    <cellStyle name="Currency 3 2 2 3 6" xfId="2417" xr:uid="{00000000-0005-0000-0000-0000E50A0000}"/>
    <cellStyle name="Currency 3 2 2 3 6 2" xfId="6701" xr:uid="{00000000-0005-0000-0000-0000E60A0000}"/>
    <cellStyle name="Currency 3 2 2 3 6 2 2" xfId="15151" xr:uid="{CBD2C4B3-71B1-44A0-B5A4-DC785643E667}"/>
    <cellStyle name="Currency 3 2 2 3 6 3" xfId="10933" xr:uid="{CF9CC2EF-F1AB-4B8F-84E7-B0BA11241689}"/>
    <cellStyle name="Currency 3 2 2 3 7" xfId="2714" xr:uid="{00000000-0005-0000-0000-0000E70A0000}"/>
    <cellStyle name="Currency 3 2 2 3 8" xfId="2795" xr:uid="{00000000-0005-0000-0000-0000E80A0000}"/>
    <cellStyle name="Currency 3 2 2 3 8 2" xfId="7018" xr:uid="{00000000-0005-0000-0000-0000E90A0000}"/>
    <cellStyle name="Currency 3 2 2 3 8 2 2" xfId="15468" xr:uid="{F8069EB0-CE74-4EBE-A94F-EA93C949254E}"/>
    <cellStyle name="Currency 3 2 2 3 8 3" xfId="11250" xr:uid="{94119FB7-E36A-4727-BAF7-8B9BF5728D5E}"/>
    <cellStyle name="Currency 3 2 2 3 9" xfId="4635" xr:uid="{00000000-0005-0000-0000-0000EA0A0000}"/>
    <cellStyle name="Currency 3 2 2 3 9 2" xfId="13085" xr:uid="{BD27C36B-74ED-4F4E-87B0-49045AEF6C57}"/>
    <cellStyle name="Currency 3 2 2 4" xfId="708" xr:uid="{00000000-0005-0000-0000-0000EB0A0000}"/>
    <cellStyle name="Currency 3 2 2 4 2" xfId="2969" xr:uid="{00000000-0005-0000-0000-0000EC0A0000}"/>
    <cellStyle name="Currency 3 2 2 4 2 2" xfId="7191" xr:uid="{00000000-0005-0000-0000-0000ED0A0000}"/>
    <cellStyle name="Currency 3 2 2 4 2 2 2" xfId="15641" xr:uid="{DF60E9B7-287B-434A-9ED3-6EEFD508EDBA}"/>
    <cellStyle name="Currency 3 2 2 4 2 3" xfId="11423" xr:uid="{2123086A-8DCE-4854-AEB8-3A19A1E3879A}"/>
    <cellStyle name="Currency 3 2 2 4 3" xfId="5046" xr:uid="{00000000-0005-0000-0000-0000EE0A0000}"/>
    <cellStyle name="Currency 3 2 2 4 3 2" xfId="13496" xr:uid="{88A267E2-0854-4CED-A7FC-595A6455549C}"/>
    <cellStyle name="Currency 3 2 2 4 4" xfId="9278" xr:uid="{09067DC5-13A9-47D4-91C9-9FA6B0967900}"/>
    <cellStyle name="Currency 3 2 2 5" xfId="1151" xr:uid="{00000000-0005-0000-0000-0000EF0A0000}"/>
    <cellStyle name="Currency 3 2 2 5 2" xfId="3382" xr:uid="{00000000-0005-0000-0000-0000F00A0000}"/>
    <cellStyle name="Currency 3 2 2 5 2 2" xfId="7604" xr:uid="{00000000-0005-0000-0000-0000F10A0000}"/>
    <cellStyle name="Currency 3 2 2 5 2 2 2" xfId="16054" xr:uid="{35E2A851-9AD1-41E7-9B85-E0A04D1B3DC3}"/>
    <cellStyle name="Currency 3 2 2 5 2 3" xfId="11836" xr:uid="{F8A26747-8808-49C7-922D-58D3AE5E5B0F}"/>
    <cellStyle name="Currency 3 2 2 5 3" xfId="5459" xr:uid="{00000000-0005-0000-0000-0000F20A0000}"/>
    <cellStyle name="Currency 3 2 2 5 3 2" xfId="13909" xr:uid="{27AC9102-E0E6-44EB-A0E4-9AD43C5E2667}"/>
    <cellStyle name="Currency 3 2 2 5 4" xfId="9691" xr:uid="{722269D4-4D9A-4903-9C89-5145968C2C7D}"/>
    <cellStyle name="Currency 3 2 2 6" xfId="1565" xr:uid="{00000000-0005-0000-0000-0000F30A0000}"/>
    <cellStyle name="Currency 3 2 2 6 2" xfId="3795" xr:uid="{00000000-0005-0000-0000-0000F40A0000}"/>
    <cellStyle name="Currency 3 2 2 6 2 2" xfId="8017" xr:uid="{00000000-0005-0000-0000-0000F50A0000}"/>
    <cellStyle name="Currency 3 2 2 6 2 2 2" xfId="16467" xr:uid="{CE3FC391-2D87-4466-8404-E9FC639828ED}"/>
    <cellStyle name="Currency 3 2 2 6 2 3" xfId="12249" xr:uid="{AAAE46F8-505D-435B-A772-5C6593787379}"/>
    <cellStyle name="Currency 3 2 2 6 3" xfId="5872" xr:uid="{00000000-0005-0000-0000-0000F60A0000}"/>
    <cellStyle name="Currency 3 2 2 6 3 2" xfId="14322" xr:uid="{9FAD1073-CD31-4079-9244-7C7CFA7DEFEF}"/>
    <cellStyle name="Currency 3 2 2 6 4" xfId="10104" xr:uid="{CAAA9395-90D3-47AE-8115-2F762212182C}"/>
    <cellStyle name="Currency 3 2 2 7" xfId="1979" xr:uid="{00000000-0005-0000-0000-0000F70A0000}"/>
    <cellStyle name="Currency 3 2 2 7 2" xfId="4208" xr:uid="{00000000-0005-0000-0000-0000F80A0000}"/>
    <cellStyle name="Currency 3 2 2 7 2 2" xfId="8430" xr:uid="{00000000-0005-0000-0000-0000F90A0000}"/>
    <cellStyle name="Currency 3 2 2 7 2 2 2" xfId="16880" xr:uid="{6BC76C0A-22DF-4E58-A60E-7B1225F6FBAC}"/>
    <cellStyle name="Currency 3 2 2 7 2 3" xfId="12662" xr:uid="{CB6AEAE7-DC42-42A1-9837-C53B1A00EFB9}"/>
    <cellStyle name="Currency 3 2 2 7 3" xfId="6285" xr:uid="{00000000-0005-0000-0000-0000FA0A0000}"/>
    <cellStyle name="Currency 3 2 2 7 3 2" xfId="14735" xr:uid="{339E92C3-1945-4EAE-AFC8-EB7848045BA7}"/>
    <cellStyle name="Currency 3 2 2 7 4" xfId="10517" xr:uid="{A2540181-D7F6-4C71-BD96-1013C6EC9893}"/>
    <cellStyle name="Currency 3 2 2 8" xfId="2414" xr:uid="{00000000-0005-0000-0000-0000FB0A0000}"/>
    <cellStyle name="Currency 3 2 2 8 2" xfId="6698" xr:uid="{00000000-0005-0000-0000-0000FC0A0000}"/>
    <cellStyle name="Currency 3 2 2 8 2 2" xfId="15148" xr:uid="{A3FFFA46-7FBD-4A5E-A9C7-9955C6E2D587}"/>
    <cellStyle name="Currency 3 2 2 8 3" xfId="10930" xr:uid="{024D8569-A06B-4205-BF8B-68DD1C039027}"/>
    <cellStyle name="Currency 3 2 2 9" xfId="2711" xr:uid="{00000000-0005-0000-0000-0000FD0A0000}"/>
    <cellStyle name="Currency 3 2 3" xfId="182" xr:uid="{00000000-0005-0000-0000-0000FE0A0000}"/>
    <cellStyle name="Currency 3 2 3 10" xfId="4636" xr:uid="{00000000-0005-0000-0000-0000FF0A0000}"/>
    <cellStyle name="Currency 3 2 3 10 2" xfId="13086" xr:uid="{BB9C92D6-6A3B-4182-8DC9-A6B14B750C2C}"/>
    <cellStyle name="Currency 3 2 3 11" xfId="8868" xr:uid="{1ADBB77E-575A-41DB-89AA-2CB4B7A9E8BF}"/>
    <cellStyle name="Currency 3 2 3 2" xfId="183" xr:uid="{00000000-0005-0000-0000-0000000B0000}"/>
    <cellStyle name="Currency 3 2 3 2 10" xfId="8869" xr:uid="{57F77844-37AB-4D12-B06B-4BA1D72D067E}"/>
    <cellStyle name="Currency 3 2 3 2 2" xfId="713" xr:uid="{00000000-0005-0000-0000-0000010B0000}"/>
    <cellStyle name="Currency 3 2 3 2 2 2" xfId="2974" xr:uid="{00000000-0005-0000-0000-0000020B0000}"/>
    <cellStyle name="Currency 3 2 3 2 2 2 2" xfId="7196" xr:uid="{00000000-0005-0000-0000-0000030B0000}"/>
    <cellStyle name="Currency 3 2 3 2 2 2 2 2" xfId="15646" xr:uid="{B3B78D82-701E-45C4-8D8F-034D5E6DEC52}"/>
    <cellStyle name="Currency 3 2 3 2 2 2 3" xfId="11428" xr:uid="{FB4EC9DE-B9EF-4F5C-8A22-0C0F5106636C}"/>
    <cellStyle name="Currency 3 2 3 2 2 3" xfId="5051" xr:uid="{00000000-0005-0000-0000-0000040B0000}"/>
    <cellStyle name="Currency 3 2 3 2 2 3 2" xfId="13501" xr:uid="{5D574C6E-A641-4244-B94D-401CF1E65C14}"/>
    <cellStyle name="Currency 3 2 3 2 2 4" xfId="9283" xr:uid="{C2E3467B-A75E-47B7-8CB4-CF7449C58E22}"/>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2 2 2" xfId="16059" xr:uid="{ACDA8B6C-7A15-461E-A06A-6C330D4156BA}"/>
    <cellStyle name="Currency 3 2 3 2 3 2 3" xfId="11841" xr:uid="{816A59F2-C9F6-4E53-841F-990C44D30B0A}"/>
    <cellStyle name="Currency 3 2 3 2 3 3" xfId="5464" xr:uid="{00000000-0005-0000-0000-0000080B0000}"/>
    <cellStyle name="Currency 3 2 3 2 3 3 2" xfId="13914" xr:uid="{2381516C-CA51-4037-A520-59E6CE24B11E}"/>
    <cellStyle name="Currency 3 2 3 2 3 4" xfId="9696" xr:uid="{BE2AB08D-17D4-47E6-B65F-217C645655F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2 2 2" xfId="16472" xr:uid="{75B3937D-273B-46A8-84E6-19C01247442C}"/>
    <cellStyle name="Currency 3 2 3 2 4 2 3" xfId="12254" xr:uid="{5B22B376-7FED-44C2-8E2C-87906B29E1A0}"/>
    <cellStyle name="Currency 3 2 3 2 4 3" xfId="5877" xr:uid="{00000000-0005-0000-0000-00000C0B0000}"/>
    <cellStyle name="Currency 3 2 3 2 4 3 2" xfId="14327" xr:uid="{595C7BFA-4AF7-4F30-80D1-2F34509922F6}"/>
    <cellStyle name="Currency 3 2 3 2 4 4" xfId="10109" xr:uid="{08408744-5100-43FD-8D20-BC027063D158}"/>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2 2 2" xfId="16885" xr:uid="{B32AB073-5D2C-499A-9750-60771F898958}"/>
    <cellStyle name="Currency 3 2 3 2 5 2 3" xfId="12667" xr:uid="{4A66B3CC-1B23-4A96-B7C5-97501699ABF4}"/>
    <cellStyle name="Currency 3 2 3 2 5 3" xfId="6290" xr:uid="{00000000-0005-0000-0000-0000100B0000}"/>
    <cellStyle name="Currency 3 2 3 2 5 3 2" xfId="14740" xr:uid="{89A16FAD-1938-427F-818F-D35F63C3AED6}"/>
    <cellStyle name="Currency 3 2 3 2 5 4" xfId="10522" xr:uid="{659E78C7-BDAB-422F-A01F-21B235FF9417}"/>
    <cellStyle name="Currency 3 2 3 2 6" xfId="2419" xr:uid="{00000000-0005-0000-0000-0000110B0000}"/>
    <cellStyle name="Currency 3 2 3 2 6 2" xfId="6703" xr:uid="{00000000-0005-0000-0000-0000120B0000}"/>
    <cellStyle name="Currency 3 2 3 2 6 2 2" xfId="15153" xr:uid="{CA3F8358-7290-43E0-AC50-6C5AB4815983}"/>
    <cellStyle name="Currency 3 2 3 2 6 3" xfId="10935" xr:uid="{C8E5FAB2-3F6E-4E36-93B2-711A87A641CE}"/>
    <cellStyle name="Currency 3 2 3 2 7" xfId="2716" xr:uid="{00000000-0005-0000-0000-0000130B0000}"/>
    <cellStyle name="Currency 3 2 3 2 8" xfId="2797" xr:uid="{00000000-0005-0000-0000-0000140B0000}"/>
    <cellStyle name="Currency 3 2 3 2 8 2" xfId="7020" xr:uid="{00000000-0005-0000-0000-0000150B0000}"/>
    <cellStyle name="Currency 3 2 3 2 8 2 2" xfId="15470" xr:uid="{F813FBBC-7E1F-4B98-A881-B126CAA5C81C}"/>
    <cellStyle name="Currency 3 2 3 2 8 3" xfId="11252" xr:uid="{70B29659-411D-40B0-8809-F5806439058F}"/>
    <cellStyle name="Currency 3 2 3 2 9" xfId="4637" xr:uid="{00000000-0005-0000-0000-0000160B0000}"/>
    <cellStyle name="Currency 3 2 3 2 9 2" xfId="13087" xr:uid="{36A074A6-96A8-4248-B308-8F3C462B97B5}"/>
    <cellStyle name="Currency 3 2 3 3" xfId="712" xr:uid="{00000000-0005-0000-0000-0000170B0000}"/>
    <cellStyle name="Currency 3 2 3 3 2" xfId="2973" xr:uid="{00000000-0005-0000-0000-0000180B0000}"/>
    <cellStyle name="Currency 3 2 3 3 2 2" xfId="7195" xr:uid="{00000000-0005-0000-0000-0000190B0000}"/>
    <cellStyle name="Currency 3 2 3 3 2 2 2" xfId="15645" xr:uid="{E640B78A-126F-4010-9867-0D4437CFDA45}"/>
    <cellStyle name="Currency 3 2 3 3 2 3" xfId="11427" xr:uid="{A66758F0-EDDE-47DB-A1A0-78DE9A2DB201}"/>
    <cellStyle name="Currency 3 2 3 3 3" xfId="5050" xr:uid="{00000000-0005-0000-0000-00001A0B0000}"/>
    <cellStyle name="Currency 3 2 3 3 3 2" xfId="13500" xr:uid="{766F661C-918D-4724-A43A-378199E4982F}"/>
    <cellStyle name="Currency 3 2 3 3 4" xfId="9282" xr:uid="{8FDED415-FEF5-482D-B6D8-1DD15B20B4D4}"/>
    <cellStyle name="Currency 3 2 3 4" xfId="1155" xr:uid="{00000000-0005-0000-0000-00001B0B0000}"/>
    <cellStyle name="Currency 3 2 3 4 2" xfId="3386" xr:uid="{00000000-0005-0000-0000-00001C0B0000}"/>
    <cellStyle name="Currency 3 2 3 4 2 2" xfId="7608" xr:uid="{00000000-0005-0000-0000-00001D0B0000}"/>
    <cellStyle name="Currency 3 2 3 4 2 2 2" xfId="16058" xr:uid="{4F53D3B0-C087-42FE-9143-D1BE4B9FAC82}"/>
    <cellStyle name="Currency 3 2 3 4 2 3" xfId="11840" xr:uid="{7FF9BA7F-B28C-4ED0-B482-8C2BFAC7CD30}"/>
    <cellStyle name="Currency 3 2 3 4 3" xfId="5463" xr:uid="{00000000-0005-0000-0000-00001E0B0000}"/>
    <cellStyle name="Currency 3 2 3 4 3 2" xfId="13913" xr:uid="{C8913FC4-C96F-4066-AC66-D1FA169A5883}"/>
    <cellStyle name="Currency 3 2 3 4 4" xfId="9695" xr:uid="{87E8208D-FF90-4E89-9AB9-D999B7F9FE9A}"/>
    <cellStyle name="Currency 3 2 3 5" xfId="1569" xr:uid="{00000000-0005-0000-0000-00001F0B0000}"/>
    <cellStyle name="Currency 3 2 3 5 2" xfId="3799" xr:uid="{00000000-0005-0000-0000-0000200B0000}"/>
    <cellStyle name="Currency 3 2 3 5 2 2" xfId="8021" xr:uid="{00000000-0005-0000-0000-0000210B0000}"/>
    <cellStyle name="Currency 3 2 3 5 2 2 2" xfId="16471" xr:uid="{542FE62F-3F10-45CE-9FEE-4A1C2F3A78BD}"/>
    <cellStyle name="Currency 3 2 3 5 2 3" xfId="12253" xr:uid="{7FD0241F-3339-4602-8124-AA46C6439425}"/>
    <cellStyle name="Currency 3 2 3 5 3" xfId="5876" xr:uid="{00000000-0005-0000-0000-0000220B0000}"/>
    <cellStyle name="Currency 3 2 3 5 3 2" xfId="14326" xr:uid="{B0134AE7-EC56-4B37-83AF-603F5A30EE9A}"/>
    <cellStyle name="Currency 3 2 3 5 4" xfId="10108" xr:uid="{958899A7-8D06-4845-A769-5A3F2BC4C8F7}"/>
    <cellStyle name="Currency 3 2 3 6" xfId="1983" xr:uid="{00000000-0005-0000-0000-0000230B0000}"/>
    <cellStyle name="Currency 3 2 3 6 2" xfId="4212" xr:uid="{00000000-0005-0000-0000-0000240B0000}"/>
    <cellStyle name="Currency 3 2 3 6 2 2" xfId="8434" xr:uid="{00000000-0005-0000-0000-0000250B0000}"/>
    <cellStyle name="Currency 3 2 3 6 2 2 2" xfId="16884" xr:uid="{34EC9A2A-17A2-471C-905E-D750D58A7977}"/>
    <cellStyle name="Currency 3 2 3 6 2 3" xfId="12666" xr:uid="{69D462E6-6BD4-42FF-9783-04BAD4FFDB86}"/>
    <cellStyle name="Currency 3 2 3 6 3" xfId="6289" xr:uid="{00000000-0005-0000-0000-0000260B0000}"/>
    <cellStyle name="Currency 3 2 3 6 3 2" xfId="14739" xr:uid="{57BE2802-A64E-4946-8204-8343CB3F77DC}"/>
    <cellStyle name="Currency 3 2 3 6 4" xfId="10521" xr:uid="{D55F3364-7495-43B2-89DA-A3FF085749F8}"/>
    <cellStyle name="Currency 3 2 3 7" xfId="2418" xr:uid="{00000000-0005-0000-0000-0000270B0000}"/>
    <cellStyle name="Currency 3 2 3 7 2" xfId="6702" xr:uid="{00000000-0005-0000-0000-0000280B0000}"/>
    <cellStyle name="Currency 3 2 3 7 2 2" xfId="15152" xr:uid="{3B83EC61-5090-490C-85D4-93BC3EFCA4E0}"/>
    <cellStyle name="Currency 3 2 3 7 3" xfId="10934" xr:uid="{E938A7D2-563D-45D8-8A50-D20EED8BD9E4}"/>
    <cellStyle name="Currency 3 2 3 8" xfId="2715" xr:uid="{00000000-0005-0000-0000-0000290B0000}"/>
    <cellStyle name="Currency 3 2 3 9" xfId="2796" xr:uid="{00000000-0005-0000-0000-00002A0B0000}"/>
    <cellStyle name="Currency 3 2 3 9 2" xfId="7019" xr:uid="{00000000-0005-0000-0000-00002B0B0000}"/>
    <cellStyle name="Currency 3 2 3 9 2 2" xfId="15469" xr:uid="{0A508AA8-852A-4663-83FB-7D3F951FAEF0}"/>
    <cellStyle name="Currency 3 2 3 9 3" xfId="11251" xr:uid="{07D97064-3C7D-406D-824F-9A948F2040F3}"/>
    <cellStyle name="Currency 3 2 4" xfId="184" xr:uid="{00000000-0005-0000-0000-00002C0B0000}"/>
    <cellStyle name="Currency 3 2 4 10" xfId="8870" xr:uid="{A0FE9AB3-E5D7-4BA7-9A69-2C827E926301}"/>
    <cellStyle name="Currency 3 2 4 2" xfId="714" xr:uid="{00000000-0005-0000-0000-00002D0B0000}"/>
    <cellStyle name="Currency 3 2 4 2 2" xfId="2975" xr:uid="{00000000-0005-0000-0000-00002E0B0000}"/>
    <cellStyle name="Currency 3 2 4 2 2 2" xfId="7197" xr:uid="{00000000-0005-0000-0000-00002F0B0000}"/>
    <cellStyle name="Currency 3 2 4 2 2 2 2" xfId="15647" xr:uid="{386E34C5-1397-491A-BEAB-B6A38D864C3A}"/>
    <cellStyle name="Currency 3 2 4 2 2 3" xfId="11429" xr:uid="{D90316C0-F5AC-4921-825B-2F88AF4CDFEA}"/>
    <cellStyle name="Currency 3 2 4 2 3" xfId="5052" xr:uid="{00000000-0005-0000-0000-0000300B0000}"/>
    <cellStyle name="Currency 3 2 4 2 3 2" xfId="13502" xr:uid="{DD8ED77B-A9C7-4248-BB28-C4F47C7E273F}"/>
    <cellStyle name="Currency 3 2 4 2 4" xfId="9284" xr:uid="{5B635577-55BE-4CF8-9675-5C18613786A5}"/>
    <cellStyle name="Currency 3 2 4 3" xfId="1157" xr:uid="{00000000-0005-0000-0000-0000310B0000}"/>
    <cellStyle name="Currency 3 2 4 3 2" xfId="3388" xr:uid="{00000000-0005-0000-0000-0000320B0000}"/>
    <cellStyle name="Currency 3 2 4 3 2 2" xfId="7610" xr:uid="{00000000-0005-0000-0000-0000330B0000}"/>
    <cellStyle name="Currency 3 2 4 3 2 2 2" xfId="16060" xr:uid="{7A0231DA-CCB7-4556-930A-75716C2F0E7E}"/>
    <cellStyle name="Currency 3 2 4 3 2 3" xfId="11842" xr:uid="{1D16C3E0-365D-4BE7-8CE7-CFF69018EBBB}"/>
    <cellStyle name="Currency 3 2 4 3 3" xfId="5465" xr:uid="{00000000-0005-0000-0000-0000340B0000}"/>
    <cellStyle name="Currency 3 2 4 3 3 2" xfId="13915" xr:uid="{48038C9F-842B-4C77-A632-C1C8189518B5}"/>
    <cellStyle name="Currency 3 2 4 3 4" xfId="9697" xr:uid="{2D909CCA-C830-4987-8569-408CF7DF5517}"/>
    <cellStyle name="Currency 3 2 4 4" xfId="1571" xr:uid="{00000000-0005-0000-0000-0000350B0000}"/>
    <cellStyle name="Currency 3 2 4 4 2" xfId="3801" xr:uid="{00000000-0005-0000-0000-0000360B0000}"/>
    <cellStyle name="Currency 3 2 4 4 2 2" xfId="8023" xr:uid="{00000000-0005-0000-0000-0000370B0000}"/>
    <cellStyle name="Currency 3 2 4 4 2 2 2" xfId="16473" xr:uid="{AC6B92D5-36FA-402B-B272-E459C1BE5828}"/>
    <cellStyle name="Currency 3 2 4 4 2 3" xfId="12255" xr:uid="{BFD28468-7C3A-469C-BF2D-4CCBB0AB6674}"/>
    <cellStyle name="Currency 3 2 4 4 3" xfId="5878" xr:uid="{00000000-0005-0000-0000-0000380B0000}"/>
    <cellStyle name="Currency 3 2 4 4 3 2" xfId="14328" xr:uid="{E4CB191F-9986-4A16-ADBD-3349568758DB}"/>
    <cellStyle name="Currency 3 2 4 4 4" xfId="10110" xr:uid="{F6CB1EDA-9665-4778-B6BA-A2E2A50ACDE0}"/>
    <cellStyle name="Currency 3 2 4 5" xfId="1985" xr:uid="{00000000-0005-0000-0000-0000390B0000}"/>
    <cellStyle name="Currency 3 2 4 5 2" xfId="4214" xr:uid="{00000000-0005-0000-0000-00003A0B0000}"/>
    <cellStyle name="Currency 3 2 4 5 2 2" xfId="8436" xr:uid="{00000000-0005-0000-0000-00003B0B0000}"/>
    <cellStyle name="Currency 3 2 4 5 2 2 2" xfId="16886" xr:uid="{95691211-4429-4BFB-AAEA-30789CA97960}"/>
    <cellStyle name="Currency 3 2 4 5 2 3" xfId="12668" xr:uid="{7EAD4B7B-D934-4DA8-84E5-D8031B9D40E9}"/>
    <cellStyle name="Currency 3 2 4 5 3" xfId="6291" xr:uid="{00000000-0005-0000-0000-00003C0B0000}"/>
    <cellStyle name="Currency 3 2 4 5 3 2" xfId="14741" xr:uid="{910A231C-58CA-4712-B370-161D0DEBB0C9}"/>
    <cellStyle name="Currency 3 2 4 5 4" xfId="10523" xr:uid="{BE42585B-C440-4420-A091-6155673272D2}"/>
    <cellStyle name="Currency 3 2 4 6" xfId="2420" xr:uid="{00000000-0005-0000-0000-00003D0B0000}"/>
    <cellStyle name="Currency 3 2 4 6 2" xfId="6704" xr:uid="{00000000-0005-0000-0000-00003E0B0000}"/>
    <cellStyle name="Currency 3 2 4 6 2 2" xfId="15154" xr:uid="{FE24126A-4419-44E2-8516-A5C0024CD5A3}"/>
    <cellStyle name="Currency 3 2 4 6 3" xfId="10936" xr:uid="{EFE09E86-4F98-4DDD-9A0E-C01CC9F4518E}"/>
    <cellStyle name="Currency 3 2 4 7" xfId="2717" xr:uid="{00000000-0005-0000-0000-00003F0B0000}"/>
    <cellStyle name="Currency 3 2 4 8" xfId="2798" xr:uid="{00000000-0005-0000-0000-0000400B0000}"/>
    <cellStyle name="Currency 3 2 4 8 2" xfId="7021" xr:uid="{00000000-0005-0000-0000-0000410B0000}"/>
    <cellStyle name="Currency 3 2 4 8 2 2" xfId="15471" xr:uid="{8BD2E381-B95C-4DA3-A287-A767E53D01D2}"/>
    <cellStyle name="Currency 3 2 4 8 3" xfId="11253" xr:uid="{0F155E65-D12A-4FF9-A0EC-C176AA35875D}"/>
    <cellStyle name="Currency 3 2 4 9" xfId="4638" xr:uid="{00000000-0005-0000-0000-0000420B0000}"/>
    <cellStyle name="Currency 3 2 4 9 2" xfId="13088" xr:uid="{54DB327A-822A-442D-AEE9-DCB5117A9FB8}"/>
    <cellStyle name="Currency 3 2 5" xfId="185" xr:uid="{00000000-0005-0000-0000-0000430B0000}"/>
    <cellStyle name="Currency 3 2 5 10" xfId="8871" xr:uid="{DF701585-FEE7-4929-9793-7BF0AB6BB5E7}"/>
    <cellStyle name="Currency 3 2 5 2" xfId="715" xr:uid="{00000000-0005-0000-0000-0000440B0000}"/>
    <cellStyle name="Currency 3 2 5 2 2" xfId="2976" xr:uid="{00000000-0005-0000-0000-0000450B0000}"/>
    <cellStyle name="Currency 3 2 5 2 2 2" xfId="7198" xr:uid="{00000000-0005-0000-0000-0000460B0000}"/>
    <cellStyle name="Currency 3 2 5 2 2 2 2" xfId="15648" xr:uid="{228CD318-4CBF-41C6-BBD5-9842E448EB95}"/>
    <cellStyle name="Currency 3 2 5 2 2 3" xfId="11430" xr:uid="{979BB8E2-106B-4D56-A575-ACEA8123B60D}"/>
    <cellStyle name="Currency 3 2 5 2 3" xfId="5053" xr:uid="{00000000-0005-0000-0000-0000470B0000}"/>
    <cellStyle name="Currency 3 2 5 2 3 2" xfId="13503" xr:uid="{EEC19F6A-900F-4C97-930B-E6EEF133B76F}"/>
    <cellStyle name="Currency 3 2 5 2 4" xfId="9285" xr:uid="{39849FDE-0770-4FC2-8264-99EEA62E8D2F}"/>
    <cellStyle name="Currency 3 2 5 3" xfId="1158" xr:uid="{00000000-0005-0000-0000-0000480B0000}"/>
    <cellStyle name="Currency 3 2 5 3 2" xfId="3389" xr:uid="{00000000-0005-0000-0000-0000490B0000}"/>
    <cellStyle name="Currency 3 2 5 3 2 2" xfId="7611" xr:uid="{00000000-0005-0000-0000-00004A0B0000}"/>
    <cellStyle name="Currency 3 2 5 3 2 2 2" xfId="16061" xr:uid="{DD3FD740-2478-4A71-AD62-A9C708885ADF}"/>
    <cellStyle name="Currency 3 2 5 3 2 3" xfId="11843" xr:uid="{906F1336-F404-4EBB-A506-672C391BB0AE}"/>
    <cellStyle name="Currency 3 2 5 3 3" xfId="5466" xr:uid="{00000000-0005-0000-0000-00004B0B0000}"/>
    <cellStyle name="Currency 3 2 5 3 3 2" xfId="13916" xr:uid="{12F89612-4D84-495E-8ED6-7F42E7391999}"/>
    <cellStyle name="Currency 3 2 5 3 4" xfId="9698" xr:uid="{CA5D96CD-C9EB-4E5C-B502-1596C90F8BAC}"/>
    <cellStyle name="Currency 3 2 5 4" xfId="1572" xr:uid="{00000000-0005-0000-0000-00004C0B0000}"/>
    <cellStyle name="Currency 3 2 5 4 2" xfId="3802" xr:uid="{00000000-0005-0000-0000-00004D0B0000}"/>
    <cellStyle name="Currency 3 2 5 4 2 2" xfId="8024" xr:uid="{00000000-0005-0000-0000-00004E0B0000}"/>
    <cellStyle name="Currency 3 2 5 4 2 2 2" xfId="16474" xr:uid="{D5D5F663-A634-4590-AA92-B0DD05F78C0B}"/>
    <cellStyle name="Currency 3 2 5 4 2 3" xfId="12256" xr:uid="{59DB5D08-97F0-4B13-9658-4FA912558D5A}"/>
    <cellStyle name="Currency 3 2 5 4 3" xfId="5879" xr:uid="{00000000-0005-0000-0000-00004F0B0000}"/>
    <cellStyle name="Currency 3 2 5 4 3 2" xfId="14329" xr:uid="{03BE18EE-87C9-4DD5-86DE-2BAE5AA44401}"/>
    <cellStyle name="Currency 3 2 5 4 4" xfId="10111" xr:uid="{B4BD3AD8-56C2-4B21-A567-6A69DC259D2D}"/>
    <cellStyle name="Currency 3 2 5 5" xfId="1986" xr:uid="{00000000-0005-0000-0000-0000500B0000}"/>
    <cellStyle name="Currency 3 2 5 5 2" xfId="4215" xr:uid="{00000000-0005-0000-0000-0000510B0000}"/>
    <cellStyle name="Currency 3 2 5 5 2 2" xfId="8437" xr:uid="{00000000-0005-0000-0000-0000520B0000}"/>
    <cellStyle name="Currency 3 2 5 5 2 2 2" xfId="16887" xr:uid="{B97D26A9-7B82-4B66-9426-89B586AD52E1}"/>
    <cellStyle name="Currency 3 2 5 5 2 3" xfId="12669" xr:uid="{60D22E4E-DB44-4BA3-9740-0F8A3947613D}"/>
    <cellStyle name="Currency 3 2 5 5 3" xfId="6292" xr:uid="{00000000-0005-0000-0000-0000530B0000}"/>
    <cellStyle name="Currency 3 2 5 5 3 2" xfId="14742" xr:uid="{405D0EF0-50D1-4E55-B509-7CD193DB7741}"/>
    <cellStyle name="Currency 3 2 5 5 4" xfId="10524" xr:uid="{3FF8B350-92D1-4394-BBE3-63832A12488B}"/>
    <cellStyle name="Currency 3 2 5 6" xfId="2421" xr:uid="{00000000-0005-0000-0000-0000540B0000}"/>
    <cellStyle name="Currency 3 2 5 6 2" xfId="6705" xr:uid="{00000000-0005-0000-0000-0000550B0000}"/>
    <cellStyle name="Currency 3 2 5 6 2 2" xfId="15155" xr:uid="{FB98C810-BD94-4C04-9CE7-52868FB90670}"/>
    <cellStyle name="Currency 3 2 5 6 3" xfId="10937" xr:uid="{A2D26F0A-F28F-4972-BD67-0AFC04670CF1}"/>
    <cellStyle name="Currency 3 2 5 7" xfId="2718" xr:uid="{00000000-0005-0000-0000-0000560B0000}"/>
    <cellStyle name="Currency 3 2 5 8" xfId="2799" xr:uid="{00000000-0005-0000-0000-0000570B0000}"/>
    <cellStyle name="Currency 3 2 5 8 2" xfId="7022" xr:uid="{00000000-0005-0000-0000-0000580B0000}"/>
    <cellStyle name="Currency 3 2 5 8 2 2" xfId="15472" xr:uid="{5685AE13-0E3C-4725-A3B6-617A7B8577C1}"/>
    <cellStyle name="Currency 3 2 5 8 3" xfId="11254" xr:uid="{930816E7-27C3-4277-A335-EF00F3C4E9C2}"/>
    <cellStyle name="Currency 3 2 5 9" xfId="4639" xr:uid="{00000000-0005-0000-0000-0000590B0000}"/>
    <cellStyle name="Currency 3 2 5 9 2" xfId="13089" xr:uid="{CE60EAC2-7ED3-42D1-8E63-FF74D0002826}"/>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0 2 2" xfId="15473" xr:uid="{0CAF68D1-17DF-4E9A-82DB-746CC6664505}"/>
    <cellStyle name="Currency 5 2 2 2 10 3" xfId="11255" xr:uid="{737B988A-DC69-45CC-B79F-07825BB2F73D}"/>
    <cellStyle name="Currency 5 2 2 2 11" xfId="4640" xr:uid="{00000000-0005-0000-0000-00006C0B0000}"/>
    <cellStyle name="Currency 5 2 2 2 11 2" xfId="13090" xr:uid="{70547B6B-378F-4CB0-B542-E311CCD4C625}"/>
    <cellStyle name="Currency 5 2 2 2 12" xfId="8872" xr:uid="{FCD9CFED-024D-4C2D-9F63-65980E1C1938}"/>
    <cellStyle name="Currency 5 2 2 2 2" xfId="197" xr:uid="{00000000-0005-0000-0000-00006D0B0000}"/>
    <cellStyle name="Currency 5 2 2 2 2 10" xfId="4641" xr:uid="{00000000-0005-0000-0000-00006E0B0000}"/>
    <cellStyle name="Currency 5 2 2 2 2 10 2" xfId="13091" xr:uid="{B4C92D46-B2D6-4EF9-84C4-0FCBF4D54A25}"/>
    <cellStyle name="Currency 5 2 2 2 2 11" xfId="8873" xr:uid="{A6621E9B-AD98-471F-BD02-1EFDBB90D8F2}"/>
    <cellStyle name="Currency 5 2 2 2 2 2" xfId="198" xr:uid="{00000000-0005-0000-0000-00006F0B0000}"/>
    <cellStyle name="Currency 5 2 2 2 2 2 10" xfId="8874" xr:uid="{72F6937D-FB02-418D-BFFB-6BE12CB2AD1F}"/>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2 2 2" xfId="15651" xr:uid="{2A6F1D9F-3080-4C58-BE78-2F56F01705F9}"/>
    <cellStyle name="Currency 5 2 2 2 2 2 2 2 3" xfId="11433" xr:uid="{D9D8C3DE-8B97-49B2-B2FE-CBC50BF6603E}"/>
    <cellStyle name="Currency 5 2 2 2 2 2 2 3" xfId="5056" xr:uid="{00000000-0005-0000-0000-0000730B0000}"/>
    <cellStyle name="Currency 5 2 2 2 2 2 2 3 2" xfId="13506" xr:uid="{F1B17428-8326-4CF7-B0DE-57DAF10B9E01}"/>
    <cellStyle name="Currency 5 2 2 2 2 2 2 4" xfId="9288" xr:uid="{493CAAD3-DB8F-4480-AC73-F34045BA2533}"/>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2 2 2" xfId="16064" xr:uid="{193087B6-98B5-4047-B753-2702065B0407}"/>
    <cellStyle name="Currency 5 2 2 2 2 2 3 2 3" xfId="11846" xr:uid="{8C429C85-62BC-4A29-A799-0B1157612D4B}"/>
    <cellStyle name="Currency 5 2 2 2 2 2 3 3" xfId="5469" xr:uid="{00000000-0005-0000-0000-0000770B0000}"/>
    <cellStyle name="Currency 5 2 2 2 2 2 3 3 2" xfId="13919" xr:uid="{6A25C71E-02E6-4D05-8FA8-18AB167A16FF}"/>
    <cellStyle name="Currency 5 2 2 2 2 2 3 4" xfId="9701" xr:uid="{AF0BEC37-A984-4262-BA7E-94018306C503}"/>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2 2 2" xfId="16477" xr:uid="{F8718A37-66D3-4E92-B636-ED144275DE31}"/>
    <cellStyle name="Currency 5 2 2 2 2 2 4 2 3" xfId="12259" xr:uid="{9543C03F-7910-45FC-9BCE-330C93C6D92A}"/>
    <cellStyle name="Currency 5 2 2 2 2 2 4 3" xfId="5882" xr:uid="{00000000-0005-0000-0000-00007B0B0000}"/>
    <cellStyle name="Currency 5 2 2 2 2 2 4 3 2" xfId="14332" xr:uid="{DE8AE281-00C2-42D9-AA25-6D1BA3C5BCD3}"/>
    <cellStyle name="Currency 5 2 2 2 2 2 4 4" xfId="10114" xr:uid="{46E73239-FB0A-4F1F-8C56-487F1E11B1AD}"/>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2 2 2" xfId="16890" xr:uid="{956F8F3C-9EDE-455F-A6AE-62D1F56709EF}"/>
    <cellStyle name="Currency 5 2 2 2 2 2 5 2 3" xfId="12672" xr:uid="{0DC20731-18E1-4CE6-B50C-777C1B546DD8}"/>
    <cellStyle name="Currency 5 2 2 2 2 2 5 3" xfId="6295" xr:uid="{00000000-0005-0000-0000-00007F0B0000}"/>
    <cellStyle name="Currency 5 2 2 2 2 2 5 3 2" xfId="14745" xr:uid="{BC650322-9698-4B81-8395-003B4F40248D}"/>
    <cellStyle name="Currency 5 2 2 2 2 2 5 4" xfId="10527" xr:uid="{EB84D8E3-6674-45EE-AFDB-EB730A57F2E9}"/>
    <cellStyle name="Currency 5 2 2 2 2 2 6" xfId="2424" xr:uid="{00000000-0005-0000-0000-0000800B0000}"/>
    <cellStyle name="Currency 5 2 2 2 2 2 6 2" xfId="6708" xr:uid="{00000000-0005-0000-0000-0000810B0000}"/>
    <cellStyle name="Currency 5 2 2 2 2 2 6 2 2" xfId="15158" xr:uid="{EEFF0352-3327-43A0-81FF-8B0972BB9311}"/>
    <cellStyle name="Currency 5 2 2 2 2 2 6 3" xfId="10940" xr:uid="{635D439C-7EE9-40D8-8BD6-BA5F7EAF933C}"/>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8 2 2" xfId="15475" xr:uid="{8BE4F115-6E48-4D55-AFB6-B3771975366D}"/>
    <cellStyle name="Currency 5 2 2 2 2 2 8 3" xfId="11257" xr:uid="{74870E9F-DCA7-4BD3-8236-7B391363DED7}"/>
    <cellStyle name="Currency 5 2 2 2 2 2 9" xfId="4642" xr:uid="{00000000-0005-0000-0000-0000850B0000}"/>
    <cellStyle name="Currency 5 2 2 2 2 2 9 2" xfId="13092" xr:uid="{978880E2-7E4B-46A8-B67D-D179A7078CB1}"/>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2 2 2" xfId="15650" xr:uid="{6BE16FAD-9062-4FA3-A786-E4AD1867838A}"/>
    <cellStyle name="Currency 5 2 2 2 2 3 2 3" xfId="11432" xr:uid="{55BF9AD5-E4F6-4ACE-A80E-A46B35B4FF82}"/>
    <cellStyle name="Currency 5 2 2 2 2 3 3" xfId="5055" xr:uid="{00000000-0005-0000-0000-0000890B0000}"/>
    <cellStyle name="Currency 5 2 2 2 2 3 3 2" xfId="13505" xr:uid="{5FD00D93-76B5-4B52-89E0-4915B958410D}"/>
    <cellStyle name="Currency 5 2 2 2 2 3 4" xfId="9287" xr:uid="{E0B9B7A9-97C6-4C90-9EFE-EEE523FB6C9E}"/>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2 2 2" xfId="16063" xr:uid="{64ADC57F-496D-4102-B647-DFC67D2C8FAB}"/>
    <cellStyle name="Currency 5 2 2 2 2 4 2 3" xfId="11845" xr:uid="{F607089A-D250-447D-814B-2E5A8A410749}"/>
    <cellStyle name="Currency 5 2 2 2 2 4 3" xfId="5468" xr:uid="{00000000-0005-0000-0000-00008D0B0000}"/>
    <cellStyle name="Currency 5 2 2 2 2 4 3 2" xfId="13918" xr:uid="{0BDFB12F-FCEB-400D-9A12-75445EBB6209}"/>
    <cellStyle name="Currency 5 2 2 2 2 4 4" xfId="9700" xr:uid="{20CA37DB-8FE7-40B7-A9CB-6791271FE88C}"/>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2 2 2" xfId="16476" xr:uid="{981C8F38-94A6-4134-B6C7-FE06BA3085A6}"/>
    <cellStyle name="Currency 5 2 2 2 2 5 2 3" xfId="12258" xr:uid="{271D5E50-1EEE-4262-80BE-C7006B3B5506}"/>
    <cellStyle name="Currency 5 2 2 2 2 5 3" xfId="5881" xr:uid="{00000000-0005-0000-0000-0000910B0000}"/>
    <cellStyle name="Currency 5 2 2 2 2 5 3 2" xfId="14331" xr:uid="{E074F82A-ECE2-4169-9E45-850B0491FD01}"/>
    <cellStyle name="Currency 5 2 2 2 2 5 4" xfId="10113" xr:uid="{20BE3E44-BBC2-4F86-8A4D-2670A4381296}"/>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2 2 2" xfId="16889" xr:uid="{BD43F15F-2537-4A4A-8704-006F50606DC1}"/>
    <cellStyle name="Currency 5 2 2 2 2 6 2 3" xfId="12671" xr:uid="{A55D2AE8-516F-4B13-BA89-6D253B0F86B9}"/>
    <cellStyle name="Currency 5 2 2 2 2 6 3" xfId="6294" xr:uid="{00000000-0005-0000-0000-0000950B0000}"/>
    <cellStyle name="Currency 5 2 2 2 2 6 3 2" xfId="14744" xr:uid="{5612396B-7F23-47E3-A22C-45ADC88E84CB}"/>
    <cellStyle name="Currency 5 2 2 2 2 6 4" xfId="10526" xr:uid="{8B31B34C-60E0-4EC3-B2C3-8E886180D892}"/>
    <cellStyle name="Currency 5 2 2 2 2 7" xfId="2423" xr:uid="{00000000-0005-0000-0000-0000960B0000}"/>
    <cellStyle name="Currency 5 2 2 2 2 7 2" xfId="6707" xr:uid="{00000000-0005-0000-0000-0000970B0000}"/>
    <cellStyle name="Currency 5 2 2 2 2 7 2 2" xfId="15157" xr:uid="{E1C27BF6-0BFC-414A-A5C1-B12ED5802873}"/>
    <cellStyle name="Currency 5 2 2 2 2 7 3" xfId="10939" xr:uid="{CB1889A3-4F84-4BDF-B8CF-9D3364EF7B72}"/>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2 9 2 2" xfId="15474" xr:uid="{54AD055B-56C9-4C1B-8E18-B2225C0BAFCA}"/>
    <cellStyle name="Currency 5 2 2 2 2 9 3" xfId="11256" xr:uid="{082CAB46-89A5-41EE-BA98-790AB4D85845}"/>
    <cellStyle name="Currency 5 2 2 2 3" xfId="199" xr:uid="{00000000-0005-0000-0000-00009B0B0000}"/>
    <cellStyle name="Currency 5 2 2 2 3 10" xfId="8875" xr:uid="{4BD81A17-16BB-414A-9ED0-49A5AA797AF1}"/>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2 2 2" xfId="15652" xr:uid="{6C3B8D71-9EAB-45C4-83D6-59A89206070F}"/>
    <cellStyle name="Currency 5 2 2 2 3 2 2 3" xfId="11434" xr:uid="{D64CFEC1-4F03-4E9E-9E6D-0F1423077D13}"/>
    <cellStyle name="Currency 5 2 2 2 3 2 3" xfId="5057" xr:uid="{00000000-0005-0000-0000-00009F0B0000}"/>
    <cellStyle name="Currency 5 2 2 2 3 2 3 2" xfId="13507" xr:uid="{26791D2F-6D3E-477B-BFA1-7911BC9F89C3}"/>
    <cellStyle name="Currency 5 2 2 2 3 2 4" xfId="9289" xr:uid="{0781E7B7-8815-4F50-B9DE-7F241C4538CA}"/>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2 2 2" xfId="16065" xr:uid="{32EECAA4-BD00-45DC-A201-7B6B9E9A467E}"/>
    <cellStyle name="Currency 5 2 2 2 3 3 2 3" xfId="11847" xr:uid="{A0152C43-74FF-4721-96EF-AE50DD775A85}"/>
    <cellStyle name="Currency 5 2 2 2 3 3 3" xfId="5470" xr:uid="{00000000-0005-0000-0000-0000A30B0000}"/>
    <cellStyle name="Currency 5 2 2 2 3 3 3 2" xfId="13920" xr:uid="{6843486D-60C4-4D3B-A3AD-85AA852FB530}"/>
    <cellStyle name="Currency 5 2 2 2 3 3 4" xfId="9702" xr:uid="{A4DB1E69-6CA1-46CE-AE74-CC2D890B6CEA}"/>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2 2 2" xfId="16478" xr:uid="{E3EACD2E-F1DD-42AB-8E60-7131D83D7B65}"/>
    <cellStyle name="Currency 5 2 2 2 3 4 2 3" xfId="12260" xr:uid="{52D314C3-D16C-4194-A224-B2E8BA86C463}"/>
    <cellStyle name="Currency 5 2 2 2 3 4 3" xfId="5883" xr:uid="{00000000-0005-0000-0000-0000A70B0000}"/>
    <cellStyle name="Currency 5 2 2 2 3 4 3 2" xfId="14333" xr:uid="{C148C814-5ED1-4F91-927A-313C7E89BC5B}"/>
    <cellStyle name="Currency 5 2 2 2 3 4 4" xfId="10115" xr:uid="{BE915AEB-92E6-48D3-88A3-FC34DE337843}"/>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2 2 2" xfId="16891" xr:uid="{FC3EB4B6-5579-440D-B411-AE0405CED486}"/>
    <cellStyle name="Currency 5 2 2 2 3 5 2 3" xfId="12673" xr:uid="{F77A9FD9-9288-4D59-B59E-353469F27745}"/>
    <cellStyle name="Currency 5 2 2 2 3 5 3" xfId="6296" xr:uid="{00000000-0005-0000-0000-0000AB0B0000}"/>
    <cellStyle name="Currency 5 2 2 2 3 5 3 2" xfId="14746" xr:uid="{208A4B3C-D197-4309-A77E-F73F25551884}"/>
    <cellStyle name="Currency 5 2 2 2 3 5 4" xfId="10528" xr:uid="{1E877529-8F81-443F-9F59-31A9A892175E}"/>
    <cellStyle name="Currency 5 2 2 2 3 6" xfId="2425" xr:uid="{00000000-0005-0000-0000-0000AC0B0000}"/>
    <cellStyle name="Currency 5 2 2 2 3 6 2" xfId="6709" xr:uid="{00000000-0005-0000-0000-0000AD0B0000}"/>
    <cellStyle name="Currency 5 2 2 2 3 6 2 2" xfId="15159" xr:uid="{5CC0654F-60E1-4CC1-A803-AB4D22951516}"/>
    <cellStyle name="Currency 5 2 2 2 3 6 3" xfId="10941" xr:uid="{FC373654-D9BC-47A1-A797-32F10ADF07BE}"/>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8 2 2" xfId="15476" xr:uid="{7968410D-1049-4482-9A19-6BDB6579572F}"/>
    <cellStyle name="Currency 5 2 2 2 3 8 3" xfId="11258" xr:uid="{BE50600F-604C-4E5C-AC25-514C8687286C}"/>
    <cellStyle name="Currency 5 2 2 2 3 9" xfId="4643" xr:uid="{00000000-0005-0000-0000-0000B10B0000}"/>
    <cellStyle name="Currency 5 2 2 2 3 9 2" xfId="13093" xr:uid="{F8B66A74-C1DC-4295-BD5B-B8555D00A331}"/>
    <cellStyle name="Currency 5 2 2 2 4" xfId="723" xr:uid="{00000000-0005-0000-0000-0000B20B0000}"/>
    <cellStyle name="Currency 5 2 2 2 4 2" xfId="2977" xr:uid="{00000000-0005-0000-0000-0000B30B0000}"/>
    <cellStyle name="Currency 5 2 2 2 4 2 2" xfId="7199" xr:uid="{00000000-0005-0000-0000-0000B40B0000}"/>
    <cellStyle name="Currency 5 2 2 2 4 2 2 2" xfId="15649" xr:uid="{EAF5551D-F3BB-4395-AFC2-32A940813D71}"/>
    <cellStyle name="Currency 5 2 2 2 4 2 3" xfId="11431" xr:uid="{C9E31C36-2326-48E2-886D-8AE623CDE038}"/>
    <cellStyle name="Currency 5 2 2 2 4 3" xfId="5054" xr:uid="{00000000-0005-0000-0000-0000B50B0000}"/>
    <cellStyle name="Currency 5 2 2 2 4 3 2" xfId="13504" xr:uid="{EA40A58A-AC8B-457F-A77C-212984E4FEA4}"/>
    <cellStyle name="Currency 5 2 2 2 4 4" xfId="9286" xr:uid="{C065930D-262A-431E-B244-4165F45A7D52}"/>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2 2 2" xfId="16062" xr:uid="{B947922E-2957-4C69-9DB2-7DC8BBF9F406}"/>
    <cellStyle name="Currency 5 2 2 2 5 2 3" xfId="11844" xr:uid="{C77D3642-8F85-42EB-AAD0-3C19DA71E0A6}"/>
    <cellStyle name="Currency 5 2 2 2 5 3" xfId="5467" xr:uid="{00000000-0005-0000-0000-0000B90B0000}"/>
    <cellStyle name="Currency 5 2 2 2 5 3 2" xfId="13917" xr:uid="{B72F886A-6901-4E57-9C8F-68CEB34DF0B1}"/>
    <cellStyle name="Currency 5 2 2 2 5 4" xfId="9699" xr:uid="{667ED3CA-6913-4388-BD1A-B97298A635CE}"/>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2 2 2" xfId="16475" xr:uid="{7C177345-349D-4127-A69A-8142AAFAB07B}"/>
    <cellStyle name="Currency 5 2 2 2 6 2 3" xfId="12257" xr:uid="{53E0E459-E998-4E82-9FAA-2B889EC5C639}"/>
    <cellStyle name="Currency 5 2 2 2 6 3" xfId="5880" xr:uid="{00000000-0005-0000-0000-0000BD0B0000}"/>
    <cellStyle name="Currency 5 2 2 2 6 3 2" xfId="14330" xr:uid="{75351B85-2D6A-45BE-8E28-28D458785EDA}"/>
    <cellStyle name="Currency 5 2 2 2 6 4" xfId="10112" xr:uid="{38364FF6-B2D3-4C9F-9BE7-0AA85BC0B17B}"/>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2 2 2" xfId="16888" xr:uid="{A9CC9B81-EEC6-41B3-83B1-8D7A4BAB108B}"/>
    <cellStyle name="Currency 5 2 2 2 7 2 3" xfId="12670" xr:uid="{CB4F0F12-F9B4-43A3-B2E5-CBC264A0472B}"/>
    <cellStyle name="Currency 5 2 2 2 7 3" xfId="6293" xr:uid="{00000000-0005-0000-0000-0000C10B0000}"/>
    <cellStyle name="Currency 5 2 2 2 7 3 2" xfId="14743" xr:uid="{196D200D-BB54-4CBF-906A-27C9A8C6BF14}"/>
    <cellStyle name="Currency 5 2 2 2 7 4" xfId="10525" xr:uid="{B089281A-BDB8-4A34-B5BF-48423112C7F7}"/>
    <cellStyle name="Currency 5 2 2 2 8" xfId="2422" xr:uid="{00000000-0005-0000-0000-0000C20B0000}"/>
    <cellStyle name="Currency 5 2 2 2 8 2" xfId="6706" xr:uid="{00000000-0005-0000-0000-0000C30B0000}"/>
    <cellStyle name="Currency 5 2 2 2 8 2 2" xfId="15156" xr:uid="{F74657BD-C8BC-4E8B-B978-8B73052397FB}"/>
    <cellStyle name="Currency 5 2 2 2 8 3" xfId="10938" xr:uid="{1E556D23-88F7-4BCD-880E-DA00D23EEA56}"/>
    <cellStyle name="Currency 5 2 2 2 9" xfId="2719" xr:uid="{00000000-0005-0000-0000-0000C40B0000}"/>
    <cellStyle name="Currency 5 2 2 3" xfId="200" xr:uid="{00000000-0005-0000-0000-0000C50B0000}"/>
    <cellStyle name="Currency 5 2 2 3 10" xfId="4644" xr:uid="{00000000-0005-0000-0000-0000C60B0000}"/>
    <cellStyle name="Currency 5 2 2 3 10 2" xfId="13094" xr:uid="{B7F075E9-D2B4-485F-A108-6C3D00792BD3}"/>
    <cellStyle name="Currency 5 2 2 3 11" xfId="8876" xr:uid="{95989F9C-7C35-4D67-8744-3CCCB6F53136}"/>
    <cellStyle name="Currency 5 2 2 3 2" xfId="201" xr:uid="{00000000-0005-0000-0000-0000C70B0000}"/>
    <cellStyle name="Currency 5 2 2 3 2 10" xfId="8877" xr:uid="{A0F74B22-6051-4CBB-8614-BDB5372B02EF}"/>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2 2 2" xfId="15654" xr:uid="{F22780FF-0B91-43E0-AA19-E3333EC9791A}"/>
    <cellStyle name="Currency 5 2 2 3 2 2 2 3" xfId="11436" xr:uid="{340E9BF8-1A3C-4732-8A96-AC0E199EE482}"/>
    <cellStyle name="Currency 5 2 2 3 2 2 3" xfId="5059" xr:uid="{00000000-0005-0000-0000-0000CB0B0000}"/>
    <cellStyle name="Currency 5 2 2 3 2 2 3 2" xfId="13509" xr:uid="{7BA4FBAB-981C-473D-AF4D-517728BFEC7B}"/>
    <cellStyle name="Currency 5 2 2 3 2 2 4" xfId="9291" xr:uid="{26AC81AA-5309-4937-AF04-B0512296F93A}"/>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2 2 2" xfId="16067" xr:uid="{A556418B-AABF-4AC3-AE59-0E1C48673297}"/>
    <cellStyle name="Currency 5 2 2 3 2 3 2 3" xfId="11849" xr:uid="{199FE8A3-8996-48F7-BA7E-8408B07C656C}"/>
    <cellStyle name="Currency 5 2 2 3 2 3 3" xfId="5472" xr:uid="{00000000-0005-0000-0000-0000CF0B0000}"/>
    <cellStyle name="Currency 5 2 2 3 2 3 3 2" xfId="13922" xr:uid="{EC43185C-6353-4C65-9796-8268E7ABB780}"/>
    <cellStyle name="Currency 5 2 2 3 2 3 4" xfId="9704" xr:uid="{A2C2D8DF-8D73-4958-A13C-9AA987366D11}"/>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2 2 2" xfId="16480" xr:uid="{B1E38E6F-BD6C-4EC5-A84C-8915F14FF64A}"/>
    <cellStyle name="Currency 5 2 2 3 2 4 2 3" xfId="12262" xr:uid="{74CB9A42-65ED-468B-9200-43D17E21482A}"/>
    <cellStyle name="Currency 5 2 2 3 2 4 3" xfId="5885" xr:uid="{00000000-0005-0000-0000-0000D30B0000}"/>
    <cellStyle name="Currency 5 2 2 3 2 4 3 2" xfId="14335" xr:uid="{856E608E-BEBA-4685-88FC-B4FF28C4FB29}"/>
    <cellStyle name="Currency 5 2 2 3 2 4 4" xfId="10117" xr:uid="{F6E301E6-D161-4A4B-B6B7-01F571778DE6}"/>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2 2 2" xfId="16893" xr:uid="{78A96C49-F9D2-4527-BEB7-E1DE993B39B1}"/>
    <cellStyle name="Currency 5 2 2 3 2 5 2 3" xfId="12675" xr:uid="{5F3A0628-5F74-4918-B5A3-D7E5B018BAE2}"/>
    <cellStyle name="Currency 5 2 2 3 2 5 3" xfId="6298" xr:uid="{00000000-0005-0000-0000-0000D70B0000}"/>
    <cellStyle name="Currency 5 2 2 3 2 5 3 2" xfId="14748" xr:uid="{9B2EDD6D-5EE7-4AC7-8318-801FF76252BD}"/>
    <cellStyle name="Currency 5 2 2 3 2 5 4" xfId="10530" xr:uid="{28CC4EC8-E75E-4321-8968-44F19C4E8730}"/>
    <cellStyle name="Currency 5 2 2 3 2 6" xfId="2427" xr:uid="{00000000-0005-0000-0000-0000D80B0000}"/>
    <cellStyle name="Currency 5 2 2 3 2 6 2" xfId="6711" xr:uid="{00000000-0005-0000-0000-0000D90B0000}"/>
    <cellStyle name="Currency 5 2 2 3 2 6 2 2" xfId="15161" xr:uid="{9C435FCA-C51A-4827-B0E9-25874D958788}"/>
    <cellStyle name="Currency 5 2 2 3 2 6 3" xfId="10943" xr:uid="{880DEB94-A210-431F-B17A-A995C5AEC869}"/>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8 2 2" xfId="15478" xr:uid="{16077DD2-653A-414A-B2C0-31E3AD935BBB}"/>
    <cellStyle name="Currency 5 2 2 3 2 8 3" xfId="11260" xr:uid="{1CD35744-E781-40F4-9F3A-8C0684A582F9}"/>
    <cellStyle name="Currency 5 2 2 3 2 9" xfId="4645" xr:uid="{00000000-0005-0000-0000-0000DD0B0000}"/>
    <cellStyle name="Currency 5 2 2 3 2 9 2" xfId="13095" xr:uid="{DD32BAA1-35EA-4C30-B5AB-D2A0BB956CEC}"/>
    <cellStyle name="Currency 5 2 2 3 3" xfId="727" xr:uid="{00000000-0005-0000-0000-0000DE0B0000}"/>
    <cellStyle name="Currency 5 2 2 3 3 2" xfId="2981" xr:uid="{00000000-0005-0000-0000-0000DF0B0000}"/>
    <cellStyle name="Currency 5 2 2 3 3 2 2" xfId="7203" xr:uid="{00000000-0005-0000-0000-0000E00B0000}"/>
    <cellStyle name="Currency 5 2 2 3 3 2 2 2" xfId="15653" xr:uid="{D7E8A915-2695-4C47-8DB9-E90EBDF3BF74}"/>
    <cellStyle name="Currency 5 2 2 3 3 2 3" xfId="11435" xr:uid="{20726F2C-09D1-4EFE-9ECD-5FF9728E87D1}"/>
    <cellStyle name="Currency 5 2 2 3 3 3" xfId="5058" xr:uid="{00000000-0005-0000-0000-0000E10B0000}"/>
    <cellStyle name="Currency 5 2 2 3 3 3 2" xfId="13508" xr:uid="{5E3420CC-1292-4366-928E-0E080A79E2F5}"/>
    <cellStyle name="Currency 5 2 2 3 3 4" xfId="9290" xr:uid="{5E18B6E7-B349-4B8A-B9C6-59C52D386357}"/>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2 2 2" xfId="16066" xr:uid="{74693E5E-247C-45A8-9903-0F134E26770E}"/>
    <cellStyle name="Currency 5 2 2 3 4 2 3" xfId="11848" xr:uid="{DF9861DD-1081-40A4-82E0-428E2A09818C}"/>
    <cellStyle name="Currency 5 2 2 3 4 3" xfId="5471" xr:uid="{00000000-0005-0000-0000-0000E50B0000}"/>
    <cellStyle name="Currency 5 2 2 3 4 3 2" xfId="13921" xr:uid="{5BBD7B14-CA27-41DF-A254-DCDEEEE2464B}"/>
    <cellStyle name="Currency 5 2 2 3 4 4" xfId="9703" xr:uid="{A96FC6C6-E5A2-467A-A2C4-D4E4248DA9B4}"/>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2 2 2" xfId="16479" xr:uid="{A80062B2-763D-452E-8739-270D025BDFEF}"/>
    <cellStyle name="Currency 5 2 2 3 5 2 3" xfId="12261" xr:uid="{6084BA4B-20BB-40E5-A080-100D242D57C6}"/>
    <cellStyle name="Currency 5 2 2 3 5 3" xfId="5884" xr:uid="{00000000-0005-0000-0000-0000E90B0000}"/>
    <cellStyle name="Currency 5 2 2 3 5 3 2" xfId="14334" xr:uid="{F8574E2C-3F8E-422D-B655-8C3951D9ED65}"/>
    <cellStyle name="Currency 5 2 2 3 5 4" xfId="10116" xr:uid="{04035030-7E17-4A9F-9362-10E80E61280F}"/>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2 2 2" xfId="16892" xr:uid="{235CAD0B-5916-4217-8B41-B82022B5FAA2}"/>
    <cellStyle name="Currency 5 2 2 3 6 2 3" xfId="12674" xr:uid="{CAD2F146-A49C-41FC-9C38-E4F97F45FCEA}"/>
    <cellStyle name="Currency 5 2 2 3 6 3" xfId="6297" xr:uid="{00000000-0005-0000-0000-0000ED0B0000}"/>
    <cellStyle name="Currency 5 2 2 3 6 3 2" xfId="14747" xr:uid="{0D62D5B4-71D5-4B2B-8775-BA6716A3AD62}"/>
    <cellStyle name="Currency 5 2 2 3 6 4" xfId="10529" xr:uid="{65C41D6B-8D8C-45E3-9614-CADDF1ED7782}"/>
    <cellStyle name="Currency 5 2 2 3 7" xfId="2426" xr:uid="{00000000-0005-0000-0000-0000EE0B0000}"/>
    <cellStyle name="Currency 5 2 2 3 7 2" xfId="6710" xr:uid="{00000000-0005-0000-0000-0000EF0B0000}"/>
    <cellStyle name="Currency 5 2 2 3 7 2 2" xfId="15160" xr:uid="{30819C09-AD42-4908-A6F7-06F05BBB9E7A}"/>
    <cellStyle name="Currency 5 2 2 3 7 3" xfId="10942" xr:uid="{7E22FAB9-71FC-4581-8958-2AC492911846}"/>
    <cellStyle name="Currency 5 2 2 3 8" xfId="2723" xr:uid="{00000000-0005-0000-0000-0000F00B0000}"/>
    <cellStyle name="Currency 5 2 2 3 9" xfId="2804" xr:uid="{00000000-0005-0000-0000-0000F10B0000}"/>
    <cellStyle name="Currency 5 2 2 3 9 2" xfId="7027" xr:uid="{00000000-0005-0000-0000-0000F20B0000}"/>
    <cellStyle name="Currency 5 2 2 3 9 2 2" xfId="15477" xr:uid="{7C90F44B-D7C3-4258-A5DE-4806FE3CC004}"/>
    <cellStyle name="Currency 5 2 2 3 9 3" xfId="11259" xr:uid="{48A3DF20-4B94-4FFD-9443-116A0FF39F05}"/>
    <cellStyle name="Currency 5 2 2 4" xfId="202" xr:uid="{00000000-0005-0000-0000-0000F30B0000}"/>
    <cellStyle name="Currency 5 2 2 4 10" xfId="8878" xr:uid="{F3829954-F78E-47CB-9ABB-23437B295E17}"/>
    <cellStyle name="Currency 5 2 2 4 2" xfId="729" xr:uid="{00000000-0005-0000-0000-0000F40B0000}"/>
    <cellStyle name="Currency 5 2 2 4 2 2" xfId="2983" xr:uid="{00000000-0005-0000-0000-0000F50B0000}"/>
    <cellStyle name="Currency 5 2 2 4 2 2 2" xfId="7205" xr:uid="{00000000-0005-0000-0000-0000F60B0000}"/>
    <cellStyle name="Currency 5 2 2 4 2 2 2 2" xfId="15655" xr:uid="{A60F3A81-6860-426E-9BCB-EBD6A1FBBCA1}"/>
    <cellStyle name="Currency 5 2 2 4 2 2 3" xfId="11437" xr:uid="{5205168D-C478-4D11-9F11-F11585B723D9}"/>
    <cellStyle name="Currency 5 2 2 4 2 3" xfId="5060" xr:uid="{00000000-0005-0000-0000-0000F70B0000}"/>
    <cellStyle name="Currency 5 2 2 4 2 3 2" xfId="13510" xr:uid="{E2799D87-51EB-4B2A-8DDD-F7EEBA64287F}"/>
    <cellStyle name="Currency 5 2 2 4 2 4" xfId="9292" xr:uid="{030CCE16-FA82-4924-BA7E-ED0BDA895212}"/>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2 2 2" xfId="16068" xr:uid="{F2B2B5CB-2C7C-423B-94C2-D5C59DF34256}"/>
    <cellStyle name="Currency 5 2 2 4 3 2 3" xfId="11850" xr:uid="{F47C968C-0AB1-4118-80F8-E7702C951103}"/>
    <cellStyle name="Currency 5 2 2 4 3 3" xfId="5473" xr:uid="{00000000-0005-0000-0000-0000FB0B0000}"/>
    <cellStyle name="Currency 5 2 2 4 3 3 2" xfId="13923" xr:uid="{922E4C80-31EF-40D1-9634-D39FB4591B56}"/>
    <cellStyle name="Currency 5 2 2 4 3 4" xfId="9705" xr:uid="{A42A46BF-AAB2-451D-9678-1620E0B49F4E}"/>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2 2 2" xfId="16481" xr:uid="{AE5DF703-6228-48B1-A355-4E6E797D6188}"/>
    <cellStyle name="Currency 5 2 2 4 4 2 3" xfId="12263" xr:uid="{E175DED3-D251-4686-997C-96E04FC98E81}"/>
    <cellStyle name="Currency 5 2 2 4 4 3" xfId="5886" xr:uid="{00000000-0005-0000-0000-0000FF0B0000}"/>
    <cellStyle name="Currency 5 2 2 4 4 3 2" xfId="14336" xr:uid="{16105701-DDFC-45F3-99F6-4559A82ACB31}"/>
    <cellStyle name="Currency 5 2 2 4 4 4" xfId="10118" xr:uid="{419EDCCC-B79A-42BB-9661-69C170069412}"/>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2 2 2" xfId="16894" xr:uid="{2336F94A-013F-45E9-BE0B-47ADD77B5DCD}"/>
    <cellStyle name="Currency 5 2 2 4 5 2 3" xfId="12676" xr:uid="{287F3C61-0111-46ED-A0E9-160766111933}"/>
    <cellStyle name="Currency 5 2 2 4 5 3" xfId="6299" xr:uid="{00000000-0005-0000-0000-0000030C0000}"/>
    <cellStyle name="Currency 5 2 2 4 5 3 2" xfId="14749" xr:uid="{160EB89B-23BD-476B-8491-BD072F97FCFE}"/>
    <cellStyle name="Currency 5 2 2 4 5 4" xfId="10531" xr:uid="{92C08841-B9C0-409D-845F-8353F2DE0B20}"/>
    <cellStyle name="Currency 5 2 2 4 6" xfId="2428" xr:uid="{00000000-0005-0000-0000-0000040C0000}"/>
    <cellStyle name="Currency 5 2 2 4 6 2" xfId="6712" xr:uid="{00000000-0005-0000-0000-0000050C0000}"/>
    <cellStyle name="Currency 5 2 2 4 6 2 2" xfId="15162" xr:uid="{BF24DA31-C2EB-4C07-9BDA-2DADF93F34C4}"/>
    <cellStyle name="Currency 5 2 2 4 6 3" xfId="10944" xr:uid="{DF21C4EC-9F58-48AE-A71D-2261D3FC16EB}"/>
    <cellStyle name="Currency 5 2 2 4 7" xfId="2725" xr:uid="{00000000-0005-0000-0000-0000060C0000}"/>
    <cellStyle name="Currency 5 2 2 4 8" xfId="2806" xr:uid="{00000000-0005-0000-0000-0000070C0000}"/>
    <cellStyle name="Currency 5 2 2 4 8 2" xfId="7029" xr:uid="{00000000-0005-0000-0000-0000080C0000}"/>
    <cellStyle name="Currency 5 2 2 4 8 2 2" xfId="15479" xr:uid="{C2FADE78-86B3-4B66-9382-657DEB51E5FE}"/>
    <cellStyle name="Currency 5 2 2 4 8 3" xfId="11261" xr:uid="{39ABBC87-A669-488E-A018-073D7A195C43}"/>
    <cellStyle name="Currency 5 2 2 4 9" xfId="4646" xr:uid="{00000000-0005-0000-0000-0000090C0000}"/>
    <cellStyle name="Currency 5 2 2 4 9 2" xfId="13096" xr:uid="{4059019F-D7AC-41AB-8D41-2772E30F3EBB}"/>
    <cellStyle name="Currency 5 2 2 5" xfId="203" xr:uid="{00000000-0005-0000-0000-00000A0C0000}"/>
    <cellStyle name="Currency 5 2 2 5 10" xfId="8879" xr:uid="{A286D6A1-26FC-4CD4-99A5-AEBEF1C2F307}"/>
    <cellStyle name="Currency 5 2 2 5 2" xfId="730" xr:uid="{00000000-0005-0000-0000-00000B0C0000}"/>
    <cellStyle name="Currency 5 2 2 5 2 2" xfId="2984" xr:uid="{00000000-0005-0000-0000-00000C0C0000}"/>
    <cellStyle name="Currency 5 2 2 5 2 2 2" xfId="7206" xr:uid="{00000000-0005-0000-0000-00000D0C0000}"/>
    <cellStyle name="Currency 5 2 2 5 2 2 2 2" xfId="15656" xr:uid="{E6898EFD-77A6-4487-A9DD-A39E95475668}"/>
    <cellStyle name="Currency 5 2 2 5 2 2 3" xfId="11438" xr:uid="{DDD3C05E-8A59-4BA2-A8F5-3099A89427AC}"/>
    <cellStyle name="Currency 5 2 2 5 2 3" xfId="5061" xr:uid="{00000000-0005-0000-0000-00000E0C0000}"/>
    <cellStyle name="Currency 5 2 2 5 2 3 2" xfId="13511" xr:uid="{B8B6E78F-CF3B-44E9-889F-134444FC73ED}"/>
    <cellStyle name="Currency 5 2 2 5 2 4" xfId="9293" xr:uid="{2A4930F5-183B-4363-B620-091B4C043CC3}"/>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2 2 2" xfId="16069" xr:uid="{AF6143F7-7BDF-4DA4-BDA5-07AC70091786}"/>
    <cellStyle name="Currency 5 2 2 5 3 2 3" xfId="11851" xr:uid="{19A082BF-8CE5-4379-87C5-5D3A005F0ED4}"/>
    <cellStyle name="Currency 5 2 2 5 3 3" xfId="5474" xr:uid="{00000000-0005-0000-0000-0000120C0000}"/>
    <cellStyle name="Currency 5 2 2 5 3 3 2" xfId="13924" xr:uid="{097EA964-FB8C-4C89-A6BC-DAB663AA8E56}"/>
    <cellStyle name="Currency 5 2 2 5 3 4" xfId="9706" xr:uid="{AEBEDCFC-D6C7-41FD-8D9F-B9E73A6385FF}"/>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2 2 2" xfId="16482" xr:uid="{659576B9-A2E2-4FB2-903A-789725A55EDF}"/>
    <cellStyle name="Currency 5 2 2 5 4 2 3" xfId="12264" xr:uid="{3E9D0F01-A2CB-4977-97FC-6C23DBF27BCB}"/>
    <cellStyle name="Currency 5 2 2 5 4 3" xfId="5887" xr:uid="{00000000-0005-0000-0000-0000160C0000}"/>
    <cellStyle name="Currency 5 2 2 5 4 3 2" xfId="14337" xr:uid="{85766066-3A4A-4F44-B8B3-09CB27594BEB}"/>
    <cellStyle name="Currency 5 2 2 5 4 4" xfId="10119" xr:uid="{E8185814-1B19-4C45-B2C5-67C6B88FBDC9}"/>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2 2 2" xfId="16895" xr:uid="{2A2F35A4-CDDD-47ED-888A-7127131A3082}"/>
    <cellStyle name="Currency 5 2 2 5 5 2 3" xfId="12677" xr:uid="{84645160-1C22-49AD-B135-BBDB00018262}"/>
    <cellStyle name="Currency 5 2 2 5 5 3" xfId="6300" xr:uid="{00000000-0005-0000-0000-00001A0C0000}"/>
    <cellStyle name="Currency 5 2 2 5 5 3 2" xfId="14750" xr:uid="{B8DE7EEB-CA10-413C-99D2-509DECBC7B93}"/>
    <cellStyle name="Currency 5 2 2 5 5 4" xfId="10532" xr:uid="{553D0E72-2C50-42F0-971D-1C83920E6959}"/>
    <cellStyle name="Currency 5 2 2 5 6" xfId="2429" xr:uid="{00000000-0005-0000-0000-00001B0C0000}"/>
    <cellStyle name="Currency 5 2 2 5 6 2" xfId="6713" xr:uid="{00000000-0005-0000-0000-00001C0C0000}"/>
    <cellStyle name="Currency 5 2 2 5 6 2 2" xfId="15163" xr:uid="{B355218F-BD48-4B70-869C-070B07B95224}"/>
    <cellStyle name="Currency 5 2 2 5 6 3" xfId="10945" xr:uid="{1B79DD73-C470-456A-8941-AD4EC73B978D}"/>
    <cellStyle name="Currency 5 2 2 5 7" xfId="2726" xr:uid="{00000000-0005-0000-0000-00001D0C0000}"/>
    <cellStyle name="Currency 5 2 2 5 8" xfId="2807" xr:uid="{00000000-0005-0000-0000-00001E0C0000}"/>
    <cellStyle name="Currency 5 2 2 5 8 2" xfId="7030" xr:uid="{00000000-0005-0000-0000-00001F0C0000}"/>
    <cellStyle name="Currency 5 2 2 5 8 2 2" xfId="15480" xr:uid="{7CF8CB74-1CEA-48FA-BE9F-18D75BBCC3B7}"/>
    <cellStyle name="Currency 5 2 2 5 8 3" xfId="11262" xr:uid="{7425C39E-EAAD-4320-B02C-1BDCCC5D6305}"/>
    <cellStyle name="Currency 5 2 2 5 9" xfId="4647" xr:uid="{00000000-0005-0000-0000-0000200C0000}"/>
    <cellStyle name="Currency 5 2 2 5 9 2" xfId="13097" xr:uid="{0DAA88F6-9C8E-4E1D-89BB-8A844F9B3C81}"/>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10 2" xfId="13098" xr:uid="{34177D00-5ED7-4E74-8F2C-7D8316B8CE67}"/>
    <cellStyle name="Currency 5 2 4 11" xfId="8880" xr:uid="{386678DB-E9B2-4B89-8D2A-B754BFCEB2A2}"/>
    <cellStyle name="Currency 5 2 4 2" xfId="206" xr:uid="{00000000-0005-0000-0000-0000250C0000}"/>
    <cellStyle name="Currency 5 2 4 2 10" xfId="8881" xr:uid="{93E057B7-C05A-4939-9BE2-450E69A8485A}"/>
    <cellStyle name="Currency 5 2 4 2 2" xfId="733" xr:uid="{00000000-0005-0000-0000-0000260C0000}"/>
    <cellStyle name="Currency 5 2 4 2 2 2" xfId="2986" xr:uid="{00000000-0005-0000-0000-0000270C0000}"/>
    <cellStyle name="Currency 5 2 4 2 2 2 2" xfId="7208" xr:uid="{00000000-0005-0000-0000-0000280C0000}"/>
    <cellStyle name="Currency 5 2 4 2 2 2 2 2" xfId="15658" xr:uid="{8069E1EE-8301-4D28-8651-CE84125D5300}"/>
    <cellStyle name="Currency 5 2 4 2 2 2 3" xfId="11440" xr:uid="{B5CBBEDD-0DA6-41E4-9728-971207D590DF}"/>
    <cellStyle name="Currency 5 2 4 2 2 3" xfId="5063" xr:uid="{00000000-0005-0000-0000-0000290C0000}"/>
    <cellStyle name="Currency 5 2 4 2 2 3 2" xfId="13513" xr:uid="{763BE20A-D46E-4BFC-AD1D-39AACD55E924}"/>
    <cellStyle name="Currency 5 2 4 2 2 4" xfId="9295" xr:uid="{F611A6C4-4182-40D8-BDBE-7B015F097D08}"/>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2 2 2" xfId="16071" xr:uid="{AE37D8BF-57E2-4981-AD40-E733DFF537B2}"/>
    <cellStyle name="Currency 5 2 4 2 3 2 3" xfId="11853" xr:uid="{8E50CE80-E9AE-4A96-9453-D983D31C6804}"/>
    <cellStyle name="Currency 5 2 4 2 3 3" xfId="5476" xr:uid="{00000000-0005-0000-0000-00002D0C0000}"/>
    <cellStyle name="Currency 5 2 4 2 3 3 2" xfId="13926" xr:uid="{6BA08F30-C892-463D-AD8E-405424241462}"/>
    <cellStyle name="Currency 5 2 4 2 3 4" xfId="9708" xr:uid="{4BFFEE73-B8E0-4CDB-BB4B-A01F3BFA340E}"/>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2 2 2" xfId="16484" xr:uid="{5579C84A-8D76-498D-9C69-D72A901CD8D5}"/>
    <cellStyle name="Currency 5 2 4 2 4 2 3" xfId="12266" xr:uid="{0E2AC35A-53D4-4464-B655-21BD6E1B587C}"/>
    <cellStyle name="Currency 5 2 4 2 4 3" xfId="5889" xr:uid="{00000000-0005-0000-0000-0000310C0000}"/>
    <cellStyle name="Currency 5 2 4 2 4 3 2" xfId="14339" xr:uid="{C839F9EC-5C3F-415C-B508-AC6B6F153366}"/>
    <cellStyle name="Currency 5 2 4 2 4 4" xfId="10121" xr:uid="{73B99E0C-5F73-43BD-9CAF-EA61ED0ECB35}"/>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2 2 2" xfId="16897" xr:uid="{08052C81-6B24-4FE0-89F8-BE70C90A38BC}"/>
    <cellStyle name="Currency 5 2 4 2 5 2 3" xfId="12679" xr:uid="{4712F03D-6355-4DB0-B9AE-E0F5E47FD5A3}"/>
    <cellStyle name="Currency 5 2 4 2 5 3" xfId="6302" xr:uid="{00000000-0005-0000-0000-0000350C0000}"/>
    <cellStyle name="Currency 5 2 4 2 5 3 2" xfId="14752" xr:uid="{A0265C08-94E8-437E-8AA6-72F901474117}"/>
    <cellStyle name="Currency 5 2 4 2 5 4" xfId="10534" xr:uid="{190D50F8-FDF4-4F98-952E-1E333C66DE71}"/>
    <cellStyle name="Currency 5 2 4 2 6" xfId="2431" xr:uid="{00000000-0005-0000-0000-0000360C0000}"/>
    <cellStyle name="Currency 5 2 4 2 6 2" xfId="6715" xr:uid="{00000000-0005-0000-0000-0000370C0000}"/>
    <cellStyle name="Currency 5 2 4 2 6 2 2" xfId="15165" xr:uid="{08B18D9F-4520-4564-B176-FEC2254036B8}"/>
    <cellStyle name="Currency 5 2 4 2 6 3" xfId="10947" xr:uid="{60D732CF-2C87-4962-A6EE-01B6497FAD96}"/>
    <cellStyle name="Currency 5 2 4 2 7" xfId="2728" xr:uid="{00000000-0005-0000-0000-0000380C0000}"/>
    <cellStyle name="Currency 5 2 4 2 8" xfId="2809" xr:uid="{00000000-0005-0000-0000-0000390C0000}"/>
    <cellStyle name="Currency 5 2 4 2 8 2" xfId="7032" xr:uid="{00000000-0005-0000-0000-00003A0C0000}"/>
    <cellStyle name="Currency 5 2 4 2 8 2 2" xfId="15482" xr:uid="{ED89F2F5-2A4A-4D8A-ABD3-A1CE3F2789CB}"/>
    <cellStyle name="Currency 5 2 4 2 8 3" xfId="11264" xr:uid="{30B882E5-078F-4B3A-8CE9-D942C38002F8}"/>
    <cellStyle name="Currency 5 2 4 2 9" xfId="4649" xr:uid="{00000000-0005-0000-0000-00003B0C0000}"/>
    <cellStyle name="Currency 5 2 4 2 9 2" xfId="13099" xr:uid="{6BD17F2A-8E96-4806-903E-ACB091B0E50E}"/>
    <cellStyle name="Currency 5 2 4 3" xfId="732" xr:uid="{00000000-0005-0000-0000-00003C0C0000}"/>
    <cellStyle name="Currency 5 2 4 3 2" xfId="2985" xr:uid="{00000000-0005-0000-0000-00003D0C0000}"/>
    <cellStyle name="Currency 5 2 4 3 2 2" xfId="7207" xr:uid="{00000000-0005-0000-0000-00003E0C0000}"/>
    <cellStyle name="Currency 5 2 4 3 2 2 2" xfId="15657" xr:uid="{50E0B54C-EC66-43E7-8067-24B05F5AD5D2}"/>
    <cellStyle name="Currency 5 2 4 3 2 3" xfId="11439" xr:uid="{3C5420B1-29E8-455F-871D-FE5D5BCEBDBA}"/>
    <cellStyle name="Currency 5 2 4 3 3" xfId="5062" xr:uid="{00000000-0005-0000-0000-00003F0C0000}"/>
    <cellStyle name="Currency 5 2 4 3 3 2" xfId="13512" xr:uid="{DD051E02-64D5-4BE7-8F7E-602C2A682838}"/>
    <cellStyle name="Currency 5 2 4 3 4" xfId="9294" xr:uid="{62323028-45EC-4F3B-BD1D-12987E0D3CEF}"/>
    <cellStyle name="Currency 5 2 4 4" xfId="1167" xr:uid="{00000000-0005-0000-0000-0000400C0000}"/>
    <cellStyle name="Currency 5 2 4 4 2" xfId="3398" xr:uid="{00000000-0005-0000-0000-0000410C0000}"/>
    <cellStyle name="Currency 5 2 4 4 2 2" xfId="7620" xr:uid="{00000000-0005-0000-0000-0000420C0000}"/>
    <cellStyle name="Currency 5 2 4 4 2 2 2" xfId="16070" xr:uid="{81DD6357-E0E7-4F16-99F1-BA99C4D0BE43}"/>
    <cellStyle name="Currency 5 2 4 4 2 3" xfId="11852" xr:uid="{9F684C4C-C5A8-495A-887E-4F12DD95880A}"/>
    <cellStyle name="Currency 5 2 4 4 3" xfId="5475" xr:uid="{00000000-0005-0000-0000-0000430C0000}"/>
    <cellStyle name="Currency 5 2 4 4 3 2" xfId="13925" xr:uid="{0C1241CC-408C-4867-B96E-2755A3F37A22}"/>
    <cellStyle name="Currency 5 2 4 4 4" xfId="9707" xr:uid="{154C8D17-98EB-4B5D-8858-15FBE5397B5C}"/>
    <cellStyle name="Currency 5 2 4 5" xfId="1581" xr:uid="{00000000-0005-0000-0000-0000440C0000}"/>
    <cellStyle name="Currency 5 2 4 5 2" xfId="3811" xr:uid="{00000000-0005-0000-0000-0000450C0000}"/>
    <cellStyle name="Currency 5 2 4 5 2 2" xfId="8033" xr:uid="{00000000-0005-0000-0000-0000460C0000}"/>
    <cellStyle name="Currency 5 2 4 5 2 2 2" xfId="16483" xr:uid="{4CA8C48B-C186-4517-8F64-0A285C7C1B24}"/>
    <cellStyle name="Currency 5 2 4 5 2 3" xfId="12265" xr:uid="{A0424C01-8E7F-41FF-9A93-52DC7D8FB671}"/>
    <cellStyle name="Currency 5 2 4 5 3" xfId="5888" xr:uid="{00000000-0005-0000-0000-0000470C0000}"/>
    <cellStyle name="Currency 5 2 4 5 3 2" xfId="14338" xr:uid="{40C250E9-E050-4FC3-9BD8-65F046C5B497}"/>
    <cellStyle name="Currency 5 2 4 5 4" xfId="10120" xr:uid="{88E1E0A9-5199-4190-A8ED-3743C32815B2}"/>
    <cellStyle name="Currency 5 2 4 6" xfId="1995" xr:uid="{00000000-0005-0000-0000-0000480C0000}"/>
    <cellStyle name="Currency 5 2 4 6 2" xfId="4224" xr:uid="{00000000-0005-0000-0000-0000490C0000}"/>
    <cellStyle name="Currency 5 2 4 6 2 2" xfId="8446" xr:uid="{00000000-0005-0000-0000-00004A0C0000}"/>
    <cellStyle name="Currency 5 2 4 6 2 2 2" xfId="16896" xr:uid="{96BFDEDD-5334-4EB4-B37D-B6574E928082}"/>
    <cellStyle name="Currency 5 2 4 6 2 3" xfId="12678" xr:uid="{DD9CF371-DA77-4D6D-B032-798278756964}"/>
    <cellStyle name="Currency 5 2 4 6 3" xfId="6301" xr:uid="{00000000-0005-0000-0000-00004B0C0000}"/>
    <cellStyle name="Currency 5 2 4 6 3 2" xfId="14751" xr:uid="{F92E0058-EF3B-4E8C-ACBE-B72284C3BE9F}"/>
    <cellStyle name="Currency 5 2 4 6 4" xfId="10533" xr:uid="{66677637-E314-4F0F-AECB-44E96D698B54}"/>
    <cellStyle name="Currency 5 2 4 7" xfId="2430" xr:uid="{00000000-0005-0000-0000-00004C0C0000}"/>
    <cellStyle name="Currency 5 2 4 7 2" xfId="6714" xr:uid="{00000000-0005-0000-0000-00004D0C0000}"/>
    <cellStyle name="Currency 5 2 4 7 2 2" xfId="15164" xr:uid="{FA6131B3-ECEC-4A54-B24F-3A89C747EC1E}"/>
    <cellStyle name="Currency 5 2 4 7 3" xfId="10946" xr:uid="{242D9480-DC8F-46E2-BD61-DD82BAFA4510}"/>
    <cellStyle name="Currency 5 2 4 8" xfId="2727" xr:uid="{00000000-0005-0000-0000-00004E0C0000}"/>
    <cellStyle name="Currency 5 2 4 9" xfId="2808" xr:uid="{00000000-0005-0000-0000-00004F0C0000}"/>
    <cellStyle name="Currency 5 2 4 9 2" xfId="7031" xr:uid="{00000000-0005-0000-0000-0000500C0000}"/>
    <cellStyle name="Currency 5 2 4 9 2 2" xfId="15481" xr:uid="{FF112317-30C6-4113-B356-57CCACC1ABEE}"/>
    <cellStyle name="Currency 5 2 4 9 3" xfId="11263" xr:uid="{421FC3F2-1170-40BD-9857-400A2EA9B37F}"/>
    <cellStyle name="Currency 5 2 5" xfId="207" xr:uid="{00000000-0005-0000-0000-0000510C0000}"/>
    <cellStyle name="Currency 5 2 5 10" xfId="8882" xr:uid="{ED461078-E4E9-4A18-A36D-01812FE1DE43}"/>
    <cellStyle name="Currency 5 2 5 2" xfId="734" xr:uid="{00000000-0005-0000-0000-0000520C0000}"/>
    <cellStyle name="Currency 5 2 5 2 2" xfId="2987" xr:uid="{00000000-0005-0000-0000-0000530C0000}"/>
    <cellStyle name="Currency 5 2 5 2 2 2" xfId="7209" xr:uid="{00000000-0005-0000-0000-0000540C0000}"/>
    <cellStyle name="Currency 5 2 5 2 2 2 2" xfId="15659" xr:uid="{847E8A73-7C4D-4F62-91EF-4FE70C7A11FF}"/>
    <cellStyle name="Currency 5 2 5 2 2 3" xfId="11441" xr:uid="{8C3B1364-FBB8-4EF8-BCBC-37D5ADC0ECBE}"/>
    <cellStyle name="Currency 5 2 5 2 3" xfId="5064" xr:uid="{00000000-0005-0000-0000-0000550C0000}"/>
    <cellStyle name="Currency 5 2 5 2 3 2" xfId="13514" xr:uid="{97D03F64-1CF8-45A3-A0AD-609E0D06451C}"/>
    <cellStyle name="Currency 5 2 5 2 4" xfId="9296" xr:uid="{9591AD40-3B52-400A-9947-33E2169E09B8}"/>
    <cellStyle name="Currency 5 2 5 3" xfId="1169" xr:uid="{00000000-0005-0000-0000-0000560C0000}"/>
    <cellStyle name="Currency 5 2 5 3 2" xfId="3400" xr:uid="{00000000-0005-0000-0000-0000570C0000}"/>
    <cellStyle name="Currency 5 2 5 3 2 2" xfId="7622" xr:uid="{00000000-0005-0000-0000-0000580C0000}"/>
    <cellStyle name="Currency 5 2 5 3 2 2 2" xfId="16072" xr:uid="{AC050531-523E-434F-83BC-DC1BBBF97EA5}"/>
    <cellStyle name="Currency 5 2 5 3 2 3" xfId="11854" xr:uid="{C25CA325-C05E-45D6-A3B5-6D9D650477F4}"/>
    <cellStyle name="Currency 5 2 5 3 3" xfId="5477" xr:uid="{00000000-0005-0000-0000-0000590C0000}"/>
    <cellStyle name="Currency 5 2 5 3 3 2" xfId="13927" xr:uid="{3589C7E1-F159-4E58-9D85-D9DE1C38AC82}"/>
    <cellStyle name="Currency 5 2 5 3 4" xfId="9709" xr:uid="{983C2D44-87C9-49DA-8E15-7BE928D6899A}"/>
    <cellStyle name="Currency 5 2 5 4" xfId="1583" xr:uid="{00000000-0005-0000-0000-00005A0C0000}"/>
    <cellStyle name="Currency 5 2 5 4 2" xfId="3813" xr:uid="{00000000-0005-0000-0000-00005B0C0000}"/>
    <cellStyle name="Currency 5 2 5 4 2 2" xfId="8035" xr:uid="{00000000-0005-0000-0000-00005C0C0000}"/>
    <cellStyle name="Currency 5 2 5 4 2 2 2" xfId="16485" xr:uid="{5B2CDF64-EAF0-4DBD-96F8-788376F7EFED}"/>
    <cellStyle name="Currency 5 2 5 4 2 3" xfId="12267" xr:uid="{569C7863-A12A-499C-AB60-F1CF1A772857}"/>
    <cellStyle name="Currency 5 2 5 4 3" xfId="5890" xr:uid="{00000000-0005-0000-0000-00005D0C0000}"/>
    <cellStyle name="Currency 5 2 5 4 3 2" xfId="14340" xr:uid="{75DDD2FB-3A3D-4EEF-9BF4-B727ED22554A}"/>
    <cellStyle name="Currency 5 2 5 4 4" xfId="10122" xr:uid="{98ED6AE6-6A4F-4F35-973B-D2161B6B6453}"/>
    <cellStyle name="Currency 5 2 5 5" xfId="1997" xr:uid="{00000000-0005-0000-0000-00005E0C0000}"/>
    <cellStyle name="Currency 5 2 5 5 2" xfId="4226" xr:uid="{00000000-0005-0000-0000-00005F0C0000}"/>
    <cellStyle name="Currency 5 2 5 5 2 2" xfId="8448" xr:uid="{00000000-0005-0000-0000-0000600C0000}"/>
    <cellStyle name="Currency 5 2 5 5 2 2 2" xfId="16898" xr:uid="{AE37E914-A84F-42C7-BADE-37757BE42969}"/>
    <cellStyle name="Currency 5 2 5 5 2 3" xfId="12680" xr:uid="{E9A7FE9D-A334-4669-B20C-CAA75B004008}"/>
    <cellStyle name="Currency 5 2 5 5 3" xfId="6303" xr:uid="{00000000-0005-0000-0000-0000610C0000}"/>
    <cellStyle name="Currency 5 2 5 5 3 2" xfId="14753" xr:uid="{E7362CF8-FF6B-451D-B9BA-1A9F24812B3A}"/>
    <cellStyle name="Currency 5 2 5 5 4" xfId="10535" xr:uid="{499CBBFA-419F-4E38-B07C-60CA25D8E689}"/>
    <cellStyle name="Currency 5 2 5 6" xfId="2432" xr:uid="{00000000-0005-0000-0000-0000620C0000}"/>
    <cellStyle name="Currency 5 2 5 6 2" xfId="6716" xr:uid="{00000000-0005-0000-0000-0000630C0000}"/>
    <cellStyle name="Currency 5 2 5 6 2 2" xfId="15166" xr:uid="{AC23D7E7-28E9-4870-A073-358D4C76544E}"/>
    <cellStyle name="Currency 5 2 5 6 3" xfId="10948" xr:uid="{14970613-369A-43B1-9E38-7A5DEFA33B1A}"/>
    <cellStyle name="Currency 5 2 5 7" xfId="2729" xr:uid="{00000000-0005-0000-0000-0000640C0000}"/>
    <cellStyle name="Currency 5 2 5 8" xfId="2810" xr:uid="{00000000-0005-0000-0000-0000650C0000}"/>
    <cellStyle name="Currency 5 2 5 8 2" xfId="7033" xr:uid="{00000000-0005-0000-0000-0000660C0000}"/>
    <cellStyle name="Currency 5 2 5 8 2 2" xfId="15483" xr:uid="{1D17EFA1-D049-4578-B263-E760ABE0BD4F}"/>
    <cellStyle name="Currency 5 2 5 8 3" xfId="11265" xr:uid="{7EC492B4-C493-40C8-8D06-1354EF727F0E}"/>
    <cellStyle name="Currency 5 2 5 9" xfId="4650" xr:uid="{00000000-0005-0000-0000-0000670C0000}"/>
    <cellStyle name="Currency 5 2 5 9 2" xfId="13100" xr:uid="{85EBFE1A-AC93-41D8-A1FF-8919558CDB9D}"/>
    <cellStyle name="Currency 5 2 6" xfId="208" xr:uid="{00000000-0005-0000-0000-0000680C0000}"/>
    <cellStyle name="Currency 5 2 6 10" xfId="8883" xr:uid="{B6C05999-42CB-49EB-B008-A5A71C618A0E}"/>
    <cellStyle name="Currency 5 2 6 2" xfId="735" xr:uid="{00000000-0005-0000-0000-0000690C0000}"/>
    <cellStyle name="Currency 5 2 6 2 2" xfId="2988" xr:uid="{00000000-0005-0000-0000-00006A0C0000}"/>
    <cellStyle name="Currency 5 2 6 2 2 2" xfId="7210" xr:uid="{00000000-0005-0000-0000-00006B0C0000}"/>
    <cellStyle name="Currency 5 2 6 2 2 2 2" xfId="15660" xr:uid="{6B4DC684-D631-4AFF-9588-42683CF876A9}"/>
    <cellStyle name="Currency 5 2 6 2 2 3" xfId="11442" xr:uid="{B66CE024-BB05-455B-A9E3-0325B4273DB8}"/>
    <cellStyle name="Currency 5 2 6 2 3" xfId="5065" xr:uid="{00000000-0005-0000-0000-00006C0C0000}"/>
    <cellStyle name="Currency 5 2 6 2 3 2" xfId="13515" xr:uid="{F93E5AB2-170A-4E3C-9873-7D04A85F53C5}"/>
    <cellStyle name="Currency 5 2 6 2 4" xfId="9297" xr:uid="{81C5BBEC-A940-4711-841A-2D63F733CEE8}"/>
    <cellStyle name="Currency 5 2 6 3" xfId="1170" xr:uid="{00000000-0005-0000-0000-00006D0C0000}"/>
    <cellStyle name="Currency 5 2 6 3 2" xfId="3401" xr:uid="{00000000-0005-0000-0000-00006E0C0000}"/>
    <cellStyle name="Currency 5 2 6 3 2 2" xfId="7623" xr:uid="{00000000-0005-0000-0000-00006F0C0000}"/>
    <cellStyle name="Currency 5 2 6 3 2 2 2" xfId="16073" xr:uid="{1986821D-835F-4BB0-BB98-3B953D9E0439}"/>
    <cellStyle name="Currency 5 2 6 3 2 3" xfId="11855" xr:uid="{D6E00C8F-F3B3-44AE-B0C4-28A946E6B3E6}"/>
    <cellStyle name="Currency 5 2 6 3 3" xfId="5478" xr:uid="{00000000-0005-0000-0000-0000700C0000}"/>
    <cellStyle name="Currency 5 2 6 3 3 2" xfId="13928" xr:uid="{8DE33CDC-5A8E-421B-BDF2-C16074813387}"/>
    <cellStyle name="Currency 5 2 6 3 4" xfId="9710" xr:uid="{79B5187F-49A9-4C0C-97AD-ABCDD661D8D8}"/>
    <cellStyle name="Currency 5 2 6 4" xfId="1584" xr:uid="{00000000-0005-0000-0000-0000710C0000}"/>
    <cellStyle name="Currency 5 2 6 4 2" xfId="3814" xr:uid="{00000000-0005-0000-0000-0000720C0000}"/>
    <cellStyle name="Currency 5 2 6 4 2 2" xfId="8036" xr:uid="{00000000-0005-0000-0000-0000730C0000}"/>
    <cellStyle name="Currency 5 2 6 4 2 2 2" xfId="16486" xr:uid="{29F0C1F3-2C41-48F7-BCDF-3BAA359CFCE8}"/>
    <cellStyle name="Currency 5 2 6 4 2 3" xfId="12268" xr:uid="{BEE213E3-AD06-4F70-A620-14A7DC3E43A0}"/>
    <cellStyle name="Currency 5 2 6 4 3" xfId="5891" xr:uid="{00000000-0005-0000-0000-0000740C0000}"/>
    <cellStyle name="Currency 5 2 6 4 3 2" xfId="14341" xr:uid="{E988A242-8AB0-486D-8C1F-905BE743329C}"/>
    <cellStyle name="Currency 5 2 6 4 4" xfId="10123" xr:uid="{40F5D450-55D5-41DC-B0AC-711C4841CD2B}"/>
    <cellStyle name="Currency 5 2 6 5" xfId="1998" xr:uid="{00000000-0005-0000-0000-0000750C0000}"/>
    <cellStyle name="Currency 5 2 6 5 2" xfId="4227" xr:uid="{00000000-0005-0000-0000-0000760C0000}"/>
    <cellStyle name="Currency 5 2 6 5 2 2" xfId="8449" xr:uid="{00000000-0005-0000-0000-0000770C0000}"/>
    <cellStyle name="Currency 5 2 6 5 2 2 2" xfId="16899" xr:uid="{CB4A4445-EB2C-4A11-9759-A2D09D9F68BF}"/>
    <cellStyle name="Currency 5 2 6 5 2 3" xfId="12681" xr:uid="{7F5AC542-FBFE-4B86-8F6A-0D93B5C0E299}"/>
    <cellStyle name="Currency 5 2 6 5 3" xfId="6304" xr:uid="{00000000-0005-0000-0000-0000780C0000}"/>
    <cellStyle name="Currency 5 2 6 5 3 2" xfId="14754" xr:uid="{0C9B936F-9F01-48AB-B177-17A14F72BF43}"/>
    <cellStyle name="Currency 5 2 6 5 4" xfId="10536" xr:uid="{05942D03-EFE6-4DEF-BC2B-C7725CB0B3A7}"/>
    <cellStyle name="Currency 5 2 6 6" xfId="2433" xr:uid="{00000000-0005-0000-0000-0000790C0000}"/>
    <cellStyle name="Currency 5 2 6 6 2" xfId="6717" xr:uid="{00000000-0005-0000-0000-00007A0C0000}"/>
    <cellStyle name="Currency 5 2 6 6 2 2" xfId="15167" xr:uid="{31BAA24D-8700-4E00-B8AB-F59851E1B00C}"/>
    <cellStyle name="Currency 5 2 6 6 3" xfId="10949" xr:uid="{302E355A-A793-4B80-8B23-17251BE9F224}"/>
    <cellStyle name="Currency 5 2 6 7" xfId="2730" xr:uid="{00000000-0005-0000-0000-00007B0C0000}"/>
    <cellStyle name="Currency 5 2 6 8" xfId="2811" xr:uid="{00000000-0005-0000-0000-00007C0C0000}"/>
    <cellStyle name="Currency 5 2 6 8 2" xfId="7034" xr:uid="{00000000-0005-0000-0000-00007D0C0000}"/>
    <cellStyle name="Currency 5 2 6 8 2 2" xfId="15484" xr:uid="{36111A71-4C35-46A5-BA8F-898BFC6398CB}"/>
    <cellStyle name="Currency 5 2 6 8 3" xfId="11266" xr:uid="{6EF8ED1A-75A3-4253-A91B-6662F6547C40}"/>
    <cellStyle name="Currency 5 2 6 9" xfId="4651" xr:uid="{00000000-0005-0000-0000-00007E0C0000}"/>
    <cellStyle name="Currency 5 2 6 9 2" xfId="13101" xr:uid="{8D628699-45CA-4431-89C8-F04FB6212304}"/>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0 2 2" xfId="15485" xr:uid="{330E5B25-EAE6-4371-863C-597122C91CEF}"/>
    <cellStyle name="Currency 5 3 2 10 3" xfId="11267" xr:uid="{4604A62E-1E57-47EF-8CCB-59CC0E93EA78}"/>
    <cellStyle name="Currency 5 3 2 11" xfId="4652" xr:uid="{00000000-0005-0000-0000-0000840C0000}"/>
    <cellStyle name="Currency 5 3 2 11 2" xfId="13102" xr:uid="{C5D71AB3-BC00-440B-877D-BEE3D18AD5B7}"/>
    <cellStyle name="Currency 5 3 2 12" xfId="8884" xr:uid="{93B8BA88-CBEE-465E-BB1C-DD881D6F6239}"/>
    <cellStyle name="Currency 5 3 2 2" xfId="211" xr:uid="{00000000-0005-0000-0000-0000850C0000}"/>
    <cellStyle name="Currency 5 3 2 2 10" xfId="4653" xr:uid="{00000000-0005-0000-0000-0000860C0000}"/>
    <cellStyle name="Currency 5 3 2 2 10 2" xfId="13103" xr:uid="{AAC27123-C947-4531-B591-A614D396BBBA}"/>
    <cellStyle name="Currency 5 3 2 2 11" xfId="8885" xr:uid="{9EA44572-56D6-4CE2-8136-E82B10B4E279}"/>
    <cellStyle name="Currency 5 3 2 2 2" xfId="212" xr:uid="{00000000-0005-0000-0000-0000870C0000}"/>
    <cellStyle name="Currency 5 3 2 2 2 10" xfId="8886" xr:uid="{53FF9331-DC49-4D8B-8A9E-AF5087CD069C}"/>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2 2 2" xfId="15663" xr:uid="{B759D27A-21CA-4FB5-91A6-32C4EBA4BB9D}"/>
    <cellStyle name="Currency 5 3 2 2 2 2 2 3" xfId="11445" xr:uid="{09B86F99-F59E-4B91-8775-31B6E0F03D7F}"/>
    <cellStyle name="Currency 5 3 2 2 2 2 3" xfId="5068" xr:uid="{00000000-0005-0000-0000-00008B0C0000}"/>
    <cellStyle name="Currency 5 3 2 2 2 2 3 2" xfId="13518" xr:uid="{DA706FF5-3A6D-4E3E-9E75-C6E7DE997E3C}"/>
    <cellStyle name="Currency 5 3 2 2 2 2 4" xfId="9300" xr:uid="{97F67C94-4B52-47DD-899C-11FDAD7C1AC1}"/>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2 2 2" xfId="16076" xr:uid="{6C7A14AE-90BF-42EF-8B76-1532003AE7AF}"/>
    <cellStyle name="Currency 5 3 2 2 2 3 2 3" xfId="11858" xr:uid="{0DB7C01F-E5B4-48A7-9FB3-6BC7D7A174E9}"/>
    <cellStyle name="Currency 5 3 2 2 2 3 3" xfId="5481" xr:uid="{00000000-0005-0000-0000-00008F0C0000}"/>
    <cellStyle name="Currency 5 3 2 2 2 3 3 2" xfId="13931" xr:uid="{95C3BA69-AC46-4B24-8784-E155667B8E94}"/>
    <cellStyle name="Currency 5 3 2 2 2 3 4" xfId="9713" xr:uid="{46B21D23-DCBF-42A4-9230-47B4D7B82577}"/>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2 2 2" xfId="16489" xr:uid="{F58E609E-8737-4A1C-B1F8-1819D4AAD0B4}"/>
    <cellStyle name="Currency 5 3 2 2 2 4 2 3" xfId="12271" xr:uid="{86735E20-7883-4A45-98B1-B15F6DD928D8}"/>
    <cellStyle name="Currency 5 3 2 2 2 4 3" xfId="5894" xr:uid="{00000000-0005-0000-0000-0000930C0000}"/>
    <cellStyle name="Currency 5 3 2 2 2 4 3 2" xfId="14344" xr:uid="{C89EE9FF-2777-4047-9493-FA295E10FF1A}"/>
    <cellStyle name="Currency 5 3 2 2 2 4 4" xfId="10126" xr:uid="{4846219C-B2FD-438F-95C5-88C8D7DA4966}"/>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2 2 2" xfId="16902" xr:uid="{3C54F2A6-3A76-4B83-A813-D8E69127E7DC}"/>
    <cellStyle name="Currency 5 3 2 2 2 5 2 3" xfId="12684" xr:uid="{E512ADE2-3698-4553-91CB-5EFC07672DF3}"/>
    <cellStyle name="Currency 5 3 2 2 2 5 3" xfId="6307" xr:uid="{00000000-0005-0000-0000-0000970C0000}"/>
    <cellStyle name="Currency 5 3 2 2 2 5 3 2" xfId="14757" xr:uid="{FED29A23-490E-4388-B153-4D79A2244B21}"/>
    <cellStyle name="Currency 5 3 2 2 2 5 4" xfId="10539" xr:uid="{BDF9D656-99AC-4BD4-B238-06F4EE07EDFA}"/>
    <cellStyle name="Currency 5 3 2 2 2 6" xfId="2436" xr:uid="{00000000-0005-0000-0000-0000980C0000}"/>
    <cellStyle name="Currency 5 3 2 2 2 6 2" xfId="6720" xr:uid="{00000000-0005-0000-0000-0000990C0000}"/>
    <cellStyle name="Currency 5 3 2 2 2 6 2 2" xfId="15170" xr:uid="{BC298DE0-37D3-435E-85F2-1B5BB4F60CF5}"/>
    <cellStyle name="Currency 5 3 2 2 2 6 3" xfId="10952" xr:uid="{0457EEAD-4541-43C4-AE85-892BE58B1DB8}"/>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8 2 2" xfId="15487" xr:uid="{D2D03BFC-B63D-4E79-9560-CDCE6FA6F621}"/>
    <cellStyle name="Currency 5 3 2 2 2 8 3" xfId="11269" xr:uid="{C6D057C3-4AB2-4EE0-A0DB-B8CC5ADFCD0B}"/>
    <cellStyle name="Currency 5 3 2 2 2 9" xfId="4654" xr:uid="{00000000-0005-0000-0000-00009D0C0000}"/>
    <cellStyle name="Currency 5 3 2 2 2 9 2" xfId="13104" xr:uid="{EAD4DE80-C205-4E07-A819-7C87F6632565}"/>
    <cellStyle name="Currency 5 3 2 2 3" xfId="737" xr:uid="{00000000-0005-0000-0000-00009E0C0000}"/>
    <cellStyle name="Currency 5 3 2 2 3 2" xfId="2990" xr:uid="{00000000-0005-0000-0000-00009F0C0000}"/>
    <cellStyle name="Currency 5 3 2 2 3 2 2" xfId="7212" xr:uid="{00000000-0005-0000-0000-0000A00C0000}"/>
    <cellStyle name="Currency 5 3 2 2 3 2 2 2" xfId="15662" xr:uid="{CBE914C0-01D2-434D-9199-A8D29FC69989}"/>
    <cellStyle name="Currency 5 3 2 2 3 2 3" xfId="11444" xr:uid="{829A522E-1AC8-4699-90B1-1979F062E56B}"/>
    <cellStyle name="Currency 5 3 2 2 3 3" xfId="5067" xr:uid="{00000000-0005-0000-0000-0000A10C0000}"/>
    <cellStyle name="Currency 5 3 2 2 3 3 2" xfId="13517" xr:uid="{43920EF6-5EB7-4CA3-960E-BE5E9943DD7A}"/>
    <cellStyle name="Currency 5 3 2 2 3 4" xfId="9299" xr:uid="{2ACED925-A3A1-4D6E-BB92-1EEE731338B5}"/>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2 2 2" xfId="16075" xr:uid="{B2DEA26D-027B-4B29-84BB-50C728D89BA0}"/>
    <cellStyle name="Currency 5 3 2 2 4 2 3" xfId="11857" xr:uid="{BA603F7D-5E20-4C8D-ABCB-8DA6C8EC0152}"/>
    <cellStyle name="Currency 5 3 2 2 4 3" xfId="5480" xr:uid="{00000000-0005-0000-0000-0000A50C0000}"/>
    <cellStyle name="Currency 5 3 2 2 4 3 2" xfId="13930" xr:uid="{FE90D3C7-EE92-46D9-95D7-FF07F44CD8D1}"/>
    <cellStyle name="Currency 5 3 2 2 4 4" xfId="9712" xr:uid="{18B42B7B-20CD-4779-BEA3-26996561E27D}"/>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2 2 2" xfId="16488" xr:uid="{9A0070D3-1014-424E-88A7-13F3822FF0D6}"/>
    <cellStyle name="Currency 5 3 2 2 5 2 3" xfId="12270" xr:uid="{0050AFC7-1151-45FC-B967-DFC69D7FA54E}"/>
    <cellStyle name="Currency 5 3 2 2 5 3" xfId="5893" xr:uid="{00000000-0005-0000-0000-0000A90C0000}"/>
    <cellStyle name="Currency 5 3 2 2 5 3 2" xfId="14343" xr:uid="{1CE90CD1-5A0A-436E-B15A-84FB4DCBF01E}"/>
    <cellStyle name="Currency 5 3 2 2 5 4" xfId="10125" xr:uid="{B6BA4AED-5110-4C8C-B5F8-FD80708F19C3}"/>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2 2 2" xfId="16901" xr:uid="{57DFBE93-503C-423E-8B63-2E9DEC5036B9}"/>
    <cellStyle name="Currency 5 3 2 2 6 2 3" xfId="12683" xr:uid="{AE2E797C-6CA5-45F5-BE05-DED21128512D}"/>
    <cellStyle name="Currency 5 3 2 2 6 3" xfId="6306" xr:uid="{00000000-0005-0000-0000-0000AD0C0000}"/>
    <cellStyle name="Currency 5 3 2 2 6 3 2" xfId="14756" xr:uid="{34E041F8-5D42-4F93-AA1F-8BC75A2877D9}"/>
    <cellStyle name="Currency 5 3 2 2 6 4" xfId="10538" xr:uid="{A129953E-FB11-42BA-B589-93676B6F94F9}"/>
    <cellStyle name="Currency 5 3 2 2 7" xfId="2435" xr:uid="{00000000-0005-0000-0000-0000AE0C0000}"/>
    <cellStyle name="Currency 5 3 2 2 7 2" xfId="6719" xr:uid="{00000000-0005-0000-0000-0000AF0C0000}"/>
    <cellStyle name="Currency 5 3 2 2 7 2 2" xfId="15169" xr:uid="{E50E4B33-FE2C-41B0-9654-079153342C80}"/>
    <cellStyle name="Currency 5 3 2 2 7 3" xfId="10951" xr:uid="{8D5EE988-7F11-4038-8060-7C4A97890CED}"/>
    <cellStyle name="Currency 5 3 2 2 8" xfId="2732" xr:uid="{00000000-0005-0000-0000-0000B00C0000}"/>
    <cellStyle name="Currency 5 3 2 2 9" xfId="2813" xr:uid="{00000000-0005-0000-0000-0000B10C0000}"/>
    <cellStyle name="Currency 5 3 2 2 9 2" xfId="7036" xr:uid="{00000000-0005-0000-0000-0000B20C0000}"/>
    <cellStyle name="Currency 5 3 2 2 9 2 2" xfId="15486" xr:uid="{392F5C9E-908C-44D6-8817-E4029BF33301}"/>
    <cellStyle name="Currency 5 3 2 2 9 3" xfId="11268" xr:uid="{FAE945C7-46EA-479E-8608-2986EAA2745A}"/>
    <cellStyle name="Currency 5 3 2 3" xfId="213" xr:uid="{00000000-0005-0000-0000-0000B30C0000}"/>
    <cellStyle name="Currency 5 3 2 3 10" xfId="8887" xr:uid="{B738ADD7-2F66-40DD-9261-3FE3C427E6B6}"/>
    <cellStyle name="Currency 5 3 2 3 2" xfId="739" xr:uid="{00000000-0005-0000-0000-0000B40C0000}"/>
    <cellStyle name="Currency 5 3 2 3 2 2" xfId="2992" xr:uid="{00000000-0005-0000-0000-0000B50C0000}"/>
    <cellStyle name="Currency 5 3 2 3 2 2 2" xfId="7214" xr:uid="{00000000-0005-0000-0000-0000B60C0000}"/>
    <cellStyle name="Currency 5 3 2 3 2 2 2 2" xfId="15664" xr:uid="{B46A8240-E141-411E-81E5-F794EE2B76EA}"/>
    <cellStyle name="Currency 5 3 2 3 2 2 3" xfId="11446" xr:uid="{97BF2563-F35C-4EEB-8041-D538462B341C}"/>
    <cellStyle name="Currency 5 3 2 3 2 3" xfId="5069" xr:uid="{00000000-0005-0000-0000-0000B70C0000}"/>
    <cellStyle name="Currency 5 3 2 3 2 3 2" xfId="13519" xr:uid="{9146B124-C581-4548-AB38-0588557018BD}"/>
    <cellStyle name="Currency 5 3 2 3 2 4" xfId="9301" xr:uid="{ED3FC6F6-1CAB-46EC-925C-9255FE3973EE}"/>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2 2 2" xfId="16077" xr:uid="{61C9DB43-2976-47C3-92C4-59447BC60C07}"/>
    <cellStyle name="Currency 5 3 2 3 3 2 3" xfId="11859" xr:uid="{DA1650BF-1A7A-4998-B968-2353DE32B5CB}"/>
    <cellStyle name="Currency 5 3 2 3 3 3" xfId="5482" xr:uid="{00000000-0005-0000-0000-0000BB0C0000}"/>
    <cellStyle name="Currency 5 3 2 3 3 3 2" xfId="13932" xr:uid="{4AA80673-9996-4A03-9A4E-99D064C44F5E}"/>
    <cellStyle name="Currency 5 3 2 3 3 4" xfId="9714" xr:uid="{394C1D0B-7737-4967-9A81-CD76FB1072D6}"/>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2 2 2" xfId="16490" xr:uid="{49E9AE95-2B6D-419D-8E29-54570D1C652A}"/>
    <cellStyle name="Currency 5 3 2 3 4 2 3" xfId="12272" xr:uid="{F9FD6F37-F080-4512-812B-A04EDC6A065F}"/>
    <cellStyle name="Currency 5 3 2 3 4 3" xfId="5895" xr:uid="{00000000-0005-0000-0000-0000BF0C0000}"/>
    <cellStyle name="Currency 5 3 2 3 4 3 2" xfId="14345" xr:uid="{B20F540F-6628-4F94-AEDE-8F15D35FFFEA}"/>
    <cellStyle name="Currency 5 3 2 3 4 4" xfId="10127" xr:uid="{12769DF9-6B22-48F7-A170-C96588728FDA}"/>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2 2 2" xfId="16903" xr:uid="{5F7E82C6-2DAA-4A6F-9619-A9DD648FC5F7}"/>
    <cellStyle name="Currency 5 3 2 3 5 2 3" xfId="12685" xr:uid="{0CA44116-1C66-4DB8-8718-D990BFE08FD9}"/>
    <cellStyle name="Currency 5 3 2 3 5 3" xfId="6308" xr:uid="{00000000-0005-0000-0000-0000C30C0000}"/>
    <cellStyle name="Currency 5 3 2 3 5 3 2" xfId="14758" xr:uid="{574D31CA-A2B0-454B-8034-E4565E004F05}"/>
    <cellStyle name="Currency 5 3 2 3 5 4" xfId="10540" xr:uid="{4EA3C9EE-3AE9-4AC3-BF07-144C704A0DB7}"/>
    <cellStyle name="Currency 5 3 2 3 6" xfId="2437" xr:uid="{00000000-0005-0000-0000-0000C40C0000}"/>
    <cellStyle name="Currency 5 3 2 3 6 2" xfId="6721" xr:uid="{00000000-0005-0000-0000-0000C50C0000}"/>
    <cellStyle name="Currency 5 3 2 3 6 2 2" xfId="15171" xr:uid="{078C0927-2EDB-4998-A38B-44AF9893DDEB}"/>
    <cellStyle name="Currency 5 3 2 3 6 3" xfId="10953" xr:uid="{32B3211F-E574-472B-A400-F75F176CAF8C}"/>
    <cellStyle name="Currency 5 3 2 3 7" xfId="2734" xr:uid="{00000000-0005-0000-0000-0000C60C0000}"/>
    <cellStyle name="Currency 5 3 2 3 8" xfId="2815" xr:uid="{00000000-0005-0000-0000-0000C70C0000}"/>
    <cellStyle name="Currency 5 3 2 3 8 2" xfId="7038" xr:uid="{00000000-0005-0000-0000-0000C80C0000}"/>
    <cellStyle name="Currency 5 3 2 3 8 2 2" xfId="15488" xr:uid="{A612CB6C-500C-4306-AF4B-25D4611935CB}"/>
    <cellStyle name="Currency 5 3 2 3 8 3" xfId="11270" xr:uid="{5A6D23CD-112F-4D26-A6A1-32579C8C7DDC}"/>
    <cellStyle name="Currency 5 3 2 3 9" xfId="4655" xr:uid="{00000000-0005-0000-0000-0000C90C0000}"/>
    <cellStyle name="Currency 5 3 2 3 9 2" xfId="13105" xr:uid="{F5DB3AE8-890E-4012-A3B5-CA9C9B3C862F}"/>
    <cellStyle name="Currency 5 3 2 4" xfId="736" xr:uid="{00000000-0005-0000-0000-0000CA0C0000}"/>
    <cellStyle name="Currency 5 3 2 4 2" xfId="2989" xr:uid="{00000000-0005-0000-0000-0000CB0C0000}"/>
    <cellStyle name="Currency 5 3 2 4 2 2" xfId="7211" xr:uid="{00000000-0005-0000-0000-0000CC0C0000}"/>
    <cellStyle name="Currency 5 3 2 4 2 2 2" xfId="15661" xr:uid="{0D074D71-B5AC-469B-B0AD-6395916BA690}"/>
    <cellStyle name="Currency 5 3 2 4 2 3" xfId="11443" xr:uid="{3ADE934A-A073-4582-8D63-38F3186F2791}"/>
    <cellStyle name="Currency 5 3 2 4 3" xfId="5066" xr:uid="{00000000-0005-0000-0000-0000CD0C0000}"/>
    <cellStyle name="Currency 5 3 2 4 3 2" xfId="13516" xr:uid="{A530AD98-2945-4D8E-B170-5B41F4DBDB40}"/>
    <cellStyle name="Currency 5 3 2 4 4" xfId="9298" xr:uid="{02633A9A-3B85-4708-AAD9-3825775034C9}"/>
    <cellStyle name="Currency 5 3 2 5" xfId="1171" xr:uid="{00000000-0005-0000-0000-0000CE0C0000}"/>
    <cellStyle name="Currency 5 3 2 5 2" xfId="3402" xr:uid="{00000000-0005-0000-0000-0000CF0C0000}"/>
    <cellStyle name="Currency 5 3 2 5 2 2" xfId="7624" xr:uid="{00000000-0005-0000-0000-0000D00C0000}"/>
    <cellStyle name="Currency 5 3 2 5 2 2 2" xfId="16074" xr:uid="{511C0237-5AE9-4222-B4EF-BA43AEF10160}"/>
    <cellStyle name="Currency 5 3 2 5 2 3" xfId="11856" xr:uid="{89AD187D-1E39-4EB7-B664-BB92AEFD2F8A}"/>
    <cellStyle name="Currency 5 3 2 5 3" xfId="5479" xr:uid="{00000000-0005-0000-0000-0000D10C0000}"/>
    <cellStyle name="Currency 5 3 2 5 3 2" xfId="13929" xr:uid="{44C14C27-F59D-4DD6-B22E-AA3317239CF7}"/>
    <cellStyle name="Currency 5 3 2 5 4" xfId="9711" xr:uid="{06129383-4F66-4E8A-97A0-D2A8C0841877}"/>
    <cellStyle name="Currency 5 3 2 6" xfId="1585" xr:uid="{00000000-0005-0000-0000-0000D20C0000}"/>
    <cellStyle name="Currency 5 3 2 6 2" xfId="3815" xr:uid="{00000000-0005-0000-0000-0000D30C0000}"/>
    <cellStyle name="Currency 5 3 2 6 2 2" xfId="8037" xr:uid="{00000000-0005-0000-0000-0000D40C0000}"/>
    <cellStyle name="Currency 5 3 2 6 2 2 2" xfId="16487" xr:uid="{BB35F573-E0AD-43AF-B797-6F2065AC582C}"/>
    <cellStyle name="Currency 5 3 2 6 2 3" xfId="12269" xr:uid="{39C1B7F2-CB54-403B-AE2A-FADF8B86D909}"/>
    <cellStyle name="Currency 5 3 2 6 3" xfId="5892" xr:uid="{00000000-0005-0000-0000-0000D50C0000}"/>
    <cellStyle name="Currency 5 3 2 6 3 2" xfId="14342" xr:uid="{BE1FB5AD-1508-40B0-9066-91129C22FB73}"/>
    <cellStyle name="Currency 5 3 2 6 4" xfId="10124" xr:uid="{35B9F5B2-5113-45BE-A42D-4CE43F6BD5CB}"/>
    <cellStyle name="Currency 5 3 2 7" xfId="1999" xr:uid="{00000000-0005-0000-0000-0000D60C0000}"/>
    <cellStyle name="Currency 5 3 2 7 2" xfId="4228" xr:uid="{00000000-0005-0000-0000-0000D70C0000}"/>
    <cellStyle name="Currency 5 3 2 7 2 2" xfId="8450" xr:uid="{00000000-0005-0000-0000-0000D80C0000}"/>
    <cellStyle name="Currency 5 3 2 7 2 2 2" xfId="16900" xr:uid="{EDB21999-49BF-4BB6-94E4-5A9FA8ABFA11}"/>
    <cellStyle name="Currency 5 3 2 7 2 3" xfId="12682" xr:uid="{0DBB9A6F-0DDD-4B41-91DE-96608D86F731}"/>
    <cellStyle name="Currency 5 3 2 7 3" xfId="6305" xr:uid="{00000000-0005-0000-0000-0000D90C0000}"/>
    <cellStyle name="Currency 5 3 2 7 3 2" xfId="14755" xr:uid="{E38843E3-81B2-435C-ADBE-D77D8BDD3D7A}"/>
    <cellStyle name="Currency 5 3 2 7 4" xfId="10537" xr:uid="{E7A413F4-DEF1-4979-AFB6-D26CEA2D5A79}"/>
    <cellStyle name="Currency 5 3 2 8" xfId="2434" xr:uid="{00000000-0005-0000-0000-0000DA0C0000}"/>
    <cellStyle name="Currency 5 3 2 8 2" xfId="6718" xr:uid="{00000000-0005-0000-0000-0000DB0C0000}"/>
    <cellStyle name="Currency 5 3 2 8 2 2" xfId="15168" xr:uid="{4E556E06-C827-479A-BA8F-655D85CD0877}"/>
    <cellStyle name="Currency 5 3 2 8 3" xfId="10950" xr:uid="{D18689CF-88C6-4197-88CE-E8974CB1E190}"/>
    <cellStyle name="Currency 5 3 2 9" xfId="2731" xr:uid="{00000000-0005-0000-0000-0000DC0C0000}"/>
    <cellStyle name="Currency 5 3 3" xfId="214" xr:uid="{00000000-0005-0000-0000-0000DD0C0000}"/>
    <cellStyle name="Currency 5 3 3 10" xfId="4656" xr:uid="{00000000-0005-0000-0000-0000DE0C0000}"/>
    <cellStyle name="Currency 5 3 3 10 2" xfId="13106" xr:uid="{3ED84730-E82E-42C5-B460-BDD74A454F71}"/>
    <cellStyle name="Currency 5 3 3 11" xfId="8888" xr:uid="{5138639D-FF7A-4BD9-927B-6C4C3C3E6B55}"/>
    <cellStyle name="Currency 5 3 3 2" xfId="215" xr:uid="{00000000-0005-0000-0000-0000DF0C0000}"/>
    <cellStyle name="Currency 5 3 3 2 10" xfId="8889" xr:uid="{B1DFFC08-98FB-4CCB-B168-AF323CBAD192}"/>
    <cellStyle name="Currency 5 3 3 2 2" xfId="741" xr:uid="{00000000-0005-0000-0000-0000E00C0000}"/>
    <cellStyle name="Currency 5 3 3 2 2 2" xfId="2994" xr:uid="{00000000-0005-0000-0000-0000E10C0000}"/>
    <cellStyle name="Currency 5 3 3 2 2 2 2" xfId="7216" xr:uid="{00000000-0005-0000-0000-0000E20C0000}"/>
    <cellStyle name="Currency 5 3 3 2 2 2 2 2" xfId="15666" xr:uid="{B7048933-8BF0-4523-BDC7-662065CF2C5F}"/>
    <cellStyle name="Currency 5 3 3 2 2 2 3" xfId="11448" xr:uid="{91A62A6A-0989-4A1E-925F-7C7544D23F7C}"/>
    <cellStyle name="Currency 5 3 3 2 2 3" xfId="5071" xr:uid="{00000000-0005-0000-0000-0000E30C0000}"/>
    <cellStyle name="Currency 5 3 3 2 2 3 2" xfId="13521" xr:uid="{3FB5BA2C-8CDC-42C2-81E0-E0D851CE050D}"/>
    <cellStyle name="Currency 5 3 3 2 2 4" xfId="9303" xr:uid="{C8CBCEF3-EFDF-4D83-B0F4-9956C36D03CD}"/>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2 2 2" xfId="16079" xr:uid="{3AA49DEF-D38C-4424-A6D7-487E5915F6D3}"/>
    <cellStyle name="Currency 5 3 3 2 3 2 3" xfId="11861" xr:uid="{AE10FB53-9E81-4D43-9F47-67287F0703DE}"/>
    <cellStyle name="Currency 5 3 3 2 3 3" xfId="5484" xr:uid="{00000000-0005-0000-0000-0000E70C0000}"/>
    <cellStyle name="Currency 5 3 3 2 3 3 2" xfId="13934" xr:uid="{0D3530F5-EE6E-4579-ACFD-2DE4E28845E0}"/>
    <cellStyle name="Currency 5 3 3 2 3 4" xfId="9716" xr:uid="{EEA37B9C-DC4B-4ED1-AFB5-9F6EAFCE1DA7}"/>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2 2 2" xfId="16492" xr:uid="{E6C4CDD8-C903-49F9-B85F-7F311380CBF8}"/>
    <cellStyle name="Currency 5 3 3 2 4 2 3" xfId="12274" xr:uid="{6B06A2EC-AEC4-49DA-9F15-934A59AD7F66}"/>
    <cellStyle name="Currency 5 3 3 2 4 3" xfId="5897" xr:uid="{00000000-0005-0000-0000-0000EB0C0000}"/>
    <cellStyle name="Currency 5 3 3 2 4 3 2" xfId="14347" xr:uid="{600FB04F-B6AE-4318-A051-50FEFA76F723}"/>
    <cellStyle name="Currency 5 3 3 2 4 4" xfId="10129" xr:uid="{019124B8-9765-4CF3-BBA8-2118926E4424}"/>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2 2 2" xfId="16905" xr:uid="{2E8EDE6D-71BC-48CD-95DF-E0A81F0A1AC0}"/>
    <cellStyle name="Currency 5 3 3 2 5 2 3" xfId="12687" xr:uid="{212E9825-3A3C-46E5-BE85-A6E586981719}"/>
    <cellStyle name="Currency 5 3 3 2 5 3" xfId="6310" xr:uid="{00000000-0005-0000-0000-0000EF0C0000}"/>
    <cellStyle name="Currency 5 3 3 2 5 3 2" xfId="14760" xr:uid="{7DEC173F-0316-42A3-BAAF-E7EAC3971703}"/>
    <cellStyle name="Currency 5 3 3 2 5 4" xfId="10542" xr:uid="{B5C19E12-5192-4E8E-ABAA-E4968B6084E5}"/>
    <cellStyle name="Currency 5 3 3 2 6" xfId="2439" xr:uid="{00000000-0005-0000-0000-0000F00C0000}"/>
    <cellStyle name="Currency 5 3 3 2 6 2" xfId="6723" xr:uid="{00000000-0005-0000-0000-0000F10C0000}"/>
    <cellStyle name="Currency 5 3 3 2 6 2 2" xfId="15173" xr:uid="{8C164620-433F-40ED-96A4-DD1BCBA12DCB}"/>
    <cellStyle name="Currency 5 3 3 2 6 3" xfId="10955" xr:uid="{4F0984AD-8CE3-4712-993E-BBA0B2C6C19C}"/>
    <cellStyle name="Currency 5 3 3 2 7" xfId="2736" xr:uid="{00000000-0005-0000-0000-0000F20C0000}"/>
    <cellStyle name="Currency 5 3 3 2 8" xfId="2817" xr:uid="{00000000-0005-0000-0000-0000F30C0000}"/>
    <cellStyle name="Currency 5 3 3 2 8 2" xfId="7040" xr:uid="{00000000-0005-0000-0000-0000F40C0000}"/>
    <cellStyle name="Currency 5 3 3 2 8 2 2" xfId="15490" xr:uid="{4EF5ACDB-C4C0-4975-B39B-7519F0281721}"/>
    <cellStyle name="Currency 5 3 3 2 8 3" xfId="11272" xr:uid="{03C611F1-60E1-4D5F-B528-CAB2FF7CEE74}"/>
    <cellStyle name="Currency 5 3 3 2 9" xfId="4657" xr:uid="{00000000-0005-0000-0000-0000F50C0000}"/>
    <cellStyle name="Currency 5 3 3 2 9 2" xfId="13107" xr:uid="{DCA3EF33-DB94-4242-8E03-27525E9874A0}"/>
    <cellStyle name="Currency 5 3 3 3" xfId="740" xr:uid="{00000000-0005-0000-0000-0000F60C0000}"/>
    <cellStyle name="Currency 5 3 3 3 2" xfId="2993" xr:uid="{00000000-0005-0000-0000-0000F70C0000}"/>
    <cellStyle name="Currency 5 3 3 3 2 2" xfId="7215" xr:uid="{00000000-0005-0000-0000-0000F80C0000}"/>
    <cellStyle name="Currency 5 3 3 3 2 2 2" xfId="15665" xr:uid="{24D42B0F-8476-47DB-AA21-AF65DEDEC18B}"/>
    <cellStyle name="Currency 5 3 3 3 2 3" xfId="11447" xr:uid="{71627111-E0C3-4239-9A37-5EA91AF41600}"/>
    <cellStyle name="Currency 5 3 3 3 3" xfId="5070" xr:uid="{00000000-0005-0000-0000-0000F90C0000}"/>
    <cellStyle name="Currency 5 3 3 3 3 2" xfId="13520" xr:uid="{F9E46A9E-3080-4CC4-9D33-156693B3AB4B}"/>
    <cellStyle name="Currency 5 3 3 3 4" xfId="9302" xr:uid="{E197CDAA-4305-4512-99E6-9E3E203BA16E}"/>
    <cellStyle name="Currency 5 3 3 4" xfId="1175" xr:uid="{00000000-0005-0000-0000-0000FA0C0000}"/>
    <cellStyle name="Currency 5 3 3 4 2" xfId="3406" xr:uid="{00000000-0005-0000-0000-0000FB0C0000}"/>
    <cellStyle name="Currency 5 3 3 4 2 2" xfId="7628" xr:uid="{00000000-0005-0000-0000-0000FC0C0000}"/>
    <cellStyle name="Currency 5 3 3 4 2 2 2" xfId="16078" xr:uid="{61B25B1A-0436-4E4E-901F-082E54C95642}"/>
    <cellStyle name="Currency 5 3 3 4 2 3" xfId="11860" xr:uid="{4152263A-F46E-434B-99D2-F36945F6602F}"/>
    <cellStyle name="Currency 5 3 3 4 3" xfId="5483" xr:uid="{00000000-0005-0000-0000-0000FD0C0000}"/>
    <cellStyle name="Currency 5 3 3 4 3 2" xfId="13933" xr:uid="{34D558C7-2B8C-4085-8DD7-4F8A98B22C74}"/>
    <cellStyle name="Currency 5 3 3 4 4" xfId="9715" xr:uid="{5E3D77F3-60ED-47FF-9A77-9E0299FE9899}"/>
    <cellStyle name="Currency 5 3 3 5" xfId="1589" xr:uid="{00000000-0005-0000-0000-0000FE0C0000}"/>
    <cellStyle name="Currency 5 3 3 5 2" xfId="3819" xr:uid="{00000000-0005-0000-0000-0000FF0C0000}"/>
    <cellStyle name="Currency 5 3 3 5 2 2" xfId="8041" xr:uid="{00000000-0005-0000-0000-0000000D0000}"/>
    <cellStyle name="Currency 5 3 3 5 2 2 2" xfId="16491" xr:uid="{018E922F-0F40-4971-B964-E6CE10C9CE60}"/>
    <cellStyle name="Currency 5 3 3 5 2 3" xfId="12273" xr:uid="{E9F937A5-848A-4DCA-B542-586CC2BBF59E}"/>
    <cellStyle name="Currency 5 3 3 5 3" xfId="5896" xr:uid="{00000000-0005-0000-0000-0000010D0000}"/>
    <cellStyle name="Currency 5 3 3 5 3 2" xfId="14346" xr:uid="{C3EBD4C2-AD13-4B83-B806-FD9F60E76E44}"/>
    <cellStyle name="Currency 5 3 3 5 4" xfId="10128" xr:uid="{1068390F-ED67-4F49-AA3D-C66D35835F52}"/>
    <cellStyle name="Currency 5 3 3 6" xfId="2003" xr:uid="{00000000-0005-0000-0000-0000020D0000}"/>
    <cellStyle name="Currency 5 3 3 6 2" xfId="4232" xr:uid="{00000000-0005-0000-0000-0000030D0000}"/>
    <cellStyle name="Currency 5 3 3 6 2 2" xfId="8454" xr:uid="{00000000-0005-0000-0000-0000040D0000}"/>
    <cellStyle name="Currency 5 3 3 6 2 2 2" xfId="16904" xr:uid="{57DFAEB9-FF27-4903-B1B3-E1E781537F5B}"/>
    <cellStyle name="Currency 5 3 3 6 2 3" xfId="12686" xr:uid="{A2904E31-A72D-4AAF-89B2-7942A20E3E19}"/>
    <cellStyle name="Currency 5 3 3 6 3" xfId="6309" xr:uid="{00000000-0005-0000-0000-0000050D0000}"/>
    <cellStyle name="Currency 5 3 3 6 3 2" xfId="14759" xr:uid="{AB836563-9AEA-499D-AD7D-3D2765466BFC}"/>
    <cellStyle name="Currency 5 3 3 6 4" xfId="10541" xr:uid="{399248FB-4F0D-460D-A56C-A2B9A52F7B05}"/>
    <cellStyle name="Currency 5 3 3 7" xfId="2438" xr:uid="{00000000-0005-0000-0000-0000060D0000}"/>
    <cellStyle name="Currency 5 3 3 7 2" xfId="6722" xr:uid="{00000000-0005-0000-0000-0000070D0000}"/>
    <cellStyle name="Currency 5 3 3 7 2 2" xfId="15172" xr:uid="{84EDDF07-B415-4030-B979-D156547A497E}"/>
    <cellStyle name="Currency 5 3 3 7 3" xfId="10954" xr:uid="{3BC68A94-A311-454B-ADED-BCFF406D498B}"/>
    <cellStyle name="Currency 5 3 3 8" xfId="2735" xr:uid="{00000000-0005-0000-0000-0000080D0000}"/>
    <cellStyle name="Currency 5 3 3 9" xfId="2816" xr:uid="{00000000-0005-0000-0000-0000090D0000}"/>
    <cellStyle name="Currency 5 3 3 9 2" xfId="7039" xr:uid="{00000000-0005-0000-0000-00000A0D0000}"/>
    <cellStyle name="Currency 5 3 3 9 2 2" xfId="15489" xr:uid="{FBA1EA19-4005-4F52-A199-70B0B1CBE7EB}"/>
    <cellStyle name="Currency 5 3 3 9 3" xfId="11271" xr:uid="{5EB9F0D8-272D-4D99-BEC0-3B2D593B69F2}"/>
    <cellStyle name="Currency 5 3 4" xfId="216" xr:uid="{00000000-0005-0000-0000-00000B0D0000}"/>
    <cellStyle name="Currency 5 3 4 10" xfId="8890" xr:uid="{9E04EAA4-6EB9-4DCD-99C3-F07AF9C37ED8}"/>
    <cellStyle name="Currency 5 3 4 2" xfId="742" xr:uid="{00000000-0005-0000-0000-00000C0D0000}"/>
    <cellStyle name="Currency 5 3 4 2 2" xfId="2995" xr:uid="{00000000-0005-0000-0000-00000D0D0000}"/>
    <cellStyle name="Currency 5 3 4 2 2 2" xfId="7217" xr:uid="{00000000-0005-0000-0000-00000E0D0000}"/>
    <cellStyle name="Currency 5 3 4 2 2 2 2" xfId="15667" xr:uid="{9FA4E2E4-DF93-4E7C-9DC0-384B96454E87}"/>
    <cellStyle name="Currency 5 3 4 2 2 3" xfId="11449" xr:uid="{A9C0C316-8C7D-4302-A156-1926C697F6ED}"/>
    <cellStyle name="Currency 5 3 4 2 3" xfId="5072" xr:uid="{00000000-0005-0000-0000-00000F0D0000}"/>
    <cellStyle name="Currency 5 3 4 2 3 2" xfId="13522" xr:uid="{CCFF8998-B954-4C38-8F0F-2A43C8220A52}"/>
    <cellStyle name="Currency 5 3 4 2 4" xfId="9304" xr:uid="{29A710FC-88DA-460C-92B6-B3149C0DEEAB}"/>
    <cellStyle name="Currency 5 3 4 3" xfId="1177" xr:uid="{00000000-0005-0000-0000-0000100D0000}"/>
    <cellStyle name="Currency 5 3 4 3 2" xfId="3408" xr:uid="{00000000-0005-0000-0000-0000110D0000}"/>
    <cellStyle name="Currency 5 3 4 3 2 2" xfId="7630" xr:uid="{00000000-0005-0000-0000-0000120D0000}"/>
    <cellStyle name="Currency 5 3 4 3 2 2 2" xfId="16080" xr:uid="{ACA4224F-3129-48FC-89B4-4D561F646CE2}"/>
    <cellStyle name="Currency 5 3 4 3 2 3" xfId="11862" xr:uid="{736C3BF8-05E2-42C8-BC47-9F2341A340CB}"/>
    <cellStyle name="Currency 5 3 4 3 3" xfId="5485" xr:uid="{00000000-0005-0000-0000-0000130D0000}"/>
    <cellStyle name="Currency 5 3 4 3 3 2" xfId="13935" xr:uid="{A3866C0B-0DF5-44F0-88C3-838E7A8639AE}"/>
    <cellStyle name="Currency 5 3 4 3 4" xfId="9717" xr:uid="{130282F4-6E61-44F7-BF0E-A59BEA3C9A48}"/>
    <cellStyle name="Currency 5 3 4 4" xfId="1591" xr:uid="{00000000-0005-0000-0000-0000140D0000}"/>
    <cellStyle name="Currency 5 3 4 4 2" xfId="3821" xr:uid="{00000000-0005-0000-0000-0000150D0000}"/>
    <cellStyle name="Currency 5 3 4 4 2 2" xfId="8043" xr:uid="{00000000-0005-0000-0000-0000160D0000}"/>
    <cellStyle name="Currency 5 3 4 4 2 2 2" xfId="16493" xr:uid="{6C838768-B03B-4BDF-930C-0D6CD9732578}"/>
    <cellStyle name="Currency 5 3 4 4 2 3" xfId="12275" xr:uid="{DDF33EA8-A309-4DD0-8EA5-B6706F709DF0}"/>
    <cellStyle name="Currency 5 3 4 4 3" xfId="5898" xr:uid="{00000000-0005-0000-0000-0000170D0000}"/>
    <cellStyle name="Currency 5 3 4 4 3 2" xfId="14348" xr:uid="{F107ADEF-C5C7-4173-B278-BC29A8345FB0}"/>
    <cellStyle name="Currency 5 3 4 4 4" xfId="10130" xr:uid="{19AFD627-AD49-44F3-8B9D-8F1AC515463D}"/>
    <cellStyle name="Currency 5 3 4 5" xfId="2005" xr:uid="{00000000-0005-0000-0000-0000180D0000}"/>
    <cellStyle name="Currency 5 3 4 5 2" xfId="4234" xr:uid="{00000000-0005-0000-0000-0000190D0000}"/>
    <cellStyle name="Currency 5 3 4 5 2 2" xfId="8456" xr:uid="{00000000-0005-0000-0000-00001A0D0000}"/>
    <cellStyle name="Currency 5 3 4 5 2 2 2" xfId="16906" xr:uid="{F7C6301C-6ADC-4E3B-865D-360F81246FDC}"/>
    <cellStyle name="Currency 5 3 4 5 2 3" xfId="12688" xr:uid="{FD9365B6-B241-42EB-807B-FF09975AD435}"/>
    <cellStyle name="Currency 5 3 4 5 3" xfId="6311" xr:uid="{00000000-0005-0000-0000-00001B0D0000}"/>
    <cellStyle name="Currency 5 3 4 5 3 2" xfId="14761" xr:uid="{3A8A5B31-1B1D-46CA-BE99-706346B01444}"/>
    <cellStyle name="Currency 5 3 4 5 4" xfId="10543" xr:uid="{F6A3E12F-9A49-452B-B0C8-A276D8DFA59B}"/>
    <cellStyle name="Currency 5 3 4 6" xfId="2440" xr:uid="{00000000-0005-0000-0000-00001C0D0000}"/>
    <cellStyle name="Currency 5 3 4 6 2" xfId="6724" xr:uid="{00000000-0005-0000-0000-00001D0D0000}"/>
    <cellStyle name="Currency 5 3 4 6 2 2" xfId="15174" xr:uid="{DFE021C3-A271-44E2-90BD-FDDDD70840F1}"/>
    <cellStyle name="Currency 5 3 4 6 3" xfId="10956" xr:uid="{B698F279-7B83-4647-9932-183761ED0AF6}"/>
    <cellStyle name="Currency 5 3 4 7" xfId="2737" xr:uid="{00000000-0005-0000-0000-00001E0D0000}"/>
    <cellStyle name="Currency 5 3 4 8" xfId="2818" xr:uid="{00000000-0005-0000-0000-00001F0D0000}"/>
    <cellStyle name="Currency 5 3 4 8 2" xfId="7041" xr:uid="{00000000-0005-0000-0000-0000200D0000}"/>
    <cellStyle name="Currency 5 3 4 8 2 2" xfId="15491" xr:uid="{1683E5C7-12B7-4437-A2F0-0DC0B8B33483}"/>
    <cellStyle name="Currency 5 3 4 8 3" xfId="11273" xr:uid="{6AAD6735-8911-431A-AEA8-C0DFED0A7D1F}"/>
    <cellStyle name="Currency 5 3 4 9" xfId="4658" xr:uid="{00000000-0005-0000-0000-0000210D0000}"/>
    <cellStyle name="Currency 5 3 4 9 2" xfId="13108" xr:uid="{3A9A348C-A760-43E9-83BA-C813A96B496D}"/>
    <cellStyle name="Currency 5 3 5" xfId="217" xr:uid="{00000000-0005-0000-0000-0000220D0000}"/>
    <cellStyle name="Currency 5 3 5 10" xfId="8891" xr:uid="{F6E0F5E9-CB9C-4878-B141-49C2F50B0200}"/>
    <cellStyle name="Currency 5 3 5 2" xfId="743" xr:uid="{00000000-0005-0000-0000-0000230D0000}"/>
    <cellStyle name="Currency 5 3 5 2 2" xfId="2996" xr:uid="{00000000-0005-0000-0000-0000240D0000}"/>
    <cellStyle name="Currency 5 3 5 2 2 2" xfId="7218" xr:uid="{00000000-0005-0000-0000-0000250D0000}"/>
    <cellStyle name="Currency 5 3 5 2 2 2 2" xfId="15668" xr:uid="{CFCE922C-7D77-418D-BF2F-761CA6E0C22D}"/>
    <cellStyle name="Currency 5 3 5 2 2 3" xfId="11450" xr:uid="{0C904601-F30E-442B-9DB0-0E1C625D06AF}"/>
    <cellStyle name="Currency 5 3 5 2 3" xfId="5073" xr:uid="{00000000-0005-0000-0000-0000260D0000}"/>
    <cellStyle name="Currency 5 3 5 2 3 2" xfId="13523" xr:uid="{CF437266-7C56-4D28-86DD-7C5D037DDDA0}"/>
    <cellStyle name="Currency 5 3 5 2 4" xfId="9305" xr:uid="{15C17086-26F6-4F7A-95C6-DF1086AC04C8}"/>
    <cellStyle name="Currency 5 3 5 3" xfId="1178" xr:uid="{00000000-0005-0000-0000-0000270D0000}"/>
    <cellStyle name="Currency 5 3 5 3 2" xfId="3409" xr:uid="{00000000-0005-0000-0000-0000280D0000}"/>
    <cellStyle name="Currency 5 3 5 3 2 2" xfId="7631" xr:uid="{00000000-0005-0000-0000-0000290D0000}"/>
    <cellStyle name="Currency 5 3 5 3 2 2 2" xfId="16081" xr:uid="{1B5F67BF-B344-4F5D-9DB2-7D85C3179C2D}"/>
    <cellStyle name="Currency 5 3 5 3 2 3" xfId="11863" xr:uid="{EF3D60EC-A0CA-43C9-A7AE-5E30A2C50673}"/>
    <cellStyle name="Currency 5 3 5 3 3" xfId="5486" xr:uid="{00000000-0005-0000-0000-00002A0D0000}"/>
    <cellStyle name="Currency 5 3 5 3 3 2" xfId="13936" xr:uid="{51C539DB-F2D2-489E-8B0A-40025858489A}"/>
    <cellStyle name="Currency 5 3 5 3 4" xfId="9718" xr:uid="{2CC359F8-3997-4AC2-864F-07A46824C3CE}"/>
    <cellStyle name="Currency 5 3 5 4" xfId="1592" xr:uid="{00000000-0005-0000-0000-00002B0D0000}"/>
    <cellStyle name="Currency 5 3 5 4 2" xfId="3822" xr:uid="{00000000-0005-0000-0000-00002C0D0000}"/>
    <cellStyle name="Currency 5 3 5 4 2 2" xfId="8044" xr:uid="{00000000-0005-0000-0000-00002D0D0000}"/>
    <cellStyle name="Currency 5 3 5 4 2 2 2" xfId="16494" xr:uid="{65FA6094-3C69-4036-ACF6-CD59B26D0B44}"/>
    <cellStyle name="Currency 5 3 5 4 2 3" xfId="12276" xr:uid="{5458D599-A09E-405E-94A2-669E5D778F80}"/>
    <cellStyle name="Currency 5 3 5 4 3" xfId="5899" xr:uid="{00000000-0005-0000-0000-00002E0D0000}"/>
    <cellStyle name="Currency 5 3 5 4 3 2" xfId="14349" xr:uid="{BD8F00EB-D8A9-40A2-BA86-348B80EAAE6A}"/>
    <cellStyle name="Currency 5 3 5 4 4" xfId="10131" xr:uid="{8B65F6CA-9594-415E-A837-0111F48DC5F8}"/>
    <cellStyle name="Currency 5 3 5 5" xfId="2006" xr:uid="{00000000-0005-0000-0000-00002F0D0000}"/>
    <cellStyle name="Currency 5 3 5 5 2" xfId="4235" xr:uid="{00000000-0005-0000-0000-0000300D0000}"/>
    <cellStyle name="Currency 5 3 5 5 2 2" xfId="8457" xr:uid="{00000000-0005-0000-0000-0000310D0000}"/>
    <cellStyle name="Currency 5 3 5 5 2 2 2" xfId="16907" xr:uid="{70B2F432-6554-4BFF-AE08-58A4609CC8D0}"/>
    <cellStyle name="Currency 5 3 5 5 2 3" xfId="12689" xr:uid="{B7C464A3-E58D-42A2-A03F-A1DCB1637440}"/>
    <cellStyle name="Currency 5 3 5 5 3" xfId="6312" xr:uid="{00000000-0005-0000-0000-0000320D0000}"/>
    <cellStyle name="Currency 5 3 5 5 3 2" xfId="14762" xr:uid="{4B4AB6CE-EC31-441A-AEBB-401C418FC4E1}"/>
    <cellStyle name="Currency 5 3 5 5 4" xfId="10544" xr:uid="{4FAC1D79-AE62-4392-A2B6-6C7245E0C526}"/>
    <cellStyle name="Currency 5 3 5 6" xfId="2441" xr:uid="{00000000-0005-0000-0000-0000330D0000}"/>
    <cellStyle name="Currency 5 3 5 6 2" xfId="6725" xr:uid="{00000000-0005-0000-0000-0000340D0000}"/>
    <cellStyle name="Currency 5 3 5 6 2 2" xfId="15175" xr:uid="{85947ADA-AA7A-4FF3-A59B-94275D7E3292}"/>
    <cellStyle name="Currency 5 3 5 6 3" xfId="10957" xr:uid="{F673E6E4-3488-4FE6-B9B4-1292F59481E7}"/>
    <cellStyle name="Currency 5 3 5 7" xfId="2738" xr:uid="{00000000-0005-0000-0000-0000350D0000}"/>
    <cellStyle name="Currency 5 3 5 8" xfId="2819" xr:uid="{00000000-0005-0000-0000-0000360D0000}"/>
    <cellStyle name="Currency 5 3 5 8 2" xfId="7042" xr:uid="{00000000-0005-0000-0000-0000370D0000}"/>
    <cellStyle name="Currency 5 3 5 8 2 2" xfId="15492" xr:uid="{69DC9D53-9817-429D-B846-D1A810E0E5A7}"/>
    <cellStyle name="Currency 5 3 5 8 3" xfId="11274" xr:uid="{F4F258D6-0E62-4379-AC2D-C71F304C372C}"/>
    <cellStyle name="Currency 5 3 5 9" xfId="4659" xr:uid="{00000000-0005-0000-0000-0000380D0000}"/>
    <cellStyle name="Currency 5 3 5 9 2" xfId="13109" xr:uid="{B02A83F8-AA8A-4506-9D10-0F62C360257F}"/>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10 2" xfId="13110" xr:uid="{86AE8E6F-1AF4-4E88-8F8C-BCF69D28ED96}"/>
    <cellStyle name="Currency 5 5 11" xfId="8892" xr:uid="{F90BF395-81DB-428F-9986-21DF4C09A438}"/>
    <cellStyle name="Currency 5 5 2" xfId="220" xr:uid="{00000000-0005-0000-0000-00003D0D0000}"/>
    <cellStyle name="Currency 5 5 2 10" xfId="8893" xr:uid="{7976DEAC-7E1D-4112-B0D6-8C8A7253EA4B}"/>
    <cellStyle name="Currency 5 5 2 2" xfId="746" xr:uid="{00000000-0005-0000-0000-00003E0D0000}"/>
    <cellStyle name="Currency 5 5 2 2 2" xfId="2998" xr:uid="{00000000-0005-0000-0000-00003F0D0000}"/>
    <cellStyle name="Currency 5 5 2 2 2 2" xfId="7220" xr:uid="{00000000-0005-0000-0000-0000400D0000}"/>
    <cellStyle name="Currency 5 5 2 2 2 2 2" xfId="15670" xr:uid="{C8EC505E-5D45-4F75-A9DF-E26E6064FD4E}"/>
    <cellStyle name="Currency 5 5 2 2 2 3" xfId="11452" xr:uid="{D327EAE6-D080-4CEE-8196-76D5884C7B08}"/>
    <cellStyle name="Currency 5 5 2 2 3" xfId="5075" xr:uid="{00000000-0005-0000-0000-0000410D0000}"/>
    <cellStyle name="Currency 5 5 2 2 3 2" xfId="13525" xr:uid="{0D2BC078-1828-4F2D-B990-6031597C0E2F}"/>
    <cellStyle name="Currency 5 5 2 2 4" xfId="9307" xr:uid="{397F3159-BF25-4F74-8F8C-CC6D0173336E}"/>
    <cellStyle name="Currency 5 5 2 3" xfId="1180" xr:uid="{00000000-0005-0000-0000-0000420D0000}"/>
    <cellStyle name="Currency 5 5 2 3 2" xfId="3411" xr:uid="{00000000-0005-0000-0000-0000430D0000}"/>
    <cellStyle name="Currency 5 5 2 3 2 2" xfId="7633" xr:uid="{00000000-0005-0000-0000-0000440D0000}"/>
    <cellStyle name="Currency 5 5 2 3 2 2 2" xfId="16083" xr:uid="{3C1632F9-B0B1-4D16-8B74-698228146850}"/>
    <cellStyle name="Currency 5 5 2 3 2 3" xfId="11865" xr:uid="{AC93202F-8D27-4EC9-86B5-C852C7F7507F}"/>
    <cellStyle name="Currency 5 5 2 3 3" xfId="5488" xr:uid="{00000000-0005-0000-0000-0000450D0000}"/>
    <cellStyle name="Currency 5 5 2 3 3 2" xfId="13938" xr:uid="{9B264F7A-E7F8-4D42-AD44-34F828CE4FDE}"/>
    <cellStyle name="Currency 5 5 2 3 4" xfId="9720" xr:uid="{6FDA6F79-3663-4FEC-B93D-CA8FDFFBD17C}"/>
    <cellStyle name="Currency 5 5 2 4" xfId="1594" xr:uid="{00000000-0005-0000-0000-0000460D0000}"/>
    <cellStyle name="Currency 5 5 2 4 2" xfId="3824" xr:uid="{00000000-0005-0000-0000-0000470D0000}"/>
    <cellStyle name="Currency 5 5 2 4 2 2" xfId="8046" xr:uid="{00000000-0005-0000-0000-0000480D0000}"/>
    <cellStyle name="Currency 5 5 2 4 2 2 2" xfId="16496" xr:uid="{7780A7A7-DB5F-41E3-971D-F2E999F9E667}"/>
    <cellStyle name="Currency 5 5 2 4 2 3" xfId="12278" xr:uid="{6DFCE004-CF43-46B5-8E18-0F4F5C90E914}"/>
    <cellStyle name="Currency 5 5 2 4 3" xfId="5901" xr:uid="{00000000-0005-0000-0000-0000490D0000}"/>
    <cellStyle name="Currency 5 5 2 4 3 2" xfId="14351" xr:uid="{5512B15C-321B-4B69-BFC5-837E2F90EFAA}"/>
    <cellStyle name="Currency 5 5 2 4 4" xfId="10133" xr:uid="{5B50FF9D-4F8D-4AD4-9D47-8659A2EDB70E}"/>
    <cellStyle name="Currency 5 5 2 5" xfId="2008" xr:uid="{00000000-0005-0000-0000-00004A0D0000}"/>
    <cellStyle name="Currency 5 5 2 5 2" xfId="4237" xr:uid="{00000000-0005-0000-0000-00004B0D0000}"/>
    <cellStyle name="Currency 5 5 2 5 2 2" xfId="8459" xr:uid="{00000000-0005-0000-0000-00004C0D0000}"/>
    <cellStyle name="Currency 5 5 2 5 2 2 2" xfId="16909" xr:uid="{5AAD3864-1536-431B-9702-67D64F6801E3}"/>
    <cellStyle name="Currency 5 5 2 5 2 3" xfId="12691" xr:uid="{7D39420C-1963-4718-AEA6-BCF14B150321}"/>
    <cellStyle name="Currency 5 5 2 5 3" xfId="6314" xr:uid="{00000000-0005-0000-0000-00004D0D0000}"/>
    <cellStyle name="Currency 5 5 2 5 3 2" xfId="14764" xr:uid="{3B552DB2-E1BB-445F-ABC9-61220A57FA0D}"/>
    <cellStyle name="Currency 5 5 2 5 4" xfId="10546" xr:uid="{E59B4DB7-AAD7-400F-ABD1-A8F443FB8BDA}"/>
    <cellStyle name="Currency 5 5 2 6" xfId="2443" xr:uid="{00000000-0005-0000-0000-00004E0D0000}"/>
    <cellStyle name="Currency 5 5 2 6 2" xfId="6727" xr:uid="{00000000-0005-0000-0000-00004F0D0000}"/>
    <cellStyle name="Currency 5 5 2 6 2 2" xfId="15177" xr:uid="{6F8E2492-7ECC-4119-A397-B9AA9E6CDE45}"/>
    <cellStyle name="Currency 5 5 2 6 3" xfId="10959" xr:uid="{14E88607-BB42-4A34-90DC-E79451CF7440}"/>
    <cellStyle name="Currency 5 5 2 7" xfId="2740" xr:uid="{00000000-0005-0000-0000-0000500D0000}"/>
    <cellStyle name="Currency 5 5 2 8" xfId="2821" xr:uid="{00000000-0005-0000-0000-0000510D0000}"/>
    <cellStyle name="Currency 5 5 2 8 2" xfId="7044" xr:uid="{00000000-0005-0000-0000-0000520D0000}"/>
    <cellStyle name="Currency 5 5 2 8 2 2" xfId="15494" xr:uid="{E7F33A15-BFA6-421F-81BB-5EFD478092A6}"/>
    <cellStyle name="Currency 5 5 2 8 3" xfId="11276" xr:uid="{B84E34F5-54BB-4FD2-8BA4-4BD6C4E6DCCA}"/>
    <cellStyle name="Currency 5 5 2 9" xfId="4661" xr:uid="{00000000-0005-0000-0000-0000530D0000}"/>
    <cellStyle name="Currency 5 5 2 9 2" xfId="13111" xr:uid="{0AB242C3-FA3C-4E19-8A31-06A56669C24B}"/>
    <cellStyle name="Currency 5 5 3" xfId="745" xr:uid="{00000000-0005-0000-0000-0000540D0000}"/>
    <cellStyle name="Currency 5 5 3 2" xfId="2997" xr:uid="{00000000-0005-0000-0000-0000550D0000}"/>
    <cellStyle name="Currency 5 5 3 2 2" xfId="7219" xr:uid="{00000000-0005-0000-0000-0000560D0000}"/>
    <cellStyle name="Currency 5 5 3 2 2 2" xfId="15669" xr:uid="{1E0D7CB9-7A16-4C13-820E-13AB08A02F5E}"/>
    <cellStyle name="Currency 5 5 3 2 3" xfId="11451" xr:uid="{D0DD4414-F207-4327-A2F9-98C00C02B643}"/>
    <cellStyle name="Currency 5 5 3 3" xfId="5074" xr:uid="{00000000-0005-0000-0000-0000570D0000}"/>
    <cellStyle name="Currency 5 5 3 3 2" xfId="13524" xr:uid="{BC49F59C-B3D3-4551-BF11-7B909336FB69}"/>
    <cellStyle name="Currency 5 5 3 4" xfId="9306" xr:uid="{02E45D92-4075-4484-BCBC-89B8369DFF85}"/>
    <cellStyle name="Currency 5 5 4" xfId="1179" xr:uid="{00000000-0005-0000-0000-0000580D0000}"/>
    <cellStyle name="Currency 5 5 4 2" xfId="3410" xr:uid="{00000000-0005-0000-0000-0000590D0000}"/>
    <cellStyle name="Currency 5 5 4 2 2" xfId="7632" xr:uid="{00000000-0005-0000-0000-00005A0D0000}"/>
    <cellStyle name="Currency 5 5 4 2 2 2" xfId="16082" xr:uid="{754E68C1-F755-4C72-B35C-6F0642FF233A}"/>
    <cellStyle name="Currency 5 5 4 2 3" xfId="11864" xr:uid="{FA3FC0D6-5D0A-4C6A-B7D5-7EB7F1951F63}"/>
    <cellStyle name="Currency 5 5 4 3" xfId="5487" xr:uid="{00000000-0005-0000-0000-00005B0D0000}"/>
    <cellStyle name="Currency 5 5 4 3 2" xfId="13937" xr:uid="{D20D1B8C-226B-473A-AED1-43DBCC8BD547}"/>
    <cellStyle name="Currency 5 5 4 4" xfId="9719" xr:uid="{DD066FE3-ED15-4BE1-BFDF-B826D5ECB27C}"/>
    <cellStyle name="Currency 5 5 5" xfId="1593" xr:uid="{00000000-0005-0000-0000-00005C0D0000}"/>
    <cellStyle name="Currency 5 5 5 2" xfId="3823" xr:uid="{00000000-0005-0000-0000-00005D0D0000}"/>
    <cellStyle name="Currency 5 5 5 2 2" xfId="8045" xr:uid="{00000000-0005-0000-0000-00005E0D0000}"/>
    <cellStyle name="Currency 5 5 5 2 2 2" xfId="16495" xr:uid="{8966FE89-A1CD-403B-8B03-E75681FFE416}"/>
    <cellStyle name="Currency 5 5 5 2 3" xfId="12277" xr:uid="{8403CCB3-6490-438F-B847-687A21A56F69}"/>
    <cellStyle name="Currency 5 5 5 3" xfId="5900" xr:uid="{00000000-0005-0000-0000-00005F0D0000}"/>
    <cellStyle name="Currency 5 5 5 3 2" xfId="14350" xr:uid="{A839750C-90BB-4FD4-949A-297B9CF3BE72}"/>
    <cellStyle name="Currency 5 5 5 4" xfId="10132" xr:uid="{BCB635D2-CC2A-4D8D-8458-2AA9CC853AD5}"/>
    <cellStyle name="Currency 5 5 6" xfId="2007" xr:uid="{00000000-0005-0000-0000-0000600D0000}"/>
    <cellStyle name="Currency 5 5 6 2" xfId="4236" xr:uid="{00000000-0005-0000-0000-0000610D0000}"/>
    <cellStyle name="Currency 5 5 6 2 2" xfId="8458" xr:uid="{00000000-0005-0000-0000-0000620D0000}"/>
    <cellStyle name="Currency 5 5 6 2 2 2" xfId="16908" xr:uid="{66FD8BA3-D872-4466-AE5D-A82CEA58F4C6}"/>
    <cellStyle name="Currency 5 5 6 2 3" xfId="12690" xr:uid="{5DB23738-C47C-485A-9680-30943CC0AB19}"/>
    <cellStyle name="Currency 5 5 6 3" xfId="6313" xr:uid="{00000000-0005-0000-0000-0000630D0000}"/>
    <cellStyle name="Currency 5 5 6 3 2" xfId="14763" xr:uid="{D1D33D8C-5588-49C4-A738-DBA60FEE9034}"/>
    <cellStyle name="Currency 5 5 6 4" xfId="10545" xr:uid="{D4C20174-B5D5-4CD1-8C59-92E5C3239127}"/>
    <cellStyle name="Currency 5 5 7" xfId="2442" xr:uid="{00000000-0005-0000-0000-0000640D0000}"/>
    <cellStyle name="Currency 5 5 7 2" xfId="6726" xr:uid="{00000000-0005-0000-0000-0000650D0000}"/>
    <cellStyle name="Currency 5 5 7 2 2" xfId="15176" xr:uid="{CABE97D2-8101-49A1-8CAB-17FD6A128919}"/>
    <cellStyle name="Currency 5 5 7 3" xfId="10958" xr:uid="{9A59DECA-F385-4BD0-9478-DD6A52702545}"/>
    <cellStyle name="Currency 5 5 8" xfId="2739" xr:uid="{00000000-0005-0000-0000-0000660D0000}"/>
    <cellStyle name="Currency 5 5 9" xfId="2820" xr:uid="{00000000-0005-0000-0000-0000670D0000}"/>
    <cellStyle name="Currency 5 5 9 2" xfId="7043" xr:uid="{00000000-0005-0000-0000-0000680D0000}"/>
    <cellStyle name="Currency 5 5 9 2 2" xfId="15493" xr:uid="{81CD5549-F517-4B3E-ACFE-DDD1BDCF92C9}"/>
    <cellStyle name="Currency 5 5 9 3" xfId="11275" xr:uid="{228E9EE2-5206-48A6-9A92-09B5D46BB4F6}"/>
    <cellStyle name="Currency 5 6" xfId="221" xr:uid="{00000000-0005-0000-0000-0000690D0000}"/>
    <cellStyle name="Currency 5 6 10" xfId="8894" xr:uid="{28FD5F3F-1644-46E0-AFC8-4970108B63A1}"/>
    <cellStyle name="Currency 5 6 2" xfId="747" xr:uid="{00000000-0005-0000-0000-00006A0D0000}"/>
    <cellStyle name="Currency 5 6 2 2" xfId="2999" xr:uid="{00000000-0005-0000-0000-00006B0D0000}"/>
    <cellStyle name="Currency 5 6 2 2 2" xfId="7221" xr:uid="{00000000-0005-0000-0000-00006C0D0000}"/>
    <cellStyle name="Currency 5 6 2 2 2 2" xfId="15671" xr:uid="{8E6DE10C-8DED-4EA4-8F45-02636D256D6B}"/>
    <cellStyle name="Currency 5 6 2 2 3" xfId="11453" xr:uid="{E6E95D93-FC2F-4D5C-AFBC-53DBE9402A64}"/>
    <cellStyle name="Currency 5 6 2 3" xfId="5076" xr:uid="{00000000-0005-0000-0000-00006D0D0000}"/>
    <cellStyle name="Currency 5 6 2 3 2" xfId="13526" xr:uid="{81A85B9A-1F14-4C6F-8B3B-0AF4974B487E}"/>
    <cellStyle name="Currency 5 6 2 4" xfId="9308" xr:uid="{E6E241CB-924B-4013-A88C-80D4F1886107}"/>
    <cellStyle name="Currency 5 6 3" xfId="1181" xr:uid="{00000000-0005-0000-0000-00006E0D0000}"/>
    <cellStyle name="Currency 5 6 3 2" xfId="3412" xr:uid="{00000000-0005-0000-0000-00006F0D0000}"/>
    <cellStyle name="Currency 5 6 3 2 2" xfId="7634" xr:uid="{00000000-0005-0000-0000-0000700D0000}"/>
    <cellStyle name="Currency 5 6 3 2 2 2" xfId="16084" xr:uid="{CB9AA4C1-B54B-4C99-8924-28F7271D1A30}"/>
    <cellStyle name="Currency 5 6 3 2 3" xfId="11866" xr:uid="{F8E622D0-AE35-4E9F-B6D8-94C5FD761281}"/>
    <cellStyle name="Currency 5 6 3 3" xfId="5489" xr:uid="{00000000-0005-0000-0000-0000710D0000}"/>
    <cellStyle name="Currency 5 6 3 3 2" xfId="13939" xr:uid="{90DBE568-D86E-4968-920E-E6E25FA5361B}"/>
    <cellStyle name="Currency 5 6 3 4" xfId="9721" xr:uid="{5E059974-66AD-48F0-8983-73AA377F9C80}"/>
    <cellStyle name="Currency 5 6 4" xfId="1595" xr:uid="{00000000-0005-0000-0000-0000720D0000}"/>
    <cellStyle name="Currency 5 6 4 2" xfId="3825" xr:uid="{00000000-0005-0000-0000-0000730D0000}"/>
    <cellStyle name="Currency 5 6 4 2 2" xfId="8047" xr:uid="{00000000-0005-0000-0000-0000740D0000}"/>
    <cellStyle name="Currency 5 6 4 2 2 2" xfId="16497" xr:uid="{1DDCBCE2-3E75-40DC-BB7D-7F8D418A2EA3}"/>
    <cellStyle name="Currency 5 6 4 2 3" xfId="12279" xr:uid="{6E3D161E-CD67-48BE-8163-DEAFDAA48507}"/>
    <cellStyle name="Currency 5 6 4 3" xfId="5902" xr:uid="{00000000-0005-0000-0000-0000750D0000}"/>
    <cellStyle name="Currency 5 6 4 3 2" xfId="14352" xr:uid="{B37108A9-0670-4870-9535-65CB9B66ABF0}"/>
    <cellStyle name="Currency 5 6 4 4" xfId="10134" xr:uid="{2B1594F6-A76F-4C8F-90B7-CB5104299254}"/>
    <cellStyle name="Currency 5 6 5" xfId="2009" xr:uid="{00000000-0005-0000-0000-0000760D0000}"/>
    <cellStyle name="Currency 5 6 5 2" xfId="4238" xr:uid="{00000000-0005-0000-0000-0000770D0000}"/>
    <cellStyle name="Currency 5 6 5 2 2" xfId="8460" xr:uid="{00000000-0005-0000-0000-0000780D0000}"/>
    <cellStyle name="Currency 5 6 5 2 2 2" xfId="16910" xr:uid="{07D2FEEE-E87A-4FDF-B676-721C4437FDCE}"/>
    <cellStyle name="Currency 5 6 5 2 3" xfId="12692" xr:uid="{88EE0987-DD32-4731-8B7E-9BFE1D09C826}"/>
    <cellStyle name="Currency 5 6 5 3" xfId="6315" xr:uid="{00000000-0005-0000-0000-0000790D0000}"/>
    <cellStyle name="Currency 5 6 5 3 2" xfId="14765" xr:uid="{6F2AD7EC-E3FC-4F0A-90BB-42C610ABB7D0}"/>
    <cellStyle name="Currency 5 6 5 4" xfId="10547" xr:uid="{00F5E7D6-7625-4F24-BF40-9944C0C8E810}"/>
    <cellStyle name="Currency 5 6 6" xfId="2444" xr:uid="{00000000-0005-0000-0000-00007A0D0000}"/>
    <cellStyle name="Currency 5 6 6 2" xfId="6728" xr:uid="{00000000-0005-0000-0000-00007B0D0000}"/>
    <cellStyle name="Currency 5 6 6 2 2" xfId="15178" xr:uid="{71D7FFE0-49BF-4AA5-B02A-9DE126CEC4E7}"/>
    <cellStyle name="Currency 5 6 6 3" xfId="10960" xr:uid="{27281DC2-F438-4B4F-A7DB-63752A2D0CF2}"/>
    <cellStyle name="Currency 5 6 7" xfId="2741" xr:uid="{00000000-0005-0000-0000-00007C0D0000}"/>
    <cellStyle name="Currency 5 6 8" xfId="2822" xr:uid="{00000000-0005-0000-0000-00007D0D0000}"/>
    <cellStyle name="Currency 5 6 8 2" xfId="7045" xr:uid="{00000000-0005-0000-0000-00007E0D0000}"/>
    <cellStyle name="Currency 5 6 8 2 2" xfId="15495" xr:uid="{4D7DC52E-C144-4855-8B17-8E2E91755D78}"/>
    <cellStyle name="Currency 5 6 8 3" xfId="11277" xr:uid="{A1E568D9-DE0E-42D8-9025-8567672C8E15}"/>
    <cellStyle name="Currency 5 6 9" xfId="4662" xr:uid="{00000000-0005-0000-0000-00007F0D0000}"/>
    <cellStyle name="Currency 5 6 9 2" xfId="13112" xr:uid="{910C2EAD-EB91-45BE-8D44-3874FAF83CD2}"/>
    <cellStyle name="Currency 5 7" xfId="222" xr:uid="{00000000-0005-0000-0000-0000800D0000}"/>
    <cellStyle name="Currency 5 7 10" xfId="8895" xr:uid="{5994015D-F167-4C71-8F69-CF8081229568}"/>
    <cellStyle name="Currency 5 7 2" xfId="748" xr:uid="{00000000-0005-0000-0000-0000810D0000}"/>
    <cellStyle name="Currency 5 7 2 2" xfId="3000" xr:uid="{00000000-0005-0000-0000-0000820D0000}"/>
    <cellStyle name="Currency 5 7 2 2 2" xfId="7222" xr:uid="{00000000-0005-0000-0000-0000830D0000}"/>
    <cellStyle name="Currency 5 7 2 2 2 2" xfId="15672" xr:uid="{2B4AFFA9-DF28-42D9-B20F-9B0C1C1B069E}"/>
    <cellStyle name="Currency 5 7 2 2 3" xfId="11454" xr:uid="{DE106E41-1B77-4FED-8151-366700728BE2}"/>
    <cellStyle name="Currency 5 7 2 3" xfId="5077" xr:uid="{00000000-0005-0000-0000-0000840D0000}"/>
    <cellStyle name="Currency 5 7 2 3 2" xfId="13527" xr:uid="{4BF39BDA-CCCD-414D-8EC4-C0E8BB132C74}"/>
    <cellStyle name="Currency 5 7 2 4" xfId="9309" xr:uid="{CAB13E4B-7B39-4552-85B2-09653BBAC9C5}"/>
    <cellStyle name="Currency 5 7 3" xfId="1182" xr:uid="{00000000-0005-0000-0000-0000850D0000}"/>
    <cellStyle name="Currency 5 7 3 2" xfId="3413" xr:uid="{00000000-0005-0000-0000-0000860D0000}"/>
    <cellStyle name="Currency 5 7 3 2 2" xfId="7635" xr:uid="{00000000-0005-0000-0000-0000870D0000}"/>
    <cellStyle name="Currency 5 7 3 2 2 2" xfId="16085" xr:uid="{32359D14-8956-4EBD-AEB5-9A70CF60500A}"/>
    <cellStyle name="Currency 5 7 3 2 3" xfId="11867" xr:uid="{2A79BE0B-B9D9-424C-A610-4114A31B378C}"/>
    <cellStyle name="Currency 5 7 3 3" xfId="5490" xr:uid="{00000000-0005-0000-0000-0000880D0000}"/>
    <cellStyle name="Currency 5 7 3 3 2" xfId="13940" xr:uid="{F088AFD4-77F0-4193-B11B-08D6795E8080}"/>
    <cellStyle name="Currency 5 7 3 4" xfId="9722" xr:uid="{05FC892E-EEE7-4F11-BA79-F2E27FB041A1}"/>
    <cellStyle name="Currency 5 7 4" xfId="1596" xr:uid="{00000000-0005-0000-0000-0000890D0000}"/>
    <cellStyle name="Currency 5 7 4 2" xfId="3826" xr:uid="{00000000-0005-0000-0000-00008A0D0000}"/>
    <cellStyle name="Currency 5 7 4 2 2" xfId="8048" xr:uid="{00000000-0005-0000-0000-00008B0D0000}"/>
    <cellStyle name="Currency 5 7 4 2 2 2" xfId="16498" xr:uid="{7CCA41B5-C4F0-415A-A32A-E696D0193E20}"/>
    <cellStyle name="Currency 5 7 4 2 3" xfId="12280" xr:uid="{D36CB1B0-AD85-4C52-8602-88C1947FB863}"/>
    <cellStyle name="Currency 5 7 4 3" xfId="5903" xr:uid="{00000000-0005-0000-0000-00008C0D0000}"/>
    <cellStyle name="Currency 5 7 4 3 2" xfId="14353" xr:uid="{249FF459-D160-4153-887E-7C665B5BEB87}"/>
    <cellStyle name="Currency 5 7 4 4" xfId="10135" xr:uid="{429B7E7E-E4EF-4512-84E7-482044AA599D}"/>
    <cellStyle name="Currency 5 7 5" xfId="2010" xr:uid="{00000000-0005-0000-0000-00008D0D0000}"/>
    <cellStyle name="Currency 5 7 5 2" xfId="4239" xr:uid="{00000000-0005-0000-0000-00008E0D0000}"/>
    <cellStyle name="Currency 5 7 5 2 2" xfId="8461" xr:uid="{00000000-0005-0000-0000-00008F0D0000}"/>
    <cellStyle name="Currency 5 7 5 2 2 2" xfId="16911" xr:uid="{895ABB0C-3CC7-4DE7-8930-2F09670CF0FA}"/>
    <cellStyle name="Currency 5 7 5 2 3" xfId="12693" xr:uid="{88F25A26-7AFD-4B4A-BBF6-882F0B9804A9}"/>
    <cellStyle name="Currency 5 7 5 3" xfId="6316" xr:uid="{00000000-0005-0000-0000-0000900D0000}"/>
    <cellStyle name="Currency 5 7 5 3 2" xfId="14766" xr:uid="{46C3179B-5498-44F7-B583-077184603184}"/>
    <cellStyle name="Currency 5 7 5 4" xfId="10548" xr:uid="{B0DC17D3-4C16-4DC5-B5F9-AE9EE0F0A908}"/>
    <cellStyle name="Currency 5 7 6" xfId="2445" xr:uid="{00000000-0005-0000-0000-0000910D0000}"/>
    <cellStyle name="Currency 5 7 6 2" xfId="6729" xr:uid="{00000000-0005-0000-0000-0000920D0000}"/>
    <cellStyle name="Currency 5 7 6 2 2" xfId="15179" xr:uid="{37143D42-B977-41C0-A8F1-61FA0F061F6C}"/>
    <cellStyle name="Currency 5 7 6 3" xfId="10961" xr:uid="{B006E749-D818-4652-85A5-6F71566BF567}"/>
    <cellStyle name="Currency 5 7 7" xfId="2742" xr:uid="{00000000-0005-0000-0000-0000930D0000}"/>
    <cellStyle name="Currency 5 7 8" xfId="2823" xr:uid="{00000000-0005-0000-0000-0000940D0000}"/>
    <cellStyle name="Currency 5 7 8 2" xfId="7046" xr:uid="{00000000-0005-0000-0000-0000950D0000}"/>
    <cellStyle name="Currency 5 7 8 2 2" xfId="15496" xr:uid="{BA1444C3-D072-4E99-A35C-93C770ECB0E6}"/>
    <cellStyle name="Currency 5 7 8 3" xfId="11278" xr:uid="{53E07FAD-2383-49BD-9A7B-B366A5458738}"/>
    <cellStyle name="Currency 5 7 9" xfId="4663" xr:uid="{00000000-0005-0000-0000-0000960D0000}"/>
    <cellStyle name="Currency 5 7 9 2" xfId="13113" xr:uid="{2C2BFC4E-57A1-405F-9A20-EBF3D902BB28}"/>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0 2 2" xfId="15180" xr:uid="{5D03FD11-14F3-4EB0-B0B0-70337031799D}"/>
    <cellStyle name="Normal 12 10 3" xfId="10962" xr:uid="{4F258988-DED5-4369-BB9F-BAC5E17BABFF}"/>
    <cellStyle name="Normal 12 11" xfId="4664" xr:uid="{00000000-0005-0000-0000-0000CC0D0000}"/>
    <cellStyle name="Normal 12 11 2" xfId="13114" xr:uid="{BAC4557D-A7C6-4E83-9D09-975A128ECA23}"/>
    <cellStyle name="Normal 12 12" xfId="8896" xr:uid="{CDC5D350-68AB-4125-8B00-3414B895C5A5}"/>
    <cellStyle name="Normal 12 2" xfId="260" xr:uid="{00000000-0005-0000-0000-0000CD0D0000}"/>
    <cellStyle name="Normal 12 2 10" xfId="8897" xr:uid="{DE0DC2AB-E5DB-424E-A3A8-936DE2600F8E}"/>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2 2 2" xfId="15676" xr:uid="{485848F5-B9F5-4381-914E-C9969685F6C4}"/>
    <cellStyle name="Normal 12 2 2 2 2 2 3" xfId="11458" xr:uid="{9252CEEE-77CC-43E8-98B7-279B9DA90F14}"/>
    <cellStyle name="Normal 12 2 2 2 2 3" xfId="5081" xr:uid="{00000000-0005-0000-0000-0000D30D0000}"/>
    <cellStyle name="Normal 12 2 2 2 2 3 2" xfId="13531" xr:uid="{853D1DCD-E7A2-43DC-94E8-DBFAC7657D51}"/>
    <cellStyle name="Normal 12 2 2 2 2 4" xfId="9313" xr:uid="{B3F74F41-9576-49DD-87FB-5B20EC192DBC}"/>
    <cellStyle name="Normal 12 2 2 2 3" xfId="1186" xr:uid="{00000000-0005-0000-0000-0000D40D0000}"/>
    <cellStyle name="Normal 12 2 2 2 3 2" xfId="3417" xr:uid="{00000000-0005-0000-0000-0000D50D0000}"/>
    <cellStyle name="Normal 12 2 2 2 3 2 2" xfId="7639" xr:uid="{00000000-0005-0000-0000-0000D60D0000}"/>
    <cellStyle name="Normal 12 2 2 2 3 2 2 2" xfId="16089" xr:uid="{EF69E8C6-C048-4F40-9D21-FDC091985FA8}"/>
    <cellStyle name="Normal 12 2 2 2 3 2 3" xfId="11871" xr:uid="{0A430BDA-E97A-4669-AA4F-95133DFF0B85}"/>
    <cellStyle name="Normal 12 2 2 2 3 3" xfId="5494" xr:uid="{00000000-0005-0000-0000-0000D70D0000}"/>
    <cellStyle name="Normal 12 2 2 2 3 3 2" xfId="13944" xr:uid="{F4E6B9B1-A3D1-43D8-9779-18AC012ADD01}"/>
    <cellStyle name="Normal 12 2 2 2 3 4" xfId="9726" xr:uid="{9B7D2934-1CF6-464B-A928-7D21E603C84D}"/>
    <cellStyle name="Normal 12 2 2 2 4" xfId="1600" xr:uid="{00000000-0005-0000-0000-0000D80D0000}"/>
    <cellStyle name="Normal 12 2 2 2 4 2" xfId="3830" xr:uid="{00000000-0005-0000-0000-0000D90D0000}"/>
    <cellStyle name="Normal 12 2 2 2 4 2 2" xfId="8052" xr:uid="{00000000-0005-0000-0000-0000DA0D0000}"/>
    <cellStyle name="Normal 12 2 2 2 4 2 2 2" xfId="16502" xr:uid="{98F5D185-C227-464E-9A68-989C27972D5D}"/>
    <cellStyle name="Normal 12 2 2 2 4 2 3" xfId="12284" xr:uid="{B4D0FF0F-D724-40D2-99CB-12CD3192E567}"/>
    <cellStyle name="Normal 12 2 2 2 4 3" xfId="5907" xr:uid="{00000000-0005-0000-0000-0000DB0D0000}"/>
    <cellStyle name="Normal 12 2 2 2 4 3 2" xfId="14357" xr:uid="{7D03DC7E-6ECF-4B60-9DE0-E60BDA8EFC41}"/>
    <cellStyle name="Normal 12 2 2 2 4 4" xfId="10139" xr:uid="{8E4A54FE-7295-4A6F-87AE-1D64FAD4537E}"/>
    <cellStyle name="Normal 12 2 2 2 5" xfId="2014" xr:uid="{00000000-0005-0000-0000-0000DC0D0000}"/>
    <cellStyle name="Normal 12 2 2 2 5 2" xfId="4243" xr:uid="{00000000-0005-0000-0000-0000DD0D0000}"/>
    <cellStyle name="Normal 12 2 2 2 5 2 2" xfId="8465" xr:uid="{00000000-0005-0000-0000-0000DE0D0000}"/>
    <cellStyle name="Normal 12 2 2 2 5 2 2 2" xfId="16915" xr:uid="{095EA239-CB14-486F-9F7C-D1ABA49743DC}"/>
    <cellStyle name="Normal 12 2 2 2 5 2 3" xfId="12697" xr:uid="{9B6C14D7-D5B5-42DE-AA8B-7E4662439246}"/>
    <cellStyle name="Normal 12 2 2 2 5 3" xfId="6320" xr:uid="{00000000-0005-0000-0000-0000DF0D0000}"/>
    <cellStyle name="Normal 12 2 2 2 5 3 2" xfId="14770" xr:uid="{579F011C-E55B-4304-9702-C75765CA4E5C}"/>
    <cellStyle name="Normal 12 2 2 2 5 4" xfId="10552" xr:uid="{BCEB42BE-B85E-4E93-9798-93E3434E8FC1}"/>
    <cellStyle name="Normal 12 2 2 2 6" xfId="2450" xr:uid="{00000000-0005-0000-0000-0000E00D0000}"/>
    <cellStyle name="Normal 12 2 2 2 6 2" xfId="6733" xr:uid="{00000000-0005-0000-0000-0000E10D0000}"/>
    <cellStyle name="Normal 12 2 2 2 6 2 2" xfId="15183" xr:uid="{4B2F27A8-77C0-45DC-829D-1CBBC6181D26}"/>
    <cellStyle name="Normal 12 2 2 2 6 3" xfId="10965" xr:uid="{8FBB4DF7-6FE5-4A33-B693-403427534E58}"/>
    <cellStyle name="Normal 12 2 2 2 7" xfId="4667" xr:uid="{00000000-0005-0000-0000-0000E20D0000}"/>
    <cellStyle name="Normal 12 2 2 2 7 2" xfId="13117" xr:uid="{1B765D52-2F22-4B81-84AF-82B013ABD2AF}"/>
    <cellStyle name="Normal 12 2 2 2 8" xfId="8899" xr:uid="{9773A827-42BC-4215-BE72-2A54A7DA259A}"/>
    <cellStyle name="Normal 12 2 2 3" xfId="762" xr:uid="{00000000-0005-0000-0000-0000E30D0000}"/>
    <cellStyle name="Normal 12 2 2 3 2" xfId="3003" xr:uid="{00000000-0005-0000-0000-0000E40D0000}"/>
    <cellStyle name="Normal 12 2 2 3 2 2" xfId="7225" xr:uid="{00000000-0005-0000-0000-0000E50D0000}"/>
    <cellStyle name="Normal 12 2 2 3 2 2 2" xfId="15675" xr:uid="{AD097088-C91F-4C24-8CE7-5FA76381DCAA}"/>
    <cellStyle name="Normal 12 2 2 3 2 3" xfId="11457" xr:uid="{F2574A56-F058-42A5-A26A-1C4730C86AD2}"/>
    <cellStyle name="Normal 12 2 2 3 3" xfId="5080" xr:uid="{00000000-0005-0000-0000-0000E60D0000}"/>
    <cellStyle name="Normal 12 2 2 3 3 2" xfId="13530" xr:uid="{E9F41F84-7D28-4D17-AC8F-E7B99DAFF3EC}"/>
    <cellStyle name="Normal 12 2 2 3 4" xfId="9312" xr:uid="{9CB7FBB5-062C-49E2-BA1E-1C18F1BCA4A7}"/>
    <cellStyle name="Normal 12 2 2 4" xfId="1185" xr:uid="{00000000-0005-0000-0000-0000E70D0000}"/>
    <cellStyle name="Normal 12 2 2 4 2" xfId="3416" xr:uid="{00000000-0005-0000-0000-0000E80D0000}"/>
    <cellStyle name="Normal 12 2 2 4 2 2" xfId="7638" xr:uid="{00000000-0005-0000-0000-0000E90D0000}"/>
    <cellStyle name="Normal 12 2 2 4 2 2 2" xfId="16088" xr:uid="{1D4572B8-74A2-43BD-8814-E768650E4B06}"/>
    <cellStyle name="Normal 12 2 2 4 2 3" xfId="11870" xr:uid="{B0300918-060F-4237-85E8-8BEC6386705A}"/>
    <cellStyle name="Normal 12 2 2 4 3" xfId="5493" xr:uid="{00000000-0005-0000-0000-0000EA0D0000}"/>
    <cellStyle name="Normal 12 2 2 4 3 2" xfId="13943" xr:uid="{919B6C94-17CB-4681-ADB9-C3F65478AB72}"/>
    <cellStyle name="Normal 12 2 2 4 4" xfId="9725" xr:uid="{138A32B9-910A-4778-A324-E808B1610E39}"/>
    <cellStyle name="Normal 12 2 2 5" xfId="1599" xr:uid="{00000000-0005-0000-0000-0000EB0D0000}"/>
    <cellStyle name="Normal 12 2 2 5 2" xfId="3829" xr:uid="{00000000-0005-0000-0000-0000EC0D0000}"/>
    <cellStyle name="Normal 12 2 2 5 2 2" xfId="8051" xr:uid="{00000000-0005-0000-0000-0000ED0D0000}"/>
    <cellStyle name="Normal 12 2 2 5 2 2 2" xfId="16501" xr:uid="{B4CA406B-6997-40E6-B32C-AAC3D834126C}"/>
    <cellStyle name="Normal 12 2 2 5 2 3" xfId="12283" xr:uid="{E326CB52-CE5E-4E63-9428-10F588E8AE05}"/>
    <cellStyle name="Normal 12 2 2 5 3" xfId="5906" xr:uid="{00000000-0005-0000-0000-0000EE0D0000}"/>
    <cellStyle name="Normal 12 2 2 5 3 2" xfId="14356" xr:uid="{5DB0E844-A612-4389-BBBC-366E6D18A0B9}"/>
    <cellStyle name="Normal 12 2 2 5 4" xfId="10138" xr:uid="{B8B510EF-0A72-4C4D-8CDD-855CDD425C55}"/>
    <cellStyle name="Normal 12 2 2 6" xfId="2013" xr:uid="{00000000-0005-0000-0000-0000EF0D0000}"/>
    <cellStyle name="Normal 12 2 2 6 2" xfId="4242" xr:uid="{00000000-0005-0000-0000-0000F00D0000}"/>
    <cellStyle name="Normal 12 2 2 6 2 2" xfId="8464" xr:uid="{00000000-0005-0000-0000-0000F10D0000}"/>
    <cellStyle name="Normal 12 2 2 6 2 2 2" xfId="16914" xr:uid="{3A09B25F-8814-421B-BB72-31353F113D61}"/>
    <cellStyle name="Normal 12 2 2 6 2 3" xfId="12696" xr:uid="{09CCB22F-E1E5-4B14-A4DD-2CE8C048EBA0}"/>
    <cellStyle name="Normal 12 2 2 6 3" xfId="6319" xr:uid="{00000000-0005-0000-0000-0000F20D0000}"/>
    <cellStyle name="Normal 12 2 2 6 3 2" xfId="14769" xr:uid="{5B2D3672-FD47-4780-A390-687E30BC916E}"/>
    <cellStyle name="Normal 12 2 2 6 4" xfId="10551" xr:uid="{FD2C1652-7D3F-49F2-8D76-11FE7E033F67}"/>
    <cellStyle name="Normal 12 2 2 7" xfId="2449" xr:uid="{00000000-0005-0000-0000-0000F30D0000}"/>
    <cellStyle name="Normal 12 2 2 7 2" xfId="6732" xr:uid="{00000000-0005-0000-0000-0000F40D0000}"/>
    <cellStyle name="Normal 12 2 2 7 2 2" xfId="15182" xr:uid="{65252470-3BF7-4910-A03C-55F0D860F784}"/>
    <cellStyle name="Normal 12 2 2 7 3" xfId="10964" xr:uid="{7CB39368-F91B-4A3A-B162-1A9E9DF85DA2}"/>
    <cellStyle name="Normal 12 2 2 8" xfId="4666" xr:uid="{00000000-0005-0000-0000-0000F50D0000}"/>
    <cellStyle name="Normal 12 2 2 8 2" xfId="13116" xr:uid="{E818AB5A-1651-4724-B964-8195CBF46AB8}"/>
    <cellStyle name="Normal 12 2 2 9" xfId="8898" xr:uid="{98085A29-B7BD-4C00-86D2-9EF2D6D4089D}"/>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2 2 2" xfId="15677" xr:uid="{2C1B8699-7F44-4763-8F1D-ABF0869F30EF}"/>
    <cellStyle name="Normal 12 2 3 2 2 3" xfId="11459" xr:uid="{684539C2-C2F7-4A81-890B-EF52392F6C06}"/>
    <cellStyle name="Normal 12 2 3 2 3" xfId="5082" xr:uid="{00000000-0005-0000-0000-0000FA0D0000}"/>
    <cellStyle name="Normal 12 2 3 2 3 2" xfId="13532" xr:uid="{6D249C18-CA62-4F92-83A0-2B6DD905053C}"/>
    <cellStyle name="Normal 12 2 3 2 4" xfId="9314" xr:uid="{EB700A6F-F1FA-42BC-B9CB-877B1FFB1AE8}"/>
    <cellStyle name="Normal 12 2 3 3" xfId="1187" xr:uid="{00000000-0005-0000-0000-0000FB0D0000}"/>
    <cellStyle name="Normal 12 2 3 3 2" xfId="3418" xr:uid="{00000000-0005-0000-0000-0000FC0D0000}"/>
    <cellStyle name="Normal 12 2 3 3 2 2" xfId="7640" xr:uid="{00000000-0005-0000-0000-0000FD0D0000}"/>
    <cellStyle name="Normal 12 2 3 3 2 2 2" xfId="16090" xr:uid="{D459882B-6C35-472B-B739-767BB1D4EC1A}"/>
    <cellStyle name="Normal 12 2 3 3 2 3" xfId="11872" xr:uid="{51DDD290-9CEF-4BD8-A005-E7C8753F34F1}"/>
    <cellStyle name="Normal 12 2 3 3 3" xfId="5495" xr:uid="{00000000-0005-0000-0000-0000FE0D0000}"/>
    <cellStyle name="Normal 12 2 3 3 3 2" xfId="13945" xr:uid="{02FC084B-4B02-435F-BE94-3CE51707C824}"/>
    <cellStyle name="Normal 12 2 3 3 4" xfId="9727" xr:uid="{73C7E008-DFC6-4E37-96F2-25008E638819}"/>
    <cellStyle name="Normal 12 2 3 4" xfId="1601" xr:uid="{00000000-0005-0000-0000-0000FF0D0000}"/>
    <cellStyle name="Normal 12 2 3 4 2" xfId="3831" xr:uid="{00000000-0005-0000-0000-0000000E0000}"/>
    <cellStyle name="Normal 12 2 3 4 2 2" xfId="8053" xr:uid="{00000000-0005-0000-0000-0000010E0000}"/>
    <cellStyle name="Normal 12 2 3 4 2 2 2" xfId="16503" xr:uid="{22EF1A16-DE5C-4A0D-8348-384B55CBE8DA}"/>
    <cellStyle name="Normal 12 2 3 4 2 3" xfId="12285" xr:uid="{77C13523-B99E-4209-A266-C286A1C5DF98}"/>
    <cellStyle name="Normal 12 2 3 4 3" xfId="5908" xr:uid="{00000000-0005-0000-0000-0000020E0000}"/>
    <cellStyle name="Normal 12 2 3 4 3 2" xfId="14358" xr:uid="{2CC7211F-A1A6-4B3E-B628-ECDF67F05476}"/>
    <cellStyle name="Normal 12 2 3 4 4" xfId="10140" xr:uid="{8416421F-EE54-4C72-A91F-924058B9465A}"/>
    <cellStyle name="Normal 12 2 3 5" xfId="2015" xr:uid="{00000000-0005-0000-0000-0000030E0000}"/>
    <cellStyle name="Normal 12 2 3 5 2" xfId="4244" xr:uid="{00000000-0005-0000-0000-0000040E0000}"/>
    <cellStyle name="Normal 12 2 3 5 2 2" xfId="8466" xr:uid="{00000000-0005-0000-0000-0000050E0000}"/>
    <cellStyle name="Normal 12 2 3 5 2 2 2" xfId="16916" xr:uid="{F8631A73-3458-42AC-89EB-4C483A9CFAB2}"/>
    <cellStyle name="Normal 12 2 3 5 2 3" xfId="12698" xr:uid="{D8A5B9B9-EB84-4874-BC61-B25058F8ED8D}"/>
    <cellStyle name="Normal 12 2 3 5 3" xfId="6321" xr:uid="{00000000-0005-0000-0000-0000060E0000}"/>
    <cellStyle name="Normal 12 2 3 5 3 2" xfId="14771" xr:uid="{B8E7F6AA-95BF-4C40-8B83-393D86D1B911}"/>
    <cellStyle name="Normal 12 2 3 5 4" xfId="10553" xr:uid="{74EEF72A-0BF0-41E0-85FA-93694231A40E}"/>
    <cellStyle name="Normal 12 2 3 6" xfId="2451" xr:uid="{00000000-0005-0000-0000-0000070E0000}"/>
    <cellStyle name="Normal 12 2 3 6 2" xfId="6734" xr:uid="{00000000-0005-0000-0000-0000080E0000}"/>
    <cellStyle name="Normal 12 2 3 6 2 2" xfId="15184" xr:uid="{BCDCA2F1-0B2F-48E1-818A-AF567E647265}"/>
    <cellStyle name="Normal 12 2 3 6 3" xfId="10966" xr:uid="{3E06E3D0-F87F-437D-9EBC-C50B13C077A4}"/>
    <cellStyle name="Normal 12 2 3 7" xfId="4668" xr:uid="{00000000-0005-0000-0000-0000090E0000}"/>
    <cellStyle name="Normal 12 2 3 7 2" xfId="13118" xr:uid="{AB9156BF-8B52-4D23-A94F-23FF15C3CFB1}"/>
    <cellStyle name="Normal 12 2 3 8" xfId="8900" xr:uid="{F67946A1-9AE0-4C30-A1DB-5B16F0200024}"/>
    <cellStyle name="Normal 12 2 4" xfId="761" xr:uid="{00000000-0005-0000-0000-00000A0E0000}"/>
    <cellStyle name="Normal 12 2 4 2" xfId="3002" xr:uid="{00000000-0005-0000-0000-00000B0E0000}"/>
    <cellStyle name="Normal 12 2 4 2 2" xfId="7224" xr:uid="{00000000-0005-0000-0000-00000C0E0000}"/>
    <cellStyle name="Normal 12 2 4 2 2 2" xfId="15674" xr:uid="{75470268-325F-46BE-96D9-4023AB560D34}"/>
    <cellStyle name="Normal 12 2 4 2 3" xfId="11456" xr:uid="{F52280A9-3CE0-4401-8881-EA9DD73BBBBB}"/>
    <cellStyle name="Normal 12 2 4 3" xfId="5079" xr:uid="{00000000-0005-0000-0000-00000D0E0000}"/>
    <cellStyle name="Normal 12 2 4 3 2" xfId="13529" xr:uid="{297DA1BB-BD5B-4257-ABD7-06759FBAA6A0}"/>
    <cellStyle name="Normal 12 2 4 4" xfId="9311" xr:uid="{76E4D8D7-2697-423B-B6E4-1B27D4E2FC42}"/>
    <cellStyle name="Normal 12 2 5" xfId="1184" xr:uid="{00000000-0005-0000-0000-00000E0E0000}"/>
    <cellStyle name="Normal 12 2 5 2" xfId="3415" xr:uid="{00000000-0005-0000-0000-00000F0E0000}"/>
    <cellStyle name="Normal 12 2 5 2 2" xfId="7637" xr:uid="{00000000-0005-0000-0000-0000100E0000}"/>
    <cellStyle name="Normal 12 2 5 2 2 2" xfId="16087" xr:uid="{A27A5507-F251-4577-86C3-86F0A93E6E84}"/>
    <cellStyle name="Normal 12 2 5 2 3" xfId="11869" xr:uid="{42E74D84-7F35-459A-A22A-A63FEA835613}"/>
    <cellStyle name="Normal 12 2 5 3" xfId="5492" xr:uid="{00000000-0005-0000-0000-0000110E0000}"/>
    <cellStyle name="Normal 12 2 5 3 2" xfId="13942" xr:uid="{3CD00D19-FB04-4F22-846B-6503BFC049F4}"/>
    <cellStyle name="Normal 12 2 5 4" xfId="9724" xr:uid="{93B657EC-A90D-4BE6-A687-B468095BFF6C}"/>
    <cellStyle name="Normal 12 2 6" xfId="1598" xr:uid="{00000000-0005-0000-0000-0000120E0000}"/>
    <cellStyle name="Normal 12 2 6 2" xfId="3828" xr:uid="{00000000-0005-0000-0000-0000130E0000}"/>
    <cellStyle name="Normal 12 2 6 2 2" xfId="8050" xr:uid="{00000000-0005-0000-0000-0000140E0000}"/>
    <cellStyle name="Normal 12 2 6 2 2 2" xfId="16500" xr:uid="{43AD76A3-9511-4CAC-BBDE-0CD22413208E}"/>
    <cellStyle name="Normal 12 2 6 2 3" xfId="12282" xr:uid="{CC687DA7-3D6F-4BF7-9F8D-E688BA9A9F8A}"/>
    <cellStyle name="Normal 12 2 6 3" xfId="5905" xr:uid="{00000000-0005-0000-0000-0000150E0000}"/>
    <cellStyle name="Normal 12 2 6 3 2" xfId="14355" xr:uid="{23FD935B-4F54-498A-B23E-AE6F9144A9AF}"/>
    <cellStyle name="Normal 12 2 6 4" xfId="10137" xr:uid="{EF35C0F4-CC9A-47D8-8097-AA7429753FEC}"/>
    <cellStyle name="Normal 12 2 7" xfId="2012" xr:uid="{00000000-0005-0000-0000-0000160E0000}"/>
    <cellStyle name="Normal 12 2 7 2" xfId="4241" xr:uid="{00000000-0005-0000-0000-0000170E0000}"/>
    <cellStyle name="Normal 12 2 7 2 2" xfId="8463" xr:uid="{00000000-0005-0000-0000-0000180E0000}"/>
    <cellStyle name="Normal 12 2 7 2 2 2" xfId="16913" xr:uid="{299CF263-230B-4970-9E05-4A7678FBBE9E}"/>
    <cellStyle name="Normal 12 2 7 2 3" xfId="12695" xr:uid="{49DA5672-A4A3-416A-9BF5-FC4792595F82}"/>
    <cellStyle name="Normal 12 2 7 3" xfId="6318" xr:uid="{00000000-0005-0000-0000-0000190E0000}"/>
    <cellStyle name="Normal 12 2 7 3 2" xfId="14768" xr:uid="{ECD39B81-4900-4C5C-AE98-8BEDC68520FC}"/>
    <cellStyle name="Normal 12 2 7 4" xfId="10550" xr:uid="{F01F3CFD-4304-45C4-BAEA-44A5F725AE87}"/>
    <cellStyle name="Normal 12 2 8" xfId="2448" xr:uid="{00000000-0005-0000-0000-00001A0E0000}"/>
    <cellStyle name="Normal 12 2 8 2" xfId="6731" xr:uid="{00000000-0005-0000-0000-00001B0E0000}"/>
    <cellStyle name="Normal 12 2 8 2 2" xfId="15181" xr:uid="{ADD2A98A-C51E-489A-84DA-914EB76DAE59}"/>
    <cellStyle name="Normal 12 2 8 3" xfId="10963" xr:uid="{2E30D517-25B2-4ED2-AFC1-42840392ABC8}"/>
    <cellStyle name="Normal 12 2 9" xfId="4665" xr:uid="{00000000-0005-0000-0000-00001C0E0000}"/>
    <cellStyle name="Normal 12 2 9 2" xfId="13115" xr:uid="{89111008-597D-4EE0-B0CB-0718D33598EE}"/>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2 2 2" xfId="15679" xr:uid="{5CB0C31A-8992-415A-8F3F-EECF6BD97080}"/>
    <cellStyle name="Normal 12 3 2 2 2 3" xfId="11461" xr:uid="{C535ACFE-D015-4F90-92EA-436258CE29E1}"/>
    <cellStyle name="Normal 12 3 2 2 3" xfId="5084" xr:uid="{00000000-0005-0000-0000-0000220E0000}"/>
    <cellStyle name="Normal 12 3 2 2 3 2" xfId="13534" xr:uid="{274B72FC-9B7C-4A7C-82B0-3EC4381DC221}"/>
    <cellStyle name="Normal 12 3 2 2 4" xfId="9316" xr:uid="{A443D5B4-E8E8-407C-8538-C9EA17D9153A}"/>
    <cellStyle name="Normal 12 3 2 3" xfId="1189" xr:uid="{00000000-0005-0000-0000-0000230E0000}"/>
    <cellStyle name="Normal 12 3 2 3 2" xfId="3420" xr:uid="{00000000-0005-0000-0000-0000240E0000}"/>
    <cellStyle name="Normal 12 3 2 3 2 2" xfId="7642" xr:uid="{00000000-0005-0000-0000-0000250E0000}"/>
    <cellStyle name="Normal 12 3 2 3 2 2 2" xfId="16092" xr:uid="{9A0B9F29-5CB2-40C1-B07A-D04F8C646B7A}"/>
    <cellStyle name="Normal 12 3 2 3 2 3" xfId="11874" xr:uid="{B6D8CFA1-7246-4295-AD8D-5DE74C79F2C2}"/>
    <cellStyle name="Normal 12 3 2 3 3" xfId="5497" xr:uid="{00000000-0005-0000-0000-0000260E0000}"/>
    <cellStyle name="Normal 12 3 2 3 3 2" xfId="13947" xr:uid="{7B3FAC6A-7E67-4290-BD96-B37314A2671E}"/>
    <cellStyle name="Normal 12 3 2 3 4" xfId="9729" xr:uid="{FF312452-B558-46B2-9050-6B5D5FB01367}"/>
    <cellStyle name="Normal 12 3 2 4" xfId="1603" xr:uid="{00000000-0005-0000-0000-0000270E0000}"/>
    <cellStyle name="Normal 12 3 2 4 2" xfId="3833" xr:uid="{00000000-0005-0000-0000-0000280E0000}"/>
    <cellStyle name="Normal 12 3 2 4 2 2" xfId="8055" xr:uid="{00000000-0005-0000-0000-0000290E0000}"/>
    <cellStyle name="Normal 12 3 2 4 2 2 2" xfId="16505" xr:uid="{96CAA0E1-DB90-4E60-B976-E9B225208D59}"/>
    <cellStyle name="Normal 12 3 2 4 2 3" xfId="12287" xr:uid="{486B863E-FEC1-45F7-9B02-DBA044BF407E}"/>
    <cellStyle name="Normal 12 3 2 4 3" xfId="5910" xr:uid="{00000000-0005-0000-0000-00002A0E0000}"/>
    <cellStyle name="Normal 12 3 2 4 3 2" xfId="14360" xr:uid="{14732801-2408-42EA-AD4E-9D72C0020188}"/>
    <cellStyle name="Normal 12 3 2 4 4" xfId="10142" xr:uid="{C9F9C16E-89C2-4FF1-BB3E-03FC12F83739}"/>
    <cellStyle name="Normal 12 3 2 5" xfId="2017" xr:uid="{00000000-0005-0000-0000-00002B0E0000}"/>
    <cellStyle name="Normal 12 3 2 5 2" xfId="4246" xr:uid="{00000000-0005-0000-0000-00002C0E0000}"/>
    <cellStyle name="Normal 12 3 2 5 2 2" xfId="8468" xr:uid="{00000000-0005-0000-0000-00002D0E0000}"/>
    <cellStyle name="Normal 12 3 2 5 2 2 2" xfId="16918" xr:uid="{0D4F4884-C976-474A-899C-4D2982275EFF}"/>
    <cellStyle name="Normal 12 3 2 5 2 3" xfId="12700" xr:uid="{5E49B082-47CD-40BF-B6F3-C7A8714D18F4}"/>
    <cellStyle name="Normal 12 3 2 5 3" xfId="6323" xr:uid="{00000000-0005-0000-0000-00002E0E0000}"/>
    <cellStyle name="Normal 12 3 2 5 3 2" xfId="14773" xr:uid="{5310E21C-CC77-40C1-BFD8-B871672DD7DA}"/>
    <cellStyle name="Normal 12 3 2 5 4" xfId="10555" xr:uid="{BD2A63A1-66DC-4A28-BB06-FD67E3DC1B86}"/>
    <cellStyle name="Normal 12 3 2 6" xfId="2453" xr:uid="{00000000-0005-0000-0000-00002F0E0000}"/>
    <cellStyle name="Normal 12 3 2 6 2" xfId="6736" xr:uid="{00000000-0005-0000-0000-0000300E0000}"/>
    <cellStyle name="Normal 12 3 2 6 2 2" xfId="15186" xr:uid="{30DC7439-D58D-4457-A367-9A9DB20D7A50}"/>
    <cellStyle name="Normal 12 3 2 6 3" xfId="10968" xr:uid="{C5516CC2-BF47-4E51-A099-9D5EE34417AF}"/>
    <cellStyle name="Normal 12 3 2 7" xfId="4670" xr:uid="{00000000-0005-0000-0000-0000310E0000}"/>
    <cellStyle name="Normal 12 3 2 7 2" xfId="13120" xr:uid="{B45A88D2-E867-4765-97BD-2BFFDAF783B0}"/>
    <cellStyle name="Normal 12 3 2 8" xfId="8902" xr:uid="{3CAEB515-A91D-411B-B6B3-D5287AB4216D}"/>
    <cellStyle name="Normal 12 3 3" xfId="765" xr:uid="{00000000-0005-0000-0000-0000320E0000}"/>
    <cellStyle name="Normal 12 3 3 2" xfId="3006" xr:uid="{00000000-0005-0000-0000-0000330E0000}"/>
    <cellStyle name="Normal 12 3 3 2 2" xfId="7228" xr:uid="{00000000-0005-0000-0000-0000340E0000}"/>
    <cellStyle name="Normal 12 3 3 2 2 2" xfId="15678" xr:uid="{D90399D2-B45E-4459-8320-D848F9438738}"/>
    <cellStyle name="Normal 12 3 3 2 3" xfId="11460" xr:uid="{804E5281-1109-465D-96CB-7778C14A726E}"/>
    <cellStyle name="Normal 12 3 3 3" xfId="5083" xr:uid="{00000000-0005-0000-0000-0000350E0000}"/>
    <cellStyle name="Normal 12 3 3 3 2" xfId="13533" xr:uid="{4329A83F-1421-46EA-8226-A640784F11BD}"/>
    <cellStyle name="Normal 12 3 3 4" xfId="9315" xr:uid="{D9770213-A169-47DA-984F-6C8DD2962C5A}"/>
    <cellStyle name="Normal 12 3 4" xfId="1188" xr:uid="{00000000-0005-0000-0000-0000360E0000}"/>
    <cellStyle name="Normal 12 3 4 2" xfId="3419" xr:uid="{00000000-0005-0000-0000-0000370E0000}"/>
    <cellStyle name="Normal 12 3 4 2 2" xfId="7641" xr:uid="{00000000-0005-0000-0000-0000380E0000}"/>
    <cellStyle name="Normal 12 3 4 2 2 2" xfId="16091" xr:uid="{AE8E12C2-A749-41CF-8B63-B0E5A169ACF5}"/>
    <cellStyle name="Normal 12 3 4 2 3" xfId="11873" xr:uid="{74B7F129-C200-4B25-9F7C-095474C5A837}"/>
    <cellStyle name="Normal 12 3 4 3" xfId="5496" xr:uid="{00000000-0005-0000-0000-0000390E0000}"/>
    <cellStyle name="Normal 12 3 4 3 2" xfId="13946" xr:uid="{0CB68DDA-9D62-41B7-8F37-A0A8471FD9B6}"/>
    <cellStyle name="Normal 12 3 4 4" xfId="9728" xr:uid="{D92042D1-EEF1-4A6D-9E12-760C723C68D7}"/>
    <cellStyle name="Normal 12 3 5" xfId="1602" xr:uid="{00000000-0005-0000-0000-00003A0E0000}"/>
    <cellStyle name="Normal 12 3 5 2" xfId="3832" xr:uid="{00000000-0005-0000-0000-00003B0E0000}"/>
    <cellStyle name="Normal 12 3 5 2 2" xfId="8054" xr:uid="{00000000-0005-0000-0000-00003C0E0000}"/>
    <cellStyle name="Normal 12 3 5 2 2 2" xfId="16504" xr:uid="{F8571283-6911-4C98-94F6-987E44781467}"/>
    <cellStyle name="Normal 12 3 5 2 3" xfId="12286" xr:uid="{E8C2E02C-8790-4BE4-A8BA-61B87CDA9A37}"/>
    <cellStyle name="Normal 12 3 5 3" xfId="5909" xr:uid="{00000000-0005-0000-0000-00003D0E0000}"/>
    <cellStyle name="Normal 12 3 5 3 2" xfId="14359" xr:uid="{BFF110BB-0393-4B01-855E-1F48A2DB6912}"/>
    <cellStyle name="Normal 12 3 5 4" xfId="10141" xr:uid="{BDB24259-B671-443B-BA3B-C50E5F96FBF4}"/>
    <cellStyle name="Normal 12 3 6" xfId="2016" xr:uid="{00000000-0005-0000-0000-00003E0E0000}"/>
    <cellStyle name="Normal 12 3 6 2" xfId="4245" xr:uid="{00000000-0005-0000-0000-00003F0E0000}"/>
    <cellStyle name="Normal 12 3 6 2 2" xfId="8467" xr:uid="{00000000-0005-0000-0000-0000400E0000}"/>
    <cellStyle name="Normal 12 3 6 2 2 2" xfId="16917" xr:uid="{DDDF6E1B-FD03-445B-AD90-1FE7547F6069}"/>
    <cellStyle name="Normal 12 3 6 2 3" xfId="12699" xr:uid="{030E5F58-A79D-4C86-82FA-581E9A2827DC}"/>
    <cellStyle name="Normal 12 3 6 3" xfId="6322" xr:uid="{00000000-0005-0000-0000-0000410E0000}"/>
    <cellStyle name="Normal 12 3 6 3 2" xfId="14772" xr:uid="{5248B2E1-66D3-4865-BB14-824848F5E20A}"/>
    <cellStyle name="Normal 12 3 6 4" xfId="10554" xr:uid="{666B8C35-5334-4E97-8D6E-DA87EE8F1201}"/>
    <cellStyle name="Normal 12 3 7" xfId="2452" xr:uid="{00000000-0005-0000-0000-0000420E0000}"/>
    <cellStyle name="Normal 12 3 7 2" xfId="6735" xr:uid="{00000000-0005-0000-0000-0000430E0000}"/>
    <cellStyle name="Normal 12 3 7 2 2" xfId="15185" xr:uid="{C7914BC1-737E-4E49-BBBF-694E69F4711D}"/>
    <cellStyle name="Normal 12 3 7 3" xfId="10967" xr:uid="{6D36F8EE-8A7A-49A5-91DC-FEF967D73F57}"/>
    <cellStyle name="Normal 12 3 8" xfId="4669" xr:uid="{00000000-0005-0000-0000-0000440E0000}"/>
    <cellStyle name="Normal 12 3 8 2" xfId="13119" xr:uid="{8877E5FD-A0B5-47EA-9511-E3DCD9A19ACF}"/>
    <cellStyle name="Normal 12 3 9" xfId="8901" xr:uid="{F5742D92-5A22-49B8-BBB8-6F88815A6DD2}"/>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2 2 2" xfId="15680" xr:uid="{913D5B3D-0DCB-451D-83D2-AA89EE3651A7}"/>
    <cellStyle name="Normal 12 4 2 2 3" xfId="11462" xr:uid="{2B1378E5-1AFD-4DF1-BD48-FD9BDFEF6467}"/>
    <cellStyle name="Normal 12 4 2 3" xfId="5085" xr:uid="{00000000-0005-0000-0000-0000490E0000}"/>
    <cellStyle name="Normal 12 4 2 3 2" xfId="13535" xr:uid="{38BBFC30-0F98-44D2-8039-D507D534CEAE}"/>
    <cellStyle name="Normal 12 4 2 4" xfId="9317" xr:uid="{1E8864E0-367B-471E-9207-8E84940636B3}"/>
    <cellStyle name="Normal 12 4 3" xfId="1190" xr:uid="{00000000-0005-0000-0000-00004A0E0000}"/>
    <cellStyle name="Normal 12 4 3 2" xfId="3421" xr:uid="{00000000-0005-0000-0000-00004B0E0000}"/>
    <cellStyle name="Normal 12 4 3 2 2" xfId="7643" xr:uid="{00000000-0005-0000-0000-00004C0E0000}"/>
    <cellStyle name="Normal 12 4 3 2 2 2" xfId="16093" xr:uid="{287B1747-25A4-4433-AF66-1E23A77F63C2}"/>
    <cellStyle name="Normal 12 4 3 2 3" xfId="11875" xr:uid="{B2B29DD7-8245-49D5-85BF-843693F33CD2}"/>
    <cellStyle name="Normal 12 4 3 3" xfId="5498" xr:uid="{00000000-0005-0000-0000-00004D0E0000}"/>
    <cellStyle name="Normal 12 4 3 3 2" xfId="13948" xr:uid="{6613438C-60AC-4B06-99D0-F399FAE648DE}"/>
    <cellStyle name="Normal 12 4 3 4" xfId="9730" xr:uid="{CCEC3E6B-5EDD-4185-A33E-1F2386CCF8A9}"/>
    <cellStyle name="Normal 12 4 4" xfId="1604" xr:uid="{00000000-0005-0000-0000-00004E0E0000}"/>
    <cellStyle name="Normal 12 4 4 2" xfId="3834" xr:uid="{00000000-0005-0000-0000-00004F0E0000}"/>
    <cellStyle name="Normal 12 4 4 2 2" xfId="8056" xr:uid="{00000000-0005-0000-0000-0000500E0000}"/>
    <cellStyle name="Normal 12 4 4 2 2 2" xfId="16506" xr:uid="{56DA2CD0-5D13-4382-BE05-6FC8ED60181E}"/>
    <cellStyle name="Normal 12 4 4 2 3" xfId="12288" xr:uid="{5E611F12-0E88-4F50-B495-4630072A17B3}"/>
    <cellStyle name="Normal 12 4 4 3" xfId="5911" xr:uid="{00000000-0005-0000-0000-0000510E0000}"/>
    <cellStyle name="Normal 12 4 4 3 2" xfId="14361" xr:uid="{3DF5D67B-6959-4902-AED5-D6504583D1C9}"/>
    <cellStyle name="Normal 12 4 4 4" xfId="10143" xr:uid="{AD5B9A2F-1AE5-44CA-916A-CB021C74690E}"/>
    <cellStyle name="Normal 12 4 5" xfId="2018" xr:uid="{00000000-0005-0000-0000-0000520E0000}"/>
    <cellStyle name="Normal 12 4 5 2" xfId="4247" xr:uid="{00000000-0005-0000-0000-0000530E0000}"/>
    <cellStyle name="Normal 12 4 5 2 2" xfId="8469" xr:uid="{00000000-0005-0000-0000-0000540E0000}"/>
    <cellStyle name="Normal 12 4 5 2 2 2" xfId="16919" xr:uid="{5B9C879F-BD84-4FA8-AB82-7892114691AD}"/>
    <cellStyle name="Normal 12 4 5 2 3" xfId="12701" xr:uid="{7E5C12E3-8A4A-4FDE-A458-03F82A0013D4}"/>
    <cellStyle name="Normal 12 4 5 3" xfId="6324" xr:uid="{00000000-0005-0000-0000-0000550E0000}"/>
    <cellStyle name="Normal 12 4 5 3 2" xfId="14774" xr:uid="{671361B3-4243-4FED-A808-226ED17C2A14}"/>
    <cellStyle name="Normal 12 4 5 4" xfId="10556" xr:uid="{6C10D60A-8F01-4A01-8BF9-BB5D570D865C}"/>
    <cellStyle name="Normal 12 4 6" xfId="2454" xr:uid="{00000000-0005-0000-0000-0000560E0000}"/>
    <cellStyle name="Normal 12 4 6 2" xfId="6737" xr:uid="{00000000-0005-0000-0000-0000570E0000}"/>
    <cellStyle name="Normal 12 4 6 2 2" xfId="15187" xr:uid="{1CDFC652-D331-441C-A386-FF11488A64B6}"/>
    <cellStyle name="Normal 12 4 6 3" xfId="10969" xr:uid="{77EBE9B9-E257-4322-A72F-D58AC8A284A3}"/>
    <cellStyle name="Normal 12 4 7" xfId="4671" xr:uid="{00000000-0005-0000-0000-0000580E0000}"/>
    <cellStyle name="Normal 12 4 7 2" xfId="13121" xr:uid="{7D8D176F-32A9-4AFC-AC55-ADEE455B0D5B}"/>
    <cellStyle name="Normal 12 4 8" xfId="8903" xr:uid="{A4EB30D3-2759-4085-AF65-43701F6BB1F7}"/>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2 2 2" xfId="15673" xr:uid="{90EBC7B3-61C7-4471-BCE6-3F47E716F580}"/>
    <cellStyle name="Normal 12 6 2 3" xfId="11455" xr:uid="{129CE253-CB32-4B8F-98CF-AE4CC62F6921}"/>
    <cellStyle name="Normal 12 6 3" xfId="5078" xr:uid="{00000000-0005-0000-0000-00005D0E0000}"/>
    <cellStyle name="Normal 12 6 3 2" xfId="13528" xr:uid="{F8257321-7C27-4908-8124-458881743838}"/>
    <cellStyle name="Normal 12 6 4" xfId="9310" xr:uid="{931DF0A3-928D-4D8C-B985-4BA994DAF85E}"/>
    <cellStyle name="Normal 12 7" xfId="1183" xr:uid="{00000000-0005-0000-0000-00005E0E0000}"/>
    <cellStyle name="Normal 12 7 2" xfId="3414" xr:uid="{00000000-0005-0000-0000-00005F0E0000}"/>
    <cellStyle name="Normal 12 7 2 2" xfId="7636" xr:uid="{00000000-0005-0000-0000-0000600E0000}"/>
    <cellStyle name="Normal 12 7 2 2 2" xfId="16086" xr:uid="{969C3062-0F14-4D4C-BC20-2C5A30B3D754}"/>
    <cellStyle name="Normal 12 7 2 3" xfId="11868" xr:uid="{F7C976DA-37BF-4E6C-9505-DADA267E837E}"/>
    <cellStyle name="Normal 12 7 3" xfId="5491" xr:uid="{00000000-0005-0000-0000-0000610E0000}"/>
    <cellStyle name="Normal 12 7 3 2" xfId="13941" xr:uid="{355B4CD3-9CA3-4EFC-9F1A-889A490B282E}"/>
    <cellStyle name="Normal 12 7 4" xfId="9723" xr:uid="{10BD4BF0-BD9F-471F-881F-E213027824B4}"/>
    <cellStyle name="Normal 12 8" xfId="1597" xr:uid="{00000000-0005-0000-0000-0000620E0000}"/>
    <cellStyle name="Normal 12 8 2" xfId="3827" xr:uid="{00000000-0005-0000-0000-0000630E0000}"/>
    <cellStyle name="Normal 12 8 2 2" xfId="8049" xr:uid="{00000000-0005-0000-0000-0000640E0000}"/>
    <cellStyle name="Normal 12 8 2 2 2" xfId="16499" xr:uid="{A7BBF51A-AC3F-4FA1-9B5E-B7A3D1217429}"/>
    <cellStyle name="Normal 12 8 2 3" xfId="12281" xr:uid="{B00B7238-5116-4183-BEB3-C26CF0251F82}"/>
    <cellStyle name="Normal 12 8 3" xfId="5904" xr:uid="{00000000-0005-0000-0000-0000650E0000}"/>
    <cellStyle name="Normal 12 8 3 2" xfId="14354" xr:uid="{3F39D2CA-B34E-4F1A-BD16-8C56B838CDFB}"/>
    <cellStyle name="Normal 12 8 4" xfId="10136" xr:uid="{A0526853-1547-4734-80B6-37AB4DB56E51}"/>
    <cellStyle name="Normal 12 9" xfId="2011" xr:uid="{00000000-0005-0000-0000-0000660E0000}"/>
    <cellStyle name="Normal 12 9 2" xfId="4240" xr:uid="{00000000-0005-0000-0000-0000670E0000}"/>
    <cellStyle name="Normal 12 9 2 2" xfId="8462" xr:uid="{00000000-0005-0000-0000-0000680E0000}"/>
    <cellStyle name="Normal 12 9 2 2 2" xfId="16912" xr:uid="{B3BF1FBA-156A-45E7-87B2-D43E5195E954}"/>
    <cellStyle name="Normal 12 9 2 3" xfId="12694" xr:uid="{95F2E953-B5B8-4E55-8191-E1F46379D391}"/>
    <cellStyle name="Normal 12 9 3" xfId="6317" xr:uid="{00000000-0005-0000-0000-0000690E0000}"/>
    <cellStyle name="Normal 12 9 3 2" xfId="14767" xr:uid="{E391A020-68E7-46F0-B206-6B3F748B8856}"/>
    <cellStyle name="Normal 12 9 4" xfId="10549" xr:uid="{5FA6BC63-CFCE-4EEF-88D0-5069D321DB8C}"/>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2 2 2" xfId="15681" xr:uid="{3C9632CF-3772-481B-8465-04C520B0D585}"/>
    <cellStyle name="Normal 14 2 2 3" xfId="11463" xr:uid="{15F6ECA8-91CA-41BB-AF2F-3E3FAA63F41B}"/>
    <cellStyle name="Normal 14 2 3" xfId="5086" xr:uid="{00000000-0005-0000-0000-0000700E0000}"/>
    <cellStyle name="Normal 14 2 3 2" xfId="13536" xr:uid="{FFD7A919-8992-44CD-83C1-7B1AC04334BD}"/>
    <cellStyle name="Normal 14 2 4" xfId="9318" xr:uid="{68706159-9087-4A6A-9135-62AB81D85B1E}"/>
    <cellStyle name="Normal 14 3" xfId="1191" xr:uid="{00000000-0005-0000-0000-0000710E0000}"/>
    <cellStyle name="Normal 14 3 2" xfId="3422" xr:uid="{00000000-0005-0000-0000-0000720E0000}"/>
    <cellStyle name="Normal 14 3 2 2" xfId="7644" xr:uid="{00000000-0005-0000-0000-0000730E0000}"/>
    <cellStyle name="Normal 14 3 2 2 2" xfId="16094" xr:uid="{0AA29F40-1E72-4304-AE2A-F2010319C7F8}"/>
    <cellStyle name="Normal 14 3 2 3" xfId="11876" xr:uid="{9A8503AA-B060-43B0-83D2-ED5A1C1785E4}"/>
    <cellStyle name="Normal 14 3 3" xfId="5499" xr:uid="{00000000-0005-0000-0000-0000740E0000}"/>
    <cellStyle name="Normal 14 3 3 2" xfId="13949" xr:uid="{E7F8F784-AA70-421F-AA45-8F9ABE7B3E07}"/>
    <cellStyle name="Normal 14 3 4" xfId="9731" xr:uid="{A42E35C2-B090-4FC2-87E2-4AF6317D17EE}"/>
    <cellStyle name="Normal 14 4" xfId="1605" xr:uid="{00000000-0005-0000-0000-0000750E0000}"/>
    <cellStyle name="Normal 14 4 2" xfId="3835" xr:uid="{00000000-0005-0000-0000-0000760E0000}"/>
    <cellStyle name="Normal 14 4 2 2" xfId="8057" xr:uid="{00000000-0005-0000-0000-0000770E0000}"/>
    <cellStyle name="Normal 14 4 2 2 2" xfId="16507" xr:uid="{7EF0A01C-91B4-4627-A8FE-42A3C3BE52E0}"/>
    <cellStyle name="Normal 14 4 2 3" xfId="12289" xr:uid="{5A5D4945-7C35-46B1-8252-F5F68020BDEA}"/>
    <cellStyle name="Normal 14 4 3" xfId="5912" xr:uid="{00000000-0005-0000-0000-0000780E0000}"/>
    <cellStyle name="Normal 14 4 3 2" xfId="14362" xr:uid="{440DAD98-12CB-4217-9799-FF7AA719D7F5}"/>
    <cellStyle name="Normal 14 4 4" xfId="10144" xr:uid="{B1BB5952-9CD3-43BE-A132-E028B06B2F0B}"/>
    <cellStyle name="Normal 14 5" xfId="2019" xr:uid="{00000000-0005-0000-0000-0000790E0000}"/>
    <cellStyle name="Normal 14 5 2" xfId="4248" xr:uid="{00000000-0005-0000-0000-00007A0E0000}"/>
    <cellStyle name="Normal 14 5 2 2" xfId="8470" xr:uid="{00000000-0005-0000-0000-00007B0E0000}"/>
    <cellStyle name="Normal 14 5 2 2 2" xfId="16920" xr:uid="{52F11F85-E92A-47A2-AA3A-8EA0B7BA51F3}"/>
    <cellStyle name="Normal 14 5 2 3" xfId="12702" xr:uid="{1D868F3E-E340-41CF-A45A-C5BCBC4B88C5}"/>
    <cellStyle name="Normal 14 5 3" xfId="6325" xr:uid="{00000000-0005-0000-0000-00007C0E0000}"/>
    <cellStyle name="Normal 14 5 3 2" xfId="14775" xr:uid="{11378E53-4179-420F-90B6-F2987036D557}"/>
    <cellStyle name="Normal 14 5 4" xfId="10557" xr:uid="{702A1A81-24C4-4566-880D-63CAFB6B28FF}"/>
    <cellStyle name="Normal 14 6" xfId="2455" xr:uid="{00000000-0005-0000-0000-00007D0E0000}"/>
    <cellStyle name="Normal 14 6 2" xfId="6738" xr:uid="{00000000-0005-0000-0000-00007E0E0000}"/>
    <cellStyle name="Normal 14 6 2 2" xfId="15188" xr:uid="{36F8C84A-83CB-4A93-BEE3-7D5FDBFFE4D6}"/>
    <cellStyle name="Normal 14 6 3" xfId="10970" xr:uid="{F0ECCD4F-1A3C-4201-80D9-12AE9FA3C9F2}"/>
    <cellStyle name="Normal 14 7" xfId="4672" xr:uid="{00000000-0005-0000-0000-00007F0E0000}"/>
    <cellStyle name="Normal 14 7 2" xfId="13122" xr:uid="{024C465F-0CBF-49B1-976B-71910A9BF5DD}"/>
    <cellStyle name="Normal 14 8" xfId="8904" xr:uid="{725E6D96-4F6F-450B-86A1-A726A2DCD98F}"/>
    <cellStyle name="Normal 15" xfId="4496" xr:uid="{00000000-0005-0000-0000-0000800E0000}"/>
    <cellStyle name="Normal 15 2" xfId="12948" xr:uid="{4D733D37-67A4-4F67-A5E7-04A06093ECD1}"/>
    <cellStyle name="Normal 16" xfId="4500" xr:uid="{00000000-0005-0000-0000-0000810E0000}"/>
    <cellStyle name="Normal 16 2" xfId="8715" xr:uid="{00000000-0005-0000-0000-0000820E0000}"/>
    <cellStyle name="Normal 16 2 2" xfId="17165" xr:uid="{E3670B38-708A-4FD3-AEDB-0D223941691E}"/>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6 3 2 2 2 2 2" xfId="17181" xr:uid="{E2AE15CE-7191-4D6D-A2EA-2D5F6D77E11A}"/>
    <cellStyle name="Normal 16 3 2 2 2 3" xfId="17178" xr:uid="{2C628BBB-C976-4C02-B7BC-C9F8E21C23AF}"/>
    <cellStyle name="Normal 16 3 2 2 3" xfId="17174" xr:uid="{FB1CB56A-A01C-4EB4-AC7C-65F6FE5FF95B}"/>
    <cellStyle name="Normal 16 3 2 3" xfId="17171" xr:uid="{C48E6223-6841-488A-917F-5059DA3C1A27}"/>
    <cellStyle name="Normal 16 3 3" xfId="17168" xr:uid="{3959C7D6-1929-4744-8978-322CF121E838}"/>
    <cellStyle name="Normal 16 4" xfId="12951" xr:uid="{47D7E6E7-2718-46E7-8AF0-AE5958A55EE9}"/>
    <cellStyle name="Normal 17" xfId="8728" xr:uid="{3FF0972C-833B-4475-99D8-1A6907499E71}"/>
    <cellStyle name="Normal 17 2" xfId="17177" xr:uid="{73F4148C-E4DC-419D-BA04-650034647559}"/>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2 2 2" xfId="16921" xr:uid="{C558CA01-5E64-474C-BD78-89CBE4C43599}"/>
    <cellStyle name="Normal 2 4 2 10 2 3" xfId="12703" xr:uid="{A1061504-9C41-4AF2-9B4A-5613448D404B}"/>
    <cellStyle name="Normal 2 4 2 10 3" xfId="6326" xr:uid="{00000000-0005-0000-0000-0000910E0000}"/>
    <cellStyle name="Normal 2 4 2 10 3 2" xfId="14776" xr:uid="{BBE65972-3DB9-44A6-9647-7D9BF9820DDA}"/>
    <cellStyle name="Normal 2 4 2 10 4" xfId="10558" xr:uid="{8CADB373-59C4-4246-BE19-D2642893B793}"/>
    <cellStyle name="Normal 2 4 2 11" xfId="2456" xr:uid="{00000000-0005-0000-0000-0000920E0000}"/>
    <cellStyle name="Normal 2 4 2 11 2" xfId="6739" xr:uid="{00000000-0005-0000-0000-0000930E0000}"/>
    <cellStyle name="Normal 2 4 2 11 2 2" xfId="15189" xr:uid="{37803459-8BED-47BD-BFF1-51324E89AD13}"/>
    <cellStyle name="Normal 2 4 2 11 3" xfId="10971" xr:uid="{7330A720-54DD-4851-B0B4-F01C3A9F230C}"/>
    <cellStyle name="Normal 2 4 2 12" xfId="4673" xr:uid="{00000000-0005-0000-0000-0000940E0000}"/>
    <cellStyle name="Normal 2 4 2 12 2" xfId="13123" xr:uid="{886BC46C-A8B1-45FA-B112-72129A66D734}"/>
    <cellStyle name="Normal 2 4 2 13" xfId="8905" xr:uid="{34162A4D-6E5E-44FB-96EC-39273AB838B8}"/>
    <cellStyle name="Normal 2 4 2 2" xfId="280" xr:uid="{00000000-0005-0000-0000-0000950E0000}"/>
    <cellStyle name="Normal 2 4 2 3" xfId="281" xr:uid="{00000000-0005-0000-0000-0000960E0000}"/>
    <cellStyle name="Normal 2 4 2 3 10" xfId="4674" xr:uid="{00000000-0005-0000-0000-0000970E0000}"/>
    <cellStyle name="Normal 2 4 2 3 10 2" xfId="13124" xr:uid="{4B2D5DA5-F773-4327-AE38-E2CDC4D957BA}"/>
    <cellStyle name="Normal 2 4 2 3 11" xfId="8906" xr:uid="{E927591B-4271-41D9-B53E-258DBA620958}"/>
    <cellStyle name="Normal 2 4 2 3 2" xfId="282" xr:uid="{00000000-0005-0000-0000-0000980E0000}"/>
    <cellStyle name="Normal 2 4 2 3 2 10" xfId="8907" xr:uid="{4AB2D325-BBCD-4FE3-85EC-99EDC1B5048F}"/>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2 2 2" xfId="15686" xr:uid="{89EB73B3-574F-4DFB-A4BF-56291FF3DA49}"/>
    <cellStyle name="Normal 2 4 2 3 2 2 2 2 2 3" xfId="11468" xr:uid="{DCF2DFBE-7B3E-4EF3-B50D-3A325E097EF5}"/>
    <cellStyle name="Normal 2 4 2 3 2 2 2 2 3" xfId="5091" xr:uid="{00000000-0005-0000-0000-00009E0E0000}"/>
    <cellStyle name="Normal 2 4 2 3 2 2 2 2 3 2" xfId="13541" xr:uid="{9F5F2E71-6461-41D8-9F87-D180E0D05C6D}"/>
    <cellStyle name="Normal 2 4 2 3 2 2 2 2 4" xfId="9323" xr:uid="{CB7BD758-0BF9-4795-A4F8-3424E7030ED2}"/>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2 2 2" xfId="16099" xr:uid="{D8E7FA08-855B-49EB-AA9B-813B02BC09D9}"/>
    <cellStyle name="Normal 2 4 2 3 2 2 2 3 2 3" xfId="11881" xr:uid="{2322EAB2-BC56-41A6-9917-22C1CA6968DB}"/>
    <cellStyle name="Normal 2 4 2 3 2 2 2 3 3" xfId="5504" xr:uid="{00000000-0005-0000-0000-0000A20E0000}"/>
    <cellStyle name="Normal 2 4 2 3 2 2 2 3 3 2" xfId="13954" xr:uid="{1077604A-9B27-43DD-BD4E-2C4DBF312CC1}"/>
    <cellStyle name="Normal 2 4 2 3 2 2 2 3 4" xfId="9736" xr:uid="{5376824D-7A34-4E56-8739-ED95350A0864}"/>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2 2 2" xfId="16512" xr:uid="{57DEAFE5-5744-4237-A88A-A538D26C8A8E}"/>
    <cellStyle name="Normal 2 4 2 3 2 2 2 4 2 3" xfId="12294" xr:uid="{CB40BE33-29B6-47CE-8896-BDC6E893BEFB}"/>
    <cellStyle name="Normal 2 4 2 3 2 2 2 4 3" xfId="5917" xr:uid="{00000000-0005-0000-0000-0000A60E0000}"/>
    <cellStyle name="Normal 2 4 2 3 2 2 2 4 3 2" xfId="14367" xr:uid="{E671F947-EFD1-4FD1-AB57-E92D6C42B6FE}"/>
    <cellStyle name="Normal 2 4 2 3 2 2 2 4 4" xfId="10149" xr:uid="{EB6E1F80-ABB1-4B87-8639-0B4D9194B1A7}"/>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2 2 2" xfId="16925" xr:uid="{6629603B-4929-4D18-8B29-D9FF1D875253}"/>
    <cellStyle name="Normal 2 4 2 3 2 2 2 5 2 3" xfId="12707" xr:uid="{3235D8D3-A9F8-4662-BE86-7544B24A3995}"/>
    <cellStyle name="Normal 2 4 2 3 2 2 2 5 3" xfId="6330" xr:uid="{00000000-0005-0000-0000-0000AA0E0000}"/>
    <cellStyle name="Normal 2 4 2 3 2 2 2 5 3 2" xfId="14780" xr:uid="{0B4580EB-3A8E-429D-B065-CFEDA9DC6067}"/>
    <cellStyle name="Normal 2 4 2 3 2 2 2 5 4" xfId="10562" xr:uid="{84DE3433-50F0-4C72-AF74-B80F4EFED6BD}"/>
    <cellStyle name="Normal 2 4 2 3 2 2 2 6" xfId="2460" xr:uid="{00000000-0005-0000-0000-0000AB0E0000}"/>
    <cellStyle name="Normal 2 4 2 3 2 2 2 6 2" xfId="6743" xr:uid="{00000000-0005-0000-0000-0000AC0E0000}"/>
    <cellStyle name="Normal 2 4 2 3 2 2 2 6 2 2" xfId="15193" xr:uid="{F0652F80-712B-4E0F-837A-75624205EF96}"/>
    <cellStyle name="Normal 2 4 2 3 2 2 2 6 3" xfId="10975" xr:uid="{6EB1E5AE-57FC-46B8-A15C-BC6C6CF6078E}"/>
    <cellStyle name="Normal 2 4 2 3 2 2 2 7" xfId="4677" xr:uid="{00000000-0005-0000-0000-0000AD0E0000}"/>
    <cellStyle name="Normal 2 4 2 3 2 2 2 7 2" xfId="13127" xr:uid="{3FA9EF60-D3C5-44F0-95D5-40A36C1672C9}"/>
    <cellStyle name="Normal 2 4 2 3 2 2 2 8" xfId="8909" xr:uid="{3CCB4F99-3848-4B4B-B285-C10EB898664C}"/>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2 2 2" xfId="15685" xr:uid="{FAD4CCD7-81A4-4041-B4D9-9B87A15DFBC1}"/>
    <cellStyle name="Normal 2 4 2 3 2 2 3 2 3" xfId="11467" xr:uid="{C9DB0CF1-FEF3-4487-B140-EA675BA2A70B}"/>
    <cellStyle name="Normal 2 4 2 3 2 2 3 3" xfId="5090" xr:uid="{00000000-0005-0000-0000-0000B10E0000}"/>
    <cellStyle name="Normal 2 4 2 3 2 2 3 3 2" xfId="13540" xr:uid="{50823B25-8AE0-47A6-A193-44CEB266ED43}"/>
    <cellStyle name="Normal 2 4 2 3 2 2 3 4" xfId="9322" xr:uid="{7297C344-504B-44AA-A40F-9A473B8E9418}"/>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2 2 2" xfId="16098" xr:uid="{5996DF42-B0FF-4258-97DA-C8B5BD396ECD}"/>
    <cellStyle name="Normal 2 4 2 3 2 2 4 2 3" xfId="11880" xr:uid="{D48230D0-6877-40B1-A3BD-EE9D7608C77C}"/>
    <cellStyle name="Normal 2 4 2 3 2 2 4 3" xfId="5503" xr:uid="{00000000-0005-0000-0000-0000B50E0000}"/>
    <cellStyle name="Normal 2 4 2 3 2 2 4 3 2" xfId="13953" xr:uid="{6C891FBC-1D2B-418C-AEA9-BECDD5F14737}"/>
    <cellStyle name="Normal 2 4 2 3 2 2 4 4" xfId="9735" xr:uid="{F8ADCA82-95B0-47EA-9FC8-3CA8AA1BE97C}"/>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2 2 2" xfId="16511" xr:uid="{40E31730-E0AD-41D9-89C0-694AF81DAFA6}"/>
    <cellStyle name="Normal 2 4 2 3 2 2 5 2 3" xfId="12293" xr:uid="{7CFA56F0-A7CB-4E76-8AB7-C2EF8A2C644E}"/>
    <cellStyle name="Normal 2 4 2 3 2 2 5 3" xfId="5916" xr:uid="{00000000-0005-0000-0000-0000B90E0000}"/>
    <cellStyle name="Normal 2 4 2 3 2 2 5 3 2" xfId="14366" xr:uid="{3F8B99AA-E0C9-4298-9AB8-1CFA6E4A50DB}"/>
    <cellStyle name="Normal 2 4 2 3 2 2 5 4" xfId="10148" xr:uid="{95A48BB8-5222-451F-A1A3-B6B6349CD6A7}"/>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2 2 2" xfId="16924" xr:uid="{144B8BBF-E9E0-45A1-933B-848E8EDC9C45}"/>
    <cellStyle name="Normal 2 4 2 3 2 2 6 2 3" xfId="12706" xr:uid="{CDC4C894-C457-4AC3-AC4C-61CA4107A70A}"/>
    <cellStyle name="Normal 2 4 2 3 2 2 6 3" xfId="6329" xr:uid="{00000000-0005-0000-0000-0000BD0E0000}"/>
    <cellStyle name="Normal 2 4 2 3 2 2 6 3 2" xfId="14779" xr:uid="{D66E14F3-CBC3-48A2-98E4-13A103ACD0D3}"/>
    <cellStyle name="Normal 2 4 2 3 2 2 6 4" xfId="10561" xr:uid="{9AFA047A-81D8-480C-868E-4095845B1B40}"/>
    <cellStyle name="Normal 2 4 2 3 2 2 7" xfId="2459" xr:uid="{00000000-0005-0000-0000-0000BE0E0000}"/>
    <cellStyle name="Normal 2 4 2 3 2 2 7 2" xfId="6742" xr:uid="{00000000-0005-0000-0000-0000BF0E0000}"/>
    <cellStyle name="Normal 2 4 2 3 2 2 7 2 2" xfId="15192" xr:uid="{306D8E68-7C7C-4B8C-94A3-EED4E91F1C46}"/>
    <cellStyle name="Normal 2 4 2 3 2 2 7 3" xfId="10974" xr:uid="{3AB2B0B0-16E4-4525-9F24-68064D07DD70}"/>
    <cellStyle name="Normal 2 4 2 3 2 2 8" xfId="4676" xr:uid="{00000000-0005-0000-0000-0000C00E0000}"/>
    <cellStyle name="Normal 2 4 2 3 2 2 8 2" xfId="13126" xr:uid="{36F5FF3B-A86B-4C39-910F-FA1B4172AE7F}"/>
    <cellStyle name="Normal 2 4 2 3 2 2 9" xfId="8908" xr:uid="{10E5EF81-A69C-42EA-92C2-3A01B4356BB5}"/>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2 2 2" xfId="15687" xr:uid="{8E6627EF-BBFF-4B6A-9DFE-3C2EB243974F}"/>
    <cellStyle name="Normal 2 4 2 3 2 3 2 2 3" xfId="11469" xr:uid="{72642202-4836-48DE-AE1A-39AD0E1E2C63}"/>
    <cellStyle name="Normal 2 4 2 3 2 3 2 3" xfId="5092" xr:uid="{00000000-0005-0000-0000-0000C50E0000}"/>
    <cellStyle name="Normal 2 4 2 3 2 3 2 3 2" xfId="13542" xr:uid="{4D474C5A-7538-4997-94A6-0FC28238D9D5}"/>
    <cellStyle name="Normal 2 4 2 3 2 3 2 4" xfId="9324" xr:uid="{3754F2CB-58D4-4577-9B08-830AEE00DA9E}"/>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2 2 2" xfId="16100" xr:uid="{6E1BBD4D-E166-4B96-9745-1143C6A24505}"/>
    <cellStyle name="Normal 2 4 2 3 2 3 3 2 3" xfId="11882" xr:uid="{E153D8EF-A98D-434D-81EE-FEFF495766C9}"/>
    <cellStyle name="Normal 2 4 2 3 2 3 3 3" xfId="5505" xr:uid="{00000000-0005-0000-0000-0000C90E0000}"/>
    <cellStyle name="Normal 2 4 2 3 2 3 3 3 2" xfId="13955" xr:uid="{104FA7A6-050A-4A1C-A5D0-C0BACD17FD1B}"/>
    <cellStyle name="Normal 2 4 2 3 2 3 3 4" xfId="9737" xr:uid="{5EF97D91-B1C6-48CE-A114-D129FFF96DA8}"/>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2 2 2" xfId="16513" xr:uid="{0B067FFD-D469-4D7A-B6E1-37494D410627}"/>
    <cellStyle name="Normal 2 4 2 3 2 3 4 2 3" xfId="12295" xr:uid="{E1A241BD-39A6-478E-8CEC-5EBB96267E98}"/>
    <cellStyle name="Normal 2 4 2 3 2 3 4 3" xfId="5918" xr:uid="{00000000-0005-0000-0000-0000CD0E0000}"/>
    <cellStyle name="Normal 2 4 2 3 2 3 4 3 2" xfId="14368" xr:uid="{78BE131C-8A24-4863-875B-AD0074E086DF}"/>
    <cellStyle name="Normal 2 4 2 3 2 3 4 4" xfId="10150" xr:uid="{E96FE7E2-B02B-4B70-BAAB-A0B61267164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2 2 2" xfId="16926" xr:uid="{9E11DAE2-B325-48D0-AD51-2C370F1191E1}"/>
    <cellStyle name="Normal 2 4 2 3 2 3 5 2 3" xfId="12708" xr:uid="{AE5065E9-4C87-4DC0-AD09-34F618636A90}"/>
    <cellStyle name="Normal 2 4 2 3 2 3 5 3" xfId="6331" xr:uid="{00000000-0005-0000-0000-0000D10E0000}"/>
    <cellStyle name="Normal 2 4 2 3 2 3 5 3 2" xfId="14781" xr:uid="{E15981B9-D128-4B22-9C88-36AFAFD6C6F7}"/>
    <cellStyle name="Normal 2 4 2 3 2 3 5 4" xfId="10563" xr:uid="{A5E8A442-7388-41D9-A01F-D4B4FF2B582A}"/>
    <cellStyle name="Normal 2 4 2 3 2 3 6" xfId="2461" xr:uid="{00000000-0005-0000-0000-0000D20E0000}"/>
    <cellStyle name="Normal 2 4 2 3 2 3 6 2" xfId="6744" xr:uid="{00000000-0005-0000-0000-0000D30E0000}"/>
    <cellStyle name="Normal 2 4 2 3 2 3 6 2 2" xfId="15194" xr:uid="{C194C4C6-B8F9-4F0E-985C-BFB1E47D0FAD}"/>
    <cellStyle name="Normal 2 4 2 3 2 3 6 3" xfId="10976" xr:uid="{FEC5224F-D2D1-4A9A-A2A3-FC735E603076}"/>
    <cellStyle name="Normal 2 4 2 3 2 3 7" xfId="4678" xr:uid="{00000000-0005-0000-0000-0000D40E0000}"/>
    <cellStyle name="Normal 2 4 2 3 2 3 7 2" xfId="13128" xr:uid="{63725028-2FE1-4380-8F52-50E278382E95}"/>
    <cellStyle name="Normal 2 4 2 3 2 3 8" xfId="8910" xr:uid="{4DA8E1EA-9476-4BE3-B755-BCDE594B433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2 2 2" xfId="15684" xr:uid="{250C341B-BA0D-4813-8396-1631289E8BD8}"/>
    <cellStyle name="Normal 2 4 2 3 2 4 2 3" xfId="11466" xr:uid="{DDCEB84C-BA8C-47F9-AA21-8F2174403EA9}"/>
    <cellStyle name="Normal 2 4 2 3 2 4 3" xfId="5089" xr:uid="{00000000-0005-0000-0000-0000D80E0000}"/>
    <cellStyle name="Normal 2 4 2 3 2 4 3 2" xfId="13539" xr:uid="{7537BBDD-B379-4BE0-AA81-171B38ED4160}"/>
    <cellStyle name="Normal 2 4 2 3 2 4 4" xfId="9321" xr:uid="{8D087414-74DC-4BCA-885C-F60D8AC75BA8}"/>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2 2 2" xfId="16097" xr:uid="{93AA2302-C1D3-42E5-9B8C-118BC1676B26}"/>
    <cellStyle name="Normal 2 4 2 3 2 5 2 3" xfId="11879" xr:uid="{D41C9D38-1891-4C57-AE63-BDCF9CEEADE1}"/>
    <cellStyle name="Normal 2 4 2 3 2 5 3" xfId="5502" xr:uid="{00000000-0005-0000-0000-0000DC0E0000}"/>
    <cellStyle name="Normal 2 4 2 3 2 5 3 2" xfId="13952" xr:uid="{199CCBA2-4F73-4119-A470-F3F87AB3A6EB}"/>
    <cellStyle name="Normal 2 4 2 3 2 5 4" xfId="9734" xr:uid="{9A9D6135-B1C0-4D7D-9111-638D4C64286D}"/>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2 2 2" xfId="16510" xr:uid="{1E8D984A-92E3-4B6D-A4FE-E2005059C92B}"/>
    <cellStyle name="Normal 2 4 2 3 2 6 2 3" xfId="12292" xr:uid="{BA33EC5B-7E78-4817-95FD-EA0BC1FC9772}"/>
    <cellStyle name="Normal 2 4 2 3 2 6 3" xfId="5915" xr:uid="{00000000-0005-0000-0000-0000E00E0000}"/>
    <cellStyle name="Normal 2 4 2 3 2 6 3 2" xfId="14365" xr:uid="{78A89812-2711-4A6F-83AA-1F6F3C33A024}"/>
    <cellStyle name="Normal 2 4 2 3 2 6 4" xfId="10147" xr:uid="{5C436594-8DE9-49FA-AA15-44FCE8299AC1}"/>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2 2 2" xfId="16923" xr:uid="{4FB41418-718C-4227-B119-5B0FCEAF6592}"/>
    <cellStyle name="Normal 2 4 2 3 2 7 2 3" xfId="12705" xr:uid="{F52DC199-6D3B-4602-B95A-F18974DD30F1}"/>
    <cellStyle name="Normal 2 4 2 3 2 7 3" xfId="6328" xr:uid="{00000000-0005-0000-0000-0000E40E0000}"/>
    <cellStyle name="Normal 2 4 2 3 2 7 3 2" xfId="14778" xr:uid="{39A3916E-B8E0-458F-A9E4-9C3134FBC1B9}"/>
    <cellStyle name="Normal 2 4 2 3 2 7 4" xfId="10560" xr:uid="{3CDD5B32-6B04-4139-A349-C00323893834}"/>
    <cellStyle name="Normal 2 4 2 3 2 8" xfId="2458" xr:uid="{00000000-0005-0000-0000-0000E50E0000}"/>
    <cellStyle name="Normal 2 4 2 3 2 8 2" xfId="6741" xr:uid="{00000000-0005-0000-0000-0000E60E0000}"/>
    <cellStyle name="Normal 2 4 2 3 2 8 2 2" xfId="15191" xr:uid="{650C061F-C25F-40F7-894D-E209FF4243D2}"/>
    <cellStyle name="Normal 2 4 2 3 2 8 3" xfId="10973" xr:uid="{D9D449E3-D1DF-4E9F-8520-D96BB0109EED}"/>
    <cellStyle name="Normal 2 4 2 3 2 9" xfId="4675" xr:uid="{00000000-0005-0000-0000-0000E70E0000}"/>
    <cellStyle name="Normal 2 4 2 3 2 9 2" xfId="13125" xr:uid="{F5A183D2-E6B7-4572-A241-3527DBEDEE98}"/>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2 2 2" xfId="15689" xr:uid="{DCEC1BEC-1395-46CC-B925-9917EF76F32F}"/>
    <cellStyle name="Normal 2 4 2 3 3 2 2 2 3" xfId="11471" xr:uid="{41BF773B-82DB-4FB5-9655-B6621FE003B7}"/>
    <cellStyle name="Normal 2 4 2 3 3 2 2 3" xfId="5094" xr:uid="{00000000-0005-0000-0000-0000ED0E0000}"/>
    <cellStyle name="Normal 2 4 2 3 3 2 2 3 2" xfId="13544" xr:uid="{24D45B73-48C8-45B1-A19B-2ED35E304A68}"/>
    <cellStyle name="Normal 2 4 2 3 3 2 2 4" xfId="9326" xr:uid="{9E70B6A3-E5C5-403F-92EA-34E41DCACC08}"/>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2 2 2" xfId="16102" xr:uid="{CF8A6AFB-F9FD-4158-A736-CCFF08E1EA50}"/>
    <cellStyle name="Normal 2 4 2 3 3 2 3 2 3" xfId="11884" xr:uid="{2DC441D6-27CD-44E0-B555-873098C4CBEC}"/>
    <cellStyle name="Normal 2 4 2 3 3 2 3 3" xfId="5507" xr:uid="{00000000-0005-0000-0000-0000F10E0000}"/>
    <cellStyle name="Normal 2 4 2 3 3 2 3 3 2" xfId="13957" xr:uid="{FD619CF8-7A2E-4831-B548-CF8816237C79}"/>
    <cellStyle name="Normal 2 4 2 3 3 2 3 4" xfId="9739" xr:uid="{1A9FB561-8FDE-4784-897D-4169FE1F728D}"/>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2 2 2" xfId="16515" xr:uid="{9828AC8D-6242-462A-8082-620147E8F492}"/>
    <cellStyle name="Normal 2 4 2 3 3 2 4 2 3" xfId="12297" xr:uid="{C8572DF5-7643-4B24-8B3A-C1AB46327656}"/>
    <cellStyle name="Normal 2 4 2 3 3 2 4 3" xfId="5920" xr:uid="{00000000-0005-0000-0000-0000F50E0000}"/>
    <cellStyle name="Normal 2 4 2 3 3 2 4 3 2" xfId="14370" xr:uid="{92C99C8C-12B5-4E90-8939-E764AE4B7718}"/>
    <cellStyle name="Normal 2 4 2 3 3 2 4 4" xfId="10152" xr:uid="{AA45DBB9-A039-4A8E-8F71-EC6CCB96EA15}"/>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2 2 2" xfId="16928" xr:uid="{5CCB0847-0AC4-4310-8530-AEA7C6C093D2}"/>
    <cellStyle name="Normal 2 4 2 3 3 2 5 2 3" xfId="12710" xr:uid="{BC317F8A-14A7-4901-9789-8A83766CB6EE}"/>
    <cellStyle name="Normal 2 4 2 3 3 2 5 3" xfId="6333" xr:uid="{00000000-0005-0000-0000-0000F90E0000}"/>
    <cellStyle name="Normal 2 4 2 3 3 2 5 3 2" xfId="14783" xr:uid="{04BFBCFC-2AC8-4BEB-9782-BEE33473B322}"/>
    <cellStyle name="Normal 2 4 2 3 3 2 5 4" xfId="10565" xr:uid="{41FC526C-F974-41CC-A67A-139FBA50D8D8}"/>
    <cellStyle name="Normal 2 4 2 3 3 2 6" xfId="2463" xr:uid="{00000000-0005-0000-0000-0000FA0E0000}"/>
    <cellStyle name="Normal 2 4 2 3 3 2 6 2" xfId="6746" xr:uid="{00000000-0005-0000-0000-0000FB0E0000}"/>
    <cellStyle name="Normal 2 4 2 3 3 2 6 2 2" xfId="15196" xr:uid="{AC497B31-B03A-4710-B1F7-3C629FE19544}"/>
    <cellStyle name="Normal 2 4 2 3 3 2 6 3" xfId="10978" xr:uid="{271DECA0-FD64-48B4-977D-68E783EB8226}"/>
    <cellStyle name="Normal 2 4 2 3 3 2 7" xfId="4680" xr:uid="{00000000-0005-0000-0000-0000FC0E0000}"/>
    <cellStyle name="Normal 2 4 2 3 3 2 7 2" xfId="13130" xr:uid="{A2ADDDBB-D14E-41B8-831D-B7C31B8241C4}"/>
    <cellStyle name="Normal 2 4 2 3 3 2 8" xfId="8912" xr:uid="{102DB6A5-CC5C-4B4E-B126-579312C0DF54}"/>
    <cellStyle name="Normal 2 4 2 3 3 3" xfId="777" xr:uid="{00000000-0005-0000-0000-0000FD0E0000}"/>
    <cellStyle name="Normal 2 4 2 3 3 3 2" xfId="3016" xr:uid="{00000000-0005-0000-0000-0000FE0E0000}"/>
    <cellStyle name="Normal 2 4 2 3 3 3 2 2" xfId="7238" xr:uid="{00000000-0005-0000-0000-0000FF0E0000}"/>
    <cellStyle name="Normal 2 4 2 3 3 3 2 2 2" xfId="15688" xr:uid="{C2F8E820-284D-4225-B5C2-3F1074A52387}"/>
    <cellStyle name="Normal 2 4 2 3 3 3 2 3" xfId="11470" xr:uid="{F0A17B91-1357-47A2-9CA9-CF31CD943653}"/>
    <cellStyle name="Normal 2 4 2 3 3 3 3" xfId="5093" xr:uid="{00000000-0005-0000-0000-0000000F0000}"/>
    <cellStyle name="Normal 2 4 2 3 3 3 3 2" xfId="13543" xr:uid="{191EC3A7-636B-401D-BFCF-DBFB25954D2C}"/>
    <cellStyle name="Normal 2 4 2 3 3 3 4" xfId="9325" xr:uid="{21FB6248-3920-41FC-BCFB-447B18C905CE}"/>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2 2 2" xfId="16101" xr:uid="{5037E41C-B358-45CB-ABD9-BF9E622D3324}"/>
    <cellStyle name="Normal 2 4 2 3 3 4 2 3" xfId="11883" xr:uid="{171A11A7-F8C5-43B6-937A-E4FCD342E09D}"/>
    <cellStyle name="Normal 2 4 2 3 3 4 3" xfId="5506" xr:uid="{00000000-0005-0000-0000-0000040F0000}"/>
    <cellStyle name="Normal 2 4 2 3 3 4 3 2" xfId="13956" xr:uid="{44EF49BC-B6CB-4E02-89C3-81916C6155BA}"/>
    <cellStyle name="Normal 2 4 2 3 3 4 4" xfId="9738" xr:uid="{D574F7B3-8CB0-402F-B808-9211728CDD48}"/>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2 2 2" xfId="16514" xr:uid="{9CAA7BC1-0D25-4A59-9ACC-C66112014803}"/>
    <cellStyle name="Normal 2 4 2 3 3 5 2 3" xfId="12296" xr:uid="{E593BA67-9E58-4E35-83BB-28DAE0062BAE}"/>
    <cellStyle name="Normal 2 4 2 3 3 5 3" xfId="5919" xr:uid="{00000000-0005-0000-0000-0000080F0000}"/>
    <cellStyle name="Normal 2 4 2 3 3 5 3 2" xfId="14369" xr:uid="{BF8EC783-2A44-4476-8EA1-1C6C376B6AEF}"/>
    <cellStyle name="Normal 2 4 2 3 3 5 4" xfId="10151" xr:uid="{6F68E8A8-24F3-4EB9-9F0B-EBBB8BA5B735}"/>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2 2 2" xfId="16927" xr:uid="{84EC2111-3296-4ECF-BAF3-E93B95218759}"/>
    <cellStyle name="Normal 2 4 2 3 3 6 2 3" xfId="12709" xr:uid="{1ADE924F-3364-4023-B27B-2A32D4D4FBAA}"/>
    <cellStyle name="Normal 2 4 2 3 3 6 3" xfId="6332" xr:uid="{00000000-0005-0000-0000-00000C0F0000}"/>
    <cellStyle name="Normal 2 4 2 3 3 6 3 2" xfId="14782" xr:uid="{A2BB80E7-4968-4317-8EB6-1CDFAFE8566B}"/>
    <cellStyle name="Normal 2 4 2 3 3 6 4" xfId="10564" xr:uid="{1B287425-F9F3-4120-87B2-9F40DFE9E5B9}"/>
    <cellStyle name="Normal 2 4 2 3 3 7" xfId="2462" xr:uid="{00000000-0005-0000-0000-00000D0F0000}"/>
    <cellStyle name="Normal 2 4 2 3 3 7 2" xfId="6745" xr:uid="{00000000-0005-0000-0000-00000E0F0000}"/>
    <cellStyle name="Normal 2 4 2 3 3 7 2 2" xfId="15195" xr:uid="{E17A3118-AB1B-4B76-9E4A-060E2CBA5D6B}"/>
    <cellStyle name="Normal 2 4 2 3 3 7 3" xfId="10977" xr:uid="{5BD14149-6BB5-4B94-901E-28C77C8AB341}"/>
    <cellStyle name="Normal 2 4 2 3 3 8" xfId="4679" xr:uid="{00000000-0005-0000-0000-00000F0F0000}"/>
    <cellStyle name="Normal 2 4 2 3 3 8 2" xfId="13129" xr:uid="{C43B240B-B58A-4E71-82BE-BA88A7C59C74}"/>
    <cellStyle name="Normal 2 4 2 3 3 9" xfId="8911" xr:uid="{DF0213CC-088C-4AD8-9070-4007C78142CF}"/>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2 2 2" xfId="15690" xr:uid="{31FE593A-2D42-4B7F-A1E4-59FC21ED6BC7}"/>
    <cellStyle name="Normal 2 4 2 3 4 2 2 3" xfId="11472" xr:uid="{B073DEBA-11AF-46BD-B2D8-0EF1FEC7C2A1}"/>
    <cellStyle name="Normal 2 4 2 3 4 2 3" xfId="5095" xr:uid="{00000000-0005-0000-0000-0000140F0000}"/>
    <cellStyle name="Normal 2 4 2 3 4 2 3 2" xfId="13545" xr:uid="{048947FF-627E-4017-9067-2E9892AD395C}"/>
    <cellStyle name="Normal 2 4 2 3 4 2 4" xfId="9327" xr:uid="{2020AA4A-AF0C-4F36-A28D-663BC561E856}"/>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2 2 2" xfId="16103" xr:uid="{0E96CF14-8E53-471F-8BBC-98D06B513097}"/>
    <cellStyle name="Normal 2 4 2 3 4 3 2 3" xfId="11885" xr:uid="{2CC0B37F-592C-4273-8CF7-2ADAE5E27346}"/>
    <cellStyle name="Normal 2 4 2 3 4 3 3" xfId="5508" xr:uid="{00000000-0005-0000-0000-0000180F0000}"/>
    <cellStyle name="Normal 2 4 2 3 4 3 3 2" xfId="13958" xr:uid="{E4B6E409-273C-4F11-93DE-711A28CE9025}"/>
    <cellStyle name="Normal 2 4 2 3 4 3 4" xfId="9740" xr:uid="{45BD1146-D275-44FA-B2C5-AFBF0AF4E1CD}"/>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2 2 2" xfId="16516" xr:uid="{66505A32-DDCE-4976-9655-641DE898D21B}"/>
    <cellStyle name="Normal 2 4 2 3 4 4 2 3" xfId="12298" xr:uid="{97291F7A-BEE3-4CB2-8C57-E0B024F0EECD}"/>
    <cellStyle name="Normal 2 4 2 3 4 4 3" xfId="5921" xr:uid="{00000000-0005-0000-0000-00001C0F0000}"/>
    <cellStyle name="Normal 2 4 2 3 4 4 3 2" xfId="14371" xr:uid="{DBB1EBF2-5D07-49C0-AA05-4865FE4CF79E}"/>
    <cellStyle name="Normal 2 4 2 3 4 4 4" xfId="10153" xr:uid="{718301CF-FDC4-42C9-8D32-6534E2F8825D}"/>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2 2 2" xfId="16929" xr:uid="{66B26785-9975-4AA9-BBEB-4D0333206053}"/>
    <cellStyle name="Normal 2 4 2 3 4 5 2 3" xfId="12711" xr:uid="{6F8BF2F5-A5DF-4E07-8E46-12CE04CBA406}"/>
    <cellStyle name="Normal 2 4 2 3 4 5 3" xfId="6334" xr:uid="{00000000-0005-0000-0000-0000200F0000}"/>
    <cellStyle name="Normal 2 4 2 3 4 5 3 2" xfId="14784" xr:uid="{3CB98C38-5367-481C-BD2E-FAD3AD44541C}"/>
    <cellStyle name="Normal 2 4 2 3 4 5 4" xfId="10566" xr:uid="{81EAB49D-F17E-4EDB-92FD-24F542535CFE}"/>
    <cellStyle name="Normal 2 4 2 3 4 6" xfId="2464" xr:uid="{00000000-0005-0000-0000-0000210F0000}"/>
    <cellStyle name="Normal 2 4 2 3 4 6 2" xfId="6747" xr:uid="{00000000-0005-0000-0000-0000220F0000}"/>
    <cellStyle name="Normal 2 4 2 3 4 6 2 2" xfId="15197" xr:uid="{02514A15-C5B5-4287-8EEE-4404ADCDE3AA}"/>
    <cellStyle name="Normal 2 4 2 3 4 6 3" xfId="10979" xr:uid="{FC87631B-1569-4D2C-801A-7A8E4BB0E870}"/>
    <cellStyle name="Normal 2 4 2 3 4 7" xfId="4681" xr:uid="{00000000-0005-0000-0000-0000230F0000}"/>
    <cellStyle name="Normal 2 4 2 3 4 7 2" xfId="13131" xr:uid="{5821E5E8-F2D1-49FF-BD54-EB7062DC9400}"/>
    <cellStyle name="Normal 2 4 2 3 4 8" xfId="8913" xr:uid="{807A8339-CA36-4910-9886-ABBEF356F601}"/>
    <cellStyle name="Normal 2 4 2 3 5" xfId="772" xr:uid="{00000000-0005-0000-0000-0000240F0000}"/>
    <cellStyle name="Normal 2 4 2 3 5 2" xfId="3011" xr:uid="{00000000-0005-0000-0000-0000250F0000}"/>
    <cellStyle name="Normal 2 4 2 3 5 2 2" xfId="7233" xr:uid="{00000000-0005-0000-0000-0000260F0000}"/>
    <cellStyle name="Normal 2 4 2 3 5 2 2 2" xfId="15683" xr:uid="{D7924C61-6933-4F10-AC3E-AA92EFE7BCD3}"/>
    <cellStyle name="Normal 2 4 2 3 5 2 3" xfId="11465" xr:uid="{8571B9CE-5857-45D2-BE3B-BD96FDA76A4F}"/>
    <cellStyle name="Normal 2 4 2 3 5 3" xfId="5088" xr:uid="{00000000-0005-0000-0000-0000270F0000}"/>
    <cellStyle name="Normal 2 4 2 3 5 3 2" xfId="13538" xr:uid="{7297739D-2F69-4CDA-AFCA-06CA8C146786}"/>
    <cellStyle name="Normal 2 4 2 3 5 4" xfId="9320" xr:uid="{A4E055F7-F168-4FCC-A374-9C235E0BD602}"/>
    <cellStyle name="Normal 2 4 2 3 6" xfId="1194" xr:uid="{00000000-0005-0000-0000-0000280F0000}"/>
    <cellStyle name="Normal 2 4 2 3 6 2" xfId="3424" xr:uid="{00000000-0005-0000-0000-0000290F0000}"/>
    <cellStyle name="Normal 2 4 2 3 6 2 2" xfId="7646" xr:uid="{00000000-0005-0000-0000-00002A0F0000}"/>
    <cellStyle name="Normal 2 4 2 3 6 2 2 2" xfId="16096" xr:uid="{37FD8ECB-99A8-4C7F-9503-CCB189B8FAF5}"/>
    <cellStyle name="Normal 2 4 2 3 6 2 3" xfId="11878" xr:uid="{B1D301F8-943B-4D6B-9730-327673A7D8C5}"/>
    <cellStyle name="Normal 2 4 2 3 6 3" xfId="5501" xr:uid="{00000000-0005-0000-0000-00002B0F0000}"/>
    <cellStyle name="Normal 2 4 2 3 6 3 2" xfId="13951" xr:uid="{2AC1EA62-9E9C-4E5B-B95A-8AA2ABF72688}"/>
    <cellStyle name="Normal 2 4 2 3 6 4" xfId="9733" xr:uid="{FB3AFC69-D874-40A2-95B0-D022306BD05D}"/>
    <cellStyle name="Normal 2 4 2 3 7" xfId="1607" xr:uid="{00000000-0005-0000-0000-00002C0F0000}"/>
    <cellStyle name="Normal 2 4 2 3 7 2" xfId="3837" xr:uid="{00000000-0005-0000-0000-00002D0F0000}"/>
    <cellStyle name="Normal 2 4 2 3 7 2 2" xfId="8059" xr:uid="{00000000-0005-0000-0000-00002E0F0000}"/>
    <cellStyle name="Normal 2 4 2 3 7 2 2 2" xfId="16509" xr:uid="{97B13878-F111-4D80-BFA8-4F3443D4A1DA}"/>
    <cellStyle name="Normal 2 4 2 3 7 2 3" xfId="12291" xr:uid="{842FD5AF-B584-444C-9F35-A1B83B09F941}"/>
    <cellStyle name="Normal 2 4 2 3 7 3" xfId="5914" xr:uid="{00000000-0005-0000-0000-00002F0F0000}"/>
    <cellStyle name="Normal 2 4 2 3 7 3 2" xfId="14364" xr:uid="{2266D0A1-AFDE-4024-8840-C9B7DF642B5C}"/>
    <cellStyle name="Normal 2 4 2 3 7 4" xfId="10146" xr:uid="{E3DA236D-0468-49D1-9BDE-B89017A0D5CA}"/>
    <cellStyle name="Normal 2 4 2 3 8" xfId="2021" xr:uid="{00000000-0005-0000-0000-0000300F0000}"/>
    <cellStyle name="Normal 2 4 2 3 8 2" xfId="4250" xr:uid="{00000000-0005-0000-0000-0000310F0000}"/>
    <cellStyle name="Normal 2 4 2 3 8 2 2" xfId="8472" xr:uid="{00000000-0005-0000-0000-0000320F0000}"/>
    <cellStyle name="Normal 2 4 2 3 8 2 2 2" xfId="16922" xr:uid="{B53B2729-D000-4989-BDBD-C14366A1C5B5}"/>
    <cellStyle name="Normal 2 4 2 3 8 2 3" xfId="12704" xr:uid="{FF2D6233-2092-47B1-B2D1-7FD5ADBDE90A}"/>
    <cellStyle name="Normal 2 4 2 3 8 3" xfId="6327" xr:uid="{00000000-0005-0000-0000-0000330F0000}"/>
    <cellStyle name="Normal 2 4 2 3 8 3 2" xfId="14777" xr:uid="{6FE4B9F1-B63D-4BB0-87EB-3B4447197BA5}"/>
    <cellStyle name="Normal 2 4 2 3 8 4" xfId="10559" xr:uid="{DEF5C739-CC30-4ECC-86A8-B6DE8804CFC2}"/>
    <cellStyle name="Normal 2 4 2 3 9" xfId="2457" xr:uid="{00000000-0005-0000-0000-0000340F0000}"/>
    <cellStyle name="Normal 2 4 2 3 9 2" xfId="6740" xr:uid="{00000000-0005-0000-0000-0000350F0000}"/>
    <cellStyle name="Normal 2 4 2 3 9 2 2" xfId="15190" xr:uid="{F532751D-8968-4EE1-9E51-8940CA06D57B}"/>
    <cellStyle name="Normal 2 4 2 3 9 3" xfId="10972" xr:uid="{ECAB03F6-27D3-46C5-A453-566E39BEF658}"/>
    <cellStyle name="Normal 2 4 2 4" xfId="289" xr:uid="{00000000-0005-0000-0000-0000360F0000}"/>
    <cellStyle name="Normal 2 4 2 4 10" xfId="8914" xr:uid="{ED2ABD9E-39B1-4299-8171-7DB5946F2C68}"/>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2 2 2" xfId="15693" xr:uid="{490CA160-49B6-4BF7-8FB2-340F5F5CF76B}"/>
    <cellStyle name="Normal 2 4 2 4 2 2 2 2 3" xfId="11475" xr:uid="{2C030ABC-2BC4-440C-AE97-9EA75A2E4EA2}"/>
    <cellStyle name="Normal 2 4 2 4 2 2 2 3" xfId="5098" xr:uid="{00000000-0005-0000-0000-00003C0F0000}"/>
    <cellStyle name="Normal 2 4 2 4 2 2 2 3 2" xfId="13548" xr:uid="{078F79C4-FE81-4CCD-A9C1-43FBFAC779CB}"/>
    <cellStyle name="Normal 2 4 2 4 2 2 2 4" xfId="9330" xr:uid="{E9BD7C0C-20C7-4748-BFA8-DF7066912B31}"/>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2 2 2" xfId="16106" xr:uid="{AE596937-FFE7-4C2D-84AD-A801975BD659}"/>
    <cellStyle name="Normal 2 4 2 4 2 2 3 2 3" xfId="11888" xr:uid="{3643895D-8B51-4D50-9B48-312CE6DF234C}"/>
    <cellStyle name="Normal 2 4 2 4 2 2 3 3" xfId="5511" xr:uid="{00000000-0005-0000-0000-0000400F0000}"/>
    <cellStyle name="Normal 2 4 2 4 2 2 3 3 2" xfId="13961" xr:uid="{17DEBA8A-4724-4437-9763-375156F0B24B}"/>
    <cellStyle name="Normal 2 4 2 4 2 2 3 4" xfId="9743" xr:uid="{6B6B7F90-E937-48D4-A589-0E10E297E9E7}"/>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2 2 2" xfId="16519" xr:uid="{47226F61-B0EE-4D3D-85A3-841A37B02AD9}"/>
    <cellStyle name="Normal 2 4 2 4 2 2 4 2 3" xfId="12301" xr:uid="{46101DBF-A3D2-4FA4-8726-9659342E2388}"/>
    <cellStyle name="Normal 2 4 2 4 2 2 4 3" xfId="5924" xr:uid="{00000000-0005-0000-0000-0000440F0000}"/>
    <cellStyle name="Normal 2 4 2 4 2 2 4 3 2" xfId="14374" xr:uid="{95EA3E9C-7F17-41D5-B88C-04CEB299EAA0}"/>
    <cellStyle name="Normal 2 4 2 4 2 2 4 4" xfId="10156" xr:uid="{2102E404-5D2F-489C-88A8-7953B7CBB907}"/>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2 2 2" xfId="16932" xr:uid="{24B57EB6-B95E-4110-8C81-8EF6F690A685}"/>
    <cellStyle name="Normal 2 4 2 4 2 2 5 2 3" xfId="12714" xr:uid="{F3253AF3-18B5-4A69-9D6B-174E649FF334}"/>
    <cellStyle name="Normal 2 4 2 4 2 2 5 3" xfId="6337" xr:uid="{00000000-0005-0000-0000-0000480F0000}"/>
    <cellStyle name="Normal 2 4 2 4 2 2 5 3 2" xfId="14787" xr:uid="{C0AB9893-D52D-4DD8-A0FD-3A46E665222A}"/>
    <cellStyle name="Normal 2 4 2 4 2 2 5 4" xfId="10569" xr:uid="{5CA8F71B-86CE-45DD-9710-46B4FA5A35FC}"/>
    <cellStyle name="Normal 2 4 2 4 2 2 6" xfId="2467" xr:uid="{00000000-0005-0000-0000-0000490F0000}"/>
    <cellStyle name="Normal 2 4 2 4 2 2 6 2" xfId="6750" xr:uid="{00000000-0005-0000-0000-00004A0F0000}"/>
    <cellStyle name="Normal 2 4 2 4 2 2 6 2 2" xfId="15200" xr:uid="{E8974EBB-91C8-45A2-B01A-ABAC5D8AB083}"/>
    <cellStyle name="Normal 2 4 2 4 2 2 6 3" xfId="10982" xr:uid="{C8DB23CA-83F2-4392-AF57-BAFFBB002A86}"/>
    <cellStyle name="Normal 2 4 2 4 2 2 7" xfId="4684" xr:uid="{00000000-0005-0000-0000-00004B0F0000}"/>
    <cellStyle name="Normal 2 4 2 4 2 2 7 2" xfId="13134" xr:uid="{3338FE1F-AEA2-48D2-B6CB-729E62AEA1D0}"/>
    <cellStyle name="Normal 2 4 2 4 2 2 8" xfId="8916" xr:uid="{14B9F3AC-092D-4421-AE9B-8CC3D2EF422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2 2 2" xfId="15692" xr:uid="{C99CC1B0-E761-43D2-AA80-926B43551904}"/>
    <cellStyle name="Normal 2 4 2 4 2 3 2 3" xfId="11474" xr:uid="{26B87084-9A19-440E-ACC8-24C055E9ABB0}"/>
    <cellStyle name="Normal 2 4 2 4 2 3 3" xfId="5097" xr:uid="{00000000-0005-0000-0000-00004F0F0000}"/>
    <cellStyle name="Normal 2 4 2 4 2 3 3 2" xfId="13547" xr:uid="{6AEB6CC5-7108-45BC-892A-10D8629FD8D1}"/>
    <cellStyle name="Normal 2 4 2 4 2 3 4" xfId="9329" xr:uid="{98C09319-9815-4D78-AF54-BC18290DF46A}"/>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2 2 2" xfId="16105" xr:uid="{25A25463-BFED-4B2B-8989-F41ED3135477}"/>
    <cellStyle name="Normal 2 4 2 4 2 4 2 3" xfId="11887" xr:uid="{5891F97D-479F-48B7-8169-8D0AE994ED83}"/>
    <cellStyle name="Normal 2 4 2 4 2 4 3" xfId="5510" xr:uid="{00000000-0005-0000-0000-0000530F0000}"/>
    <cellStyle name="Normal 2 4 2 4 2 4 3 2" xfId="13960" xr:uid="{31D686CC-C76D-4626-9001-7AB6364699BC}"/>
    <cellStyle name="Normal 2 4 2 4 2 4 4" xfId="9742" xr:uid="{699EEAEF-6356-4796-A7B8-C1E246F1FFBA}"/>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2 2 2" xfId="16518" xr:uid="{1407C473-0841-4103-8257-42EC650EFBA0}"/>
    <cellStyle name="Normal 2 4 2 4 2 5 2 3" xfId="12300" xr:uid="{59B84743-5A7A-45E8-B72A-CB4D61E57808}"/>
    <cellStyle name="Normal 2 4 2 4 2 5 3" xfId="5923" xr:uid="{00000000-0005-0000-0000-0000570F0000}"/>
    <cellStyle name="Normal 2 4 2 4 2 5 3 2" xfId="14373" xr:uid="{9415C4F4-90DC-48FD-B7C3-08A407A8B88B}"/>
    <cellStyle name="Normal 2 4 2 4 2 5 4" xfId="10155" xr:uid="{0869D4AF-B151-4525-9175-5D4F7E1ED18E}"/>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2 2 2" xfId="16931" xr:uid="{751E5C7C-C1D0-44A2-9E69-2D9DACA38EA5}"/>
    <cellStyle name="Normal 2 4 2 4 2 6 2 3" xfId="12713" xr:uid="{DFD8368C-67E1-4516-AAF8-A26C6CFC275A}"/>
    <cellStyle name="Normal 2 4 2 4 2 6 3" xfId="6336" xr:uid="{00000000-0005-0000-0000-00005B0F0000}"/>
    <cellStyle name="Normal 2 4 2 4 2 6 3 2" xfId="14786" xr:uid="{573D07AE-A743-4753-8D9C-D685E0C546FA}"/>
    <cellStyle name="Normal 2 4 2 4 2 6 4" xfId="10568" xr:uid="{6A36FD28-8F83-408A-B3F2-DABEB388761D}"/>
    <cellStyle name="Normal 2 4 2 4 2 7" xfId="2466" xr:uid="{00000000-0005-0000-0000-00005C0F0000}"/>
    <cellStyle name="Normal 2 4 2 4 2 7 2" xfId="6749" xr:uid="{00000000-0005-0000-0000-00005D0F0000}"/>
    <cellStyle name="Normal 2 4 2 4 2 7 2 2" xfId="15199" xr:uid="{941CB71F-18DE-4527-BD37-C5F9E41A71DB}"/>
    <cellStyle name="Normal 2 4 2 4 2 7 3" xfId="10981" xr:uid="{7E2E1BBC-70A6-4A73-A71C-5DADF18E9803}"/>
    <cellStyle name="Normal 2 4 2 4 2 8" xfId="4683" xr:uid="{00000000-0005-0000-0000-00005E0F0000}"/>
    <cellStyle name="Normal 2 4 2 4 2 8 2" xfId="13133" xr:uid="{E54E933A-05FC-4A97-88EB-3B46DF408063}"/>
    <cellStyle name="Normal 2 4 2 4 2 9" xfId="8915" xr:uid="{D1DE717E-017D-4B1A-B2D0-D6E99BCBAD51}"/>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2 2 2" xfId="15694" xr:uid="{49BA052D-77EF-45A2-A8D3-D2BE18F4D88C}"/>
    <cellStyle name="Normal 2 4 2 4 3 2 2 3" xfId="11476" xr:uid="{4C474D7F-9DFF-4167-9AFA-A350CC557C40}"/>
    <cellStyle name="Normal 2 4 2 4 3 2 3" xfId="5099" xr:uid="{00000000-0005-0000-0000-0000630F0000}"/>
    <cellStyle name="Normal 2 4 2 4 3 2 3 2" xfId="13549" xr:uid="{A8FF8276-AFAB-4AA4-9323-4F2DDF9DB6CF}"/>
    <cellStyle name="Normal 2 4 2 4 3 2 4" xfId="9331" xr:uid="{57451B8C-8676-4B73-89A9-229DD0DECA83}"/>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2 2 2" xfId="16107" xr:uid="{327947CF-5633-42E1-BE01-ECC857C9A5E3}"/>
    <cellStyle name="Normal 2 4 2 4 3 3 2 3" xfId="11889" xr:uid="{89CFD957-DEF2-454C-8097-168E89A18FE7}"/>
    <cellStyle name="Normal 2 4 2 4 3 3 3" xfId="5512" xr:uid="{00000000-0005-0000-0000-0000670F0000}"/>
    <cellStyle name="Normal 2 4 2 4 3 3 3 2" xfId="13962" xr:uid="{413924A1-1E4D-40FF-BDC7-8D974281F8BA}"/>
    <cellStyle name="Normal 2 4 2 4 3 3 4" xfId="9744" xr:uid="{AFEF7349-5C61-47E8-88F3-076245A8063F}"/>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2 2 2" xfId="16520" xr:uid="{B641AA31-3BB3-460C-9B3E-D51A37230CAB}"/>
    <cellStyle name="Normal 2 4 2 4 3 4 2 3" xfId="12302" xr:uid="{BDFC016D-0D82-4949-BE6F-D4E8DF59627B}"/>
    <cellStyle name="Normal 2 4 2 4 3 4 3" xfId="5925" xr:uid="{00000000-0005-0000-0000-00006B0F0000}"/>
    <cellStyle name="Normal 2 4 2 4 3 4 3 2" xfId="14375" xr:uid="{DA660CC6-CB39-40A8-BAE2-AC54F62FF814}"/>
    <cellStyle name="Normal 2 4 2 4 3 4 4" xfId="10157" xr:uid="{E2C1CE17-D478-4B36-8D95-6E5BB0C4D2F9}"/>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2 2 2" xfId="16933" xr:uid="{450D3C14-A9A0-4135-80A3-309A525FB37F}"/>
    <cellStyle name="Normal 2 4 2 4 3 5 2 3" xfId="12715" xr:uid="{56106157-FF97-4D28-91AF-CED2D76EBCAD}"/>
    <cellStyle name="Normal 2 4 2 4 3 5 3" xfId="6338" xr:uid="{00000000-0005-0000-0000-00006F0F0000}"/>
    <cellStyle name="Normal 2 4 2 4 3 5 3 2" xfId="14788" xr:uid="{D96BFF1D-02A4-473E-B3D6-A2986AE7254F}"/>
    <cellStyle name="Normal 2 4 2 4 3 5 4" xfId="10570" xr:uid="{537BA198-4F60-4801-9C1A-0E8EE5F63763}"/>
    <cellStyle name="Normal 2 4 2 4 3 6" xfId="2468" xr:uid="{00000000-0005-0000-0000-0000700F0000}"/>
    <cellStyle name="Normal 2 4 2 4 3 6 2" xfId="6751" xr:uid="{00000000-0005-0000-0000-0000710F0000}"/>
    <cellStyle name="Normal 2 4 2 4 3 6 2 2" xfId="15201" xr:uid="{97931C3E-6A66-43E3-A12D-D4D7CA6AA609}"/>
    <cellStyle name="Normal 2 4 2 4 3 6 3" xfId="10983" xr:uid="{98026425-48B0-4BD0-9943-B547BBF8EB3D}"/>
    <cellStyle name="Normal 2 4 2 4 3 7" xfId="4685" xr:uid="{00000000-0005-0000-0000-0000720F0000}"/>
    <cellStyle name="Normal 2 4 2 4 3 7 2" xfId="13135" xr:uid="{C5DFAFF1-3EB4-42C6-BEAF-8084358B9146}"/>
    <cellStyle name="Normal 2 4 2 4 3 8" xfId="8917" xr:uid="{C4F6A52B-F1EF-4674-802E-BDB64ECF1A1E}"/>
    <cellStyle name="Normal 2 4 2 4 4" xfId="780" xr:uid="{00000000-0005-0000-0000-0000730F0000}"/>
    <cellStyle name="Normal 2 4 2 4 4 2" xfId="3019" xr:uid="{00000000-0005-0000-0000-0000740F0000}"/>
    <cellStyle name="Normal 2 4 2 4 4 2 2" xfId="7241" xr:uid="{00000000-0005-0000-0000-0000750F0000}"/>
    <cellStyle name="Normal 2 4 2 4 4 2 2 2" xfId="15691" xr:uid="{FD9992D3-26A8-40F3-845E-EE56A321BFCB}"/>
    <cellStyle name="Normal 2 4 2 4 4 2 3" xfId="11473" xr:uid="{D5789554-A6E4-45D9-86A6-0C4ECD56DD1B}"/>
    <cellStyle name="Normal 2 4 2 4 4 3" xfId="5096" xr:uid="{00000000-0005-0000-0000-0000760F0000}"/>
    <cellStyle name="Normal 2 4 2 4 4 3 2" xfId="13546" xr:uid="{053045E6-5E64-453F-9157-B881E0B72188}"/>
    <cellStyle name="Normal 2 4 2 4 4 4" xfId="9328" xr:uid="{780FFE91-56F3-4F95-807B-751021B44C7E}"/>
    <cellStyle name="Normal 2 4 2 4 5" xfId="1202" xr:uid="{00000000-0005-0000-0000-0000770F0000}"/>
    <cellStyle name="Normal 2 4 2 4 5 2" xfId="3432" xr:uid="{00000000-0005-0000-0000-0000780F0000}"/>
    <cellStyle name="Normal 2 4 2 4 5 2 2" xfId="7654" xr:uid="{00000000-0005-0000-0000-0000790F0000}"/>
    <cellStyle name="Normal 2 4 2 4 5 2 2 2" xfId="16104" xr:uid="{080DEDF0-392E-4F61-8387-BB43062080A3}"/>
    <cellStyle name="Normal 2 4 2 4 5 2 3" xfId="11886" xr:uid="{2C4EAEB1-7054-46DC-902A-A1CB1CB8F881}"/>
    <cellStyle name="Normal 2 4 2 4 5 3" xfId="5509" xr:uid="{00000000-0005-0000-0000-00007A0F0000}"/>
    <cellStyle name="Normal 2 4 2 4 5 3 2" xfId="13959" xr:uid="{471F9A3B-5828-4B64-BFA9-6D9EE39B6384}"/>
    <cellStyle name="Normal 2 4 2 4 5 4" xfId="9741" xr:uid="{CF66D169-A48F-4F1D-A3E8-B17C5B467ABD}"/>
    <cellStyle name="Normal 2 4 2 4 6" xfId="1615" xr:uid="{00000000-0005-0000-0000-00007B0F0000}"/>
    <cellStyle name="Normal 2 4 2 4 6 2" xfId="3845" xr:uid="{00000000-0005-0000-0000-00007C0F0000}"/>
    <cellStyle name="Normal 2 4 2 4 6 2 2" xfId="8067" xr:uid="{00000000-0005-0000-0000-00007D0F0000}"/>
    <cellStyle name="Normal 2 4 2 4 6 2 2 2" xfId="16517" xr:uid="{AA09DCA2-6A90-436C-B360-A117EE91F7F6}"/>
    <cellStyle name="Normal 2 4 2 4 6 2 3" xfId="12299" xr:uid="{DAC55C17-71C9-40A7-8E3B-16F0A28CA030}"/>
    <cellStyle name="Normal 2 4 2 4 6 3" xfId="5922" xr:uid="{00000000-0005-0000-0000-00007E0F0000}"/>
    <cellStyle name="Normal 2 4 2 4 6 3 2" xfId="14372" xr:uid="{FFAD9077-EB8F-41CB-952D-0D2186E91DBE}"/>
    <cellStyle name="Normal 2 4 2 4 6 4" xfId="10154" xr:uid="{88383DDE-1E54-435C-A615-DDB34DD1A6AC}"/>
    <cellStyle name="Normal 2 4 2 4 7" xfId="2029" xr:uid="{00000000-0005-0000-0000-00007F0F0000}"/>
    <cellStyle name="Normal 2 4 2 4 7 2" xfId="4258" xr:uid="{00000000-0005-0000-0000-0000800F0000}"/>
    <cellStyle name="Normal 2 4 2 4 7 2 2" xfId="8480" xr:uid="{00000000-0005-0000-0000-0000810F0000}"/>
    <cellStyle name="Normal 2 4 2 4 7 2 2 2" xfId="16930" xr:uid="{53102319-3C42-4D06-9BAB-626D74DFCE15}"/>
    <cellStyle name="Normal 2 4 2 4 7 2 3" xfId="12712" xr:uid="{EF0CA96B-CED2-4FBD-9E55-966A3822FA23}"/>
    <cellStyle name="Normal 2 4 2 4 7 3" xfId="6335" xr:uid="{00000000-0005-0000-0000-0000820F0000}"/>
    <cellStyle name="Normal 2 4 2 4 7 3 2" xfId="14785" xr:uid="{52071B5B-FCD8-4C69-9178-B6B37C57AF20}"/>
    <cellStyle name="Normal 2 4 2 4 7 4" xfId="10567" xr:uid="{518633F7-9210-45D3-8EE4-D3A33EF1D104}"/>
    <cellStyle name="Normal 2 4 2 4 8" xfId="2465" xr:uid="{00000000-0005-0000-0000-0000830F0000}"/>
    <cellStyle name="Normal 2 4 2 4 8 2" xfId="6748" xr:uid="{00000000-0005-0000-0000-0000840F0000}"/>
    <cellStyle name="Normal 2 4 2 4 8 2 2" xfId="15198" xr:uid="{ABD60CF7-F12B-41EE-941F-ACFB72DB5C17}"/>
    <cellStyle name="Normal 2 4 2 4 8 3" xfId="10980" xr:uid="{9027530D-4D35-4AFB-94DD-01BE12D6303D}"/>
    <cellStyle name="Normal 2 4 2 4 9" xfId="4682" xr:uid="{00000000-0005-0000-0000-0000850F0000}"/>
    <cellStyle name="Normal 2 4 2 4 9 2" xfId="13132" xr:uid="{BEF2392B-6D5F-4678-95C5-542A2FF9EEA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2 2 2" xfId="15696" xr:uid="{23A06C96-CD11-49B3-87E2-A8C97C1C6DA5}"/>
    <cellStyle name="Normal 2 4 2 5 2 2 2 3" xfId="11478" xr:uid="{0E08E57B-D5BC-4F27-BC4B-96D2DDB59AB5}"/>
    <cellStyle name="Normal 2 4 2 5 2 2 3" xfId="5101" xr:uid="{00000000-0005-0000-0000-00008B0F0000}"/>
    <cellStyle name="Normal 2 4 2 5 2 2 3 2" xfId="13551" xr:uid="{6EC7D043-C2D2-401B-B234-AD2E384F98AE}"/>
    <cellStyle name="Normal 2 4 2 5 2 2 4" xfId="9333" xr:uid="{06CE9E9B-0530-436B-9231-F52A6E89265E}"/>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2 2 2" xfId="16109" xr:uid="{85427D99-81D3-41E4-BC04-913AF4478F55}"/>
    <cellStyle name="Normal 2 4 2 5 2 3 2 3" xfId="11891" xr:uid="{C3C2E7EA-8AF2-4245-A977-A89262DC7FED}"/>
    <cellStyle name="Normal 2 4 2 5 2 3 3" xfId="5514" xr:uid="{00000000-0005-0000-0000-00008F0F0000}"/>
    <cellStyle name="Normal 2 4 2 5 2 3 3 2" xfId="13964" xr:uid="{9881DD8D-FCAF-42AD-91F4-B3BB8B0938D0}"/>
    <cellStyle name="Normal 2 4 2 5 2 3 4" xfId="9746" xr:uid="{83D5E782-2D72-4E5C-A66E-DD86F6F134E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2 2 2" xfId="16522" xr:uid="{3548D5D0-2BD0-417E-A8D5-545ED1CE4AF8}"/>
    <cellStyle name="Normal 2 4 2 5 2 4 2 3" xfId="12304" xr:uid="{BE7D4E7C-4784-4F51-8CAF-DBE68FCA2E9C}"/>
    <cellStyle name="Normal 2 4 2 5 2 4 3" xfId="5927" xr:uid="{00000000-0005-0000-0000-0000930F0000}"/>
    <cellStyle name="Normal 2 4 2 5 2 4 3 2" xfId="14377" xr:uid="{0F7A627D-C071-4BFD-A4DB-07DF2F8B3E9E}"/>
    <cellStyle name="Normal 2 4 2 5 2 4 4" xfId="10159" xr:uid="{901D1E3D-FFD3-4AAB-B652-97FF88DCA91F}"/>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2 2 2" xfId="16935" xr:uid="{52493B19-9F0B-4B77-8A4A-37172068BB5D}"/>
    <cellStyle name="Normal 2 4 2 5 2 5 2 3" xfId="12717" xr:uid="{66B5274C-B151-4576-9FE7-851419AA3739}"/>
    <cellStyle name="Normal 2 4 2 5 2 5 3" xfId="6340" xr:uid="{00000000-0005-0000-0000-0000970F0000}"/>
    <cellStyle name="Normal 2 4 2 5 2 5 3 2" xfId="14790" xr:uid="{282FD7E3-53F8-4730-BB90-AA8CC0A4D71B}"/>
    <cellStyle name="Normal 2 4 2 5 2 5 4" xfId="10572" xr:uid="{BAD86180-63C1-451C-8BF3-CBDE050021E6}"/>
    <cellStyle name="Normal 2 4 2 5 2 6" xfId="2470" xr:uid="{00000000-0005-0000-0000-0000980F0000}"/>
    <cellStyle name="Normal 2 4 2 5 2 6 2" xfId="6753" xr:uid="{00000000-0005-0000-0000-0000990F0000}"/>
    <cellStyle name="Normal 2 4 2 5 2 6 2 2" xfId="15203" xr:uid="{DA6ECFC7-7B1A-478F-A511-2C714B97FC89}"/>
    <cellStyle name="Normal 2 4 2 5 2 6 3" xfId="10985" xr:uid="{4195DBBB-CD29-42C6-AFD7-289F5FDB63BE}"/>
    <cellStyle name="Normal 2 4 2 5 2 7" xfId="4687" xr:uid="{00000000-0005-0000-0000-00009A0F0000}"/>
    <cellStyle name="Normal 2 4 2 5 2 7 2" xfId="13137" xr:uid="{80305E33-F482-464F-8CA1-017908AFE7BD}"/>
    <cellStyle name="Normal 2 4 2 5 2 8" xfId="8919" xr:uid="{5579642A-1BB5-4B2A-9B13-16F7F681D726}"/>
    <cellStyle name="Normal 2 4 2 5 3" xfId="784" xr:uid="{00000000-0005-0000-0000-00009B0F0000}"/>
    <cellStyle name="Normal 2 4 2 5 3 2" xfId="3023" xr:uid="{00000000-0005-0000-0000-00009C0F0000}"/>
    <cellStyle name="Normal 2 4 2 5 3 2 2" xfId="7245" xr:uid="{00000000-0005-0000-0000-00009D0F0000}"/>
    <cellStyle name="Normal 2 4 2 5 3 2 2 2" xfId="15695" xr:uid="{7B2A464B-D2B6-4894-8CC6-113A5BA31305}"/>
    <cellStyle name="Normal 2 4 2 5 3 2 3" xfId="11477" xr:uid="{53DB9494-3FAA-4993-AB32-2BC76A618B0A}"/>
    <cellStyle name="Normal 2 4 2 5 3 3" xfId="5100" xr:uid="{00000000-0005-0000-0000-00009E0F0000}"/>
    <cellStyle name="Normal 2 4 2 5 3 3 2" xfId="13550" xr:uid="{E474C174-A815-4E25-A74B-A5D31E1AE936}"/>
    <cellStyle name="Normal 2 4 2 5 3 4" xfId="9332" xr:uid="{99F6B6A9-C1CD-48F1-8109-17AC0DC966D6}"/>
    <cellStyle name="Normal 2 4 2 5 4" xfId="1206" xr:uid="{00000000-0005-0000-0000-00009F0F0000}"/>
    <cellStyle name="Normal 2 4 2 5 4 2" xfId="3436" xr:uid="{00000000-0005-0000-0000-0000A00F0000}"/>
    <cellStyle name="Normal 2 4 2 5 4 2 2" xfId="7658" xr:uid="{00000000-0005-0000-0000-0000A10F0000}"/>
    <cellStyle name="Normal 2 4 2 5 4 2 2 2" xfId="16108" xr:uid="{00AF816A-B9CA-4E44-8993-3FD0A5B1F3D2}"/>
    <cellStyle name="Normal 2 4 2 5 4 2 3" xfId="11890" xr:uid="{680D733E-4E7E-4488-830D-E5E4EA6D7116}"/>
    <cellStyle name="Normal 2 4 2 5 4 3" xfId="5513" xr:uid="{00000000-0005-0000-0000-0000A20F0000}"/>
    <cellStyle name="Normal 2 4 2 5 4 3 2" xfId="13963" xr:uid="{13CBDEC8-644B-432F-BC47-8CC213312C5F}"/>
    <cellStyle name="Normal 2 4 2 5 4 4" xfId="9745" xr:uid="{319364B5-8A31-4B8D-BE87-557B9E1B3A83}"/>
    <cellStyle name="Normal 2 4 2 5 5" xfId="1619" xr:uid="{00000000-0005-0000-0000-0000A30F0000}"/>
    <cellStyle name="Normal 2 4 2 5 5 2" xfId="3849" xr:uid="{00000000-0005-0000-0000-0000A40F0000}"/>
    <cellStyle name="Normal 2 4 2 5 5 2 2" xfId="8071" xr:uid="{00000000-0005-0000-0000-0000A50F0000}"/>
    <cellStyle name="Normal 2 4 2 5 5 2 2 2" xfId="16521" xr:uid="{6ADEC5BE-2D0F-432A-9E04-B48444BE4B1E}"/>
    <cellStyle name="Normal 2 4 2 5 5 2 3" xfId="12303" xr:uid="{76C1708A-1FE2-4ECB-A400-E261560D066E}"/>
    <cellStyle name="Normal 2 4 2 5 5 3" xfId="5926" xr:uid="{00000000-0005-0000-0000-0000A60F0000}"/>
    <cellStyle name="Normal 2 4 2 5 5 3 2" xfId="14376" xr:uid="{5FC30B46-0429-479D-A65E-A6DC7CB4B843}"/>
    <cellStyle name="Normal 2 4 2 5 5 4" xfId="10158" xr:uid="{6E132C16-DABD-470B-A548-BA80C8FB644C}"/>
    <cellStyle name="Normal 2 4 2 5 6" xfId="2033" xr:uid="{00000000-0005-0000-0000-0000A70F0000}"/>
    <cellStyle name="Normal 2 4 2 5 6 2" xfId="4262" xr:uid="{00000000-0005-0000-0000-0000A80F0000}"/>
    <cellStyle name="Normal 2 4 2 5 6 2 2" xfId="8484" xr:uid="{00000000-0005-0000-0000-0000A90F0000}"/>
    <cellStyle name="Normal 2 4 2 5 6 2 2 2" xfId="16934" xr:uid="{76013EE6-5492-463B-B8D4-B666BACBFAD4}"/>
    <cellStyle name="Normal 2 4 2 5 6 2 3" xfId="12716" xr:uid="{CFCC26E3-D111-4E9A-8BFE-07067183DEF9}"/>
    <cellStyle name="Normal 2 4 2 5 6 3" xfId="6339" xr:uid="{00000000-0005-0000-0000-0000AA0F0000}"/>
    <cellStyle name="Normal 2 4 2 5 6 3 2" xfId="14789" xr:uid="{C2A2D1A6-1986-4CF2-B3DF-09A38BD54A7E}"/>
    <cellStyle name="Normal 2 4 2 5 6 4" xfId="10571" xr:uid="{7B7B47EC-5D2F-43C7-A754-BCE2F5A4514B}"/>
    <cellStyle name="Normal 2 4 2 5 7" xfId="2469" xr:uid="{00000000-0005-0000-0000-0000AB0F0000}"/>
    <cellStyle name="Normal 2 4 2 5 7 2" xfId="6752" xr:uid="{00000000-0005-0000-0000-0000AC0F0000}"/>
    <cellStyle name="Normal 2 4 2 5 7 2 2" xfId="15202" xr:uid="{81449B0E-F575-4C6A-915D-36FB89638BA0}"/>
    <cellStyle name="Normal 2 4 2 5 7 3" xfId="10984" xr:uid="{A042192C-22A9-4A01-AA79-8C8F550ACB05}"/>
    <cellStyle name="Normal 2 4 2 5 8" xfId="4686" xr:uid="{00000000-0005-0000-0000-0000AD0F0000}"/>
    <cellStyle name="Normal 2 4 2 5 8 2" xfId="13136" xr:uid="{3EBAC433-8969-4B32-B07E-24E44A3AE6C3}"/>
    <cellStyle name="Normal 2 4 2 5 9" xfId="8918" xr:uid="{8F27DEA5-C7DF-46E8-A14B-76CE2B78A0B4}"/>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2 2 2" xfId="15697" xr:uid="{0702B4A1-F7DB-4E44-862A-0CA018589060}"/>
    <cellStyle name="Normal 2 4 2 6 2 2 3" xfId="11479" xr:uid="{C67D369E-210D-485C-B8AB-A8ABC02EB25D}"/>
    <cellStyle name="Normal 2 4 2 6 2 3" xfId="5102" xr:uid="{00000000-0005-0000-0000-0000B20F0000}"/>
    <cellStyle name="Normal 2 4 2 6 2 3 2" xfId="13552" xr:uid="{DC48E519-36B1-4520-924A-BA43D6FB2E45}"/>
    <cellStyle name="Normal 2 4 2 6 2 4" xfId="9334" xr:uid="{70407BED-8D3D-4B76-81C0-922431EB1668}"/>
    <cellStyle name="Normal 2 4 2 6 3" xfId="1208" xr:uid="{00000000-0005-0000-0000-0000B30F0000}"/>
    <cellStyle name="Normal 2 4 2 6 3 2" xfId="3438" xr:uid="{00000000-0005-0000-0000-0000B40F0000}"/>
    <cellStyle name="Normal 2 4 2 6 3 2 2" xfId="7660" xr:uid="{00000000-0005-0000-0000-0000B50F0000}"/>
    <cellStyle name="Normal 2 4 2 6 3 2 2 2" xfId="16110" xr:uid="{8A2E0273-89E1-42C1-B599-4151EB05806A}"/>
    <cellStyle name="Normal 2 4 2 6 3 2 3" xfId="11892" xr:uid="{7DA26CB6-0807-416B-9AC2-684A7ABF4645}"/>
    <cellStyle name="Normal 2 4 2 6 3 3" xfId="5515" xr:uid="{00000000-0005-0000-0000-0000B60F0000}"/>
    <cellStyle name="Normal 2 4 2 6 3 3 2" xfId="13965" xr:uid="{E1EE1C74-4845-4728-940A-B4C398556B95}"/>
    <cellStyle name="Normal 2 4 2 6 3 4" xfId="9747" xr:uid="{E3489DBA-077D-47E2-8718-6EAB2422AC04}"/>
    <cellStyle name="Normal 2 4 2 6 4" xfId="1621" xr:uid="{00000000-0005-0000-0000-0000B70F0000}"/>
    <cellStyle name="Normal 2 4 2 6 4 2" xfId="3851" xr:uid="{00000000-0005-0000-0000-0000B80F0000}"/>
    <cellStyle name="Normal 2 4 2 6 4 2 2" xfId="8073" xr:uid="{00000000-0005-0000-0000-0000B90F0000}"/>
    <cellStyle name="Normal 2 4 2 6 4 2 2 2" xfId="16523" xr:uid="{3D94E115-41DB-4276-904D-3925709ECCCA}"/>
    <cellStyle name="Normal 2 4 2 6 4 2 3" xfId="12305" xr:uid="{95CBA9F7-167C-42B4-9A45-9A4E7A2DB205}"/>
    <cellStyle name="Normal 2 4 2 6 4 3" xfId="5928" xr:uid="{00000000-0005-0000-0000-0000BA0F0000}"/>
    <cellStyle name="Normal 2 4 2 6 4 3 2" xfId="14378" xr:uid="{484FBCD5-0879-4A8C-91E8-97DAB0F1F68D}"/>
    <cellStyle name="Normal 2 4 2 6 4 4" xfId="10160" xr:uid="{74307754-4B05-4087-B6D3-0CE86FF356F1}"/>
    <cellStyle name="Normal 2 4 2 6 5" xfId="2035" xr:uid="{00000000-0005-0000-0000-0000BB0F0000}"/>
    <cellStyle name="Normal 2 4 2 6 5 2" xfId="4264" xr:uid="{00000000-0005-0000-0000-0000BC0F0000}"/>
    <cellStyle name="Normal 2 4 2 6 5 2 2" xfId="8486" xr:uid="{00000000-0005-0000-0000-0000BD0F0000}"/>
    <cellStyle name="Normal 2 4 2 6 5 2 2 2" xfId="16936" xr:uid="{DF56184F-0A5F-40BC-AEBB-8C3214235EA7}"/>
    <cellStyle name="Normal 2 4 2 6 5 2 3" xfId="12718" xr:uid="{B653AA9C-8C45-4D2A-81D8-48F517846DF3}"/>
    <cellStyle name="Normal 2 4 2 6 5 3" xfId="6341" xr:uid="{00000000-0005-0000-0000-0000BE0F0000}"/>
    <cellStyle name="Normal 2 4 2 6 5 3 2" xfId="14791" xr:uid="{E781B4E4-0E83-4C22-902F-3FA22A35916F}"/>
    <cellStyle name="Normal 2 4 2 6 5 4" xfId="10573" xr:uid="{3CBB0597-4D3F-4B0D-889B-1A1EC485994E}"/>
    <cellStyle name="Normal 2 4 2 6 6" xfId="2471" xr:uid="{00000000-0005-0000-0000-0000BF0F0000}"/>
    <cellStyle name="Normal 2 4 2 6 6 2" xfId="6754" xr:uid="{00000000-0005-0000-0000-0000C00F0000}"/>
    <cellStyle name="Normal 2 4 2 6 6 2 2" xfId="15204" xr:uid="{CDBD78E6-B3AB-4026-8426-058D84AB3DBB}"/>
    <cellStyle name="Normal 2 4 2 6 6 3" xfId="10986" xr:uid="{D0073C13-7346-46AA-88EE-18D8B8F57452}"/>
    <cellStyle name="Normal 2 4 2 6 7" xfId="4688" xr:uid="{00000000-0005-0000-0000-0000C10F0000}"/>
    <cellStyle name="Normal 2 4 2 6 7 2" xfId="13138" xr:uid="{7CB4C06C-2560-49E2-A5FE-D79365152423}"/>
    <cellStyle name="Normal 2 4 2 6 8" xfId="8920" xr:uid="{E3172C14-ADBB-4A86-B100-59003B84A4C0}"/>
    <cellStyle name="Normal 2 4 2 7" xfId="771" xr:uid="{00000000-0005-0000-0000-0000C20F0000}"/>
    <cellStyle name="Normal 2 4 2 7 2" xfId="3010" xr:uid="{00000000-0005-0000-0000-0000C30F0000}"/>
    <cellStyle name="Normal 2 4 2 7 2 2" xfId="7232" xr:uid="{00000000-0005-0000-0000-0000C40F0000}"/>
    <cellStyle name="Normal 2 4 2 7 2 2 2" xfId="15682" xr:uid="{86CBD749-000F-47DE-9D09-9AF8AE155E23}"/>
    <cellStyle name="Normal 2 4 2 7 2 3" xfId="11464" xr:uid="{4C86D26E-F44A-4406-B76B-3009E513E7E1}"/>
    <cellStyle name="Normal 2 4 2 7 3" xfId="5087" xr:uid="{00000000-0005-0000-0000-0000C50F0000}"/>
    <cellStyle name="Normal 2 4 2 7 3 2" xfId="13537" xr:uid="{82347FAF-BBCC-4319-A545-7052736732B5}"/>
    <cellStyle name="Normal 2 4 2 7 4" xfId="9319" xr:uid="{72237FBC-E80E-4CCA-AE50-94EF111869B8}"/>
    <cellStyle name="Normal 2 4 2 8" xfId="1193" xr:uid="{00000000-0005-0000-0000-0000C60F0000}"/>
    <cellStyle name="Normal 2 4 2 8 2" xfId="3423" xr:uid="{00000000-0005-0000-0000-0000C70F0000}"/>
    <cellStyle name="Normal 2 4 2 8 2 2" xfId="7645" xr:uid="{00000000-0005-0000-0000-0000C80F0000}"/>
    <cellStyle name="Normal 2 4 2 8 2 2 2" xfId="16095" xr:uid="{F88ABEF8-1039-45F6-82B8-8BFA71F79F26}"/>
    <cellStyle name="Normal 2 4 2 8 2 3" xfId="11877" xr:uid="{A565E39C-D935-46DA-8258-5DD7D6456FE3}"/>
    <cellStyle name="Normal 2 4 2 8 3" xfId="5500" xr:uid="{00000000-0005-0000-0000-0000C90F0000}"/>
    <cellStyle name="Normal 2 4 2 8 3 2" xfId="13950" xr:uid="{6614A00E-1AC6-4781-839A-23D7BCBA963D}"/>
    <cellStyle name="Normal 2 4 2 8 4" xfId="9732" xr:uid="{4EEF96FF-DC54-4490-BC29-1F2A1607EA58}"/>
    <cellStyle name="Normal 2 4 2 9" xfId="1606" xr:uid="{00000000-0005-0000-0000-0000CA0F0000}"/>
    <cellStyle name="Normal 2 4 2 9 2" xfId="3836" xr:uid="{00000000-0005-0000-0000-0000CB0F0000}"/>
    <cellStyle name="Normal 2 4 2 9 2 2" xfId="8058" xr:uid="{00000000-0005-0000-0000-0000CC0F0000}"/>
    <cellStyle name="Normal 2 4 2 9 2 2 2" xfId="16508" xr:uid="{BA07889C-18F2-4EEE-9BE1-06A8A78F1FB2}"/>
    <cellStyle name="Normal 2 4 2 9 2 3" xfId="12290" xr:uid="{B56E8E17-FF12-4D2E-870A-BAC7BC3F9086}"/>
    <cellStyle name="Normal 2 4 2 9 3" xfId="5913" xr:uid="{00000000-0005-0000-0000-0000CD0F0000}"/>
    <cellStyle name="Normal 2 4 2 9 3 2" xfId="14363" xr:uid="{00651C67-FC26-479A-AEEF-059F90657A40}"/>
    <cellStyle name="Normal 2 4 2 9 4" xfId="10145" xr:uid="{E384E5C7-5AE0-4594-9ADF-4E01CAD47BB0}"/>
    <cellStyle name="Normal 2 4 3" xfId="296" xr:uid="{00000000-0005-0000-0000-0000CE0F0000}"/>
    <cellStyle name="Normal 2 4 3 10" xfId="8921" xr:uid="{786F1FDC-BEE3-4941-A4FD-08BBDADE2EC9}"/>
    <cellStyle name="Normal 2 4 3 2" xfId="297" xr:uid="{00000000-0005-0000-0000-0000CF0F0000}"/>
    <cellStyle name="Normal 2 4 3 3" xfId="298" xr:uid="{00000000-0005-0000-0000-0000D00F0000}"/>
    <cellStyle name="Normal 2 4 3 3 10" xfId="8922" xr:uid="{E88632BF-E58A-4BA8-9C3F-774E626C6EED}"/>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2 2 2" xfId="15701" xr:uid="{96E03361-DA9E-4B66-828D-1E62303E7196}"/>
    <cellStyle name="Normal 2 4 3 3 2 2 2 2 3" xfId="11483" xr:uid="{3E5BCDD3-773C-4F1B-B5F1-85E1883E518F}"/>
    <cellStyle name="Normal 2 4 3 3 2 2 2 3" xfId="5106" xr:uid="{00000000-0005-0000-0000-0000D60F0000}"/>
    <cellStyle name="Normal 2 4 3 3 2 2 2 3 2" xfId="13556" xr:uid="{07410B51-D657-4A0B-9558-594A290D3A52}"/>
    <cellStyle name="Normal 2 4 3 3 2 2 2 4" xfId="9338" xr:uid="{D8896B8D-3AA3-4A85-834E-22DF90E960EB}"/>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2 2 2" xfId="16114" xr:uid="{9A3BB0D4-3A88-498E-9F09-B93D938F04A2}"/>
    <cellStyle name="Normal 2 4 3 3 2 2 3 2 3" xfId="11896" xr:uid="{59CE0927-E55E-4BB2-A079-A1E73FAD2AF6}"/>
    <cellStyle name="Normal 2 4 3 3 2 2 3 3" xfId="5519" xr:uid="{00000000-0005-0000-0000-0000DA0F0000}"/>
    <cellStyle name="Normal 2 4 3 3 2 2 3 3 2" xfId="13969" xr:uid="{54276EE0-2B21-43EA-B911-24EBE0600280}"/>
    <cellStyle name="Normal 2 4 3 3 2 2 3 4" xfId="9751" xr:uid="{84C1FF13-0CD8-450A-8E5A-4EBD9A3E1735}"/>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2 2 2" xfId="16527" xr:uid="{876CCE09-34C4-4059-B7F8-33DA9CBAAC00}"/>
    <cellStyle name="Normal 2 4 3 3 2 2 4 2 3" xfId="12309" xr:uid="{AB3215DF-DB13-4209-A99D-0048E9258845}"/>
    <cellStyle name="Normal 2 4 3 3 2 2 4 3" xfId="5932" xr:uid="{00000000-0005-0000-0000-0000DE0F0000}"/>
    <cellStyle name="Normal 2 4 3 3 2 2 4 3 2" xfId="14382" xr:uid="{6D485C44-FC3E-424C-B1A7-BAC2A4096DEB}"/>
    <cellStyle name="Normal 2 4 3 3 2 2 4 4" xfId="10164" xr:uid="{B028C0BE-7E2D-40C4-9157-8C2BEBE3F2C8}"/>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2 2 2" xfId="16940" xr:uid="{68866DF2-1C70-45AA-9096-9A022B54D07F}"/>
    <cellStyle name="Normal 2 4 3 3 2 2 5 2 3" xfId="12722" xr:uid="{48329E5D-8DA9-4DEC-9336-2F84D1DD76AC}"/>
    <cellStyle name="Normal 2 4 3 3 2 2 5 3" xfId="6345" xr:uid="{00000000-0005-0000-0000-0000E20F0000}"/>
    <cellStyle name="Normal 2 4 3 3 2 2 5 3 2" xfId="14795" xr:uid="{EFD6BC6D-5BFA-4FC8-A198-059D90730390}"/>
    <cellStyle name="Normal 2 4 3 3 2 2 5 4" xfId="10577" xr:uid="{8A874DE2-7CCF-4C09-9CBD-B48588AFFE35}"/>
    <cellStyle name="Normal 2 4 3 3 2 2 6" xfId="2475" xr:uid="{00000000-0005-0000-0000-0000E30F0000}"/>
    <cellStyle name="Normal 2 4 3 3 2 2 6 2" xfId="6758" xr:uid="{00000000-0005-0000-0000-0000E40F0000}"/>
    <cellStyle name="Normal 2 4 3 3 2 2 6 2 2" xfId="15208" xr:uid="{0FFF813F-5BED-4566-BD1E-9F03D01270FF}"/>
    <cellStyle name="Normal 2 4 3 3 2 2 6 3" xfId="10990" xr:uid="{30E2638E-3C50-4653-AFB5-F2B1FA59C01A}"/>
    <cellStyle name="Normal 2 4 3 3 2 2 7" xfId="4692" xr:uid="{00000000-0005-0000-0000-0000E50F0000}"/>
    <cellStyle name="Normal 2 4 3 3 2 2 7 2" xfId="13142" xr:uid="{68DD3093-4A7D-4B11-A206-5B1687D60607}"/>
    <cellStyle name="Normal 2 4 3 3 2 2 8" xfId="8924" xr:uid="{E0BB1B11-D27B-4836-9BBE-602A36E239D6}"/>
    <cellStyle name="Normal 2 4 3 3 2 3" xfId="789" xr:uid="{00000000-0005-0000-0000-0000E60F0000}"/>
    <cellStyle name="Normal 2 4 3 3 2 3 2" xfId="3028" xr:uid="{00000000-0005-0000-0000-0000E70F0000}"/>
    <cellStyle name="Normal 2 4 3 3 2 3 2 2" xfId="7250" xr:uid="{00000000-0005-0000-0000-0000E80F0000}"/>
    <cellStyle name="Normal 2 4 3 3 2 3 2 2 2" xfId="15700" xr:uid="{D7F8B6F8-9FD8-4F55-9E09-8FC72F747D51}"/>
    <cellStyle name="Normal 2 4 3 3 2 3 2 3" xfId="11482" xr:uid="{7843CAD7-48C6-442E-BC24-21EF034B5653}"/>
    <cellStyle name="Normal 2 4 3 3 2 3 3" xfId="5105" xr:uid="{00000000-0005-0000-0000-0000E90F0000}"/>
    <cellStyle name="Normal 2 4 3 3 2 3 3 2" xfId="13555" xr:uid="{41842E1E-7974-49C6-BD75-2CB6719E09F7}"/>
    <cellStyle name="Normal 2 4 3 3 2 3 4" xfId="9337" xr:uid="{C9B054A2-CE48-4EE0-BF06-346B9DFF1E3E}"/>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2 2 2" xfId="16113" xr:uid="{0E33B87E-C749-499F-85AD-F47B6ED39815}"/>
    <cellStyle name="Normal 2 4 3 3 2 4 2 3" xfId="11895" xr:uid="{A5D53E3A-4496-4269-AEE1-7A7F6693908D}"/>
    <cellStyle name="Normal 2 4 3 3 2 4 3" xfId="5518" xr:uid="{00000000-0005-0000-0000-0000ED0F0000}"/>
    <cellStyle name="Normal 2 4 3 3 2 4 3 2" xfId="13968" xr:uid="{0A7D902C-35A8-4D92-BC2A-04725D81DE9C}"/>
    <cellStyle name="Normal 2 4 3 3 2 4 4" xfId="9750" xr:uid="{F2BAAE64-B5BF-431A-B2BB-327E52779099}"/>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2 2 2" xfId="16526" xr:uid="{6450CE61-9A15-42BF-80E5-759116D1ECDB}"/>
    <cellStyle name="Normal 2 4 3 3 2 5 2 3" xfId="12308" xr:uid="{0CF179DC-4F1F-46BA-9A23-9E27936B08F0}"/>
    <cellStyle name="Normal 2 4 3 3 2 5 3" xfId="5931" xr:uid="{00000000-0005-0000-0000-0000F10F0000}"/>
    <cellStyle name="Normal 2 4 3 3 2 5 3 2" xfId="14381" xr:uid="{5208D6B2-102B-4C6A-BCC8-5A1A0E18EAF7}"/>
    <cellStyle name="Normal 2 4 3 3 2 5 4" xfId="10163" xr:uid="{2DA3E58C-E043-4E80-A26F-445F64213FAA}"/>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2 2 2" xfId="16939" xr:uid="{6CEAC0A9-C3B4-4C41-8884-053D4E63BC33}"/>
    <cellStyle name="Normal 2 4 3 3 2 6 2 3" xfId="12721" xr:uid="{D4AAFCAD-6B78-489B-A4F3-B9CFB840808F}"/>
    <cellStyle name="Normal 2 4 3 3 2 6 3" xfId="6344" xr:uid="{00000000-0005-0000-0000-0000F50F0000}"/>
    <cellStyle name="Normal 2 4 3 3 2 6 3 2" xfId="14794" xr:uid="{D947C837-0E45-4487-B1E4-1BF1CEB01EFE}"/>
    <cellStyle name="Normal 2 4 3 3 2 6 4" xfId="10576" xr:uid="{06C193E4-B490-4A18-937B-7888B9DE2204}"/>
    <cellStyle name="Normal 2 4 3 3 2 7" xfId="2474" xr:uid="{00000000-0005-0000-0000-0000F60F0000}"/>
    <cellStyle name="Normal 2 4 3 3 2 7 2" xfId="6757" xr:uid="{00000000-0005-0000-0000-0000F70F0000}"/>
    <cellStyle name="Normal 2 4 3 3 2 7 2 2" xfId="15207" xr:uid="{BFED1DCE-BF59-4D17-8AAD-0FF789F9C433}"/>
    <cellStyle name="Normal 2 4 3 3 2 7 3" xfId="10989" xr:uid="{30210277-8CD2-4891-9F7E-36AC1C602065}"/>
    <cellStyle name="Normal 2 4 3 3 2 8" xfId="4691" xr:uid="{00000000-0005-0000-0000-0000F80F0000}"/>
    <cellStyle name="Normal 2 4 3 3 2 8 2" xfId="13141" xr:uid="{ED945A9A-3A05-44DC-A8E9-E9DEAE2F74DE}"/>
    <cellStyle name="Normal 2 4 3 3 2 9" xfId="8923" xr:uid="{30A1913E-3B3A-4A4C-A7C0-272CB9965D17}"/>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2 2 2" xfId="15702" xr:uid="{8EE65E83-0B66-493F-8754-C775806DEC15}"/>
    <cellStyle name="Normal 2 4 3 3 3 2 2 3" xfId="11484" xr:uid="{6AD9DD78-CCF9-43BE-8E39-623C7759F9F4}"/>
    <cellStyle name="Normal 2 4 3 3 3 2 3" xfId="5107" xr:uid="{00000000-0005-0000-0000-0000FD0F0000}"/>
    <cellStyle name="Normal 2 4 3 3 3 2 3 2" xfId="13557" xr:uid="{62E819EA-4C5B-4316-9B0B-6528D33C3282}"/>
    <cellStyle name="Normal 2 4 3 3 3 2 4" xfId="9339" xr:uid="{1CD98889-E2AA-4E3C-865F-B32D1F89207C}"/>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2 2 2" xfId="16115" xr:uid="{C6FD6156-BB37-4DE5-91B6-90F259B5CAEF}"/>
    <cellStyle name="Normal 2 4 3 3 3 3 2 3" xfId="11897" xr:uid="{26F570CE-14AC-4DC1-B423-5258F19B242F}"/>
    <cellStyle name="Normal 2 4 3 3 3 3 3" xfId="5520" xr:uid="{00000000-0005-0000-0000-000001100000}"/>
    <cellStyle name="Normal 2 4 3 3 3 3 3 2" xfId="13970" xr:uid="{01DE0F7F-E10E-46A9-80E7-DA548D9A626B}"/>
    <cellStyle name="Normal 2 4 3 3 3 3 4" xfId="9752" xr:uid="{B69ABE77-4BCE-46A2-AD04-160709B0C731}"/>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2 2 2" xfId="16528" xr:uid="{1D0D04FC-57D3-424B-8AF6-4C1541096309}"/>
    <cellStyle name="Normal 2 4 3 3 3 4 2 3" xfId="12310" xr:uid="{ABCACADE-C9EA-407A-93BF-2FC717E460AF}"/>
    <cellStyle name="Normal 2 4 3 3 3 4 3" xfId="5933" xr:uid="{00000000-0005-0000-0000-000005100000}"/>
    <cellStyle name="Normal 2 4 3 3 3 4 3 2" xfId="14383" xr:uid="{43B1B065-84E3-4C9B-9EBF-97132E75445E}"/>
    <cellStyle name="Normal 2 4 3 3 3 4 4" xfId="10165" xr:uid="{4AFA50D5-BFC5-42AD-BA76-BE645FC7D4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2 2 2" xfId="16941" xr:uid="{AD616CB2-387B-426C-8F78-652E6511A778}"/>
    <cellStyle name="Normal 2 4 3 3 3 5 2 3" xfId="12723" xr:uid="{9D7BB422-E0C3-4C88-8BA3-AC4064D7808B}"/>
    <cellStyle name="Normal 2 4 3 3 3 5 3" xfId="6346" xr:uid="{00000000-0005-0000-0000-000009100000}"/>
    <cellStyle name="Normal 2 4 3 3 3 5 3 2" xfId="14796" xr:uid="{BE57D572-10E1-473D-8E7F-D2CA9A4D21D1}"/>
    <cellStyle name="Normal 2 4 3 3 3 5 4" xfId="10578" xr:uid="{80F79B24-C826-43EB-9EA0-840DD2349508}"/>
    <cellStyle name="Normal 2 4 3 3 3 6" xfId="2476" xr:uid="{00000000-0005-0000-0000-00000A100000}"/>
    <cellStyle name="Normal 2 4 3 3 3 6 2" xfId="6759" xr:uid="{00000000-0005-0000-0000-00000B100000}"/>
    <cellStyle name="Normal 2 4 3 3 3 6 2 2" xfId="15209" xr:uid="{CE54071E-9AE7-4CDE-B100-0241BE5723EC}"/>
    <cellStyle name="Normal 2 4 3 3 3 6 3" xfId="10991" xr:uid="{49861A94-6B04-4262-BEF0-DFE82A5D23B6}"/>
    <cellStyle name="Normal 2 4 3 3 3 7" xfId="4693" xr:uid="{00000000-0005-0000-0000-00000C100000}"/>
    <cellStyle name="Normal 2 4 3 3 3 7 2" xfId="13143" xr:uid="{5CF2B9CE-4536-4F95-9064-549B4B360BCD}"/>
    <cellStyle name="Normal 2 4 3 3 3 8" xfId="8925" xr:uid="{FB9B0A17-22A3-4984-A2F3-DB567D7B3E5A}"/>
    <cellStyle name="Normal 2 4 3 3 4" xfId="788" xr:uid="{00000000-0005-0000-0000-00000D100000}"/>
    <cellStyle name="Normal 2 4 3 3 4 2" xfId="3027" xr:uid="{00000000-0005-0000-0000-00000E100000}"/>
    <cellStyle name="Normal 2 4 3 3 4 2 2" xfId="7249" xr:uid="{00000000-0005-0000-0000-00000F100000}"/>
    <cellStyle name="Normal 2 4 3 3 4 2 2 2" xfId="15699" xr:uid="{60FC2BF5-F5C2-4B58-BBC7-E47207A1A848}"/>
    <cellStyle name="Normal 2 4 3 3 4 2 3" xfId="11481" xr:uid="{9961F254-D0B3-44EF-A648-BD7160095DD9}"/>
    <cellStyle name="Normal 2 4 3 3 4 3" xfId="5104" xr:uid="{00000000-0005-0000-0000-000010100000}"/>
    <cellStyle name="Normal 2 4 3 3 4 3 2" xfId="13554" xr:uid="{0C494191-C11F-48D8-8BA8-4B91D68A5857}"/>
    <cellStyle name="Normal 2 4 3 3 4 4" xfId="9336" xr:uid="{D7901C40-341C-48AE-B902-7E3DA211F5FD}"/>
    <cellStyle name="Normal 2 4 3 3 5" xfId="1210" xr:uid="{00000000-0005-0000-0000-000011100000}"/>
    <cellStyle name="Normal 2 4 3 3 5 2" xfId="3440" xr:uid="{00000000-0005-0000-0000-000012100000}"/>
    <cellStyle name="Normal 2 4 3 3 5 2 2" xfId="7662" xr:uid="{00000000-0005-0000-0000-000013100000}"/>
    <cellStyle name="Normal 2 4 3 3 5 2 2 2" xfId="16112" xr:uid="{FF2694F9-73A9-48EB-A1B5-7B6AB6978FFF}"/>
    <cellStyle name="Normal 2 4 3 3 5 2 3" xfId="11894" xr:uid="{AC191182-8D9A-447F-A25E-CE1F1D2AF8F4}"/>
    <cellStyle name="Normal 2 4 3 3 5 3" xfId="5517" xr:uid="{00000000-0005-0000-0000-000014100000}"/>
    <cellStyle name="Normal 2 4 3 3 5 3 2" xfId="13967" xr:uid="{89F821E4-EDCF-464C-B9E1-5A6503527703}"/>
    <cellStyle name="Normal 2 4 3 3 5 4" xfId="9749" xr:uid="{69E0955C-3CBD-47EE-B3F3-FDF74FD2D0B7}"/>
    <cellStyle name="Normal 2 4 3 3 6" xfId="1623" xr:uid="{00000000-0005-0000-0000-000015100000}"/>
    <cellStyle name="Normal 2 4 3 3 6 2" xfId="3853" xr:uid="{00000000-0005-0000-0000-000016100000}"/>
    <cellStyle name="Normal 2 4 3 3 6 2 2" xfId="8075" xr:uid="{00000000-0005-0000-0000-000017100000}"/>
    <cellStyle name="Normal 2 4 3 3 6 2 2 2" xfId="16525" xr:uid="{7CA071EF-3C39-42E2-9206-4A8A35626DE2}"/>
    <cellStyle name="Normal 2 4 3 3 6 2 3" xfId="12307" xr:uid="{FC355A1B-825F-4128-8677-1BC01ECBABB3}"/>
    <cellStyle name="Normal 2 4 3 3 6 3" xfId="5930" xr:uid="{00000000-0005-0000-0000-000018100000}"/>
    <cellStyle name="Normal 2 4 3 3 6 3 2" xfId="14380" xr:uid="{C70690AE-2D86-4E56-80A9-AC0F7521A715}"/>
    <cellStyle name="Normal 2 4 3 3 6 4" xfId="10162" xr:uid="{0FC7A119-DB5F-44D0-87F0-FD01C08D0DAB}"/>
    <cellStyle name="Normal 2 4 3 3 7" xfId="2037" xr:uid="{00000000-0005-0000-0000-000019100000}"/>
    <cellStyle name="Normal 2 4 3 3 7 2" xfId="4266" xr:uid="{00000000-0005-0000-0000-00001A100000}"/>
    <cellStyle name="Normal 2 4 3 3 7 2 2" xfId="8488" xr:uid="{00000000-0005-0000-0000-00001B100000}"/>
    <cellStyle name="Normal 2 4 3 3 7 2 2 2" xfId="16938" xr:uid="{C03A735C-011F-419A-8868-542FDAFF3F4B}"/>
    <cellStyle name="Normal 2 4 3 3 7 2 3" xfId="12720" xr:uid="{F937EE6F-0E04-4D8C-A3F0-7DD6138EC5AB}"/>
    <cellStyle name="Normal 2 4 3 3 7 3" xfId="6343" xr:uid="{00000000-0005-0000-0000-00001C100000}"/>
    <cellStyle name="Normal 2 4 3 3 7 3 2" xfId="14793" xr:uid="{8EF1CF2F-3FB9-4A97-9008-3CDC9F8604D6}"/>
    <cellStyle name="Normal 2 4 3 3 7 4" xfId="10575" xr:uid="{54FFCE26-F41F-4C61-9631-521579C0B74F}"/>
    <cellStyle name="Normal 2 4 3 3 8" xfId="2473" xr:uid="{00000000-0005-0000-0000-00001D100000}"/>
    <cellStyle name="Normal 2 4 3 3 8 2" xfId="6756" xr:uid="{00000000-0005-0000-0000-00001E100000}"/>
    <cellStyle name="Normal 2 4 3 3 8 2 2" xfId="15206" xr:uid="{BF98BE5D-0AD4-42A8-943A-E3127A171E7A}"/>
    <cellStyle name="Normal 2 4 3 3 8 3" xfId="10988" xr:uid="{E79FE462-9FD2-4415-91C3-AEA85FC6BB6F}"/>
    <cellStyle name="Normal 2 4 3 3 9" xfId="4690" xr:uid="{00000000-0005-0000-0000-00001F100000}"/>
    <cellStyle name="Normal 2 4 3 3 9 2" xfId="13140" xr:uid="{DBAEF2C5-1168-4E96-9B07-762A533E5AD3}"/>
    <cellStyle name="Normal 2 4 3 4" xfId="787" xr:uid="{00000000-0005-0000-0000-000020100000}"/>
    <cellStyle name="Normal 2 4 3 4 2" xfId="3026" xr:uid="{00000000-0005-0000-0000-000021100000}"/>
    <cellStyle name="Normal 2 4 3 4 2 2" xfId="7248" xr:uid="{00000000-0005-0000-0000-000022100000}"/>
    <cellStyle name="Normal 2 4 3 4 2 2 2" xfId="15698" xr:uid="{287BD1A4-C1C1-42F5-8D23-7D35C9EAB425}"/>
    <cellStyle name="Normal 2 4 3 4 2 3" xfId="11480" xr:uid="{56A14278-E718-4916-A1A3-178C0A18D27E}"/>
    <cellStyle name="Normal 2 4 3 4 3" xfId="5103" xr:uid="{00000000-0005-0000-0000-000023100000}"/>
    <cellStyle name="Normal 2 4 3 4 3 2" xfId="13553" xr:uid="{7CB480FF-3A94-4A7B-95D7-E1DFBE28E275}"/>
    <cellStyle name="Normal 2 4 3 4 4" xfId="9335" xr:uid="{17F5D80B-C3E1-454D-ABDC-7912A3B4CF9E}"/>
    <cellStyle name="Normal 2 4 3 5" xfId="1209" xr:uid="{00000000-0005-0000-0000-000024100000}"/>
    <cellStyle name="Normal 2 4 3 5 2" xfId="3439" xr:uid="{00000000-0005-0000-0000-000025100000}"/>
    <cellStyle name="Normal 2 4 3 5 2 2" xfId="7661" xr:uid="{00000000-0005-0000-0000-000026100000}"/>
    <cellStyle name="Normal 2 4 3 5 2 2 2" xfId="16111" xr:uid="{87153EF1-D651-44F2-8968-90FE6ECD47F8}"/>
    <cellStyle name="Normal 2 4 3 5 2 3" xfId="11893" xr:uid="{D9551EE5-A90F-4674-BEFF-F710784C5C29}"/>
    <cellStyle name="Normal 2 4 3 5 3" xfId="5516" xr:uid="{00000000-0005-0000-0000-000027100000}"/>
    <cellStyle name="Normal 2 4 3 5 3 2" xfId="13966" xr:uid="{A015CC02-5A29-4FE5-9FE1-2B71D7C4D52A}"/>
    <cellStyle name="Normal 2 4 3 5 4" xfId="9748" xr:uid="{F8C8E97B-A739-4A90-AE8B-7ADD3BC8C2C7}"/>
    <cellStyle name="Normal 2 4 3 6" xfId="1622" xr:uid="{00000000-0005-0000-0000-000028100000}"/>
    <cellStyle name="Normal 2 4 3 6 2" xfId="3852" xr:uid="{00000000-0005-0000-0000-000029100000}"/>
    <cellStyle name="Normal 2 4 3 6 2 2" xfId="8074" xr:uid="{00000000-0005-0000-0000-00002A100000}"/>
    <cellStyle name="Normal 2 4 3 6 2 2 2" xfId="16524" xr:uid="{35F51653-AAFA-4F14-ADC6-41A42F1BD8B3}"/>
    <cellStyle name="Normal 2 4 3 6 2 3" xfId="12306" xr:uid="{95F3301B-BF64-41C4-9CB3-6D9C1D9497FC}"/>
    <cellStyle name="Normal 2 4 3 6 3" xfId="5929" xr:uid="{00000000-0005-0000-0000-00002B100000}"/>
    <cellStyle name="Normal 2 4 3 6 3 2" xfId="14379" xr:uid="{A493AC9A-C2D1-42A2-A304-7F608766E897}"/>
    <cellStyle name="Normal 2 4 3 6 4" xfId="10161" xr:uid="{4D065FBF-94B7-4B18-A955-CD0F0DCDAC1F}"/>
    <cellStyle name="Normal 2 4 3 7" xfId="2036" xr:uid="{00000000-0005-0000-0000-00002C100000}"/>
    <cellStyle name="Normal 2 4 3 7 2" xfId="4265" xr:uid="{00000000-0005-0000-0000-00002D100000}"/>
    <cellStyle name="Normal 2 4 3 7 2 2" xfId="8487" xr:uid="{00000000-0005-0000-0000-00002E100000}"/>
    <cellStyle name="Normal 2 4 3 7 2 2 2" xfId="16937" xr:uid="{07D8D0DF-9FF7-42E9-90D6-C33D14DBD23F}"/>
    <cellStyle name="Normal 2 4 3 7 2 3" xfId="12719" xr:uid="{9A75C8D7-CCEC-480B-B1FF-DC3AA40E8D04}"/>
    <cellStyle name="Normal 2 4 3 7 3" xfId="6342" xr:uid="{00000000-0005-0000-0000-00002F100000}"/>
    <cellStyle name="Normal 2 4 3 7 3 2" xfId="14792" xr:uid="{982C5954-D3B2-4FF2-BE08-EECFA289DECF}"/>
    <cellStyle name="Normal 2 4 3 7 4" xfId="10574" xr:uid="{E00615E2-CAFC-42BA-8A17-D729E6A18847}"/>
    <cellStyle name="Normal 2 4 3 8" xfId="2472" xr:uid="{00000000-0005-0000-0000-000030100000}"/>
    <cellStyle name="Normal 2 4 3 8 2" xfId="6755" xr:uid="{00000000-0005-0000-0000-000031100000}"/>
    <cellStyle name="Normal 2 4 3 8 2 2" xfId="15205" xr:uid="{13689692-5374-41BD-A4B1-577D349AC23C}"/>
    <cellStyle name="Normal 2 4 3 8 3" xfId="10987" xr:uid="{8894FDB3-7B85-45A8-BD3D-BADF797B6372}"/>
    <cellStyle name="Normal 2 4 3 9" xfId="4689" xr:uid="{00000000-0005-0000-0000-000032100000}"/>
    <cellStyle name="Normal 2 4 3 9 2" xfId="13139" xr:uid="{6F1C3341-359A-4B9A-B409-C04FA7BDEB07}"/>
    <cellStyle name="Normal 2 4 4" xfId="302" xr:uid="{00000000-0005-0000-0000-000033100000}"/>
    <cellStyle name="Normal 2 4 5" xfId="303" xr:uid="{00000000-0005-0000-0000-000034100000}"/>
    <cellStyle name="Normal 2 4 5 10" xfId="4694" xr:uid="{00000000-0005-0000-0000-000035100000}"/>
    <cellStyle name="Normal 2 4 5 10 2" xfId="13144" xr:uid="{60DB458C-610B-414A-927C-21D52949D18F}"/>
    <cellStyle name="Normal 2 4 5 11" xfId="8926" xr:uid="{15DBF3B7-0762-4514-B52D-05474B75D659}"/>
    <cellStyle name="Normal 2 4 5 2" xfId="304" xr:uid="{00000000-0005-0000-0000-000036100000}"/>
    <cellStyle name="Normal 2 4 5 2 10" xfId="8927" xr:uid="{FA5FC733-B7BA-48AE-B368-E5B712854842}"/>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2 2 2" xfId="15706" xr:uid="{C46574B4-3BD0-4000-A3B1-49C4541E18CE}"/>
    <cellStyle name="Normal 2 4 5 2 2 2 2 2 3" xfId="11488" xr:uid="{7D652F74-935A-48B3-99DC-5F3B85C867E7}"/>
    <cellStyle name="Normal 2 4 5 2 2 2 2 3" xfId="5111" xr:uid="{00000000-0005-0000-0000-00003C100000}"/>
    <cellStyle name="Normal 2 4 5 2 2 2 2 3 2" xfId="13561" xr:uid="{9E170606-BF11-4F22-9DFF-F0E82FBFD1B1}"/>
    <cellStyle name="Normal 2 4 5 2 2 2 2 4" xfId="9343" xr:uid="{502844DC-2AB6-426A-A226-23EB7E91B8C4}"/>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2 2 2" xfId="16119" xr:uid="{DA269F42-1886-4D66-A91B-FB38EB6409D0}"/>
    <cellStyle name="Normal 2 4 5 2 2 2 3 2 3" xfId="11901" xr:uid="{DF3F4809-6BA7-4372-9554-2B0DAB293B40}"/>
    <cellStyle name="Normal 2 4 5 2 2 2 3 3" xfId="5524" xr:uid="{00000000-0005-0000-0000-000040100000}"/>
    <cellStyle name="Normal 2 4 5 2 2 2 3 3 2" xfId="13974" xr:uid="{D3B5702C-60B0-44F9-B720-60CD719E8765}"/>
    <cellStyle name="Normal 2 4 5 2 2 2 3 4" xfId="9756" xr:uid="{DAA5FF34-D111-4F12-8652-4F5E0270F8A1}"/>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2 2 2" xfId="16532" xr:uid="{5A8686BE-3CE6-444F-A95A-7A0C7F751E7C}"/>
    <cellStyle name="Normal 2 4 5 2 2 2 4 2 3" xfId="12314" xr:uid="{03D80839-F340-4102-AACF-77BEE806A805}"/>
    <cellStyle name="Normal 2 4 5 2 2 2 4 3" xfId="5937" xr:uid="{00000000-0005-0000-0000-000044100000}"/>
    <cellStyle name="Normal 2 4 5 2 2 2 4 3 2" xfId="14387" xr:uid="{7815E1C1-D307-49B3-93A1-ABDEDEF7F5B2}"/>
    <cellStyle name="Normal 2 4 5 2 2 2 4 4" xfId="10169" xr:uid="{41820D44-E136-431B-9673-97559578CC9F}"/>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2 2 2" xfId="16945" xr:uid="{4793D2D2-C0AA-4741-B288-27A78DB620CD}"/>
    <cellStyle name="Normal 2 4 5 2 2 2 5 2 3" xfId="12727" xr:uid="{23970B44-958B-4804-8B48-28DF59D5BF30}"/>
    <cellStyle name="Normal 2 4 5 2 2 2 5 3" xfId="6350" xr:uid="{00000000-0005-0000-0000-000048100000}"/>
    <cellStyle name="Normal 2 4 5 2 2 2 5 3 2" xfId="14800" xr:uid="{D55C69A2-79DE-4793-A2CA-FF134FCD7912}"/>
    <cellStyle name="Normal 2 4 5 2 2 2 5 4" xfId="10582" xr:uid="{0E1B6291-85C3-4927-979C-8A340B02A8C1}"/>
    <cellStyle name="Normal 2 4 5 2 2 2 6" xfId="2480" xr:uid="{00000000-0005-0000-0000-000049100000}"/>
    <cellStyle name="Normal 2 4 5 2 2 2 6 2" xfId="6763" xr:uid="{00000000-0005-0000-0000-00004A100000}"/>
    <cellStyle name="Normal 2 4 5 2 2 2 6 2 2" xfId="15213" xr:uid="{C8A3E048-857B-4DBD-B6B0-17AA31724DAE}"/>
    <cellStyle name="Normal 2 4 5 2 2 2 6 3" xfId="10995" xr:uid="{56A4F463-30F9-423C-972B-66CDDEDC0245}"/>
    <cellStyle name="Normal 2 4 5 2 2 2 7" xfId="4697" xr:uid="{00000000-0005-0000-0000-00004B100000}"/>
    <cellStyle name="Normal 2 4 5 2 2 2 7 2" xfId="13147" xr:uid="{874C5FF9-8E7B-4C9E-BAE6-DECB3965B10E}"/>
    <cellStyle name="Normal 2 4 5 2 2 2 8" xfId="8929" xr:uid="{C10767F9-4081-498E-B984-05B7E2D4D7EF}"/>
    <cellStyle name="Normal 2 4 5 2 2 3" xfId="794" xr:uid="{00000000-0005-0000-0000-00004C100000}"/>
    <cellStyle name="Normal 2 4 5 2 2 3 2" xfId="3033" xr:uid="{00000000-0005-0000-0000-00004D100000}"/>
    <cellStyle name="Normal 2 4 5 2 2 3 2 2" xfId="7255" xr:uid="{00000000-0005-0000-0000-00004E100000}"/>
    <cellStyle name="Normal 2 4 5 2 2 3 2 2 2" xfId="15705" xr:uid="{F93399DE-7CED-43B8-802F-45827403C076}"/>
    <cellStyle name="Normal 2 4 5 2 2 3 2 3" xfId="11487" xr:uid="{7D3AB98F-6983-4495-B586-1AAD9FAB00C0}"/>
    <cellStyle name="Normal 2 4 5 2 2 3 3" xfId="5110" xr:uid="{00000000-0005-0000-0000-00004F100000}"/>
    <cellStyle name="Normal 2 4 5 2 2 3 3 2" xfId="13560" xr:uid="{DDB19FEB-8568-4AC6-9F0F-D533E6F95075}"/>
    <cellStyle name="Normal 2 4 5 2 2 3 4" xfId="9342" xr:uid="{7E8E4DB4-79C3-4F97-8E9B-AFDBD3ADE7F5}"/>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2 2 2" xfId="16118" xr:uid="{363061CB-1A4D-4355-9BC6-116C75F408C5}"/>
    <cellStyle name="Normal 2 4 5 2 2 4 2 3" xfId="11900" xr:uid="{B6F6187F-87A9-43D7-B291-A652D992B32D}"/>
    <cellStyle name="Normal 2 4 5 2 2 4 3" xfId="5523" xr:uid="{00000000-0005-0000-0000-000053100000}"/>
    <cellStyle name="Normal 2 4 5 2 2 4 3 2" xfId="13973" xr:uid="{AB45FDB2-668D-4E3A-B206-7C57A3B4047B}"/>
    <cellStyle name="Normal 2 4 5 2 2 4 4" xfId="9755" xr:uid="{F46A7B6B-5C5D-4A28-A02F-A8A8AE241C05}"/>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2 2 2" xfId="16531" xr:uid="{ED92E5BF-B196-42DA-8E8A-C421610CCCD2}"/>
    <cellStyle name="Normal 2 4 5 2 2 5 2 3" xfId="12313" xr:uid="{20595E62-64DB-461B-86A5-667C81209EF1}"/>
    <cellStyle name="Normal 2 4 5 2 2 5 3" xfId="5936" xr:uid="{00000000-0005-0000-0000-000057100000}"/>
    <cellStyle name="Normal 2 4 5 2 2 5 3 2" xfId="14386" xr:uid="{E38263C7-055F-4F3D-A7DF-0A2C32E9510F}"/>
    <cellStyle name="Normal 2 4 5 2 2 5 4" xfId="10168" xr:uid="{7B1A2042-C9CC-4238-B46B-D8B645D030CB}"/>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2 2 2" xfId="16944" xr:uid="{688262CA-EE5E-47D4-BFB8-BC5A6891C269}"/>
    <cellStyle name="Normal 2 4 5 2 2 6 2 3" xfId="12726" xr:uid="{D4DFB503-01C5-4E62-8BC0-E1D59EC06E34}"/>
    <cellStyle name="Normal 2 4 5 2 2 6 3" xfId="6349" xr:uid="{00000000-0005-0000-0000-00005B100000}"/>
    <cellStyle name="Normal 2 4 5 2 2 6 3 2" xfId="14799" xr:uid="{30BAC08F-3249-4189-83A0-DC76EB8440C0}"/>
    <cellStyle name="Normal 2 4 5 2 2 6 4" xfId="10581" xr:uid="{195050A8-BE80-4B92-8D4B-99CD1F93394B}"/>
    <cellStyle name="Normal 2 4 5 2 2 7" xfId="2479" xr:uid="{00000000-0005-0000-0000-00005C100000}"/>
    <cellStyle name="Normal 2 4 5 2 2 7 2" xfId="6762" xr:uid="{00000000-0005-0000-0000-00005D100000}"/>
    <cellStyle name="Normal 2 4 5 2 2 7 2 2" xfId="15212" xr:uid="{ACDF3325-FEFD-4501-A252-CF2A57AF3D11}"/>
    <cellStyle name="Normal 2 4 5 2 2 7 3" xfId="10994" xr:uid="{EFE1D5BC-4E10-464D-AD2B-0376A9EC82E2}"/>
    <cellStyle name="Normal 2 4 5 2 2 8" xfId="4696" xr:uid="{00000000-0005-0000-0000-00005E100000}"/>
    <cellStyle name="Normal 2 4 5 2 2 8 2" xfId="13146" xr:uid="{57A22412-6FCD-4075-BDFD-DC4B0932736D}"/>
    <cellStyle name="Normal 2 4 5 2 2 9" xfId="8928" xr:uid="{FC176C40-A134-41A9-8606-BB2268FCE453}"/>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2 2 2" xfId="15707" xr:uid="{943194C0-1268-42A9-AA83-DDD78B3BE468}"/>
    <cellStyle name="Normal 2 4 5 2 3 2 2 3" xfId="11489" xr:uid="{7AE54381-3E65-42B9-8E58-07581C117F92}"/>
    <cellStyle name="Normal 2 4 5 2 3 2 3" xfId="5112" xr:uid="{00000000-0005-0000-0000-000063100000}"/>
    <cellStyle name="Normal 2 4 5 2 3 2 3 2" xfId="13562" xr:uid="{156C739B-AB80-4291-900D-A63636F79E00}"/>
    <cellStyle name="Normal 2 4 5 2 3 2 4" xfId="9344" xr:uid="{D97A48C2-0CE3-4367-90C8-42A4434BA5D1}"/>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2 2 2" xfId="16120" xr:uid="{B7F754EA-9A01-4FB3-A1F5-6C521B3E3EDC}"/>
    <cellStyle name="Normal 2 4 5 2 3 3 2 3" xfId="11902" xr:uid="{7F1772AE-3703-4246-A80E-777598CCD9F9}"/>
    <cellStyle name="Normal 2 4 5 2 3 3 3" xfId="5525" xr:uid="{00000000-0005-0000-0000-000067100000}"/>
    <cellStyle name="Normal 2 4 5 2 3 3 3 2" xfId="13975" xr:uid="{A6A0A475-9B43-48E8-B7DC-C9F281B9E1A5}"/>
    <cellStyle name="Normal 2 4 5 2 3 3 4" xfId="9757" xr:uid="{2D0BBEAD-E306-4603-8854-DEA06B690389}"/>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2 2 2" xfId="16533" xr:uid="{B07F6B06-5362-49C1-861D-12B735E827F4}"/>
    <cellStyle name="Normal 2 4 5 2 3 4 2 3" xfId="12315" xr:uid="{8A4CEADB-AA76-4838-A145-17DAF7088809}"/>
    <cellStyle name="Normal 2 4 5 2 3 4 3" xfId="5938" xr:uid="{00000000-0005-0000-0000-00006B100000}"/>
    <cellStyle name="Normal 2 4 5 2 3 4 3 2" xfId="14388" xr:uid="{89BD4AF4-7592-47E3-A009-AD44913206FE}"/>
    <cellStyle name="Normal 2 4 5 2 3 4 4" xfId="10170" xr:uid="{CF1CB202-CDEA-43A6-9392-677F3A557932}"/>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2 2 2" xfId="16946" xr:uid="{19733011-8B65-466F-B536-8074FA3E8EA5}"/>
    <cellStyle name="Normal 2 4 5 2 3 5 2 3" xfId="12728" xr:uid="{C0111E7D-C09E-469B-BD56-568CC5C1EA01}"/>
    <cellStyle name="Normal 2 4 5 2 3 5 3" xfId="6351" xr:uid="{00000000-0005-0000-0000-00006F100000}"/>
    <cellStyle name="Normal 2 4 5 2 3 5 3 2" xfId="14801" xr:uid="{183FB015-457A-4C76-92CE-567A50457F48}"/>
    <cellStyle name="Normal 2 4 5 2 3 5 4" xfId="10583" xr:uid="{F04F770D-1DE9-4202-ABC9-4B571CA15B1B}"/>
    <cellStyle name="Normal 2 4 5 2 3 6" xfId="2481" xr:uid="{00000000-0005-0000-0000-000070100000}"/>
    <cellStyle name="Normal 2 4 5 2 3 6 2" xfId="6764" xr:uid="{00000000-0005-0000-0000-000071100000}"/>
    <cellStyle name="Normal 2 4 5 2 3 6 2 2" xfId="15214" xr:uid="{1A9BCE66-0735-4AC6-BE08-916431872863}"/>
    <cellStyle name="Normal 2 4 5 2 3 6 3" xfId="10996" xr:uid="{BEDCC307-DD0D-4862-8583-EF608934F044}"/>
    <cellStyle name="Normal 2 4 5 2 3 7" xfId="4698" xr:uid="{00000000-0005-0000-0000-000072100000}"/>
    <cellStyle name="Normal 2 4 5 2 3 7 2" xfId="13148" xr:uid="{AD912652-8C94-487B-AB75-4D2D3DFF4614}"/>
    <cellStyle name="Normal 2 4 5 2 3 8" xfId="8930" xr:uid="{BEA34D6D-6F43-4B0D-8C9A-6CC1547BB46A}"/>
    <cellStyle name="Normal 2 4 5 2 4" xfId="793" xr:uid="{00000000-0005-0000-0000-000073100000}"/>
    <cellStyle name="Normal 2 4 5 2 4 2" xfId="3032" xr:uid="{00000000-0005-0000-0000-000074100000}"/>
    <cellStyle name="Normal 2 4 5 2 4 2 2" xfId="7254" xr:uid="{00000000-0005-0000-0000-000075100000}"/>
    <cellStyle name="Normal 2 4 5 2 4 2 2 2" xfId="15704" xr:uid="{2DB8CCA6-11D7-48D2-80FA-95866EAD15B6}"/>
    <cellStyle name="Normal 2 4 5 2 4 2 3" xfId="11486" xr:uid="{81824277-F717-408A-9892-B6DCF6B7044B}"/>
    <cellStyle name="Normal 2 4 5 2 4 3" xfId="5109" xr:uid="{00000000-0005-0000-0000-000076100000}"/>
    <cellStyle name="Normal 2 4 5 2 4 3 2" xfId="13559" xr:uid="{AB74FF9D-6094-425B-8667-60DF6C32A96F}"/>
    <cellStyle name="Normal 2 4 5 2 4 4" xfId="9341" xr:uid="{2C6D5C17-45F8-4667-9A6E-AF93A1421D80}"/>
    <cellStyle name="Normal 2 4 5 2 5" xfId="1215" xr:uid="{00000000-0005-0000-0000-000077100000}"/>
    <cellStyle name="Normal 2 4 5 2 5 2" xfId="3445" xr:uid="{00000000-0005-0000-0000-000078100000}"/>
    <cellStyle name="Normal 2 4 5 2 5 2 2" xfId="7667" xr:uid="{00000000-0005-0000-0000-000079100000}"/>
    <cellStyle name="Normal 2 4 5 2 5 2 2 2" xfId="16117" xr:uid="{190A824E-B5E4-4609-B7A1-0294519923C1}"/>
    <cellStyle name="Normal 2 4 5 2 5 2 3" xfId="11899" xr:uid="{AECF35B1-01E0-46B1-8437-ED28E00BD05E}"/>
    <cellStyle name="Normal 2 4 5 2 5 3" xfId="5522" xr:uid="{00000000-0005-0000-0000-00007A100000}"/>
    <cellStyle name="Normal 2 4 5 2 5 3 2" xfId="13972" xr:uid="{8EF729BB-5A82-4DA6-8981-A37BBE8C55CA}"/>
    <cellStyle name="Normal 2 4 5 2 5 4" xfId="9754" xr:uid="{9FFF5D31-5314-4B5C-A631-F925A4C484C5}"/>
    <cellStyle name="Normal 2 4 5 2 6" xfId="1628" xr:uid="{00000000-0005-0000-0000-00007B100000}"/>
    <cellStyle name="Normal 2 4 5 2 6 2" xfId="3858" xr:uid="{00000000-0005-0000-0000-00007C100000}"/>
    <cellStyle name="Normal 2 4 5 2 6 2 2" xfId="8080" xr:uid="{00000000-0005-0000-0000-00007D100000}"/>
    <cellStyle name="Normal 2 4 5 2 6 2 2 2" xfId="16530" xr:uid="{746C57C6-7086-43A8-B6FB-FB95E8ACE935}"/>
    <cellStyle name="Normal 2 4 5 2 6 2 3" xfId="12312" xr:uid="{6B193A8D-FAAB-45D2-9B52-82ACE651054D}"/>
    <cellStyle name="Normal 2 4 5 2 6 3" xfId="5935" xr:uid="{00000000-0005-0000-0000-00007E100000}"/>
    <cellStyle name="Normal 2 4 5 2 6 3 2" xfId="14385" xr:uid="{40737789-C0B5-47BD-B51C-DCEF8D6AA3E7}"/>
    <cellStyle name="Normal 2 4 5 2 6 4" xfId="10167" xr:uid="{48307967-3BA0-4378-BDA3-5F5545C90A6E}"/>
    <cellStyle name="Normal 2 4 5 2 7" xfId="2042" xr:uid="{00000000-0005-0000-0000-00007F100000}"/>
    <cellStyle name="Normal 2 4 5 2 7 2" xfId="4271" xr:uid="{00000000-0005-0000-0000-000080100000}"/>
    <cellStyle name="Normal 2 4 5 2 7 2 2" xfId="8493" xr:uid="{00000000-0005-0000-0000-000081100000}"/>
    <cellStyle name="Normal 2 4 5 2 7 2 2 2" xfId="16943" xr:uid="{0119CE77-FC8E-4FF7-AB43-D283AC9EA5F1}"/>
    <cellStyle name="Normal 2 4 5 2 7 2 3" xfId="12725" xr:uid="{FEEEA83F-7631-496D-9258-A51C87AB4843}"/>
    <cellStyle name="Normal 2 4 5 2 7 3" xfId="6348" xr:uid="{00000000-0005-0000-0000-000082100000}"/>
    <cellStyle name="Normal 2 4 5 2 7 3 2" xfId="14798" xr:uid="{483FF115-327F-49E6-9701-D370FF77FE22}"/>
    <cellStyle name="Normal 2 4 5 2 7 4" xfId="10580" xr:uid="{DCAA94EE-61C8-4A64-A6C0-F04F35EB38AF}"/>
    <cellStyle name="Normal 2 4 5 2 8" xfId="2478" xr:uid="{00000000-0005-0000-0000-000083100000}"/>
    <cellStyle name="Normal 2 4 5 2 8 2" xfId="6761" xr:uid="{00000000-0005-0000-0000-000084100000}"/>
    <cellStyle name="Normal 2 4 5 2 8 2 2" xfId="15211" xr:uid="{550BE91B-B25B-43AC-817F-E6BBF7049A97}"/>
    <cellStyle name="Normal 2 4 5 2 8 3" xfId="10993" xr:uid="{0F64E8A1-2E4A-455E-87CA-6B53F94BAC9C}"/>
    <cellStyle name="Normal 2 4 5 2 9" xfId="4695" xr:uid="{00000000-0005-0000-0000-000085100000}"/>
    <cellStyle name="Normal 2 4 5 2 9 2" xfId="13145" xr:uid="{B6AFAA13-557B-4828-8048-A16576BF6173}"/>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2 2 2" xfId="15709" xr:uid="{A1BB043A-579B-43AD-BF3D-78B7D6FEFB98}"/>
    <cellStyle name="Normal 2 4 5 3 2 2 2 3" xfId="11491" xr:uid="{59FBFF3D-C879-4B88-A22B-986FCAE8B4DE}"/>
    <cellStyle name="Normal 2 4 5 3 2 2 3" xfId="5114" xr:uid="{00000000-0005-0000-0000-00008B100000}"/>
    <cellStyle name="Normal 2 4 5 3 2 2 3 2" xfId="13564" xr:uid="{2272D050-E9B6-4210-9CA5-7FBE709F40AD}"/>
    <cellStyle name="Normal 2 4 5 3 2 2 4" xfId="9346" xr:uid="{24400573-E292-4E87-B99D-A85B006148FE}"/>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2 2 2" xfId="16122" xr:uid="{6176DC03-0DBD-452C-AE86-8B195D8AC97F}"/>
    <cellStyle name="Normal 2 4 5 3 2 3 2 3" xfId="11904" xr:uid="{5F70E651-1B09-41A6-B964-0556064A2AC2}"/>
    <cellStyle name="Normal 2 4 5 3 2 3 3" xfId="5527" xr:uid="{00000000-0005-0000-0000-00008F100000}"/>
    <cellStyle name="Normal 2 4 5 3 2 3 3 2" xfId="13977" xr:uid="{15DDBC2B-47A3-419E-8875-38E254660BB7}"/>
    <cellStyle name="Normal 2 4 5 3 2 3 4" xfId="9759" xr:uid="{4F28A7DD-0B65-43BB-8637-DDC14866CC5E}"/>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2 2 2" xfId="16535" xr:uid="{484F66AD-4EC8-49F0-9F15-466E098AE264}"/>
    <cellStyle name="Normal 2 4 5 3 2 4 2 3" xfId="12317" xr:uid="{76CD801F-4018-4E00-8C65-DAC16A850D88}"/>
    <cellStyle name="Normal 2 4 5 3 2 4 3" xfId="5940" xr:uid="{00000000-0005-0000-0000-000093100000}"/>
    <cellStyle name="Normal 2 4 5 3 2 4 3 2" xfId="14390" xr:uid="{49A44D15-70D9-4B6E-AF5D-EFDC3622E531}"/>
    <cellStyle name="Normal 2 4 5 3 2 4 4" xfId="10172" xr:uid="{2ACB7C72-C399-4DB3-B81E-5F95C05AD3A1}"/>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2 2 2" xfId="16948" xr:uid="{D6CA3452-D79C-4387-AFB3-EE25AC8D4A40}"/>
    <cellStyle name="Normal 2 4 5 3 2 5 2 3" xfId="12730" xr:uid="{83E48A27-35FE-447C-A89B-D8F66AAAC8B6}"/>
    <cellStyle name="Normal 2 4 5 3 2 5 3" xfId="6353" xr:uid="{00000000-0005-0000-0000-000097100000}"/>
    <cellStyle name="Normal 2 4 5 3 2 5 3 2" xfId="14803" xr:uid="{A1C9BCB3-C663-4F1C-A039-590258D35A29}"/>
    <cellStyle name="Normal 2 4 5 3 2 5 4" xfId="10585" xr:uid="{763C4293-B0DF-48DE-9F5F-ABD4725A9C6F}"/>
    <cellStyle name="Normal 2 4 5 3 2 6" xfId="2483" xr:uid="{00000000-0005-0000-0000-000098100000}"/>
    <cellStyle name="Normal 2 4 5 3 2 6 2" xfId="6766" xr:uid="{00000000-0005-0000-0000-000099100000}"/>
    <cellStyle name="Normal 2 4 5 3 2 6 2 2" xfId="15216" xr:uid="{D39187F3-8972-4203-8F27-6A4696EDDCE7}"/>
    <cellStyle name="Normal 2 4 5 3 2 6 3" xfId="10998" xr:uid="{1536895A-C60C-4ACB-8F7D-9567600CF7DC}"/>
    <cellStyle name="Normal 2 4 5 3 2 7" xfId="4700" xr:uid="{00000000-0005-0000-0000-00009A100000}"/>
    <cellStyle name="Normal 2 4 5 3 2 7 2" xfId="13150" xr:uid="{EC82FDC1-C1B9-4AD5-B3DE-943D0BE12FDD}"/>
    <cellStyle name="Normal 2 4 5 3 2 8" xfId="8932" xr:uid="{EA5097CA-263C-486A-9FFF-C5F4328790A1}"/>
    <cellStyle name="Normal 2 4 5 3 3" xfId="797" xr:uid="{00000000-0005-0000-0000-00009B100000}"/>
    <cellStyle name="Normal 2 4 5 3 3 2" xfId="3036" xr:uid="{00000000-0005-0000-0000-00009C100000}"/>
    <cellStyle name="Normal 2 4 5 3 3 2 2" xfId="7258" xr:uid="{00000000-0005-0000-0000-00009D100000}"/>
    <cellStyle name="Normal 2 4 5 3 3 2 2 2" xfId="15708" xr:uid="{3B5154B8-F518-45DD-BC30-741E88D8EECD}"/>
    <cellStyle name="Normal 2 4 5 3 3 2 3" xfId="11490" xr:uid="{6F6305E2-1AB7-4BCF-8BCB-EEC8801B1F94}"/>
    <cellStyle name="Normal 2 4 5 3 3 3" xfId="5113" xr:uid="{00000000-0005-0000-0000-00009E100000}"/>
    <cellStyle name="Normal 2 4 5 3 3 3 2" xfId="13563" xr:uid="{7A8D0144-A0C0-4F88-B4E9-09F197B34916}"/>
    <cellStyle name="Normal 2 4 5 3 3 4" xfId="9345" xr:uid="{36A1D6B4-ACB5-4C54-86BC-B28507058873}"/>
    <cellStyle name="Normal 2 4 5 3 4" xfId="1219" xr:uid="{00000000-0005-0000-0000-00009F100000}"/>
    <cellStyle name="Normal 2 4 5 3 4 2" xfId="3449" xr:uid="{00000000-0005-0000-0000-0000A0100000}"/>
    <cellStyle name="Normal 2 4 5 3 4 2 2" xfId="7671" xr:uid="{00000000-0005-0000-0000-0000A1100000}"/>
    <cellStyle name="Normal 2 4 5 3 4 2 2 2" xfId="16121" xr:uid="{51C9A341-E047-4080-965E-7FF9A2795847}"/>
    <cellStyle name="Normal 2 4 5 3 4 2 3" xfId="11903" xr:uid="{64864F5D-9AFF-4647-A6A1-2E7A6AD21EC6}"/>
    <cellStyle name="Normal 2 4 5 3 4 3" xfId="5526" xr:uid="{00000000-0005-0000-0000-0000A2100000}"/>
    <cellStyle name="Normal 2 4 5 3 4 3 2" xfId="13976" xr:uid="{F8129C3F-CE99-4182-BA8A-83B019F34175}"/>
    <cellStyle name="Normal 2 4 5 3 4 4" xfId="9758" xr:uid="{6F579E4C-88E9-4E76-BC0C-FE30CF3C5101}"/>
    <cellStyle name="Normal 2 4 5 3 5" xfId="1632" xr:uid="{00000000-0005-0000-0000-0000A3100000}"/>
    <cellStyle name="Normal 2 4 5 3 5 2" xfId="3862" xr:uid="{00000000-0005-0000-0000-0000A4100000}"/>
    <cellStyle name="Normal 2 4 5 3 5 2 2" xfId="8084" xr:uid="{00000000-0005-0000-0000-0000A5100000}"/>
    <cellStyle name="Normal 2 4 5 3 5 2 2 2" xfId="16534" xr:uid="{782F9837-45F3-467F-B033-35A45A8131A1}"/>
    <cellStyle name="Normal 2 4 5 3 5 2 3" xfId="12316" xr:uid="{44D36678-B9B0-4771-BDD7-998DA8350924}"/>
    <cellStyle name="Normal 2 4 5 3 5 3" xfId="5939" xr:uid="{00000000-0005-0000-0000-0000A6100000}"/>
    <cellStyle name="Normal 2 4 5 3 5 3 2" xfId="14389" xr:uid="{737AAC20-A6D6-4406-BAFB-4DFB9022CBDF}"/>
    <cellStyle name="Normal 2 4 5 3 5 4" xfId="10171" xr:uid="{EDF5A169-BA0E-4EB1-B1BB-C52AACA3B1A9}"/>
    <cellStyle name="Normal 2 4 5 3 6" xfId="2046" xr:uid="{00000000-0005-0000-0000-0000A7100000}"/>
    <cellStyle name="Normal 2 4 5 3 6 2" xfId="4275" xr:uid="{00000000-0005-0000-0000-0000A8100000}"/>
    <cellStyle name="Normal 2 4 5 3 6 2 2" xfId="8497" xr:uid="{00000000-0005-0000-0000-0000A9100000}"/>
    <cellStyle name="Normal 2 4 5 3 6 2 2 2" xfId="16947" xr:uid="{228DB64E-E2C4-4C62-9379-147B1068EC52}"/>
    <cellStyle name="Normal 2 4 5 3 6 2 3" xfId="12729" xr:uid="{C0BE63C1-6C87-4993-BA0A-6DAB9B365AF3}"/>
    <cellStyle name="Normal 2 4 5 3 6 3" xfId="6352" xr:uid="{00000000-0005-0000-0000-0000AA100000}"/>
    <cellStyle name="Normal 2 4 5 3 6 3 2" xfId="14802" xr:uid="{3B11DAF8-4354-423C-A6CA-5EF0A3C0BFA7}"/>
    <cellStyle name="Normal 2 4 5 3 6 4" xfId="10584" xr:uid="{98D44BC5-3978-476F-B7D6-8184F426752C}"/>
    <cellStyle name="Normal 2 4 5 3 7" xfId="2482" xr:uid="{00000000-0005-0000-0000-0000AB100000}"/>
    <cellStyle name="Normal 2 4 5 3 7 2" xfId="6765" xr:uid="{00000000-0005-0000-0000-0000AC100000}"/>
    <cellStyle name="Normal 2 4 5 3 7 2 2" xfId="15215" xr:uid="{36F3D868-5965-47B3-8290-744416552D59}"/>
    <cellStyle name="Normal 2 4 5 3 7 3" xfId="10997" xr:uid="{22033994-4F8F-4994-84B4-5E517B219551}"/>
    <cellStyle name="Normal 2 4 5 3 8" xfId="4699" xr:uid="{00000000-0005-0000-0000-0000AD100000}"/>
    <cellStyle name="Normal 2 4 5 3 8 2" xfId="13149" xr:uid="{4AD81893-4556-4A0C-9C83-5F2648F3F68A}"/>
    <cellStyle name="Normal 2 4 5 3 9" xfId="8931" xr:uid="{41E92332-6EF1-473B-9F6F-5D3D0908590C}"/>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2 2 2" xfId="15710" xr:uid="{1E6A2712-788C-4E18-BB09-DCCC7966A55E}"/>
    <cellStyle name="Normal 2 4 5 4 2 2 3" xfId="11492" xr:uid="{371917F7-E5DF-4874-87D6-EF7F57469B23}"/>
    <cellStyle name="Normal 2 4 5 4 2 3" xfId="5115" xr:uid="{00000000-0005-0000-0000-0000B2100000}"/>
    <cellStyle name="Normal 2 4 5 4 2 3 2" xfId="13565" xr:uid="{DD255177-BDA2-4ED6-BBA0-FC83791B6024}"/>
    <cellStyle name="Normal 2 4 5 4 2 4" xfId="9347" xr:uid="{11C637DD-C0ED-4B52-846A-4769D910D4DC}"/>
    <cellStyle name="Normal 2 4 5 4 3" xfId="1221" xr:uid="{00000000-0005-0000-0000-0000B3100000}"/>
    <cellStyle name="Normal 2 4 5 4 3 2" xfId="3451" xr:uid="{00000000-0005-0000-0000-0000B4100000}"/>
    <cellStyle name="Normal 2 4 5 4 3 2 2" xfId="7673" xr:uid="{00000000-0005-0000-0000-0000B5100000}"/>
    <cellStyle name="Normal 2 4 5 4 3 2 2 2" xfId="16123" xr:uid="{E17D3DD0-EF20-4AFF-8D42-9E5F706FF034}"/>
    <cellStyle name="Normal 2 4 5 4 3 2 3" xfId="11905" xr:uid="{0E53D30B-C353-4406-8B0F-5F3C0B0BEF7E}"/>
    <cellStyle name="Normal 2 4 5 4 3 3" xfId="5528" xr:uid="{00000000-0005-0000-0000-0000B6100000}"/>
    <cellStyle name="Normal 2 4 5 4 3 3 2" xfId="13978" xr:uid="{E737F932-A782-4C5B-8B03-82957FEE02B7}"/>
    <cellStyle name="Normal 2 4 5 4 3 4" xfId="9760" xr:uid="{6263DF9A-BED8-45D4-BC39-27DF6DA8BFF8}"/>
    <cellStyle name="Normal 2 4 5 4 4" xfId="1634" xr:uid="{00000000-0005-0000-0000-0000B7100000}"/>
    <cellStyle name="Normal 2 4 5 4 4 2" xfId="3864" xr:uid="{00000000-0005-0000-0000-0000B8100000}"/>
    <cellStyle name="Normal 2 4 5 4 4 2 2" xfId="8086" xr:uid="{00000000-0005-0000-0000-0000B9100000}"/>
    <cellStyle name="Normal 2 4 5 4 4 2 2 2" xfId="16536" xr:uid="{D0AFF534-9E03-4134-8863-44214F2E68C3}"/>
    <cellStyle name="Normal 2 4 5 4 4 2 3" xfId="12318" xr:uid="{8F5B2615-63E2-44C1-9E90-A1CB5FF8C72F}"/>
    <cellStyle name="Normal 2 4 5 4 4 3" xfId="5941" xr:uid="{00000000-0005-0000-0000-0000BA100000}"/>
    <cellStyle name="Normal 2 4 5 4 4 3 2" xfId="14391" xr:uid="{6F1B5685-8352-465B-AC44-1755F388038C}"/>
    <cellStyle name="Normal 2 4 5 4 4 4" xfId="10173" xr:uid="{A9805FDA-69A9-4B7C-80E8-F641E3C2A920}"/>
    <cellStyle name="Normal 2 4 5 4 5" xfId="2048" xr:uid="{00000000-0005-0000-0000-0000BB100000}"/>
    <cellStyle name="Normal 2 4 5 4 5 2" xfId="4277" xr:uid="{00000000-0005-0000-0000-0000BC100000}"/>
    <cellStyle name="Normal 2 4 5 4 5 2 2" xfId="8499" xr:uid="{00000000-0005-0000-0000-0000BD100000}"/>
    <cellStyle name="Normal 2 4 5 4 5 2 2 2" xfId="16949" xr:uid="{219299D1-2A33-4824-92AF-30887AF71C5B}"/>
    <cellStyle name="Normal 2 4 5 4 5 2 3" xfId="12731" xr:uid="{689B9D10-62C1-404B-A712-0A7B6E9830D7}"/>
    <cellStyle name="Normal 2 4 5 4 5 3" xfId="6354" xr:uid="{00000000-0005-0000-0000-0000BE100000}"/>
    <cellStyle name="Normal 2 4 5 4 5 3 2" xfId="14804" xr:uid="{EF228018-3025-4D2D-B2F8-AD6EAE6B1182}"/>
    <cellStyle name="Normal 2 4 5 4 5 4" xfId="10586" xr:uid="{AA8C2A81-27DA-44BB-9C3D-4F4958301E57}"/>
    <cellStyle name="Normal 2 4 5 4 6" xfId="2484" xr:uid="{00000000-0005-0000-0000-0000BF100000}"/>
    <cellStyle name="Normal 2 4 5 4 6 2" xfId="6767" xr:uid="{00000000-0005-0000-0000-0000C0100000}"/>
    <cellStyle name="Normal 2 4 5 4 6 2 2" xfId="15217" xr:uid="{8395A03F-D293-4AB9-9484-52654E98648B}"/>
    <cellStyle name="Normal 2 4 5 4 6 3" xfId="10999" xr:uid="{212AEA6B-1805-412D-99F6-BAF2F584BCAE}"/>
    <cellStyle name="Normal 2 4 5 4 7" xfId="4701" xr:uid="{00000000-0005-0000-0000-0000C1100000}"/>
    <cellStyle name="Normal 2 4 5 4 7 2" xfId="13151" xr:uid="{8B617C64-147B-456E-8F85-B7BC7B7D31D6}"/>
    <cellStyle name="Normal 2 4 5 4 8" xfId="8933" xr:uid="{6384E3E6-1B9F-444E-B7F3-C66F43A32D86}"/>
    <cellStyle name="Normal 2 4 5 5" xfId="792" xr:uid="{00000000-0005-0000-0000-0000C2100000}"/>
    <cellStyle name="Normal 2 4 5 5 2" xfId="3031" xr:uid="{00000000-0005-0000-0000-0000C3100000}"/>
    <cellStyle name="Normal 2 4 5 5 2 2" xfId="7253" xr:uid="{00000000-0005-0000-0000-0000C4100000}"/>
    <cellStyle name="Normal 2 4 5 5 2 2 2" xfId="15703" xr:uid="{EE2908D3-8E74-4C84-9F6D-EC134D4378F0}"/>
    <cellStyle name="Normal 2 4 5 5 2 3" xfId="11485" xr:uid="{1D6D8C17-FD24-4A35-A919-6E614BA7ACEE}"/>
    <cellStyle name="Normal 2 4 5 5 3" xfId="5108" xr:uid="{00000000-0005-0000-0000-0000C5100000}"/>
    <cellStyle name="Normal 2 4 5 5 3 2" xfId="13558" xr:uid="{C520BCFA-0D95-4ED7-81CD-634AF7500C6A}"/>
    <cellStyle name="Normal 2 4 5 5 4" xfId="9340" xr:uid="{F5356076-B98C-4F39-8254-32768BC9FD0D}"/>
    <cellStyle name="Normal 2 4 5 6" xfId="1214" xr:uid="{00000000-0005-0000-0000-0000C6100000}"/>
    <cellStyle name="Normal 2 4 5 6 2" xfId="3444" xr:uid="{00000000-0005-0000-0000-0000C7100000}"/>
    <cellStyle name="Normal 2 4 5 6 2 2" xfId="7666" xr:uid="{00000000-0005-0000-0000-0000C8100000}"/>
    <cellStyle name="Normal 2 4 5 6 2 2 2" xfId="16116" xr:uid="{E10A7D00-CB6C-4F69-BC9F-03705195D334}"/>
    <cellStyle name="Normal 2 4 5 6 2 3" xfId="11898" xr:uid="{54D0F96B-FEEC-403A-B70C-0B6E92A21036}"/>
    <cellStyle name="Normal 2 4 5 6 3" xfId="5521" xr:uid="{00000000-0005-0000-0000-0000C9100000}"/>
    <cellStyle name="Normal 2 4 5 6 3 2" xfId="13971" xr:uid="{D66FBFF4-2963-4FE1-844E-0E0473A09891}"/>
    <cellStyle name="Normal 2 4 5 6 4" xfId="9753" xr:uid="{EEA56E9F-7943-4886-8C82-C7ED8DFBCF76}"/>
    <cellStyle name="Normal 2 4 5 7" xfId="1627" xr:uid="{00000000-0005-0000-0000-0000CA100000}"/>
    <cellStyle name="Normal 2 4 5 7 2" xfId="3857" xr:uid="{00000000-0005-0000-0000-0000CB100000}"/>
    <cellStyle name="Normal 2 4 5 7 2 2" xfId="8079" xr:uid="{00000000-0005-0000-0000-0000CC100000}"/>
    <cellStyle name="Normal 2 4 5 7 2 2 2" xfId="16529" xr:uid="{6F47F719-1994-4B1E-B3C3-D2E258853B49}"/>
    <cellStyle name="Normal 2 4 5 7 2 3" xfId="12311" xr:uid="{EC24C168-893F-4BB7-A159-D12C415F0A64}"/>
    <cellStyle name="Normal 2 4 5 7 3" xfId="5934" xr:uid="{00000000-0005-0000-0000-0000CD100000}"/>
    <cellStyle name="Normal 2 4 5 7 3 2" xfId="14384" xr:uid="{C9ABE4B1-8F14-40E1-8BB7-C62D6130AE00}"/>
    <cellStyle name="Normal 2 4 5 7 4" xfId="10166" xr:uid="{2B6C1DFA-7AB6-4905-8612-74AADD374855}"/>
    <cellStyle name="Normal 2 4 5 8" xfId="2041" xr:uid="{00000000-0005-0000-0000-0000CE100000}"/>
    <cellStyle name="Normal 2 4 5 8 2" xfId="4270" xr:uid="{00000000-0005-0000-0000-0000CF100000}"/>
    <cellStyle name="Normal 2 4 5 8 2 2" xfId="8492" xr:uid="{00000000-0005-0000-0000-0000D0100000}"/>
    <cellStyle name="Normal 2 4 5 8 2 2 2" xfId="16942" xr:uid="{ABF746DB-9ACD-4222-920D-580887BA1706}"/>
    <cellStyle name="Normal 2 4 5 8 2 3" xfId="12724" xr:uid="{80929D95-D6D5-417C-BB4D-EC187A0191D5}"/>
    <cellStyle name="Normal 2 4 5 8 3" xfId="6347" xr:uid="{00000000-0005-0000-0000-0000D1100000}"/>
    <cellStyle name="Normal 2 4 5 8 3 2" xfId="14797" xr:uid="{6B9CC810-FDB2-49F0-98EA-27FE3F47A20E}"/>
    <cellStyle name="Normal 2 4 5 8 4" xfId="10579" xr:uid="{1E4B9E3C-B07A-477C-BFAD-FE16A0F1E5AE}"/>
    <cellStyle name="Normal 2 4 5 9" xfId="2477" xr:uid="{00000000-0005-0000-0000-0000D2100000}"/>
    <cellStyle name="Normal 2 4 5 9 2" xfId="6760" xr:uid="{00000000-0005-0000-0000-0000D3100000}"/>
    <cellStyle name="Normal 2 4 5 9 2 2" xfId="15210" xr:uid="{18D63FA6-DAE2-44D4-BBDC-924B648CC7ED}"/>
    <cellStyle name="Normal 2 4 5 9 3" xfId="10992" xr:uid="{24E34C56-F2ED-42D8-8AEC-928DF1238989}"/>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2 2 2" xfId="15712" xr:uid="{1439A4B9-7285-431E-8CA6-E4782F344C09}"/>
    <cellStyle name="Normal 2 4 7 2 2 2 3" xfId="11494" xr:uid="{FECD43BA-8166-4BA0-8828-9492CF534614}"/>
    <cellStyle name="Normal 2 4 7 2 2 3" xfId="5117" xr:uid="{00000000-0005-0000-0000-0000DA100000}"/>
    <cellStyle name="Normal 2 4 7 2 2 3 2" xfId="13567" xr:uid="{D200D34E-90F3-4771-A6B6-CD8B5A33C844}"/>
    <cellStyle name="Normal 2 4 7 2 2 4" xfId="9349" xr:uid="{F28A6087-2A45-47E9-9162-7DFE8FB40F44}"/>
    <cellStyle name="Normal 2 4 7 2 3" xfId="1223" xr:uid="{00000000-0005-0000-0000-0000DB100000}"/>
    <cellStyle name="Normal 2 4 7 2 3 2" xfId="3453" xr:uid="{00000000-0005-0000-0000-0000DC100000}"/>
    <cellStyle name="Normal 2 4 7 2 3 2 2" xfId="7675" xr:uid="{00000000-0005-0000-0000-0000DD100000}"/>
    <cellStyle name="Normal 2 4 7 2 3 2 2 2" xfId="16125" xr:uid="{614D0560-4ABA-4125-A4C0-08F84F907F5C}"/>
    <cellStyle name="Normal 2 4 7 2 3 2 3" xfId="11907" xr:uid="{AF2967A6-5E41-44C2-A025-09D96F1146C7}"/>
    <cellStyle name="Normal 2 4 7 2 3 3" xfId="5530" xr:uid="{00000000-0005-0000-0000-0000DE100000}"/>
    <cellStyle name="Normal 2 4 7 2 3 3 2" xfId="13980" xr:uid="{CDB9E573-FE4E-4723-88EC-A2FF106EED6E}"/>
    <cellStyle name="Normal 2 4 7 2 3 4" xfId="9762" xr:uid="{54F9D76A-B904-4C30-B39F-C97D8C265EB4}"/>
    <cellStyle name="Normal 2 4 7 2 4" xfId="1636" xr:uid="{00000000-0005-0000-0000-0000DF100000}"/>
    <cellStyle name="Normal 2 4 7 2 4 2" xfId="3866" xr:uid="{00000000-0005-0000-0000-0000E0100000}"/>
    <cellStyle name="Normal 2 4 7 2 4 2 2" xfId="8088" xr:uid="{00000000-0005-0000-0000-0000E1100000}"/>
    <cellStyle name="Normal 2 4 7 2 4 2 2 2" xfId="16538" xr:uid="{D95195F3-EEC4-46A7-8891-2174B1DFE077}"/>
    <cellStyle name="Normal 2 4 7 2 4 2 3" xfId="12320" xr:uid="{CBBE9497-63AD-4CDA-86E5-35A0F901A8AF}"/>
    <cellStyle name="Normal 2 4 7 2 4 3" xfId="5943" xr:uid="{00000000-0005-0000-0000-0000E2100000}"/>
    <cellStyle name="Normal 2 4 7 2 4 3 2" xfId="14393" xr:uid="{53ECD946-E9C4-48AE-AD81-A264E9309BBB}"/>
    <cellStyle name="Normal 2 4 7 2 4 4" xfId="10175" xr:uid="{44523C81-8CFF-4137-917E-8008AD6875C5}"/>
    <cellStyle name="Normal 2 4 7 2 5" xfId="2050" xr:uid="{00000000-0005-0000-0000-0000E3100000}"/>
    <cellStyle name="Normal 2 4 7 2 5 2" xfId="4279" xr:uid="{00000000-0005-0000-0000-0000E4100000}"/>
    <cellStyle name="Normal 2 4 7 2 5 2 2" xfId="8501" xr:uid="{00000000-0005-0000-0000-0000E5100000}"/>
    <cellStyle name="Normal 2 4 7 2 5 2 2 2" xfId="16951" xr:uid="{660CE28B-2B5A-444E-84D2-DB6FC68262DE}"/>
    <cellStyle name="Normal 2 4 7 2 5 2 3" xfId="12733" xr:uid="{EDDE85CD-9E54-4578-B2C2-C8B90E153B11}"/>
    <cellStyle name="Normal 2 4 7 2 5 3" xfId="6356" xr:uid="{00000000-0005-0000-0000-0000E6100000}"/>
    <cellStyle name="Normal 2 4 7 2 5 3 2" xfId="14806" xr:uid="{D04B064E-B421-4471-818F-9ADD7727D901}"/>
    <cellStyle name="Normal 2 4 7 2 5 4" xfId="10588" xr:uid="{D38B5835-622B-4564-81CC-FDE29A663464}"/>
    <cellStyle name="Normal 2 4 7 2 6" xfId="2486" xr:uid="{00000000-0005-0000-0000-0000E7100000}"/>
    <cellStyle name="Normal 2 4 7 2 6 2" xfId="6769" xr:uid="{00000000-0005-0000-0000-0000E8100000}"/>
    <cellStyle name="Normal 2 4 7 2 6 2 2" xfId="15219" xr:uid="{766E9CD0-322A-4EB2-821A-1CE5ECAF7BC9}"/>
    <cellStyle name="Normal 2 4 7 2 6 3" xfId="11001" xr:uid="{B6CBBF5A-6935-49A3-B870-66C2D2A50F05}"/>
    <cellStyle name="Normal 2 4 7 2 7" xfId="4703" xr:uid="{00000000-0005-0000-0000-0000E9100000}"/>
    <cellStyle name="Normal 2 4 7 2 7 2" xfId="13153" xr:uid="{977D0AC1-473D-449B-B253-B5E501B0D027}"/>
    <cellStyle name="Normal 2 4 7 2 8" xfId="8935" xr:uid="{3AE679C5-8DBF-4D73-B34D-63B5281141BF}"/>
    <cellStyle name="Normal 2 4 7 3" xfId="800" xr:uid="{00000000-0005-0000-0000-0000EA100000}"/>
    <cellStyle name="Normal 2 4 7 3 2" xfId="3039" xr:uid="{00000000-0005-0000-0000-0000EB100000}"/>
    <cellStyle name="Normal 2 4 7 3 2 2" xfId="7261" xr:uid="{00000000-0005-0000-0000-0000EC100000}"/>
    <cellStyle name="Normal 2 4 7 3 2 2 2" xfId="15711" xr:uid="{2AD260EE-0363-4DE5-BD84-4694628B1356}"/>
    <cellStyle name="Normal 2 4 7 3 2 3" xfId="11493" xr:uid="{70569BAB-EC63-4FD8-BC43-3160CF44CE59}"/>
    <cellStyle name="Normal 2 4 7 3 3" xfId="5116" xr:uid="{00000000-0005-0000-0000-0000ED100000}"/>
    <cellStyle name="Normal 2 4 7 3 3 2" xfId="13566" xr:uid="{7FF058D1-C1BD-4F28-89D0-2A5BC0971924}"/>
    <cellStyle name="Normal 2 4 7 3 4" xfId="9348" xr:uid="{0D50F5EF-C36B-48D0-A7C5-9F94E3165F9C}"/>
    <cellStyle name="Normal 2 4 7 4" xfId="1222" xr:uid="{00000000-0005-0000-0000-0000EE100000}"/>
    <cellStyle name="Normal 2 4 7 4 2" xfId="3452" xr:uid="{00000000-0005-0000-0000-0000EF100000}"/>
    <cellStyle name="Normal 2 4 7 4 2 2" xfId="7674" xr:uid="{00000000-0005-0000-0000-0000F0100000}"/>
    <cellStyle name="Normal 2 4 7 4 2 2 2" xfId="16124" xr:uid="{09573DE4-BD07-4AD6-BBCF-569DFC9C1D4F}"/>
    <cellStyle name="Normal 2 4 7 4 2 3" xfId="11906" xr:uid="{798EA4DA-6BF4-48FA-9A84-268A1CE7D8C9}"/>
    <cellStyle name="Normal 2 4 7 4 3" xfId="5529" xr:uid="{00000000-0005-0000-0000-0000F1100000}"/>
    <cellStyle name="Normal 2 4 7 4 3 2" xfId="13979" xr:uid="{59A48983-77B2-40A3-8E09-95C7F9751046}"/>
    <cellStyle name="Normal 2 4 7 4 4" xfId="9761" xr:uid="{8963B107-71E9-4310-AF66-4ED27E0EA2FD}"/>
    <cellStyle name="Normal 2 4 7 5" xfId="1635" xr:uid="{00000000-0005-0000-0000-0000F2100000}"/>
    <cellStyle name="Normal 2 4 7 5 2" xfId="3865" xr:uid="{00000000-0005-0000-0000-0000F3100000}"/>
    <cellStyle name="Normal 2 4 7 5 2 2" xfId="8087" xr:uid="{00000000-0005-0000-0000-0000F4100000}"/>
    <cellStyle name="Normal 2 4 7 5 2 2 2" xfId="16537" xr:uid="{4766EB6B-6038-452E-96E7-FCA37A0BCD4C}"/>
    <cellStyle name="Normal 2 4 7 5 2 3" xfId="12319" xr:uid="{C734B97C-9870-498C-B396-D3A1646F96D3}"/>
    <cellStyle name="Normal 2 4 7 5 3" xfId="5942" xr:uid="{00000000-0005-0000-0000-0000F5100000}"/>
    <cellStyle name="Normal 2 4 7 5 3 2" xfId="14392" xr:uid="{D1864714-A7B7-48FA-AC8A-FF7AA300FA0B}"/>
    <cellStyle name="Normal 2 4 7 5 4" xfId="10174" xr:uid="{DBB2B0EF-59DE-4BFA-A121-0463A5276FDC}"/>
    <cellStyle name="Normal 2 4 7 6" xfId="2049" xr:uid="{00000000-0005-0000-0000-0000F6100000}"/>
    <cellStyle name="Normal 2 4 7 6 2" xfId="4278" xr:uid="{00000000-0005-0000-0000-0000F7100000}"/>
    <cellStyle name="Normal 2 4 7 6 2 2" xfId="8500" xr:uid="{00000000-0005-0000-0000-0000F8100000}"/>
    <cellStyle name="Normal 2 4 7 6 2 2 2" xfId="16950" xr:uid="{CFF0B1A1-AFFC-4EAD-AB7C-1D9D6BBEECD7}"/>
    <cellStyle name="Normal 2 4 7 6 2 3" xfId="12732" xr:uid="{E08B4DA4-7D99-481E-B26F-F5A923AC97CD}"/>
    <cellStyle name="Normal 2 4 7 6 3" xfId="6355" xr:uid="{00000000-0005-0000-0000-0000F9100000}"/>
    <cellStyle name="Normal 2 4 7 6 3 2" xfId="14805" xr:uid="{EBC789F7-946C-4B0A-B488-D9B049FE08E2}"/>
    <cellStyle name="Normal 2 4 7 6 4" xfId="10587" xr:uid="{0432FF1A-742E-42EB-B4CB-DD5076209ED2}"/>
    <cellStyle name="Normal 2 4 7 7" xfId="2485" xr:uid="{00000000-0005-0000-0000-0000FA100000}"/>
    <cellStyle name="Normal 2 4 7 7 2" xfId="6768" xr:uid="{00000000-0005-0000-0000-0000FB100000}"/>
    <cellStyle name="Normal 2 4 7 7 2 2" xfId="15218" xr:uid="{EF6BAADD-5870-4DC0-8248-AF7D6E5CDBBB}"/>
    <cellStyle name="Normal 2 4 7 7 3" xfId="11000" xr:uid="{E133F105-EEBC-4DAC-BE42-73CE947B7617}"/>
    <cellStyle name="Normal 2 4 7 8" xfId="4702" xr:uid="{00000000-0005-0000-0000-0000FC100000}"/>
    <cellStyle name="Normal 2 4 7 8 2" xfId="13152" xr:uid="{1855C95D-6783-4FFB-A615-7B17BB855726}"/>
    <cellStyle name="Normal 2 4 7 9" xfId="8934" xr:uid="{092680E3-8F3A-4407-93E6-592F5C72EF6C}"/>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2 2 2" xfId="15713" xr:uid="{873F9E39-5EE4-4BC4-8A98-3190DB03D07A}"/>
    <cellStyle name="Normal 2 4 8 2 2 3" xfId="11495" xr:uid="{5739DDF9-676D-4EA5-8839-986C70C403B0}"/>
    <cellStyle name="Normal 2 4 8 2 3" xfId="5118" xr:uid="{00000000-0005-0000-0000-000001110000}"/>
    <cellStyle name="Normal 2 4 8 2 3 2" xfId="13568" xr:uid="{CBC52C4A-22E0-4120-9A7C-3AD313C23570}"/>
    <cellStyle name="Normal 2 4 8 2 4" xfId="9350" xr:uid="{4A6AF5EA-CF2C-42EB-B89D-89F3F505B6B1}"/>
    <cellStyle name="Normal 2 4 8 3" xfId="1224" xr:uid="{00000000-0005-0000-0000-000002110000}"/>
    <cellStyle name="Normal 2 4 8 3 2" xfId="3454" xr:uid="{00000000-0005-0000-0000-000003110000}"/>
    <cellStyle name="Normal 2 4 8 3 2 2" xfId="7676" xr:uid="{00000000-0005-0000-0000-000004110000}"/>
    <cellStyle name="Normal 2 4 8 3 2 2 2" xfId="16126" xr:uid="{787FBEE1-BA8C-4757-B1FF-6566536CD845}"/>
    <cellStyle name="Normal 2 4 8 3 2 3" xfId="11908" xr:uid="{552577A1-8DC0-4F35-A6D1-58B6F2BA904D}"/>
    <cellStyle name="Normal 2 4 8 3 3" xfId="5531" xr:uid="{00000000-0005-0000-0000-000005110000}"/>
    <cellStyle name="Normal 2 4 8 3 3 2" xfId="13981" xr:uid="{903137BE-4DD0-4B76-87A1-944937782090}"/>
    <cellStyle name="Normal 2 4 8 3 4" xfId="9763" xr:uid="{192C9464-EE68-4EDD-BDA5-7AFE79807D85}"/>
    <cellStyle name="Normal 2 4 8 4" xfId="1637" xr:uid="{00000000-0005-0000-0000-000006110000}"/>
    <cellStyle name="Normal 2 4 8 4 2" xfId="3867" xr:uid="{00000000-0005-0000-0000-000007110000}"/>
    <cellStyle name="Normal 2 4 8 4 2 2" xfId="8089" xr:uid="{00000000-0005-0000-0000-000008110000}"/>
    <cellStyle name="Normal 2 4 8 4 2 2 2" xfId="16539" xr:uid="{3C181012-78A6-4EFC-8C17-E9FBC1012C0A}"/>
    <cellStyle name="Normal 2 4 8 4 2 3" xfId="12321" xr:uid="{82C91676-6BE8-4167-99E2-88ED5B3F695D}"/>
    <cellStyle name="Normal 2 4 8 4 3" xfId="5944" xr:uid="{00000000-0005-0000-0000-000009110000}"/>
    <cellStyle name="Normal 2 4 8 4 3 2" xfId="14394" xr:uid="{75DB330D-C270-445B-A2F3-A4A5D6B82AED}"/>
    <cellStyle name="Normal 2 4 8 4 4" xfId="10176" xr:uid="{254A6022-68D1-432E-8788-1C9AE3575E37}"/>
    <cellStyle name="Normal 2 4 8 5" xfId="2051" xr:uid="{00000000-0005-0000-0000-00000A110000}"/>
    <cellStyle name="Normal 2 4 8 5 2" xfId="4280" xr:uid="{00000000-0005-0000-0000-00000B110000}"/>
    <cellStyle name="Normal 2 4 8 5 2 2" xfId="8502" xr:uid="{00000000-0005-0000-0000-00000C110000}"/>
    <cellStyle name="Normal 2 4 8 5 2 2 2" xfId="16952" xr:uid="{C54824B7-697B-4087-B239-F55E19D4DB40}"/>
    <cellStyle name="Normal 2 4 8 5 2 3" xfId="12734" xr:uid="{209C80B6-166C-494C-8AA6-0C0907A469BA}"/>
    <cellStyle name="Normal 2 4 8 5 3" xfId="6357" xr:uid="{00000000-0005-0000-0000-00000D110000}"/>
    <cellStyle name="Normal 2 4 8 5 3 2" xfId="14807" xr:uid="{25EFCBD0-4EB8-4E69-9344-7BB4E7549D24}"/>
    <cellStyle name="Normal 2 4 8 5 4" xfId="10589" xr:uid="{22E35AA2-91E0-4B4D-82C8-781CB509DE6F}"/>
    <cellStyle name="Normal 2 4 8 6" xfId="2487" xr:uid="{00000000-0005-0000-0000-00000E110000}"/>
    <cellStyle name="Normal 2 4 8 6 2" xfId="6770" xr:uid="{00000000-0005-0000-0000-00000F110000}"/>
    <cellStyle name="Normal 2 4 8 6 2 2" xfId="15220" xr:uid="{39BDF98A-96FD-4877-8941-3D8E3730F0AD}"/>
    <cellStyle name="Normal 2 4 8 6 3" xfId="11002" xr:uid="{90A41BE4-473D-405C-99C1-B6C0429C1EA6}"/>
    <cellStyle name="Normal 2 4 8 7" xfId="4704" xr:uid="{00000000-0005-0000-0000-000010110000}"/>
    <cellStyle name="Normal 2 4 8 7 2" xfId="13154" xr:uid="{798788A8-DE62-4883-8EFB-3580C8CCDFCC}"/>
    <cellStyle name="Normal 2 4 8 8" xfId="8936" xr:uid="{0B7A2E79-0825-40DE-AB46-9B85063407BE}"/>
    <cellStyle name="Normal 2 5" xfId="315" xr:uid="{00000000-0005-0000-0000-000011110000}"/>
    <cellStyle name="Normal 2 5 10" xfId="4705" xr:uid="{00000000-0005-0000-0000-000012110000}"/>
    <cellStyle name="Normal 2 5 10 2" xfId="13155" xr:uid="{89E8D99E-8BD2-4BDF-9411-79AD5D82366D}"/>
    <cellStyle name="Normal 2 5 11" xfId="8937" xr:uid="{D1985CB6-AA62-4E42-A3A3-BA04BF8E644E}"/>
    <cellStyle name="Normal 2 5 2" xfId="316" xr:uid="{00000000-0005-0000-0000-000013110000}"/>
    <cellStyle name="Normal 2 5 3" xfId="317" xr:uid="{00000000-0005-0000-0000-000014110000}"/>
    <cellStyle name="Normal 2 5 4" xfId="318" xr:uid="{00000000-0005-0000-0000-000015110000}"/>
    <cellStyle name="Normal 2 5 4 10" xfId="8938" xr:uid="{75E7E40B-33C9-437A-A82D-EED592C8EB6C}"/>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2 2 2" xfId="15717" xr:uid="{231B8D75-2CB4-49B7-968F-073736AB0A9E}"/>
    <cellStyle name="Normal 2 5 4 2 2 2 2 3" xfId="11499" xr:uid="{6B68DF46-C62E-4C35-AE68-233E3F3403C2}"/>
    <cellStyle name="Normal 2 5 4 2 2 2 3" xfId="5122" xr:uid="{00000000-0005-0000-0000-00001B110000}"/>
    <cellStyle name="Normal 2 5 4 2 2 2 3 2" xfId="13572" xr:uid="{98792189-529D-415E-AED2-0CD11FEE771F}"/>
    <cellStyle name="Normal 2 5 4 2 2 2 4" xfId="9354" xr:uid="{950BD1C5-0959-4E7A-ABE2-D2E85DF5A538}"/>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2 2 2" xfId="16130" xr:uid="{3CB289DA-2449-444B-8FCC-587D566EA5FC}"/>
    <cellStyle name="Normal 2 5 4 2 2 3 2 3" xfId="11912" xr:uid="{D2675056-EAFD-4735-B34E-CA64493DF490}"/>
    <cellStyle name="Normal 2 5 4 2 2 3 3" xfId="5535" xr:uid="{00000000-0005-0000-0000-00001F110000}"/>
    <cellStyle name="Normal 2 5 4 2 2 3 3 2" xfId="13985" xr:uid="{FE8DC074-B253-48FD-BC64-F611BADB3E80}"/>
    <cellStyle name="Normal 2 5 4 2 2 3 4" xfId="9767" xr:uid="{43FF2987-70F7-42ED-90AC-E198DA687FC2}"/>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2 2 2" xfId="16543" xr:uid="{9EDC220E-086B-45EC-8391-C164B88CDBE8}"/>
    <cellStyle name="Normal 2 5 4 2 2 4 2 3" xfId="12325" xr:uid="{19F48423-E142-41AB-B47D-E1382638C853}"/>
    <cellStyle name="Normal 2 5 4 2 2 4 3" xfId="5948" xr:uid="{00000000-0005-0000-0000-000023110000}"/>
    <cellStyle name="Normal 2 5 4 2 2 4 3 2" xfId="14398" xr:uid="{9685B10D-2CE1-4B56-AC25-A005258111F7}"/>
    <cellStyle name="Normal 2 5 4 2 2 4 4" xfId="10180" xr:uid="{594B55B3-4BA3-4559-A9F0-9E3971BB6BC5}"/>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2 2 2" xfId="16956" xr:uid="{D522FA2A-F9E4-40BB-93A9-F2794CFC5653}"/>
    <cellStyle name="Normal 2 5 4 2 2 5 2 3" xfId="12738" xr:uid="{97FDE953-705E-4C59-A1E9-39753386FBFF}"/>
    <cellStyle name="Normal 2 5 4 2 2 5 3" xfId="6361" xr:uid="{00000000-0005-0000-0000-000027110000}"/>
    <cellStyle name="Normal 2 5 4 2 2 5 3 2" xfId="14811" xr:uid="{70B9DD47-9A35-4724-9F87-BFD5E0C78BDB}"/>
    <cellStyle name="Normal 2 5 4 2 2 5 4" xfId="10593" xr:uid="{F7FB2A3C-281D-4571-BBA1-DFAB62F31DEC}"/>
    <cellStyle name="Normal 2 5 4 2 2 6" xfId="2491" xr:uid="{00000000-0005-0000-0000-000028110000}"/>
    <cellStyle name="Normal 2 5 4 2 2 6 2" xfId="6774" xr:uid="{00000000-0005-0000-0000-000029110000}"/>
    <cellStyle name="Normal 2 5 4 2 2 6 2 2" xfId="15224" xr:uid="{D22EB367-F3EA-4A50-8D2E-986F30539854}"/>
    <cellStyle name="Normal 2 5 4 2 2 6 3" xfId="11006" xr:uid="{825E965C-A1CA-4F7E-9915-7AE689144171}"/>
    <cellStyle name="Normal 2 5 4 2 2 7" xfId="4708" xr:uid="{00000000-0005-0000-0000-00002A110000}"/>
    <cellStyle name="Normal 2 5 4 2 2 7 2" xfId="13158" xr:uid="{BD3C480F-3EE8-4ED9-8131-8BE67DFFC760}"/>
    <cellStyle name="Normal 2 5 4 2 2 8" xfId="8940" xr:uid="{47ECE617-0D92-46DB-9597-67F9215CBAE7}"/>
    <cellStyle name="Normal 2 5 4 2 3" xfId="805" xr:uid="{00000000-0005-0000-0000-00002B110000}"/>
    <cellStyle name="Normal 2 5 4 2 3 2" xfId="3044" xr:uid="{00000000-0005-0000-0000-00002C110000}"/>
    <cellStyle name="Normal 2 5 4 2 3 2 2" xfId="7266" xr:uid="{00000000-0005-0000-0000-00002D110000}"/>
    <cellStyle name="Normal 2 5 4 2 3 2 2 2" xfId="15716" xr:uid="{0654D71E-7950-4437-9004-DA3F4B20376B}"/>
    <cellStyle name="Normal 2 5 4 2 3 2 3" xfId="11498" xr:uid="{8E210330-0E38-46D9-B224-CBD74A521E61}"/>
    <cellStyle name="Normal 2 5 4 2 3 3" xfId="5121" xr:uid="{00000000-0005-0000-0000-00002E110000}"/>
    <cellStyle name="Normal 2 5 4 2 3 3 2" xfId="13571" xr:uid="{F6C2B935-CD89-4131-B9EF-50FC5E1892F2}"/>
    <cellStyle name="Normal 2 5 4 2 3 4" xfId="9353" xr:uid="{EE899289-9D14-4BD0-BAB5-2FB12367FAE5}"/>
    <cellStyle name="Normal 2 5 4 2 4" xfId="1227" xr:uid="{00000000-0005-0000-0000-00002F110000}"/>
    <cellStyle name="Normal 2 5 4 2 4 2" xfId="3457" xr:uid="{00000000-0005-0000-0000-000030110000}"/>
    <cellStyle name="Normal 2 5 4 2 4 2 2" xfId="7679" xr:uid="{00000000-0005-0000-0000-000031110000}"/>
    <cellStyle name="Normal 2 5 4 2 4 2 2 2" xfId="16129" xr:uid="{C332A43A-9F03-4A8B-87E4-6E1279C0B5E8}"/>
    <cellStyle name="Normal 2 5 4 2 4 2 3" xfId="11911" xr:uid="{783B22D4-ED95-40BA-832A-DCAB1EBD2192}"/>
    <cellStyle name="Normal 2 5 4 2 4 3" xfId="5534" xr:uid="{00000000-0005-0000-0000-000032110000}"/>
    <cellStyle name="Normal 2 5 4 2 4 3 2" xfId="13984" xr:uid="{14C2F2AD-27F8-4EC0-BFC0-E960FAFD414C}"/>
    <cellStyle name="Normal 2 5 4 2 4 4" xfId="9766" xr:uid="{EB3B09C6-05F0-4D44-AF8D-2E2BCE7E7917}"/>
    <cellStyle name="Normal 2 5 4 2 5" xfId="1640" xr:uid="{00000000-0005-0000-0000-000033110000}"/>
    <cellStyle name="Normal 2 5 4 2 5 2" xfId="3870" xr:uid="{00000000-0005-0000-0000-000034110000}"/>
    <cellStyle name="Normal 2 5 4 2 5 2 2" xfId="8092" xr:uid="{00000000-0005-0000-0000-000035110000}"/>
    <cellStyle name="Normal 2 5 4 2 5 2 2 2" xfId="16542" xr:uid="{53397CDD-E50D-4528-BC8B-D0752B9E21EB}"/>
    <cellStyle name="Normal 2 5 4 2 5 2 3" xfId="12324" xr:uid="{82BAFC49-DCD5-4BD6-A6A2-798270D8F380}"/>
    <cellStyle name="Normal 2 5 4 2 5 3" xfId="5947" xr:uid="{00000000-0005-0000-0000-000036110000}"/>
    <cellStyle name="Normal 2 5 4 2 5 3 2" xfId="14397" xr:uid="{0BE74953-D5F4-4AA0-BB7F-89795C5F803A}"/>
    <cellStyle name="Normal 2 5 4 2 5 4" xfId="10179" xr:uid="{8BD5F893-631E-4979-984F-FB272D0141D0}"/>
    <cellStyle name="Normal 2 5 4 2 6" xfId="2054" xr:uid="{00000000-0005-0000-0000-000037110000}"/>
    <cellStyle name="Normal 2 5 4 2 6 2" xfId="4283" xr:uid="{00000000-0005-0000-0000-000038110000}"/>
    <cellStyle name="Normal 2 5 4 2 6 2 2" xfId="8505" xr:uid="{00000000-0005-0000-0000-000039110000}"/>
    <cellStyle name="Normal 2 5 4 2 6 2 2 2" xfId="16955" xr:uid="{73CCF4B3-1E8C-4172-B42D-72433F971B3D}"/>
    <cellStyle name="Normal 2 5 4 2 6 2 3" xfId="12737" xr:uid="{1817E13E-01A4-49D3-BB72-F4639AA5FD72}"/>
    <cellStyle name="Normal 2 5 4 2 6 3" xfId="6360" xr:uid="{00000000-0005-0000-0000-00003A110000}"/>
    <cellStyle name="Normal 2 5 4 2 6 3 2" xfId="14810" xr:uid="{D3252B77-5772-45A8-B6B9-1B29284C40B3}"/>
    <cellStyle name="Normal 2 5 4 2 6 4" xfId="10592" xr:uid="{D08AB734-4D52-43A7-89B4-F2B6DE8CEB01}"/>
    <cellStyle name="Normal 2 5 4 2 7" xfId="2490" xr:uid="{00000000-0005-0000-0000-00003B110000}"/>
    <cellStyle name="Normal 2 5 4 2 7 2" xfId="6773" xr:uid="{00000000-0005-0000-0000-00003C110000}"/>
    <cellStyle name="Normal 2 5 4 2 7 2 2" xfId="15223" xr:uid="{9E47742F-4A65-4F42-8F6A-D849673339AD}"/>
    <cellStyle name="Normal 2 5 4 2 7 3" xfId="11005" xr:uid="{C77F15EC-2D36-4DA3-ACBF-2AB94DDF13C1}"/>
    <cellStyle name="Normal 2 5 4 2 8" xfId="4707" xr:uid="{00000000-0005-0000-0000-00003D110000}"/>
    <cellStyle name="Normal 2 5 4 2 8 2" xfId="13157" xr:uid="{4C837FD4-175D-45A1-BA2B-6F4B73DB7CBD}"/>
    <cellStyle name="Normal 2 5 4 2 9" xfId="8939" xr:uid="{510E1F1F-AC63-4137-8F28-98B165080878}"/>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2 2 2" xfId="15718" xr:uid="{50308E87-57B5-4B3A-8F94-9EAEEA4A59AB}"/>
    <cellStyle name="Normal 2 5 4 3 2 2 3" xfId="11500" xr:uid="{D4A57905-1AAD-4F30-9022-47C42785F990}"/>
    <cellStyle name="Normal 2 5 4 3 2 3" xfId="5123" xr:uid="{00000000-0005-0000-0000-000042110000}"/>
    <cellStyle name="Normal 2 5 4 3 2 3 2" xfId="13573" xr:uid="{A1CB81C9-8950-485D-9373-2F6E5FB0DA42}"/>
    <cellStyle name="Normal 2 5 4 3 2 4" xfId="9355" xr:uid="{460FC8AB-0431-4EEA-9FA2-42D2906A7A9A}"/>
    <cellStyle name="Normal 2 5 4 3 3" xfId="1229" xr:uid="{00000000-0005-0000-0000-000043110000}"/>
    <cellStyle name="Normal 2 5 4 3 3 2" xfId="3459" xr:uid="{00000000-0005-0000-0000-000044110000}"/>
    <cellStyle name="Normal 2 5 4 3 3 2 2" xfId="7681" xr:uid="{00000000-0005-0000-0000-000045110000}"/>
    <cellStyle name="Normal 2 5 4 3 3 2 2 2" xfId="16131" xr:uid="{00FEE407-F5FC-43E5-99C4-64284C3CEED7}"/>
    <cellStyle name="Normal 2 5 4 3 3 2 3" xfId="11913" xr:uid="{2D61A618-CC95-4A1D-846B-96D01C41DEED}"/>
    <cellStyle name="Normal 2 5 4 3 3 3" xfId="5536" xr:uid="{00000000-0005-0000-0000-000046110000}"/>
    <cellStyle name="Normal 2 5 4 3 3 3 2" xfId="13986" xr:uid="{A1CDF3DF-372A-4713-BD1D-AAB7CD4A8357}"/>
    <cellStyle name="Normal 2 5 4 3 3 4" xfId="9768" xr:uid="{4A047B36-A6D6-49A8-B443-A12FBD6E85CA}"/>
    <cellStyle name="Normal 2 5 4 3 4" xfId="1642" xr:uid="{00000000-0005-0000-0000-000047110000}"/>
    <cellStyle name="Normal 2 5 4 3 4 2" xfId="3872" xr:uid="{00000000-0005-0000-0000-000048110000}"/>
    <cellStyle name="Normal 2 5 4 3 4 2 2" xfId="8094" xr:uid="{00000000-0005-0000-0000-000049110000}"/>
    <cellStyle name="Normal 2 5 4 3 4 2 2 2" xfId="16544" xr:uid="{4BD6D5A8-3393-42A4-BAC0-3491003D2072}"/>
    <cellStyle name="Normal 2 5 4 3 4 2 3" xfId="12326" xr:uid="{EC2501E0-7258-45D5-9F2B-CA9EEB28E353}"/>
    <cellStyle name="Normal 2 5 4 3 4 3" xfId="5949" xr:uid="{00000000-0005-0000-0000-00004A110000}"/>
    <cellStyle name="Normal 2 5 4 3 4 3 2" xfId="14399" xr:uid="{536D92F1-7346-42F9-A965-AA344B7B00A9}"/>
    <cellStyle name="Normal 2 5 4 3 4 4" xfId="10181" xr:uid="{D550617F-9827-40E6-B05B-FD6060F85BB4}"/>
    <cellStyle name="Normal 2 5 4 3 5" xfId="2056" xr:uid="{00000000-0005-0000-0000-00004B110000}"/>
    <cellStyle name="Normal 2 5 4 3 5 2" xfId="4285" xr:uid="{00000000-0005-0000-0000-00004C110000}"/>
    <cellStyle name="Normal 2 5 4 3 5 2 2" xfId="8507" xr:uid="{00000000-0005-0000-0000-00004D110000}"/>
    <cellStyle name="Normal 2 5 4 3 5 2 2 2" xfId="16957" xr:uid="{14D73527-3D85-4BE0-86FE-DC15EF7CFB5D}"/>
    <cellStyle name="Normal 2 5 4 3 5 2 3" xfId="12739" xr:uid="{2AD20DDC-A3C5-44E3-AB94-B1D7CDA9C8CC}"/>
    <cellStyle name="Normal 2 5 4 3 5 3" xfId="6362" xr:uid="{00000000-0005-0000-0000-00004E110000}"/>
    <cellStyle name="Normal 2 5 4 3 5 3 2" xfId="14812" xr:uid="{A9EA6365-2DD1-4FD3-BDD4-CF0F4609B3C4}"/>
    <cellStyle name="Normal 2 5 4 3 5 4" xfId="10594" xr:uid="{4BD5FC0E-79EB-4B1B-A1D4-27B9D5B4DA42}"/>
    <cellStyle name="Normal 2 5 4 3 6" xfId="2492" xr:uid="{00000000-0005-0000-0000-00004F110000}"/>
    <cellStyle name="Normal 2 5 4 3 6 2" xfId="6775" xr:uid="{00000000-0005-0000-0000-000050110000}"/>
    <cellStyle name="Normal 2 5 4 3 6 2 2" xfId="15225" xr:uid="{8EBE3DB6-D1E3-431E-900F-DB014274A6C9}"/>
    <cellStyle name="Normal 2 5 4 3 6 3" xfId="11007" xr:uid="{EDEAEDA9-20D3-4D4B-A58E-4A2346431D88}"/>
    <cellStyle name="Normal 2 5 4 3 7" xfId="4709" xr:uid="{00000000-0005-0000-0000-000051110000}"/>
    <cellStyle name="Normal 2 5 4 3 7 2" xfId="13159" xr:uid="{CB62ECF7-8A0B-40F5-9CB0-C22A57F20F53}"/>
    <cellStyle name="Normal 2 5 4 3 8" xfId="8941" xr:uid="{E7A9A07C-D726-48B8-866D-E7490578A2EB}"/>
    <cellStyle name="Normal 2 5 4 4" xfId="804" xr:uid="{00000000-0005-0000-0000-000052110000}"/>
    <cellStyle name="Normal 2 5 4 4 2" xfId="3043" xr:uid="{00000000-0005-0000-0000-000053110000}"/>
    <cellStyle name="Normal 2 5 4 4 2 2" xfId="7265" xr:uid="{00000000-0005-0000-0000-000054110000}"/>
    <cellStyle name="Normal 2 5 4 4 2 2 2" xfId="15715" xr:uid="{4E5F194B-73BB-4991-99E5-5587FD653A04}"/>
    <cellStyle name="Normal 2 5 4 4 2 3" xfId="11497" xr:uid="{FAAA7DB2-CFDF-4847-A27C-90F0DC290F1A}"/>
    <cellStyle name="Normal 2 5 4 4 3" xfId="5120" xr:uid="{00000000-0005-0000-0000-000055110000}"/>
    <cellStyle name="Normal 2 5 4 4 3 2" xfId="13570" xr:uid="{CFE8CE2B-D1BD-4A13-92FC-98A6115031A0}"/>
    <cellStyle name="Normal 2 5 4 4 4" xfId="9352" xr:uid="{80AC60DC-5336-4DE0-9202-748914E4098C}"/>
    <cellStyle name="Normal 2 5 4 5" xfId="1226" xr:uid="{00000000-0005-0000-0000-000056110000}"/>
    <cellStyle name="Normal 2 5 4 5 2" xfId="3456" xr:uid="{00000000-0005-0000-0000-000057110000}"/>
    <cellStyle name="Normal 2 5 4 5 2 2" xfId="7678" xr:uid="{00000000-0005-0000-0000-000058110000}"/>
    <cellStyle name="Normal 2 5 4 5 2 2 2" xfId="16128" xr:uid="{DA0E59F8-2D66-41A1-9C26-B0A3CA9AC61D}"/>
    <cellStyle name="Normal 2 5 4 5 2 3" xfId="11910" xr:uid="{80E8047F-D549-443D-9AED-41EDBEC64D37}"/>
    <cellStyle name="Normal 2 5 4 5 3" xfId="5533" xr:uid="{00000000-0005-0000-0000-000059110000}"/>
    <cellStyle name="Normal 2 5 4 5 3 2" xfId="13983" xr:uid="{DA7FD5B7-211A-4A89-A577-62F193B11FB4}"/>
    <cellStyle name="Normal 2 5 4 5 4" xfId="9765" xr:uid="{EB69423F-1D8F-4889-BF2E-788D23418DA9}"/>
    <cellStyle name="Normal 2 5 4 6" xfId="1639" xr:uid="{00000000-0005-0000-0000-00005A110000}"/>
    <cellStyle name="Normal 2 5 4 6 2" xfId="3869" xr:uid="{00000000-0005-0000-0000-00005B110000}"/>
    <cellStyle name="Normal 2 5 4 6 2 2" xfId="8091" xr:uid="{00000000-0005-0000-0000-00005C110000}"/>
    <cellStyle name="Normal 2 5 4 6 2 2 2" xfId="16541" xr:uid="{EEB39009-2349-42F6-8C8C-A50B7CB338AE}"/>
    <cellStyle name="Normal 2 5 4 6 2 3" xfId="12323" xr:uid="{57B53232-E04E-4BB5-B9E1-4695AF826CD2}"/>
    <cellStyle name="Normal 2 5 4 6 3" xfId="5946" xr:uid="{00000000-0005-0000-0000-00005D110000}"/>
    <cellStyle name="Normal 2 5 4 6 3 2" xfId="14396" xr:uid="{2BE80074-3EF8-41BA-9CE9-8D8765AE81D3}"/>
    <cellStyle name="Normal 2 5 4 6 4" xfId="10178" xr:uid="{26FBE922-2164-47FF-877E-2497FF7D0EA1}"/>
    <cellStyle name="Normal 2 5 4 7" xfId="2053" xr:uid="{00000000-0005-0000-0000-00005E110000}"/>
    <cellStyle name="Normal 2 5 4 7 2" xfId="4282" xr:uid="{00000000-0005-0000-0000-00005F110000}"/>
    <cellStyle name="Normal 2 5 4 7 2 2" xfId="8504" xr:uid="{00000000-0005-0000-0000-000060110000}"/>
    <cellStyle name="Normal 2 5 4 7 2 2 2" xfId="16954" xr:uid="{3C6F8966-9F3A-4822-872C-C2B14F884C47}"/>
    <cellStyle name="Normal 2 5 4 7 2 3" xfId="12736" xr:uid="{330529FF-FBC1-4D19-B09B-12276F3330CC}"/>
    <cellStyle name="Normal 2 5 4 7 3" xfId="6359" xr:uid="{00000000-0005-0000-0000-000061110000}"/>
    <cellStyle name="Normal 2 5 4 7 3 2" xfId="14809" xr:uid="{EE5BAE9C-E279-4E52-AA9B-DFE69735C9C6}"/>
    <cellStyle name="Normal 2 5 4 7 4" xfId="10591" xr:uid="{1E2DE8B7-C277-41A5-85DF-6A26BA5DD736}"/>
    <cellStyle name="Normal 2 5 4 8" xfId="2489" xr:uid="{00000000-0005-0000-0000-000062110000}"/>
    <cellStyle name="Normal 2 5 4 8 2" xfId="6772" xr:uid="{00000000-0005-0000-0000-000063110000}"/>
    <cellStyle name="Normal 2 5 4 8 2 2" xfId="15222" xr:uid="{060417AF-FD0A-43EE-A9AF-7F03AE29DFC1}"/>
    <cellStyle name="Normal 2 5 4 8 3" xfId="11004" xr:uid="{63FCD39D-C030-45A6-9261-B495804B6CC2}"/>
    <cellStyle name="Normal 2 5 4 9" xfId="4706" xr:uid="{00000000-0005-0000-0000-000064110000}"/>
    <cellStyle name="Normal 2 5 4 9 2" xfId="13156" xr:uid="{7CDCFBB9-0478-4601-AD06-4445BAFBA99A}"/>
    <cellStyle name="Normal 2 5 5" xfId="803" xr:uid="{00000000-0005-0000-0000-000065110000}"/>
    <cellStyle name="Normal 2 5 5 2" xfId="3042" xr:uid="{00000000-0005-0000-0000-000066110000}"/>
    <cellStyle name="Normal 2 5 5 2 2" xfId="7264" xr:uid="{00000000-0005-0000-0000-000067110000}"/>
    <cellStyle name="Normal 2 5 5 2 2 2" xfId="15714" xr:uid="{43DE5B35-D9AD-4C71-98C4-4AEE1978C0B2}"/>
    <cellStyle name="Normal 2 5 5 2 3" xfId="11496" xr:uid="{6C352C49-60DD-42B6-BA85-767C8676D256}"/>
    <cellStyle name="Normal 2 5 5 3" xfId="5119" xr:uid="{00000000-0005-0000-0000-000068110000}"/>
    <cellStyle name="Normal 2 5 5 3 2" xfId="13569" xr:uid="{F5B3E2BB-BF90-4692-845B-DEF81C6435C3}"/>
    <cellStyle name="Normal 2 5 5 4" xfId="9351" xr:uid="{635C7890-3D3F-495A-AD13-46A4085A9A3C}"/>
    <cellStyle name="Normal 2 5 6" xfId="1225" xr:uid="{00000000-0005-0000-0000-000069110000}"/>
    <cellStyle name="Normal 2 5 6 2" xfId="3455" xr:uid="{00000000-0005-0000-0000-00006A110000}"/>
    <cellStyle name="Normal 2 5 6 2 2" xfId="7677" xr:uid="{00000000-0005-0000-0000-00006B110000}"/>
    <cellStyle name="Normal 2 5 6 2 2 2" xfId="16127" xr:uid="{6BF277C9-C97D-4A1F-959E-71D8AC952F93}"/>
    <cellStyle name="Normal 2 5 6 2 3" xfId="11909" xr:uid="{D6656495-F7B5-4FBA-BC34-E43132B1975B}"/>
    <cellStyle name="Normal 2 5 6 3" xfId="5532" xr:uid="{00000000-0005-0000-0000-00006C110000}"/>
    <cellStyle name="Normal 2 5 6 3 2" xfId="13982" xr:uid="{C669181E-A9A7-4C14-BDBE-F7F93EF7E872}"/>
    <cellStyle name="Normal 2 5 6 4" xfId="9764" xr:uid="{60CDF11D-8F69-4A32-9C27-00347898DDE4}"/>
    <cellStyle name="Normal 2 5 7" xfId="1638" xr:uid="{00000000-0005-0000-0000-00006D110000}"/>
    <cellStyle name="Normal 2 5 7 2" xfId="3868" xr:uid="{00000000-0005-0000-0000-00006E110000}"/>
    <cellStyle name="Normal 2 5 7 2 2" xfId="8090" xr:uid="{00000000-0005-0000-0000-00006F110000}"/>
    <cellStyle name="Normal 2 5 7 2 2 2" xfId="16540" xr:uid="{4F797706-7BCD-44F1-B3CE-75AFEF6E6F1B}"/>
    <cellStyle name="Normal 2 5 7 2 3" xfId="12322" xr:uid="{71BE3062-9831-4237-BC70-03A3C53733D8}"/>
    <cellStyle name="Normal 2 5 7 3" xfId="5945" xr:uid="{00000000-0005-0000-0000-000070110000}"/>
    <cellStyle name="Normal 2 5 7 3 2" xfId="14395" xr:uid="{F743509E-DA14-4B2E-BB6A-B715B0D2288F}"/>
    <cellStyle name="Normal 2 5 7 4" xfId="10177" xr:uid="{5EA0F348-CC5D-4E11-AAF4-90C903524E24}"/>
    <cellStyle name="Normal 2 5 8" xfId="2052" xr:uid="{00000000-0005-0000-0000-000071110000}"/>
    <cellStyle name="Normal 2 5 8 2" xfId="4281" xr:uid="{00000000-0005-0000-0000-000072110000}"/>
    <cellStyle name="Normal 2 5 8 2 2" xfId="8503" xr:uid="{00000000-0005-0000-0000-000073110000}"/>
    <cellStyle name="Normal 2 5 8 2 2 2" xfId="16953" xr:uid="{A23AFC38-9382-4B95-ACF5-12251F589A00}"/>
    <cellStyle name="Normal 2 5 8 2 3" xfId="12735" xr:uid="{AEAC11EE-9F5F-4248-8874-81BBD29CB603}"/>
    <cellStyle name="Normal 2 5 8 3" xfId="6358" xr:uid="{00000000-0005-0000-0000-000074110000}"/>
    <cellStyle name="Normal 2 5 8 3 2" xfId="14808" xr:uid="{C342E498-0BAA-4F20-836D-2BC7B9711456}"/>
    <cellStyle name="Normal 2 5 8 4" xfId="10590" xr:uid="{01533BCD-24F7-4ECA-BE3C-953233190696}"/>
    <cellStyle name="Normal 2 5 9" xfId="2488" xr:uid="{00000000-0005-0000-0000-000075110000}"/>
    <cellStyle name="Normal 2 5 9 2" xfId="6771" xr:uid="{00000000-0005-0000-0000-000076110000}"/>
    <cellStyle name="Normal 2 5 9 2 2" xfId="15221" xr:uid="{806DFB64-AFEA-4362-BE5D-7F03C408F65D}"/>
    <cellStyle name="Normal 2 5 9 3" xfId="11003" xr:uid="{D35CB058-E9E5-4C5C-9F35-D4A099EF5F0F}"/>
    <cellStyle name="Normal 2 6" xfId="322" xr:uid="{00000000-0005-0000-0000-000077110000}"/>
    <cellStyle name="Normal 2 7" xfId="769" xr:uid="{00000000-0005-0000-0000-000078110000}"/>
    <cellStyle name="Normal 2 8" xfId="4495" xr:uid="{00000000-0005-0000-0000-000079110000}"/>
    <cellStyle name="Normal 2 8 2" xfId="12947" xr:uid="{DF74084B-6BCB-4727-A883-D8E9F4986D40}"/>
    <cellStyle name="Normal 3" xfId="323" xr:uid="{00000000-0005-0000-0000-00007A110000}"/>
    <cellStyle name="Normal 3 2" xfId="324" xr:uid="{00000000-0005-0000-0000-00007B110000}"/>
    <cellStyle name="Normal 3 2 10" xfId="8942" xr:uid="{ED63ACB6-57ED-4F74-8E43-F4414D92C679}"/>
    <cellStyle name="Normal 3 2 2" xfId="325" xr:uid="{00000000-0005-0000-0000-00007C110000}"/>
    <cellStyle name="Normal 3 2 2 2" xfId="810" xr:uid="{00000000-0005-0000-0000-00007D110000}"/>
    <cellStyle name="Normal 3 2 3" xfId="326" xr:uid="{00000000-0005-0000-0000-00007E110000}"/>
    <cellStyle name="Normal 3 2 3 10" xfId="8943" xr:uid="{00DFDCE5-F2D4-48C6-A0A4-92058CBB16E8}"/>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2 2 2" xfId="15722" xr:uid="{55A07A5C-835C-4E42-94DC-AF59EC37BD23}"/>
    <cellStyle name="Normal 3 2 3 2 2 2 2 3" xfId="11504" xr:uid="{A2DA15D3-4D57-4DB3-9B0A-ACFA1680A80E}"/>
    <cellStyle name="Normal 3 2 3 2 2 2 3" xfId="5127" xr:uid="{00000000-0005-0000-0000-000084110000}"/>
    <cellStyle name="Normal 3 2 3 2 2 2 3 2" xfId="13577" xr:uid="{B375C034-E941-4F38-9A68-BE3DF69458DE}"/>
    <cellStyle name="Normal 3 2 3 2 2 2 4" xfId="9359" xr:uid="{4D3708C4-E699-4415-919B-BF743D0C44DE}"/>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2 2 2" xfId="16135" xr:uid="{FD3234A4-E7DA-4E77-A19D-2FB6F0A7D3C3}"/>
    <cellStyle name="Normal 3 2 3 2 2 3 2 3" xfId="11917" xr:uid="{6327C0CE-A0D6-46E1-9680-7BC1E80EFBF7}"/>
    <cellStyle name="Normal 3 2 3 2 2 3 3" xfId="5540" xr:uid="{00000000-0005-0000-0000-000088110000}"/>
    <cellStyle name="Normal 3 2 3 2 2 3 3 2" xfId="13990" xr:uid="{EE1B15AC-20DF-48DD-BE7C-1D216BC13D2D}"/>
    <cellStyle name="Normal 3 2 3 2 2 3 4" xfId="9772" xr:uid="{ED11EB25-D4A5-4BA7-9BCB-BC0F64D89099}"/>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2 2 2" xfId="16548" xr:uid="{11F6C461-5E58-42D9-8394-479FABBCCF6C}"/>
    <cellStyle name="Normal 3 2 3 2 2 4 2 3" xfId="12330" xr:uid="{0127E5E3-168C-4684-A984-9CA9D05B5A0C}"/>
    <cellStyle name="Normal 3 2 3 2 2 4 3" xfId="5953" xr:uid="{00000000-0005-0000-0000-00008C110000}"/>
    <cellStyle name="Normal 3 2 3 2 2 4 3 2" xfId="14403" xr:uid="{3146A925-A6D1-43DD-9058-5F6EA599C8C2}"/>
    <cellStyle name="Normal 3 2 3 2 2 4 4" xfId="10185" xr:uid="{096D0144-3556-47FD-B195-08A499AB8B45}"/>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2 2 2" xfId="16961" xr:uid="{43907BF6-F3A7-4400-A25A-1274EC311C3A}"/>
    <cellStyle name="Normal 3 2 3 2 2 5 2 3" xfId="12743" xr:uid="{CBA9642C-5D4D-4A47-91AD-A65F893E1A32}"/>
    <cellStyle name="Normal 3 2 3 2 2 5 3" xfId="6366" xr:uid="{00000000-0005-0000-0000-000090110000}"/>
    <cellStyle name="Normal 3 2 3 2 2 5 3 2" xfId="14816" xr:uid="{D3757C0A-CC5E-431F-AC6D-98968406BE4D}"/>
    <cellStyle name="Normal 3 2 3 2 2 5 4" xfId="10598" xr:uid="{F34B18C2-F0D1-45B7-B4E2-DDBC50F89A72}"/>
    <cellStyle name="Normal 3 2 3 2 2 6" xfId="2496" xr:uid="{00000000-0005-0000-0000-000091110000}"/>
    <cellStyle name="Normal 3 2 3 2 2 6 2" xfId="6779" xr:uid="{00000000-0005-0000-0000-000092110000}"/>
    <cellStyle name="Normal 3 2 3 2 2 6 2 2" xfId="15229" xr:uid="{6E2334DD-EA55-4252-89E5-AE71653B520F}"/>
    <cellStyle name="Normal 3 2 3 2 2 6 3" xfId="11011" xr:uid="{152CE332-9FE7-4F89-86CA-08161F13B347}"/>
    <cellStyle name="Normal 3 2 3 2 2 7" xfId="4713" xr:uid="{00000000-0005-0000-0000-000093110000}"/>
    <cellStyle name="Normal 3 2 3 2 2 7 2" xfId="13163" xr:uid="{0EC45DCE-693F-4167-8748-4CB1E458A645}"/>
    <cellStyle name="Normal 3 2 3 2 2 8" xfId="8945" xr:uid="{54C5DC0F-FDC5-4122-9E2D-A75EFA1531C9}"/>
    <cellStyle name="Normal 3 2 3 2 3" xfId="812" xr:uid="{00000000-0005-0000-0000-000094110000}"/>
    <cellStyle name="Normal 3 2 3 2 3 2" xfId="3049" xr:uid="{00000000-0005-0000-0000-000095110000}"/>
    <cellStyle name="Normal 3 2 3 2 3 2 2" xfId="7271" xr:uid="{00000000-0005-0000-0000-000096110000}"/>
    <cellStyle name="Normal 3 2 3 2 3 2 2 2" xfId="15721" xr:uid="{625110B3-BBB3-41A7-8B7C-AE60EC9F5E85}"/>
    <cellStyle name="Normal 3 2 3 2 3 2 3" xfId="11503" xr:uid="{E2E31F2F-17C4-4026-A1A3-C1EA6F4FD8D1}"/>
    <cellStyle name="Normal 3 2 3 2 3 3" xfId="5126" xr:uid="{00000000-0005-0000-0000-000097110000}"/>
    <cellStyle name="Normal 3 2 3 2 3 3 2" xfId="13576" xr:uid="{6BBE1985-C924-44E3-B45D-E16C589CD3AE}"/>
    <cellStyle name="Normal 3 2 3 2 3 4" xfId="9358" xr:uid="{019BA474-C836-47C8-A06B-CC7531A880BD}"/>
    <cellStyle name="Normal 3 2 3 2 4" xfId="1232" xr:uid="{00000000-0005-0000-0000-000098110000}"/>
    <cellStyle name="Normal 3 2 3 2 4 2" xfId="3462" xr:uid="{00000000-0005-0000-0000-000099110000}"/>
    <cellStyle name="Normal 3 2 3 2 4 2 2" xfId="7684" xr:uid="{00000000-0005-0000-0000-00009A110000}"/>
    <cellStyle name="Normal 3 2 3 2 4 2 2 2" xfId="16134" xr:uid="{4B33D31C-EC4E-49ED-B27D-2C8E10A9B935}"/>
    <cellStyle name="Normal 3 2 3 2 4 2 3" xfId="11916" xr:uid="{877D928C-281A-47E0-AA66-D15FF7A942B3}"/>
    <cellStyle name="Normal 3 2 3 2 4 3" xfId="5539" xr:uid="{00000000-0005-0000-0000-00009B110000}"/>
    <cellStyle name="Normal 3 2 3 2 4 3 2" xfId="13989" xr:uid="{6765C505-4BDB-4CF2-9AB6-4BEC8D8791BC}"/>
    <cellStyle name="Normal 3 2 3 2 4 4" xfId="9771" xr:uid="{A98C6FCD-AB05-4036-8ECC-1BF3B7506CD4}"/>
    <cellStyle name="Normal 3 2 3 2 5" xfId="1645" xr:uid="{00000000-0005-0000-0000-00009C110000}"/>
    <cellStyle name="Normal 3 2 3 2 5 2" xfId="3875" xr:uid="{00000000-0005-0000-0000-00009D110000}"/>
    <cellStyle name="Normal 3 2 3 2 5 2 2" xfId="8097" xr:uid="{00000000-0005-0000-0000-00009E110000}"/>
    <cellStyle name="Normal 3 2 3 2 5 2 2 2" xfId="16547" xr:uid="{7CB51DCE-8418-4391-A9E4-6BAAB7EFC234}"/>
    <cellStyle name="Normal 3 2 3 2 5 2 3" xfId="12329" xr:uid="{FC2332AF-E094-4198-B6DD-2CB8D0D385B8}"/>
    <cellStyle name="Normal 3 2 3 2 5 3" xfId="5952" xr:uid="{00000000-0005-0000-0000-00009F110000}"/>
    <cellStyle name="Normal 3 2 3 2 5 3 2" xfId="14402" xr:uid="{5712D2F0-C2EA-4D42-AB30-D610A83E3BFF}"/>
    <cellStyle name="Normal 3 2 3 2 5 4" xfId="10184" xr:uid="{3E3969D0-F11D-426B-A7AB-F6EBD2D8A4E0}"/>
    <cellStyle name="Normal 3 2 3 2 6" xfId="2059" xr:uid="{00000000-0005-0000-0000-0000A0110000}"/>
    <cellStyle name="Normal 3 2 3 2 6 2" xfId="4288" xr:uid="{00000000-0005-0000-0000-0000A1110000}"/>
    <cellStyle name="Normal 3 2 3 2 6 2 2" xfId="8510" xr:uid="{00000000-0005-0000-0000-0000A2110000}"/>
    <cellStyle name="Normal 3 2 3 2 6 2 2 2" xfId="16960" xr:uid="{DA01C6BC-225E-44DF-92DD-10B54AD4F552}"/>
    <cellStyle name="Normal 3 2 3 2 6 2 3" xfId="12742" xr:uid="{9F45C792-EFAB-4757-ADB2-4E00D80DCCA9}"/>
    <cellStyle name="Normal 3 2 3 2 6 3" xfId="6365" xr:uid="{00000000-0005-0000-0000-0000A3110000}"/>
    <cellStyle name="Normal 3 2 3 2 6 3 2" xfId="14815" xr:uid="{144EFCCA-8CA5-4F97-B157-9113AF235C28}"/>
    <cellStyle name="Normal 3 2 3 2 6 4" xfId="10597" xr:uid="{A46200F2-7CFE-48C7-B495-FB190B4A1568}"/>
    <cellStyle name="Normal 3 2 3 2 7" xfId="2495" xr:uid="{00000000-0005-0000-0000-0000A4110000}"/>
    <cellStyle name="Normal 3 2 3 2 7 2" xfId="6778" xr:uid="{00000000-0005-0000-0000-0000A5110000}"/>
    <cellStyle name="Normal 3 2 3 2 7 2 2" xfId="15228" xr:uid="{87BE4F76-8490-4450-A2C2-C192D71B736C}"/>
    <cellStyle name="Normal 3 2 3 2 7 3" xfId="11010" xr:uid="{7AE88F3B-8CDC-45E2-BC68-F8142EBF2482}"/>
    <cellStyle name="Normal 3 2 3 2 8" xfId="4712" xr:uid="{00000000-0005-0000-0000-0000A6110000}"/>
    <cellStyle name="Normal 3 2 3 2 8 2" xfId="13162" xr:uid="{A3A1466F-5B0F-41AD-ABA1-6E4EF1EBE3BA}"/>
    <cellStyle name="Normal 3 2 3 2 9" xfId="8944" xr:uid="{0D4B2662-87F9-4469-B4B3-B4881B4AC169}"/>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2 2 2" xfId="15723" xr:uid="{24CEC00A-CA7A-43B3-94D0-6D08A0947DC5}"/>
    <cellStyle name="Normal 3 2 3 3 2 2 3" xfId="11505" xr:uid="{231215E5-20F6-49DA-9C33-40711DBAA21B}"/>
    <cellStyle name="Normal 3 2 3 3 2 3" xfId="5128" xr:uid="{00000000-0005-0000-0000-0000AB110000}"/>
    <cellStyle name="Normal 3 2 3 3 2 3 2" xfId="13578" xr:uid="{01C87728-414D-4F40-A7E8-B1F947A6BB91}"/>
    <cellStyle name="Normal 3 2 3 3 2 4" xfId="9360" xr:uid="{49BE8E4A-5E03-4FD5-8A19-98D23D10401B}"/>
    <cellStyle name="Normal 3 2 3 3 3" xfId="1234" xr:uid="{00000000-0005-0000-0000-0000AC110000}"/>
    <cellStyle name="Normal 3 2 3 3 3 2" xfId="3464" xr:uid="{00000000-0005-0000-0000-0000AD110000}"/>
    <cellStyle name="Normal 3 2 3 3 3 2 2" xfId="7686" xr:uid="{00000000-0005-0000-0000-0000AE110000}"/>
    <cellStyle name="Normal 3 2 3 3 3 2 2 2" xfId="16136" xr:uid="{F8E58739-D5F6-48C4-98E7-6C276782997A}"/>
    <cellStyle name="Normal 3 2 3 3 3 2 3" xfId="11918" xr:uid="{A8C172CA-7667-4B79-B4FE-D14D257BC6D8}"/>
    <cellStyle name="Normal 3 2 3 3 3 3" xfId="5541" xr:uid="{00000000-0005-0000-0000-0000AF110000}"/>
    <cellStyle name="Normal 3 2 3 3 3 3 2" xfId="13991" xr:uid="{EE790789-DBA8-4598-946D-94CD4BE653FA}"/>
    <cellStyle name="Normal 3 2 3 3 3 4" xfId="9773" xr:uid="{2F43749C-A3A6-47B1-9A7E-31373C112E2E}"/>
    <cellStyle name="Normal 3 2 3 3 4" xfId="1647" xr:uid="{00000000-0005-0000-0000-0000B0110000}"/>
    <cellStyle name="Normal 3 2 3 3 4 2" xfId="3877" xr:uid="{00000000-0005-0000-0000-0000B1110000}"/>
    <cellStyle name="Normal 3 2 3 3 4 2 2" xfId="8099" xr:uid="{00000000-0005-0000-0000-0000B2110000}"/>
    <cellStyle name="Normal 3 2 3 3 4 2 2 2" xfId="16549" xr:uid="{1B49D8DB-ABD7-48D5-92B1-0CF96E552B33}"/>
    <cellStyle name="Normal 3 2 3 3 4 2 3" xfId="12331" xr:uid="{D5356F87-8792-45BF-812B-B5323E350F88}"/>
    <cellStyle name="Normal 3 2 3 3 4 3" xfId="5954" xr:uid="{00000000-0005-0000-0000-0000B3110000}"/>
    <cellStyle name="Normal 3 2 3 3 4 3 2" xfId="14404" xr:uid="{45E54B25-1F27-4F29-92FA-85A9E92E9B49}"/>
    <cellStyle name="Normal 3 2 3 3 4 4" xfId="10186" xr:uid="{66667921-0DBA-432F-84F6-8A0C977E4DEF}"/>
    <cellStyle name="Normal 3 2 3 3 5" xfId="2061" xr:uid="{00000000-0005-0000-0000-0000B4110000}"/>
    <cellStyle name="Normal 3 2 3 3 5 2" xfId="4290" xr:uid="{00000000-0005-0000-0000-0000B5110000}"/>
    <cellStyle name="Normal 3 2 3 3 5 2 2" xfId="8512" xr:uid="{00000000-0005-0000-0000-0000B6110000}"/>
    <cellStyle name="Normal 3 2 3 3 5 2 2 2" xfId="16962" xr:uid="{17AC18FC-F233-4119-A9F7-06E42B9D0150}"/>
    <cellStyle name="Normal 3 2 3 3 5 2 3" xfId="12744" xr:uid="{C39C7A2D-FB4E-463B-8AB9-7156D8C87F72}"/>
    <cellStyle name="Normal 3 2 3 3 5 3" xfId="6367" xr:uid="{00000000-0005-0000-0000-0000B7110000}"/>
    <cellStyle name="Normal 3 2 3 3 5 3 2" xfId="14817" xr:uid="{84E380E4-ECD9-4867-9C08-E8642F68FFA6}"/>
    <cellStyle name="Normal 3 2 3 3 5 4" xfId="10599" xr:uid="{1DE19D65-26B6-4B1F-841E-A41CE3DAC554}"/>
    <cellStyle name="Normal 3 2 3 3 6" xfId="2497" xr:uid="{00000000-0005-0000-0000-0000B8110000}"/>
    <cellStyle name="Normal 3 2 3 3 6 2" xfId="6780" xr:uid="{00000000-0005-0000-0000-0000B9110000}"/>
    <cellStyle name="Normal 3 2 3 3 6 2 2" xfId="15230" xr:uid="{9A9CA554-D34C-4C15-8A0A-810A4E496BDC}"/>
    <cellStyle name="Normal 3 2 3 3 6 3" xfId="11012" xr:uid="{AA1092F2-BADB-443C-ADA4-DD86B07B3594}"/>
    <cellStyle name="Normal 3 2 3 3 7" xfId="4714" xr:uid="{00000000-0005-0000-0000-0000BA110000}"/>
    <cellStyle name="Normal 3 2 3 3 7 2" xfId="13164" xr:uid="{54263EEA-5BA5-4F83-B484-510686D33B28}"/>
    <cellStyle name="Normal 3 2 3 3 8" xfId="8946" xr:uid="{06A7CE6B-9958-478C-B2A8-1426FCAF96D5}"/>
    <cellStyle name="Normal 3 2 3 4" xfId="811" xr:uid="{00000000-0005-0000-0000-0000BB110000}"/>
    <cellStyle name="Normal 3 2 3 4 2" xfId="3048" xr:uid="{00000000-0005-0000-0000-0000BC110000}"/>
    <cellStyle name="Normal 3 2 3 4 2 2" xfId="7270" xr:uid="{00000000-0005-0000-0000-0000BD110000}"/>
    <cellStyle name="Normal 3 2 3 4 2 2 2" xfId="15720" xr:uid="{D54E96D6-331E-46F0-9AB1-976847B46791}"/>
    <cellStyle name="Normal 3 2 3 4 2 3" xfId="11502" xr:uid="{C7895CC6-ADD9-474E-B0D8-009ADC82F89B}"/>
    <cellStyle name="Normal 3 2 3 4 3" xfId="5125" xr:uid="{00000000-0005-0000-0000-0000BE110000}"/>
    <cellStyle name="Normal 3 2 3 4 3 2" xfId="13575" xr:uid="{76704DA1-25A2-466C-93E1-5F6893035833}"/>
    <cellStyle name="Normal 3 2 3 4 4" xfId="9357" xr:uid="{5EB5FB2D-848B-44C4-ACF5-11FFA362188E}"/>
    <cellStyle name="Normal 3 2 3 5" xfId="1231" xr:uid="{00000000-0005-0000-0000-0000BF110000}"/>
    <cellStyle name="Normal 3 2 3 5 2" xfId="3461" xr:uid="{00000000-0005-0000-0000-0000C0110000}"/>
    <cellStyle name="Normal 3 2 3 5 2 2" xfId="7683" xr:uid="{00000000-0005-0000-0000-0000C1110000}"/>
    <cellStyle name="Normal 3 2 3 5 2 2 2" xfId="16133" xr:uid="{7168DF02-D942-4F78-AB05-768163A143EE}"/>
    <cellStyle name="Normal 3 2 3 5 2 3" xfId="11915" xr:uid="{5E565ECB-1A4D-461C-9619-40602FAC070E}"/>
    <cellStyle name="Normal 3 2 3 5 3" xfId="5538" xr:uid="{00000000-0005-0000-0000-0000C2110000}"/>
    <cellStyle name="Normal 3 2 3 5 3 2" xfId="13988" xr:uid="{F4B799CA-D67C-4747-B385-86B6BCF84A1C}"/>
    <cellStyle name="Normal 3 2 3 5 4" xfId="9770" xr:uid="{23069DD5-FA1C-49AB-A386-F4DE66665A5D}"/>
    <cellStyle name="Normal 3 2 3 6" xfId="1644" xr:uid="{00000000-0005-0000-0000-0000C3110000}"/>
    <cellStyle name="Normal 3 2 3 6 2" xfId="3874" xr:uid="{00000000-0005-0000-0000-0000C4110000}"/>
    <cellStyle name="Normal 3 2 3 6 2 2" xfId="8096" xr:uid="{00000000-0005-0000-0000-0000C5110000}"/>
    <cellStyle name="Normal 3 2 3 6 2 2 2" xfId="16546" xr:uid="{A081BF3E-DBA0-471D-8FB6-34FB0F48049F}"/>
    <cellStyle name="Normal 3 2 3 6 2 3" xfId="12328" xr:uid="{E2AA59E2-2FFD-47FE-91BF-AF5807FF9C89}"/>
    <cellStyle name="Normal 3 2 3 6 3" xfId="5951" xr:uid="{00000000-0005-0000-0000-0000C6110000}"/>
    <cellStyle name="Normal 3 2 3 6 3 2" xfId="14401" xr:uid="{674C19D6-33C5-4686-9EBD-C5F10011E08A}"/>
    <cellStyle name="Normal 3 2 3 6 4" xfId="10183" xr:uid="{7A53365F-B9B0-45D3-9ED3-D758D0B74BED}"/>
    <cellStyle name="Normal 3 2 3 7" xfId="2058" xr:uid="{00000000-0005-0000-0000-0000C7110000}"/>
    <cellStyle name="Normal 3 2 3 7 2" xfId="4287" xr:uid="{00000000-0005-0000-0000-0000C8110000}"/>
    <cellStyle name="Normal 3 2 3 7 2 2" xfId="8509" xr:uid="{00000000-0005-0000-0000-0000C9110000}"/>
    <cellStyle name="Normal 3 2 3 7 2 2 2" xfId="16959" xr:uid="{EB1F7DCD-0908-4CFF-B556-4E4941F62932}"/>
    <cellStyle name="Normal 3 2 3 7 2 3" xfId="12741" xr:uid="{0CD330E5-0DA8-4A50-91B1-05996628888B}"/>
    <cellStyle name="Normal 3 2 3 7 3" xfId="6364" xr:uid="{00000000-0005-0000-0000-0000CA110000}"/>
    <cellStyle name="Normal 3 2 3 7 3 2" xfId="14814" xr:uid="{F62C17CA-8505-4A11-8AEB-D04A68296B86}"/>
    <cellStyle name="Normal 3 2 3 7 4" xfId="10596" xr:uid="{AE9C88B0-C54F-4AF5-8543-037F4B8B6E60}"/>
    <cellStyle name="Normal 3 2 3 8" xfId="2494" xr:uid="{00000000-0005-0000-0000-0000CB110000}"/>
    <cellStyle name="Normal 3 2 3 8 2" xfId="6777" xr:uid="{00000000-0005-0000-0000-0000CC110000}"/>
    <cellStyle name="Normal 3 2 3 8 2 2" xfId="15227" xr:uid="{E6D6C56E-1D0C-4E2D-B266-E53C24ADA527}"/>
    <cellStyle name="Normal 3 2 3 8 3" xfId="11009" xr:uid="{B4CADD4B-C15A-4604-A7D4-0261D2A5D726}"/>
    <cellStyle name="Normal 3 2 3 9" xfId="4711" xr:uid="{00000000-0005-0000-0000-0000CD110000}"/>
    <cellStyle name="Normal 3 2 3 9 2" xfId="13161" xr:uid="{FA01F186-301E-4542-99D8-8F39CD8ED058}"/>
    <cellStyle name="Normal 3 2 4" xfId="809" xr:uid="{00000000-0005-0000-0000-0000CE110000}"/>
    <cellStyle name="Normal 3 2 4 2" xfId="3047" xr:uid="{00000000-0005-0000-0000-0000CF110000}"/>
    <cellStyle name="Normal 3 2 4 2 2" xfId="7269" xr:uid="{00000000-0005-0000-0000-0000D0110000}"/>
    <cellStyle name="Normal 3 2 4 2 2 2" xfId="15719" xr:uid="{815CD5AD-7826-4D28-ABDD-92BDE281C498}"/>
    <cellStyle name="Normal 3 2 4 2 3" xfId="11501" xr:uid="{319E0EE4-E2A6-4CFB-BD13-86CBDB0424C2}"/>
    <cellStyle name="Normal 3 2 4 3" xfId="5124" xr:uid="{00000000-0005-0000-0000-0000D1110000}"/>
    <cellStyle name="Normal 3 2 4 3 2" xfId="13574" xr:uid="{AE4DA306-541E-4ACE-B3F6-E4F398E575D9}"/>
    <cellStyle name="Normal 3 2 4 4" xfId="9356" xr:uid="{BE4580E4-B9B8-4523-905D-B325AD649B33}"/>
    <cellStyle name="Normal 3 2 5" xfId="1230" xr:uid="{00000000-0005-0000-0000-0000D2110000}"/>
    <cellStyle name="Normal 3 2 5 2" xfId="3460" xr:uid="{00000000-0005-0000-0000-0000D3110000}"/>
    <cellStyle name="Normal 3 2 5 2 2" xfId="7682" xr:uid="{00000000-0005-0000-0000-0000D4110000}"/>
    <cellStyle name="Normal 3 2 5 2 2 2" xfId="16132" xr:uid="{6A043F6F-F5DC-44A2-8D1D-3514F1A8E89C}"/>
    <cellStyle name="Normal 3 2 5 2 3" xfId="11914" xr:uid="{89947558-094C-4D6D-A3FB-AA8917B26CAF}"/>
    <cellStyle name="Normal 3 2 5 3" xfId="5537" xr:uid="{00000000-0005-0000-0000-0000D5110000}"/>
    <cellStyle name="Normal 3 2 5 3 2" xfId="13987" xr:uid="{B7F9B097-40F2-43FC-91A0-BF05102D6A8A}"/>
    <cellStyle name="Normal 3 2 5 4" xfId="9769" xr:uid="{B2279289-123D-4ABD-80B4-819E6F9613CF}"/>
    <cellStyle name="Normal 3 2 6" xfId="1643" xr:uid="{00000000-0005-0000-0000-0000D6110000}"/>
    <cellStyle name="Normal 3 2 6 2" xfId="3873" xr:uid="{00000000-0005-0000-0000-0000D7110000}"/>
    <cellStyle name="Normal 3 2 6 2 2" xfId="8095" xr:uid="{00000000-0005-0000-0000-0000D8110000}"/>
    <cellStyle name="Normal 3 2 6 2 2 2" xfId="16545" xr:uid="{B71A3C23-F082-4757-8E1F-D182EA679062}"/>
    <cellStyle name="Normal 3 2 6 2 3" xfId="12327" xr:uid="{06469BA3-912C-4884-8865-4D4BA5753DC7}"/>
    <cellStyle name="Normal 3 2 6 3" xfId="5950" xr:uid="{00000000-0005-0000-0000-0000D9110000}"/>
    <cellStyle name="Normal 3 2 6 3 2" xfId="14400" xr:uid="{03214692-25BB-46C1-BFFA-3D15F419842E}"/>
    <cellStyle name="Normal 3 2 6 4" xfId="10182" xr:uid="{731D309A-C3FC-4A0C-B7C5-02E47139211E}"/>
    <cellStyle name="Normal 3 2 7" xfId="2057" xr:uid="{00000000-0005-0000-0000-0000DA110000}"/>
    <cellStyle name="Normal 3 2 7 2" xfId="4286" xr:uid="{00000000-0005-0000-0000-0000DB110000}"/>
    <cellStyle name="Normal 3 2 7 2 2" xfId="8508" xr:uid="{00000000-0005-0000-0000-0000DC110000}"/>
    <cellStyle name="Normal 3 2 7 2 2 2" xfId="16958" xr:uid="{BB200361-4DFE-4EDA-87B2-B5C613CC70C1}"/>
    <cellStyle name="Normal 3 2 7 2 3" xfId="12740" xr:uid="{591FAD63-90F4-4A58-B6BD-04767F431355}"/>
    <cellStyle name="Normal 3 2 7 3" xfId="6363" xr:uid="{00000000-0005-0000-0000-0000DD110000}"/>
    <cellStyle name="Normal 3 2 7 3 2" xfId="14813" xr:uid="{099F299D-81D3-459F-93D9-92205FE9CB60}"/>
    <cellStyle name="Normal 3 2 7 4" xfId="10595" xr:uid="{C8A37CC3-7CA7-4DA9-9352-5FE23895E823}"/>
    <cellStyle name="Normal 3 2 8" xfId="2493" xr:uid="{00000000-0005-0000-0000-0000DE110000}"/>
    <cellStyle name="Normal 3 2 8 2" xfId="6776" xr:uid="{00000000-0005-0000-0000-0000DF110000}"/>
    <cellStyle name="Normal 3 2 8 2 2" xfId="15226" xr:uid="{FFF5BA45-D37B-41C6-A950-19C8DEF18686}"/>
    <cellStyle name="Normal 3 2 8 3" xfId="11008" xr:uid="{5ECFD045-585C-4788-9EC9-5954C92B87AC}"/>
    <cellStyle name="Normal 3 2 9" xfId="4710" xr:uid="{00000000-0005-0000-0000-0000E0110000}"/>
    <cellStyle name="Normal 3 2 9 2" xfId="13160" xr:uid="{45C0A61D-7F55-41AC-8A97-EDA99D6E172A}"/>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10" xfId="8947" xr:uid="{6D7C7C3E-410F-4A0D-863D-DEFD6432A142}"/>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2 2 2" xfId="16963" xr:uid="{ABBFC613-7C10-48ED-B3C1-2B8BCED7CD35}"/>
    <cellStyle name="Normal 4 2 2 10 2 3" xfId="12745" xr:uid="{35AEC96E-03EB-474A-8A9B-2F591019D4F1}"/>
    <cellStyle name="Normal 4 2 2 10 3" xfId="6368" xr:uid="{00000000-0005-0000-0000-0000ED110000}"/>
    <cellStyle name="Normal 4 2 2 10 3 2" xfId="14818" xr:uid="{DC9ECA71-0067-468D-94AE-9096628ADB87}"/>
    <cellStyle name="Normal 4 2 2 10 4" xfId="10600" xr:uid="{A18EF65A-4D00-49D6-80B8-EE553333F8BD}"/>
    <cellStyle name="Normal 4 2 2 11" xfId="2498" xr:uid="{00000000-0005-0000-0000-0000EE110000}"/>
    <cellStyle name="Normal 4 2 2 11 2" xfId="6781" xr:uid="{00000000-0005-0000-0000-0000EF110000}"/>
    <cellStyle name="Normal 4 2 2 11 2 2" xfId="15231" xr:uid="{AC890315-13DC-4009-8E66-1604098313C8}"/>
    <cellStyle name="Normal 4 2 2 11 3" xfId="11013" xr:uid="{7D3306B7-5DF5-4CFF-B270-EBE4FF8221A8}"/>
    <cellStyle name="Normal 4 2 2 12" xfId="4716" xr:uid="{00000000-0005-0000-0000-0000F0110000}"/>
    <cellStyle name="Normal 4 2 2 12 2" xfId="13166" xr:uid="{0A8C61C9-F12E-4879-93C2-18C526544C81}"/>
    <cellStyle name="Normal 4 2 2 13" xfId="8948" xr:uid="{9931613C-24B7-4268-8760-45830F8E64C5}"/>
    <cellStyle name="Normal 4 2 2 2" xfId="338" xr:uid="{00000000-0005-0000-0000-0000F1110000}"/>
    <cellStyle name="Normal 4 2 2 3" xfId="339" xr:uid="{00000000-0005-0000-0000-0000F2110000}"/>
    <cellStyle name="Normal 4 2 2 3 10" xfId="4717" xr:uid="{00000000-0005-0000-0000-0000F3110000}"/>
    <cellStyle name="Normal 4 2 2 3 10 2" xfId="13167" xr:uid="{11E3E0A6-21A6-46F2-8A1C-5050F76EDAD4}"/>
    <cellStyle name="Normal 4 2 2 3 11" xfId="8949" xr:uid="{972AE6CC-274C-4040-ADFB-54BB8ED1CF52}"/>
    <cellStyle name="Normal 4 2 2 3 2" xfId="340" xr:uid="{00000000-0005-0000-0000-0000F4110000}"/>
    <cellStyle name="Normal 4 2 2 3 2 10" xfId="8950" xr:uid="{80E5C65B-3F16-46A9-ABC2-7275F0C833CB}"/>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2 2 2" xfId="15728" xr:uid="{141803F3-9E87-46A7-9715-853CDB164222}"/>
    <cellStyle name="Normal 4 2 2 3 2 2 2 2 2 3" xfId="11510" xr:uid="{3EA00F0B-3F6A-4D07-AB2F-B4BAAE51B951}"/>
    <cellStyle name="Normal 4 2 2 3 2 2 2 2 3" xfId="5133" xr:uid="{00000000-0005-0000-0000-0000FA110000}"/>
    <cellStyle name="Normal 4 2 2 3 2 2 2 2 3 2" xfId="13583" xr:uid="{B03C7F59-0414-4FFA-9512-650068E40942}"/>
    <cellStyle name="Normal 4 2 2 3 2 2 2 2 4" xfId="9365" xr:uid="{A18B202F-0A40-40CE-9814-0D05FE637379}"/>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2 2 2" xfId="16141" xr:uid="{E17CB008-B730-408F-8F7B-7E106C74D11A}"/>
    <cellStyle name="Normal 4 2 2 3 2 2 2 3 2 3" xfId="11923" xr:uid="{2AFDAAEE-40CE-464B-ADC4-A4A3193251EF}"/>
    <cellStyle name="Normal 4 2 2 3 2 2 2 3 3" xfId="5546" xr:uid="{00000000-0005-0000-0000-0000FE110000}"/>
    <cellStyle name="Normal 4 2 2 3 2 2 2 3 3 2" xfId="13996" xr:uid="{2937212E-5B59-4D4A-9D55-933AB2CFF61D}"/>
    <cellStyle name="Normal 4 2 2 3 2 2 2 3 4" xfId="9778" xr:uid="{85863A01-1394-444F-A0EF-38A94D174913}"/>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2 2 2" xfId="16554" xr:uid="{73217183-C148-4E44-94AE-5321C34B4B6D}"/>
    <cellStyle name="Normal 4 2 2 3 2 2 2 4 2 3" xfId="12336" xr:uid="{E5FEA140-CC47-4E20-B86F-9F383DC32C2D}"/>
    <cellStyle name="Normal 4 2 2 3 2 2 2 4 3" xfId="5959" xr:uid="{00000000-0005-0000-0000-000002120000}"/>
    <cellStyle name="Normal 4 2 2 3 2 2 2 4 3 2" xfId="14409" xr:uid="{E7BCA046-A7BA-4C52-A046-1F04621901B1}"/>
    <cellStyle name="Normal 4 2 2 3 2 2 2 4 4" xfId="10191" xr:uid="{D6AADBDD-5FD3-450C-9B98-88833B55A26A}"/>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2 2 2" xfId="16967" xr:uid="{29C490A3-D01A-4C66-9775-72E9F4E13FB4}"/>
    <cellStyle name="Normal 4 2 2 3 2 2 2 5 2 3" xfId="12749" xr:uid="{6A1C34F8-814F-45A5-89C4-1CEF9A8C5B29}"/>
    <cellStyle name="Normal 4 2 2 3 2 2 2 5 3" xfId="6372" xr:uid="{00000000-0005-0000-0000-000006120000}"/>
    <cellStyle name="Normal 4 2 2 3 2 2 2 5 3 2" xfId="14822" xr:uid="{DC3C285E-9F2D-41EA-BAAB-2181B595773E}"/>
    <cellStyle name="Normal 4 2 2 3 2 2 2 5 4" xfId="10604" xr:uid="{7769FFA3-1541-4966-B054-6DCA93C0762C}"/>
    <cellStyle name="Normal 4 2 2 3 2 2 2 6" xfId="2502" xr:uid="{00000000-0005-0000-0000-000007120000}"/>
    <cellStyle name="Normal 4 2 2 3 2 2 2 6 2" xfId="6785" xr:uid="{00000000-0005-0000-0000-000008120000}"/>
    <cellStyle name="Normal 4 2 2 3 2 2 2 6 2 2" xfId="15235" xr:uid="{E40B8246-7E45-4EE2-8756-03096F0C3751}"/>
    <cellStyle name="Normal 4 2 2 3 2 2 2 6 3" xfId="11017" xr:uid="{29EEA903-832E-4211-916E-B8B12B9A7EC1}"/>
    <cellStyle name="Normal 4 2 2 3 2 2 2 7" xfId="4720" xr:uid="{00000000-0005-0000-0000-000009120000}"/>
    <cellStyle name="Normal 4 2 2 3 2 2 2 7 2" xfId="13170" xr:uid="{BB9C10AC-C719-4BC0-9C68-5C93AB5F41E4}"/>
    <cellStyle name="Normal 4 2 2 3 2 2 2 8" xfId="8952" xr:uid="{2AD41589-38C8-4421-BDD2-34207386F4D4}"/>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2 2 2" xfId="15727" xr:uid="{6913E1D3-90D0-4405-883F-7FB4079C156A}"/>
    <cellStyle name="Normal 4 2 2 3 2 2 3 2 3" xfId="11509" xr:uid="{1BE1332B-3DE3-47A8-AD05-02B821CF2582}"/>
    <cellStyle name="Normal 4 2 2 3 2 2 3 3" xfId="5132" xr:uid="{00000000-0005-0000-0000-00000D120000}"/>
    <cellStyle name="Normal 4 2 2 3 2 2 3 3 2" xfId="13582" xr:uid="{101160F3-6878-4E4A-8F94-E925AA7CA744}"/>
    <cellStyle name="Normal 4 2 2 3 2 2 3 4" xfId="9364" xr:uid="{E1F44833-BA0D-4A90-B601-B6BCA9876976}"/>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2 2 2" xfId="16140" xr:uid="{01C2BD41-75A2-4827-9E5F-2859329A689C}"/>
    <cellStyle name="Normal 4 2 2 3 2 2 4 2 3" xfId="11922" xr:uid="{DB59D30E-BB99-4C4E-9C0A-A1E637E7CAD7}"/>
    <cellStyle name="Normal 4 2 2 3 2 2 4 3" xfId="5545" xr:uid="{00000000-0005-0000-0000-000011120000}"/>
    <cellStyle name="Normal 4 2 2 3 2 2 4 3 2" xfId="13995" xr:uid="{7BD9CDC2-D230-4DC5-9D72-90999E07AB6A}"/>
    <cellStyle name="Normal 4 2 2 3 2 2 4 4" xfId="9777" xr:uid="{1D35B54C-353B-4B86-8382-46027E838EBC}"/>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2 2 2" xfId="16553" xr:uid="{B28C2079-2690-4E55-830A-E9297E7D8165}"/>
    <cellStyle name="Normal 4 2 2 3 2 2 5 2 3" xfId="12335" xr:uid="{91D2E44D-5EE9-454E-AA21-368D967F4450}"/>
    <cellStyle name="Normal 4 2 2 3 2 2 5 3" xfId="5958" xr:uid="{00000000-0005-0000-0000-000015120000}"/>
    <cellStyle name="Normal 4 2 2 3 2 2 5 3 2" xfId="14408" xr:uid="{11FBD6A3-7BE1-4BB3-BEFD-E084067FD3C1}"/>
    <cellStyle name="Normal 4 2 2 3 2 2 5 4" xfId="10190" xr:uid="{6A287764-34F3-4C7C-9BBB-9541D4B0AD4D}"/>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2 2 2" xfId="16966" xr:uid="{5CA974FE-A92A-41BB-9538-687AD8008511}"/>
    <cellStyle name="Normal 4 2 2 3 2 2 6 2 3" xfId="12748" xr:uid="{24DEF974-4C30-4B00-AB63-1CA095238A90}"/>
    <cellStyle name="Normal 4 2 2 3 2 2 6 3" xfId="6371" xr:uid="{00000000-0005-0000-0000-000019120000}"/>
    <cellStyle name="Normal 4 2 2 3 2 2 6 3 2" xfId="14821" xr:uid="{FD88DD86-E56F-4A6A-AB67-D52A9506D241}"/>
    <cellStyle name="Normal 4 2 2 3 2 2 6 4" xfId="10603" xr:uid="{C86DF9D5-04ED-443F-BD03-DA2455BE6641}"/>
    <cellStyle name="Normal 4 2 2 3 2 2 7" xfId="2501" xr:uid="{00000000-0005-0000-0000-00001A120000}"/>
    <cellStyle name="Normal 4 2 2 3 2 2 7 2" xfId="6784" xr:uid="{00000000-0005-0000-0000-00001B120000}"/>
    <cellStyle name="Normal 4 2 2 3 2 2 7 2 2" xfId="15234" xr:uid="{FFAFE17E-DAB2-47E4-99F2-B68B663D60DD}"/>
    <cellStyle name="Normal 4 2 2 3 2 2 7 3" xfId="11016" xr:uid="{EE91ABF0-78B8-4297-B75E-9F9B2496491A}"/>
    <cellStyle name="Normal 4 2 2 3 2 2 8" xfId="4719" xr:uid="{00000000-0005-0000-0000-00001C120000}"/>
    <cellStyle name="Normal 4 2 2 3 2 2 8 2" xfId="13169" xr:uid="{4D332FBB-5C7F-4788-9383-D81029E1A77A}"/>
    <cellStyle name="Normal 4 2 2 3 2 2 9" xfId="8951" xr:uid="{6C103FBF-3990-4D3A-9EC2-DF9A242B2A94}"/>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2 2 2" xfId="15729" xr:uid="{28BDB247-D62A-44E7-88EF-EADC216C9B9F}"/>
    <cellStyle name="Normal 4 2 2 3 2 3 2 2 3" xfId="11511" xr:uid="{C7B021B5-4C8A-4B5B-ABC2-EB93F9B2FF45}"/>
    <cellStyle name="Normal 4 2 2 3 2 3 2 3" xfId="5134" xr:uid="{00000000-0005-0000-0000-000021120000}"/>
    <cellStyle name="Normal 4 2 2 3 2 3 2 3 2" xfId="13584" xr:uid="{FDC2DA49-48AF-495C-80B6-D83D46B7F1BB}"/>
    <cellStyle name="Normal 4 2 2 3 2 3 2 4" xfId="9366" xr:uid="{AD3FA055-D5D9-4CD8-B7E7-120FB3266C14}"/>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2 2 2" xfId="16142" xr:uid="{0F63ED06-6728-4BC2-AA55-18BCE807CAC0}"/>
    <cellStyle name="Normal 4 2 2 3 2 3 3 2 3" xfId="11924" xr:uid="{EFCBB611-3AC3-476E-B544-34A4858581B0}"/>
    <cellStyle name="Normal 4 2 2 3 2 3 3 3" xfId="5547" xr:uid="{00000000-0005-0000-0000-000025120000}"/>
    <cellStyle name="Normal 4 2 2 3 2 3 3 3 2" xfId="13997" xr:uid="{7BE733EE-7BBE-4FD0-ADB7-5F397E6EA67F}"/>
    <cellStyle name="Normal 4 2 2 3 2 3 3 4" xfId="9779" xr:uid="{1306B6E6-B556-46B2-8BEF-09EE30AA2111}"/>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2 2 2" xfId="16555" xr:uid="{70D1595E-5449-4A23-B09C-61D185A92AB7}"/>
    <cellStyle name="Normal 4 2 2 3 2 3 4 2 3" xfId="12337" xr:uid="{C88CEBF7-288D-43B4-9CFF-B431EF06FE9A}"/>
    <cellStyle name="Normal 4 2 2 3 2 3 4 3" xfId="5960" xr:uid="{00000000-0005-0000-0000-000029120000}"/>
    <cellStyle name="Normal 4 2 2 3 2 3 4 3 2" xfId="14410" xr:uid="{F8CF0AE0-8CA5-482E-B1C6-6A051F9E3327}"/>
    <cellStyle name="Normal 4 2 2 3 2 3 4 4" xfId="10192" xr:uid="{80681662-7D0D-43E4-8A74-7D8E6DD00A0B}"/>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2 2 2" xfId="16968" xr:uid="{47B53741-9B1C-4142-BA64-D40030B4EED0}"/>
    <cellStyle name="Normal 4 2 2 3 2 3 5 2 3" xfId="12750" xr:uid="{1A28445A-2118-4600-836E-AF0655701319}"/>
    <cellStyle name="Normal 4 2 2 3 2 3 5 3" xfId="6373" xr:uid="{00000000-0005-0000-0000-00002D120000}"/>
    <cellStyle name="Normal 4 2 2 3 2 3 5 3 2" xfId="14823" xr:uid="{AB2E4B4E-D036-4FA7-A8F9-83DA20C3AB38}"/>
    <cellStyle name="Normal 4 2 2 3 2 3 5 4" xfId="10605" xr:uid="{2A7B3360-BCF9-438E-9610-E4086887E918}"/>
    <cellStyle name="Normal 4 2 2 3 2 3 6" xfId="2503" xr:uid="{00000000-0005-0000-0000-00002E120000}"/>
    <cellStyle name="Normal 4 2 2 3 2 3 6 2" xfId="6786" xr:uid="{00000000-0005-0000-0000-00002F120000}"/>
    <cellStyle name="Normal 4 2 2 3 2 3 6 2 2" xfId="15236" xr:uid="{D6B3680E-8D37-4CC3-B01C-6F0E6F54F186}"/>
    <cellStyle name="Normal 4 2 2 3 2 3 6 3" xfId="11018" xr:uid="{336C7B6A-5221-4FB4-BA92-ADBEDB02AB69}"/>
    <cellStyle name="Normal 4 2 2 3 2 3 7" xfId="4721" xr:uid="{00000000-0005-0000-0000-000030120000}"/>
    <cellStyle name="Normal 4 2 2 3 2 3 7 2" xfId="13171" xr:uid="{B84E426B-3A0B-473C-AFD6-44C12199ECE7}"/>
    <cellStyle name="Normal 4 2 2 3 2 3 8" xfId="8953" xr:uid="{85262ED2-6FC2-4CA4-AD5C-7B2FDEB56E24}"/>
    <cellStyle name="Normal 4 2 2 3 2 4" xfId="817" xr:uid="{00000000-0005-0000-0000-000031120000}"/>
    <cellStyle name="Normal 4 2 2 3 2 4 2" xfId="3054" xr:uid="{00000000-0005-0000-0000-000032120000}"/>
    <cellStyle name="Normal 4 2 2 3 2 4 2 2" xfId="7276" xr:uid="{00000000-0005-0000-0000-000033120000}"/>
    <cellStyle name="Normal 4 2 2 3 2 4 2 2 2" xfId="15726" xr:uid="{23C548D1-A438-454F-B588-A740E595CFA5}"/>
    <cellStyle name="Normal 4 2 2 3 2 4 2 3" xfId="11508" xr:uid="{BA43C633-BE36-40C4-A561-61475D0A0311}"/>
    <cellStyle name="Normal 4 2 2 3 2 4 3" xfId="5131" xr:uid="{00000000-0005-0000-0000-000034120000}"/>
    <cellStyle name="Normal 4 2 2 3 2 4 3 2" xfId="13581" xr:uid="{551303F0-DA00-4F17-952B-98BA86D87FAF}"/>
    <cellStyle name="Normal 4 2 2 3 2 4 4" xfId="9363" xr:uid="{B5533A62-A476-4141-BF46-C5B524E727B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2 2 2" xfId="16139" xr:uid="{663B8336-7301-422D-9795-30B498598A79}"/>
    <cellStyle name="Normal 4 2 2 3 2 5 2 3" xfId="11921" xr:uid="{68F0985F-ECA9-4349-9A95-FF11BC71799A}"/>
    <cellStyle name="Normal 4 2 2 3 2 5 3" xfId="5544" xr:uid="{00000000-0005-0000-0000-000038120000}"/>
    <cellStyle name="Normal 4 2 2 3 2 5 3 2" xfId="13994" xr:uid="{6E1C6035-8BEF-48B0-A592-3B3EA130EE2E}"/>
    <cellStyle name="Normal 4 2 2 3 2 5 4" xfId="9776" xr:uid="{491C03FE-C034-40E8-97E9-BD3F5DE78CC6}"/>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2 2 2" xfId="16552" xr:uid="{C679B26E-8183-4B39-9054-9839346FB444}"/>
    <cellStyle name="Normal 4 2 2 3 2 6 2 3" xfId="12334" xr:uid="{795440AA-3079-40EF-B14D-9F2A51850350}"/>
    <cellStyle name="Normal 4 2 2 3 2 6 3" xfId="5957" xr:uid="{00000000-0005-0000-0000-00003C120000}"/>
    <cellStyle name="Normal 4 2 2 3 2 6 3 2" xfId="14407" xr:uid="{08A1CE15-2844-4707-B124-7041565CE583}"/>
    <cellStyle name="Normal 4 2 2 3 2 6 4" xfId="10189" xr:uid="{B7C0C52F-F6BC-4FE6-BB5C-80C7F96BB96C}"/>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2 2 2" xfId="16965" xr:uid="{888837F3-138D-4378-8F10-0337833AE669}"/>
    <cellStyle name="Normal 4 2 2 3 2 7 2 3" xfId="12747" xr:uid="{CFE8B785-5367-428D-919D-F39DF663FDEF}"/>
    <cellStyle name="Normal 4 2 2 3 2 7 3" xfId="6370" xr:uid="{00000000-0005-0000-0000-000040120000}"/>
    <cellStyle name="Normal 4 2 2 3 2 7 3 2" xfId="14820" xr:uid="{33DAB752-05E6-4E13-A22D-EDB4CAE23F75}"/>
    <cellStyle name="Normal 4 2 2 3 2 7 4" xfId="10602" xr:uid="{81FCE8B0-2EF4-401F-A26D-8B915F3BA1F2}"/>
    <cellStyle name="Normal 4 2 2 3 2 8" xfId="2500" xr:uid="{00000000-0005-0000-0000-000041120000}"/>
    <cellStyle name="Normal 4 2 2 3 2 8 2" xfId="6783" xr:uid="{00000000-0005-0000-0000-000042120000}"/>
    <cellStyle name="Normal 4 2 2 3 2 8 2 2" xfId="15233" xr:uid="{3C9ED1AF-A1B8-448A-9A13-D88319944412}"/>
    <cellStyle name="Normal 4 2 2 3 2 8 3" xfId="11015" xr:uid="{45FFD39D-50FB-460F-87B5-B81BA813DB3C}"/>
    <cellStyle name="Normal 4 2 2 3 2 9" xfId="4718" xr:uid="{00000000-0005-0000-0000-000043120000}"/>
    <cellStyle name="Normal 4 2 2 3 2 9 2" xfId="13168" xr:uid="{C4E8CEBB-08E5-4EF8-B334-789A6D419A96}"/>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2 2 2" xfId="15731" xr:uid="{4D854461-5467-4E84-8077-C18DA8A3C046}"/>
    <cellStyle name="Normal 4 2 2 3 3 2 2 2 3" xfId="11513" xr:uid="{06638ADE-1DA9-4CE1-BF9E-AC5613D589C5}"/>
    <cellStyle name="Normal 4 2 2 3 3 2 2 3" xfId="5136" xr:uid="{00000000-0005-0000-0000-000049120000}"/>
    <cellStyle name="Normal 4 2 2 3 3 2 2 3 2" xfId="13586" xr:uid="{B81A3346-7A07-49F8-ADEA-191560CF2A87}"/>
    <cellStyle name="Normal 4 2 2 3 3 2 2 4" xfId="9368" xr:uid="{C53DB52D-855C-493C-9324-3B5F31A356B9}"/>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2 2 2" xfId="16144" xr:uid="{1E2F073A-3895-4ED4-A452-421319A37B4B}"/>
    <cellStyle name="Normal 4 2 2 3 3 2 3 2 3" xfId="11926" xr:uid="{9AF2CC5E-94C9-4508-8E90-36E929471976}"/>
    <cellStyle name="Normal 4 2 2 3 3 2 3 3" xfId="5549" xr:uid="{00000000-0005-0000-0000-00004D120000}"/>
    <cellStyle name="Normal 4 2 2 3 3 2 3 3 2" xfId="13999" xr:uid="{D19E397F-145A-40AE-88B5-8B1469E01DB0}"/>
    <cellStyle name="Normal 4 2 2 3 3 2 3 4" xfId="9781" xr:uid="{EDD66651-1E21-4294-BA1E-63FC32566C0A}"/>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2 2 2" xfId="16557" xr:uid="{C7F8BC15-C7D7-4034-A1CB-1E1BD9CD4B0B}"/>
    <cellStyle name="Normal 4 2 2 3 3 2 4 2 3" xfId="12339" xr:uid="{DDA035F4-5918-4337-8E0E-15EFC51887FF}"/>
    <cellStyle name="Normal 4 2 2 3 3 2 4 3" xfId="5962" xr:uid="{00000000-0005-0000-0000-000051120000}"/>
    <cellStyle name="Normal 4 2 2 3 3 2 4 3 2" xfId="14412" xr:uid="{CFCBA140-A28B-4CBB-A895-B8856EE4E8CB}"/>
    <cellStyle name="Normal 4 2 2 3 3 2 4 4" xfId="10194" xr:uid="{89B005AD-B638-41C8-BC78-CAC43E46601B}"/>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2 2 2" xfId="16970" xr:uid="{90D908EC-E612-4367-AA2A-8BE873417660}"/>
    <cellStyle name="Normal 4 2 2 3 3 2 5 2 3" xfId="12752" xr:uid="{54F823D1-6900-4630-94C2-E85A1658CD85}"/>
    <cellStyle name="Normal 4 2 2 3 3 2 5 3" xfId="6375" xr:uid="{00000000-0005-0000-0000-000055120000}"/>
    <cellStyle name="Normal 4 2 2 3 3 2 5 3 2" xfId="14825" xr:uid="{C3528059-E70E-44EC-B2BC-1BD56530AFA2}"/>
    <cellStyle name="Normal 4 2 2 3 3 2 5 4" xfId="10607" xr:uid="{DED99A6F-E188-4E0F-BF01-EE69EF9E8184}"/>
    <cellStyle name="Normal 4 2 2 3 3 2 6" xfId="2505" xr:uid="{00000000-0005-0000-0000-000056120000}"/>
    <cellStyle name="Normal 4 2 2 3 3 2 6 2" xfId="6788" xr:uid="{00000000-0005-0000-0000-000057120000}"/>
    <cellStyle name="Normal 4 2 2 3 3 2 6 2 2" xfId="15238" xr:uid="{ED81C7F5-7D25-4880-9F88-F317BE04A64A}"/>
    <cellStyle name="Normal 4 2 2 3 3 2 6 3" xfId="11020" xr:uid="{F6703ABA-B0F3-4139-89DA-3A510E144635}"/>
    <cellStyle name="Normal 4 2 2 3 3 2 7" xfId="4723" xr:uid="{00000000-0005-0000-0000-000058120000}"/>
    <cellStyle name="Normal 4 2 2 3 3 2 7 2" xfId="13173" xr:uid="{A0A5D26E-4B71-450E-8F0E-E74FA3F3145F}"/>
    <cellStyle name="Normal 4 2 2 3 3 2 8" xfId="8955" xr:uid="{6618799A-9FA1-4EF7-AFB2-A2F9B106444C}"/>
    <cellStyle name="Normal 4 2 2 3 3 3" xfId="821" xr:uid="{00000000-0005-0000-0000-000059120000}"/>
    <cellStyle name="Normal 4 2 2 3 3 3 2" xfId="3058" xr:uid="{00000000-0005-0000-0000-00005A120000}"/>
    <cellStyle name="Normal 4 2 2 3 3 3 2 2" xfId="7280" xr:uid="{00000000-0005-0000-0000-00005B120000}"/>
    <cellStyle name="Normal 4 2 2 3 3 3 2 2 2" xfId="15730" xr:uid="{758AB84A-3E46-4ED3-ACF4-584F093DB971}"/>
    <cellStyle name="Normal 4 2 2 3 3 3 2 3" xfId="11512" xr:uid="{34AAD9B8-4B33-458B-9DB6-155FE753D690}"/>
    <cellStyle name="Normal 4 2 2 3 3 3 3" xfId="5135" xr:uid="{00000000-0005-0000-0000-00005C120000}"/>
    <cellStyle name="Normal 4 2 2 3 3 3 3 2" xfId="13585" xr:uid="{D9837318-28AB-478F-89F4-A1A486C1C48F}"/>
    <cellStyle name="Normal 4 2 2 3 3 3 4" xfId="9367" xr:uid="{6C21B086-8C6F-40CC-B264-ACF5B0EB3E2B}"/>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2 2 2" xfId="16143" xr:uid="{82A206C7-2705-40BB-9E04-8D8B321A9B09}"/>
    <cellStyle name="Normal 4 2 2 3 3 4 2 3" xfId="11925" xr:uid="{9A893D91-EBE6-47DE-815E-B6C872C4AFB7}"/>
    <cellStyle name="Normal 4 2 2 3 3 4 3" xfId="5548" xr:uid="{00000000-0005-0000-0000-000060120000}"/>
    <cellStyle name="Normal 4 2 2 3 3 4 3 2" xfId="13998" xr:uid="{38C3989F-0AB1-461F-B029-19ED3D18386D}"/>
    <cellStyle name="Normal 4 2 2 3 3 4 4" xfId="9780" xr:uid="{21B229B9-7BE8-4374-8849-38F98B8B39F3}"/>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2 2 2" xfId="16556" xr:uid="{FE752841-B199-45B7-80BC-B25907789D07}"/>
    <cellStyle name="Normal 4 2 2 3 3 5 2 3" xfId="12338" xr:uid="{66690FA5-7C4A-4C72-920A-D3399A288A6C}"/>
    <cellStyle name="Normal 4 2 2 3 3 5 3" xfId="5961" xr:uid="{00000000-0005-0000-0000-000064120000}"/>
    <cellStyle name="Normal 4 2 2 3 3 5 3 2" xfId="14411" xr:uid="{9F4A467A-6C60-4A36-9824-6CE39A280C44}"/>
    <cellStyle name="Normal 4 2 2 3 3 5 4" xfId="10193" xr:uid="{92817DE4-7852-4084-AB98-452AA2DD8BC9}"/>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2 2 2" xfId="16969" xr:uid="{98B694BE-A074-49AF-8FDB-C516ED59957C}"/>
    <cellStyle name="Normal 4 2 2 3 3 6 2 3" xfId="12751" xr:uid="{D398592F-7FC6-4101-8A90-F2512F025F36}"/>
    <cellStyle name="Normal 4 2 2 3 3 6 3" xfId="6374" xr:uid="{00000000-0005-0000-0000-000068120000}"/>
    <cellStyle name="Normal 4 2 2 3 3 6 3 2" xfId="14824" xr:uid="{C8FB27EA-3CB9-4FED-9C52-A0C3E774E618}"/>
    <cellStyle name="Normal 4 2 2 3 3 6 4" xfId="10606" xr:uid="{318D01CF-EA8F-40E4-8537-7412E50E69A0}"/>
    <cellStyle name="Normal 4 2 2 3 3 7" xfId="2504" xr:uid="{00000000-0005-0000-0000-000069120000}"/>
    <cellStyle name="Normal 4 2 2 3 3 7 2" xfId="6787" xr:uid="{00000000-0005-0000-0000-00006A120000}"/>
    <cellStyle name="Normal 4 2 2 3 3 7 2 2" xfId="15237" xr:uid="{C5954075-3034-4F50-B834-77C225CDBB73}"/>
    <cellStyle name="Normal 4 2 2 3 3 7 3" xfId="11019" xr:uid="{A8123D62-CB12-4E5B-915A-277F94DCE0BE}"/>
    <cellStyle name="Normal 4 2 2 3 3 8" xfId="4722" xr:uid="{00000000-0005-0000-0000-00006B120000}"/>
    <cellStyle name="Normal 4 2 2 3 3 8 2" xfId="13172" xr:uid="{48159A48-9ECA-4602-AACD-C1D0E2E6D584}"/>
    <cellStyle name="Normal 4 2 2 3 3 9" xfId="8954" xr:uid="{4CB56B52-3AF2-44F6-8D93-800CD70075BC}"/>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2 2 2" xfId="15732" xr:uid="{92F84163-E470-475E-9A3E-D3D63042ED2A}"/>
    <cellStyle name="Normal 4 2 2 3 4 2 2 3" xfId="11514" xr:uid="{19E5C69F-C0D6-43CE-A565-3703977DA118}"/>
    <cellStyle name="Normal 4 2 2 3 4 2 3" xfId="5137" xr:uid="{00000000-0005-0000-0000-000070120000}"/>
    <cellStyle name="Normal 4 2 2 3 4 2 3 2" xfId="13587" xr:uid="{400121E7-E674-4B7E-8A51-AD775D6CB01A}"/>
    <cellStyle name="Normal 4 2 2 3 4 2 4" xfId="9369" xr:uid="{3F2C01B2-E665-44FC-9BA0-88A1C7537AD9}"/>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2 2 2" xfId="16145" xr:uid="{58BEC796-3762-4DBA-AECB-4B77CF7D8DE5}"/>
    <cellStyle name="Normal 4 2 2 3 4 3 2 3" xfId="11927" xr:uid="{FF7A0E03-DFA4-488D-B2DB-6FE9E0CE7C2F}"/>
    <cellStyle name="Normal 4 2 2 3 4 3 3" xfId="5550" xr:uid="{00000000-0005-0000-0000-000074120000}"/>
    <cellStyle name="Normal 4 2 2 3 4 3 3 2" xfId="14000" xr:uid="{08890253-DD5E-4202-B391-37755F1B3271}"/>
    <cellStyle name="Normal 4 2 2 3 4 3 4" xfId="9782" xr:uid="{B8F6E7A4-E9AA-4EFD-B469-E5C61A5288F6}"/>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2 2 2" xfId="16558" xr:uid="{6CE834AD-9B0D-420B-8BF7-C536E2205C91}"/>
    <cellStyle name="Normal 4 2 2 3 4 4 2 3" xfId="12340" xr:uid="{46991048-9121-4770-A7B2-145F25C7CEF9}"/>
    <cellStyle name="Normal 4 2 2 3 4 4 3" xfId="5963" xr:uid="{00000000-0005-0000-0000-000078120000}"/>
    <cellStyle name="Normal 4 2 2 3 4 4 3 2" xfId="14413" xr:uid="{A76C33FC-5537-488F-9C02-ECC1EEF437D9}"/>
    <cellStyle name="Normal 4 2 2 3 4 4 4" xfId="10195" xr:uid="{28CE1AB6-5FF6-4069-A965-5F6F31FA9C4C}"/>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2 2 2" xfId="16971" xr:uid="{F03E0299-9FC2-49F2-891C-825EF001CF61}"/>
    <cellStyle name="Normal 4 2 2 3 4 5 2 3" xfId="12753" xr:uid="{4367A6D9-9CDD-40EC-954F-E9000FBEE5F5}"/>
    <cellStyle name="Normal 4 2 2 3 4 5 3" xfId="6376" xr:uid="{00000000-0005-0000-0000-00007C120000}"/>
    <cellStyle name="Normal 4 2 2 3 4 5 3 2" xfId="14826" xr:uid="{B86DFEF6-539B-423F-BFB2-FB0DF661F492}"/>
    <cellStyle name="Normal 4 2 2 3 4 5 4" xfId="10608" xr:uid="{A20764E2-DF9C-4891-BB27-4332D4A73862}"/>
    <cellStyle name="Normal 4 2 2 3 4 6" xfId="2506" xr:uid="{00000000-0005-0000-0000-00007D120000}"/>
    <cellStyle name="Normal 4 2 2 3 4 6 2" xfId="6789" xr:uid="{00000000-0005-0000-0000-00007E120000}"/>
    <cellStyle name="Normal 4 2 2 3 4 6 2 2" xfId="15239" xr:uid="{47B73E28-A58F-4CA4-9BDC-D9E85343B3DB}"/>
    <cellStyle name="Normal 4 2 2 3 4 6 3" xfId="11021" xr:uid="{F33AF57F-C49F-47F2-86EA-BAE7D3BB8A4A}"/>
    <cellStyle name="Normal 4 2 2 3 4 7" xfId="4724" xr:uid="{00000000-0005-0000-0000-00007F120000}"/>
    <cellStyle name="Normal 4 2 2 3 4 7 2" xfId="13174" xr:uid="{EF52F82C-C96A-4A8D-9BFD-3B43C389D3B0}"/>
    <cellStyle name="Normal 4 2 2 3 4 8" xfId="8956" xr:uid="{F5399692-C2F2-44C8-AAB6-23B882D832C8}"/>
    <cellStyle name="Normal 4 2 2 3 5" xfId="816" xr:uid="{00000000-0005-0000-0000-000080120000}"/>
    <cellStyle name="Normal 4 2 2 3 5 2" xfId="3053" xr:uid="{00000000-0005-0000-0000-000081120000}"/>
    <cellStyle name="Normal 4 2 2 3 5 2 2" xfId="7275" xr:uid="{00000000-0005-0000-0000-000082120000}"/>
    <cellStyle name="Normal 4 2 2 3 5 2 2 2" xfId="15725" xr:uid="{5F0FCDB0-2A40-429E-B451-921B4F4BE7BA}"/>
    <cellStyle name="Normal 4 2 2 3 5 2 3" xfId="11507" xr:uid="{EB7CD085-4AE1-4504-AD7F-195EABCC4A54}"/>
    <cellStyle name="Normal 4 2 2 3 5 3" xfId="5130" xr:uid="{00000000-0005-0000-0000-000083120000}"/>
    <cellStyle name="Normal 4 2 2 3 5 3 2" xfId="13580" xr:uid="{63D23874-5EFB-478A-95BF-E5FD356FECA6}"/>
    <cellStyle name="Normal 4 2 2 3 5 4" xfId="9362" xr:uid="{C5165780-8065-4F96-BE02-D6A20E33903F}"/>
    <cellStyle name="Normal 4 2 2 3 6" xfId="1236" xr:uid="{00000000-0005-0000-0000-000084120000}"/>
    <cellStyle name="Normal 4 2 2 3 6 2" xfId="3466" xr:uid="{00000000-0005-0000-0000-000085120000}"/>
    <cellStyle name="Normal 4 2 2 3 6 2 2" xfId="7688" xr:uid="{00000000-0005-0000-0000-000086120000}"/>
    <cellStyle name="Normal 4 2 2 3 6 2 2 2" xfId="16138" xr:uid="{CF962058-F81E-4335-AFCA-4596F1E5849D}"/>
    <cellStyle name="Normal 4 2 2 3 6 2 3" xfId="11920" xr:uid="{A69446F8-0B55-4D50-91FD-4E04D442E5B2}"/>
    <cellStyle name="Normal 4 2 2 3 6 3" xfId="5543" xr:uid="{00000000-0005-0000-0000-000087120000}"/>
    <cellStyle name="Normal 4 2 2 3 6 3 2" xfId="13993" xr:uid="{138732AF-C71D-4E2F-8C21-32EFC41B0CD1}"/>
    <cellStyle name="Normal 4 2 2 3 6 4" xfId="9775" xr:uid="{D5A9BD31-F629-48ED-8E2E-7215C638AD6C}"/>
    <cellStyle name="Normal 4 2 2 3 7" xfId="1649" xr:uid="{00000000-0005-0000-0000-000088120000}"/>
    <cellStyle name="Normal 4 2 2 3 7 2" xfId="3879" xr:uid="{00000000-0005-0000-0000-000089120000}"/>
    <cellStyle name="Normal 4 2 2 3 7 2 2" xfId="8101" xr:uid="{00000000-0005-0000-0000-00008A120000}"/>
    <cellStyle name="Normal 4 2 2 3 7 2 2 2" xfId="16551" xr:uid="{43282134-B9F2-4F07-B8D3-E6A8F3DDE11F}"/>
    <cellStyle name="Normal 4 2 2 3 7 2 3" xfId="12333" xr:uid="{C33F0F57-EB4E-4AAF-9132-CD9F7A40BC6C}"/>
    <cellStyle name="Normal 4 2 2 3 7 3" xfId="5956" xr:uid="{00000000-0005-0000-0000-00008B120000}"/>
    <cellStyle name="Normal 4 2 2 3 7 3 2" xfId="14406" xr:uid="{449BE880-96EB-42F1-A23E-D7DECCEE3B8B}"/>
    <cellStyle name="Normal 4 2 2 3 7 4" xfId="10188" xr:uid="{B7D3A092-8CDD-4D9C-99C8-B4ED0A4B6567}"/>
    <cellStyle name="Normal 4 2 2 3 8" xfId="2063" xr:uid="{00000000-0005-0000-0000-00008C120000}"/>
    <cellStyle name="Normal 4 2 2 3 8 2" xfId="4292" xr:uid="{00000000-0005-0000-0000-00008D120000}"/>
    <cellStyle name="Normal 4 2 2 3 8 2 2" xfId="8514" xr:uid="{00000000-0005-0000-0000-00008E120000}"/>
    <cellStyle name="Normal 4 2 2 3 8 2 2 2" xfId="16964" xr:uid="{FD3E9819-AC54-4D50-8B22-0F3D01BE3E80}"/>
    <cellStyle name="Normal 4 2 2 3 8 2 3" xfId="12746" xr:uid="{5F61E4EF-FE65-4284-A013-124D43150C69}"/>
    <cellStyle name="Normal 4 2 2 3 8 3" xfId="6369" xr:uid="{00000000-0005-0000-0000-00008F120000}"/>
    <cellStyle name="Normal 4 2 2 3 8 3 2" xfId="14819" xr:uid="{4DCFC328-5549-4B93-A676-0481304ED7BE}"/>
    <cellStyle name="Normal 4 2 2 3 8 4" xfId="10601" xr:uid="{E6712454-0B49-4D6E-AEB5-B0232834E254}"/>
    <cellStyle name="Normal 4 2 2 3 9" xfId="2499" xr:uid="{00000000-0005-0000-0000-000090120000}"/>
    <cellStyle name="Normal 4 2 2 3 9 2" xfId="6782" xr:uid="{00000000-0005-0000-0000-000091120000}"/>
    <cellStyle name="Normal 4 2 2 3 9 2 2" xfId="15232" xr:uid="{AC45CDEB-C9EB-45DF-A0E2-0C7E7CC6EBD9}"/>
    <cellStyle name="Normal 4 2 2 3 9 3" xfId="11014" xr:uid="{AB12333C-63CC-4BD5-9EC0-A527B67ABE41}"/>
    <cellStyle name="Normal 4 2 2 4" xfId="347" xr:uid="{00000000-0005-0000-0000-000092120000}"/>
    <cellStyle name="Normal 4 2 2 4 10" xfId="8957" xr:uid="{2137CB5F-491F-4AF0-A3C6-A0767C86A8E1}"/>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2 2 2" xfId="15735" xr:uid="{836C6342-4113-4E89-96DB-88C2425C3AAA}"/>
    <cellStyle name="Normal 4 2 2 4 2 2 2 2 3" xfId="11517" xr:uid="{D9EE65B3-0929-4FD4-9DA4-D0E7078D6ABC}"/>
    <cellStyle name="Normal 4 2 2 4 2 2 2 3" xfId="5140" xr:uid="{00000000-0005-0000-0000-000098120000}"/>
    <cellStyle name="Normal 4 2 2 4 2 2 2 3 2" xfId="13590" xr:uid="{5FD90C6E-9013-47E8-926F-B733B60EA349}"/>
    <cellStyle name="Normal 4 2 2 4 2 2 2 4" xfId="9372" xr:uid="{B48F9CF9-469C-4E96-B74A-9B0E54369EC7}"/>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2 2 2" xfId="16148" xr:uid="{B917883F-E0AC-4AC1-AD08-B59C1EB7B65E}"/>
    <cellStyle name="Normal 4 2 2 4 2 2 3 2 3" xfId="11930" xr:uid="{F31314A6-47BE-428C-B8B7-C7F6C5D8884C}"/>
    <cellStyle name="Normal 4 2 2 4 2 2 3 3" xfId="5553" xr:uid="{00000000-0005-0000-0000-00009C120000}"/>
    <cellStyle name="Normal 4 2 2 4 2 2 3 3 2" xfId="14003" xr:uid="{1D360996-22B1-491F-8300-853F6EFE478E}"/>
    <cellStyle name="Normal 4 2 2 4 2 2 3 4" xfId="9785" xr:uid="{A9262287-859A-40D6-A19C-4099EBCBB09F}"/>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2 2 2" xfId="16561" xr:uid="{0D5F63CA-07B2-4B8B-9BD5-A417C4232818}"/>
    <cellStyle name="Normal 4 2 2 4 2 2 4 2 3" xfId="12343" xr:uid="{49C19E1B-F479-44B4-8AD7-AB53151E6BC5}"/>
    <cellStyle name="Normal 4 2 2 4 2 2 4 3" xfId="5966" xr:uid="{00000000-0005-0000-0000-0000A0120000}"/>
    <cellStyle name="Normal 4 2 2 4 2 2 4 3 2" xfId="14416" xr:uid="{AEC12529-B940-485A-829D-E0F8827815BF}"/>
    <cellStyle name="Normal 4 2 2 4 2 2 4 4" xfId="10198" xr:uid="{C2F07D60-CFA6-4FC8-BEA5-B74A1B6E7308}"/>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2 2 2" xfId="16974" xr:uid="{8647294D-AC03-4635-A2D1-D87890F57312}"/>
    <cellStyle name="Normal 4 2 2 4 2 2 5 2 3" xfId="12756" xr:uid="{DDF5A08E-A669-412B-B93F-52A98BF124A8}"/>
    <cellStyle name="Normal 4 2 2 4 2 2 5 3" xfId="6379" xr:uid="{00000000-0005-0000-0000-0000A4120000}"/>
    <cellStyle name="Normal 4 2 2 4 2 2 5 3 2" xfId="14829" xr:uid="{F3EBBE6B-F9CA-4A9E-BC35-8194D0FB3901}"/>
    <cellStyle name="Normal 4 2 2 4 2 2 5 4" xfId="10611" xr:uid="{32E8F5F2-3AB0-4C52-892E-CEB4D2B24E93}"/>
    <cellStyle name="Normal 4 2 2 4 2 2 6" xfId="2509" xr:uid="{00000000-0005-0000-0000-0000A5120000}"/>
    <cellStyle name="Normal 4 2 2 4 2 2 6 2" xfId="6792" xr:uid="{00000000-0005-0000-0000-0000A6120000}"/>
    <cellStyle name="Normal 4 2 2 4 2 2 6 2 2" xfId="15242" xr:uid="{C4D10DF9-F0F0-4CF4-A7E1-0C842D3844A1}"/>
    <cellStyle name="Normal 4 2 2 4 2 2 6 3" xfId="11024" xr:uid="{9C59F81D-43D6-4460-8438-6BA805FA502B}"/>
    <cellStyle name="Normal 4 2 2 4 2 2 7" xfId="4727" xr:uid="{00000000-0005-0000-0000-0000A7120000}"/>
    <cellStyle name="Normal 4 2 2 4 2 2 7 2" xfId="13177" xr:uid="{4A4153FF-F827-44B7-86D0-B24F549F7A9E}"/>
    <cellStyle name="Normal 4 2 2 4 2 2 8" xfId="8959" xr:uid="{3CBB44CF-A766-4E59-9D57-7562AB3494D2}"/>
    <cellStyle name="Normal 4 2 2 4 2 3" xfId="825" xr:uid="{00000000-0005-0000-0000-0000A8120000}"/>
    <cellStyle name="Normal 4 2 2 4 2 3 2" xfId="3062" xr:uid="{00000000-0005-0000-0000-0000A9120000}"/>
    <cellStyle name="Normal 4 2 2 4 2 3 2 2" xfId="7284" xr:uid="{00000000-0005-0000-0000-0000AA120000}"/>
    <cellStyle name="Normal 4 2 2 4 2 3 2 2 2" xfId="15734" xr:uid="{7A28C46A-3333-4504-94B9-B43ACDD5F0F2}"/>
    <cellStyle name="Normal 4 2 2 4 2 3 2 3" xfId="11516" xr:uid="{6C830E7C-25C8-4EA5-948E-E57ECD4F1BCF}"/>
    <cellStyle name="Normal 4 2 2 4 2 3 3" xfId="5139" xr:uid="{00000000-0005-0000-0000-0000AB120000}"/>
    <cellStyle name="Normal 4 2 2 4 2 3 3 2" xfId="13589" xr:uid="{E874A473-D944-4734-B304-36D1CFFB3ADC}"/>
    <cellStyle name="Normal 4 2 2 4 2 3 4" xfId="9371" xr:uid="{498173DA-CCDE-4429-BECC-C59724DD8CBC}"/>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2 2 2" xfId="16147" xr:uid="{7AE15B35-143E-4206-BFDF-446B73168B17}"/>
    <cellStyle name="Normal 4 2 2 4 2 4 2 3" xfId="11929" xr:uid="{34EB55DC-6D63-44B2-82BD-28CA0BAFE6C7}"/>
    <cellStyle name="Normal 4 2 2 4 2 4 3" xfId="5552" xr:uid="{00000000-0005-0000-0000-0000AF120000}"/>
    <cellStyle name="Normal 4 2 2 4 2 4 3 2" xfId="14002" xr:uid="{C1E28EF7-0538-4D85-BAC7-4B81C88CAC1B}"/>
    <cellStyle name="Normal 4 2 2 4 2 4 4" xfId="9784" xr:uid="{97CC1F46-C317-43EF-B69D-EDC62E3E83B9}"/>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2 2 2" xfId="16560" xr:uid="{8233AE1E-F59D-4252-85DC-0A38A654F7AC}"/>
    <cellStyle name="Normal 4 2 2 4 2 5 2 3" xfId="12342" xr:uid="{7B905284-2BB1-4419-B123-7FF5F485FC97}"/>
    <cellStyle name="Normal 4 2 2 4 2 5 3" xfId="5965" xr:uid="{00000000-0005-0000-0000-0000B3120000}"/>
    <cellStyle name="Normal 4 2 2 4 2 5 3 2" xfId="14415" xr:uid="{BE235820-6D8E-48F1-809C-CEC352E8249B}"/>
    <cellStyle name="Normal 4 2 2 4 2 5 4" xfId="10197" xr:uid="{C03065D4-D616-414D-A7AF-4498EB04B9A8}"/>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2 2 2" xfId="16973" xr:uid="{E05DAF5C-4D46-4927-8349-0240479C6A06}"/>
    <cellStyle name="Normal 4 2 2 4 2 6 2 3" xfId="12755" xr:uid="{297FB4E4-3AD3-49DA-8A59-8AD02AC9C90B}"/>
    <cellStyle name="Normal 4 2 2 4 2 6 3" xfId="6378" xr:uid="{00000000-0005-0000-0000-0000B7120000}"/>
    <cellStyle name="Normal 4 2 2 4 2 6 3 2" xfId="14828" xr:uid="{C09B2B22-05C5-4B95-B660-2BAD1DF22C51}"/>
    <cellStyle name="Normal 4 2 2 4 2 6 4" xfId="10610" xr:uid="{C31CA3B7-2211-4972-9CF8-4ECFAA41A3CC}"/>
    <cellStyle name="Normal 4 2 2 4 2 7" xfId="2508" xr:uid="{00000000-0005-0000-0000-0000B8120000}"/>
    <cellStyle name="Normal 4 2 2 4 2 7 2" xfId="6791" xr:uid="{00000000-0005-0000-0000-0000B9120000}"/>
    <cellStyle name="Normal 4 2 2 4 2 7 2 2" xfId="15241" xr:uid="{48118B07-D65D-4CA8-A1C0-42E7F9B9F6B9}"/>
    <cellStyle name="Normal 4 2 2 4 2 7 3" xfId="11023" xr:uid="{C8BB17EA-E261-4AC7-90E1-8F07F8A5009B}"/>
    <cellStyle name="Normal 4 2 2 4 2 8" xfId="4726" xr:uid="{00000000-0005-0000-0000-0000BA120000}"/>
    <cellStyle name="Normal 4 2 2 4 2 8 2" xfId="13176" xr:uid="{C49EB352-A68B-48FB-932B-8E6FE4915539}"/>
    <cellStyle name="Normal 4 2 2 4 2 9" xfId="8958" xr:uid="{4BBCC8DE-C582-437C-B47B-535AB0469D91}"/>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2 2 2" xfId="15736" xr:uid="{6E01C77E-3A2D-41A9-8ADF-45BFB37F1704}"/>
    <cellStyle name="Normal 4 2 2 4 3 2 2 3" xfId="11518" xr:uid="{85F9C9AE-060A-4BE0-AF89-369DAD9EF14B}"/>
    <cellStyle name="Normal 4 2 2 4 3 2 3" xfId="5141" xr:uid="{00000000-0005-0000-0000-0000BF120000}"/>
    <cellStyle name="Normal 4 2 2 4 3 2 3 2" xfId="13591" xr:uid="{F1796B35-86AC-4880-8F0F-5DFD1FC90F49}"/>
    <cellStyle name="Normal 4 2 2 4 3 2 4" xfId="9373" xr:uid="{4CFC778F-2169-4721-9AC1-A7AAA639BA5F}"/>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2 2 2" xfId="16149" xr:uid="{4355C95B-14C4-4221-8FDA-FA2A56E76001}"/>
    <cellStyle name="Normal 4 2 2 4 3 3 2 3" xfId="11931" xr:uid="{62BBD3A6-C5EE-42A0-B145-EAB5A5C3C159}"/>
    <cellStyle name="Normal 4 2 2 4 3 3 3" xfId="5554" xr:uid="{00000000-0005-0000-0000-0000C3120000}"/>
    <cellStyle name="Normal 4 2 2 4 3 3 3 2" xfId="14004" xr:uid="{615FB745-8866-4E11-92A8-66D3C6E52AC7}"/>
    <cellStyle name="Normal 4 2 2 4 3 3 4" xfId="9786" xr:uid="{451A3950-407C-4EB3-9640-B073D2FF1524}"/>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2 2 2" xfId="16562" xr:uid="{24A4B62F-4E53-4E79-8D07-34A561CBC2AD}"/>
    <cellStyle name="Normal 4 2 2 4 3 4 2 3" xfId="12344" xr:uid="{6AFA8B27-D9B6-4343-9C7A-FF28C3FD02D8}"/>
    <cellStyle name="Normal 4 2 2 4 3 4 3" xfId="5967" xr:uid="{00000000-0005-0000-0000-0000C7120000}"/>
    <cellStyle name="Normal 4 2 2 4 3 4 3 2" xfId="14417" xr:uid="{26C9E8D5-E1FD-4323-9308-52162CB4DE38}"/>
    <cellStyle name="Normal 4 2 2 4 3 4 4" xfId="10199" xr:uid="{8E97A513-CD65-4C42-8FCC-C1FF75E997E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2 2 2" xfId="16975" xr:uid="{E45B05EF-F435-4928-89D2-953F025A1003}"/>
    <cellStyle name="Normal 4 2 2 4 3 5 2 3" xfId="12757" xr:uid="{517E5BF4-4084-4765-8F09-E67D238BFDA2}"/>
    <cellStyle name="Normal 4 2 2 4 3 5 3" xfId="6380" xr:uid="{00000000-0005-0000-0000-0000CB120000}"/>
    <cellStyle name="Normal 4 2 2 4 3 5 3 2" xfId="14830" xr:uid="{A965993C-CD85-4176-B8FE-E24904DC5C3A}"/>
    <cellStyle name="Normal 4 2 2 4 3 5 4" xfId="10612" xr:uid="{5AFE6A05-46CF-4DB7-BB18-611D9A5CC48B}"/>
    <cellStyle name="Normal 4 2 2 4 3 6" xfId="2510" xr:uid="{00000000-0005-0000-0000-0000CC120000}"/>
    <cellStyle name="Normal 4 2 2 4 3 6 2" xfId="6793" xr:uid="{00000000-0005-0000-0000-0000CD120000}"/>
    <cellStyle name="Normal 4 2 2 4 3 6 2 2" xfId="15243" xr:uid="{29B08085-C6F3-48EE-A437-8F5292B521AE}"/>
    <cellStyle name="Normal 4 2 2 4 3 6 3" xfId="11025" xr:uid="{7E21D742-C367-44F1-BB6C-B957AA4A83DA}"/>
    <cellStyle name="Normal 4 2 2 4 3 7" xfId="4728" xr:uid="{00000000-0005-0000-0000-0000CE120000}"/>
    <cellStyle name="Normal 4 2 2 4 3 7 2" xfId="13178" xr:uid="{6EA74D18-08EA-4CFA-98A7-BFE1447ECA86}"/>
    <cellStyle name="Normal 4 2 2 4 3 8" xfId="8960" xr:uid="{31DB582F-3D3A-4208-A10C-95D16F200966}"/>
    <cellStyle name="Normal 4 2 2 4 4" xfId="824" xr:uid="{00000000-0005-0000-0000-0000CF120000}"/>
    <cellStyle name="Normal 4 2 2 4 4 2" xfId="3061" xr:uid="{00000000-0005-0000-0000-0000D0120000}"/>
    <cellStyle name="Normal 4 2 2 4 4 2 2" xfId="7283" xr:uid="{00000000-0005-0000-0000-0000D1120000}"/>
    <cellStyle name="Normal 4 2 2 4 4 2 2 2" xfId="15733" xr:uid="{B6C77CF8-5B14-4A87-BEF9-4A2DAAD109AC}"/>
    <cellStyle name="Normal 4 2 2 4 4 2 3" xfId="11515" xr:uid="{27E4FE8B-3043-49DB-81A9-385149756842}"/>
    <cellStyle name="Normal 4 2 2 4 4 3" xfId="5138" xr:uid="{00000000-0005-0000-0000-0000D2120000}"/>
    <cellStyle name="Normal 4 2 2 4 4 3 2" xfId="13588" xr:uid="{BA150FF9-1291-4E59-8BEB-9F5B3D4CB932}"/>
    <cellStyle name="Normal 4 2 2 4 4 4" xfId="9370" xr:uid="{89022858-9A13-44FB-8BFF-751ED27198BF}"/>
    <cellStyle name="Normal 4 2 2 4 5" xfId="1244" xr:uid="{00000000-0005-0000-0000-0000D3120000}"/>
    <cellStyle name="Normal 4 2 2 4 5 2" xfId="3474" xr:uid="{00000000-0005-0000-0000-0000D4120000}"/>
    <cellStyle name="Normal 4 2 2 4 5 2 2" xfId="7696" xr:uid="{00000000-0005-0000-0000-0000D5120000}"/>
    <cellStyle name="Normal 4 2 2 4 5 2 2 2" xfId="16146" xr:uid="{52685459-CCF2-45AA-94B4-EE53D806213E}"/>
    <cellStyle name="Normal 4 2 2 4 5 2 3" xfId="11928" xr:uid="{B4CC674C-A52D-412A-9657-F70D4DE16EC8}"/>
    <cellStyle name="Normal 4 2 2 4 5 3" xfId="5551" xr:uid="{00000000-0005-0000-0000-0000D6120000}"/>
    <cellStyle name="Normal 4 2 2 4 5 3 2" xfId="14001" xr:uid="{3A63E3B8-46CA-4869-8E2B-BDFDD6AD52A0}"/>
    <cellStyle name="Normal 4 2 2 4 5 4" xfId="9783" xr:uid="{A1FFF0FF-5284-4407-BA0D-E115E87A24FA}"/>
    <cellStyle name="Normal 4 2 2 4 6" xfId="1657" xr:uid="{00000000-0005-0000-0000-0000D7120000}"/>
    <cellStyle name="Normal 4 2 2 4 6 2" xfId="3887" xr:uid="{00000000-0005-0000-0000-0000D8120000}"/>
    <cellStyle name="Normal 4 2 2 4 6 2 2" xfId="8109" xr:uid="{00000000-0005-0000-0000-0000D9120000}"/>
    <cellStyle name="Normal 4 2 2 4 6 2 2 2" xfId="16559" xr:uid="{B65CD265-365E-4B84-A4B2-9AA0B1CCF02E}"/>
    <cellStyle name="Normal 4 2 2 4 6 2 3" xfId="12341" xr:uid="{2509E476-6BF0-40AC-BD24-278E3BEAE8B7}"/>
    <cellStyle name="Normal 4 2 2 4 6 3" xfId="5964" xr:uid="{00000000-0005-0000-0000-0000DA120000}"/>
    <cellStyle name="Normal 4 2 2 4 6 3 2" xfId="14414" xr:uid="{22BF4EC7-70F0-41A7-BF42-CC1AF0D5BB84}"/>
    <cellStyle name="Normal 4 2 2 4 6 4" xfId="10196" xr:uid="{55554CD3-DF65-462D-9B53-C4D89ED66FB3}"/>
    <cellStyle name="Normal 4 2 2 4 7" xfId="2071" xr:uid="{00000000-0005-0000-0000-0000DB120000}"/>
    <cellStyle name="Normal 4 2 2 4 7 2" xfId="4300" xr:uid="{00000000-0005-0000-0000-0000DC120000}"/>
    <cellStyle name="Normal 4 2 2 4 7 2 2" xfId="8522" xr:uid="{00000000-0005-0000-0000-0000DD120000}"/>
    <cellStyle name="Normal 4 2 2 4 7 2 2 2" xfId="16972" xr:uid="{4EF44A92-AEEB-4494-963D-C7BB615021D7}"/>
    <cellStyle name="Normal 4 2 2 4 7 2 3" xfId="12754" xr:uid="{F5F104B4-AA61-46BE-8EF6-7FD144E66275}"/>
    <cellStyle name="Normal 4 2 2 4 7 3" xfId="6377" xr:uid="{00000000-0005-0000-0000-0000DE120000}"/>
    <cellStyle name="Normal 4 2 2 4 7 3 2" xfId="14827" xr:uid="{05F79A6B-3FC2-4A7B-A064-BB279F12E10A}"/>
    <cellStyle name="Normal 4 2 2 4 7 4" xfId="10609" xr:uid="{A2AF99C9-724E-4721-AFE5-C96E44EE956C}"/>
    <cellStyle name="Normal 4 2 2 4 8" xfId="2507" xr:uid="{00000000-0005-0000-0000-0000DF120000}"/>
    <cellStyle name="Normal 4 2 2 4 8 2" xfId="6790" xr:uid="{00000000-0005-0000-0000-0000E0120000}"/>
    <cellStyle name="Normal 4 2 2 4 8 2 2" xfId="15240" xr:uid="{0E4C5FC2-E32C-4EB6-8A45-BD9063FD2896}"/>
    <cellStyle name="Normal 4 2 2 4 8 3" xfId="11022" xr:uid="{DAE27C3C-2241-4A94-A9B5-02447ACFB306}"/>
    <cellStyle name="Normal 4 2 2 4 9" xfId="4725" xr:uid="{00000000-0005-0000-0000-0000E1120000}"/>
    <cellStyle name="Normal 4 2 2 4 9 2" xfId="13175" xr:uid="{0BE578B0-8C19-4A9E-B163-BA87E99257D7}"/>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2 2 2" xfId="15738" xr:uid="{2B2488EC-68C7-4752-8335-7C353B37EAD7}"/>
    <cellStyle name="Normal 4 2 2 5 2 2 2 3" xfId="11520" xr:uid="{2E7A7E4B-7CFE-496E-98B6-B5B3EF49B064}"/>
    <cellStyle name="Normal 4 2 2 5 2 2 3" xfId="5143" xr:uid="{00000000-0005-0000-0000-0000E7120000}"/>
    <cellStyle name="Normal 4 2 2 5 2 2 3 2" xfId="13593" xr:uid="{53A5048B-A095-476F-A2AD-041080BD055F}"/>
    <cellStyle name="Normal 4 2 2 5 2 2 4" xfId="9375" xr:uid="{CAAA03EC-8EBA-4295-854A-565D4F04195E}"/>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2 2 2" xfId="16151" xr:uid="{2531DEA6-8C65-49DA-899A-55B36770FAD4}"/>
    <cellStyle name="Normal 4 2 2 5 2 3 2 3" xfId="11933" xr:uid="{2C5B291B-FC4D-4690-A193-33EEB692512A}"/>
    <cellStyle name="Normal 4 2 2 5 2 3 3" xfId="5556" xr:uid="{00000000-0005-0000-0000-0000EB120000}"/>
    <cellStyle name="Normal 4 2 2 5 2 3 3 2" xfId="14006" xr:uid="{10A3BDB7-E8A6-4C00-9667-052381E64A0A}"/>
    <cellStyle name="Normal 4 2 2 5 2 3 4" xfId="9788" xr:uid="{58CAD001-BE22-4F05-BF09-F1B5965508B8}"/>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2 2 2" xfId="16564" xr:uid="{179061A9-EEDD-4C93-8B45-93AF989B6252}"/>
    <cellStyle name="Normal 4 2 2 5 2 4 2 3" xfId="12346" xr:uid="{96DB7327-1355-4CB9-99F8-610C4E22A207}"/>
    <cellStyle name="Normal 4 2 2 5 2 4 3" xfId="5969" xr:uid="{00000000-0005-0000-0000-0000EF120000}"/>
    <cellStyle name="Normal 4 2 2 5 2 4 3 2" xfId="14419" xr:uid="{2A74683B-DA72-4B42-8349-A0DD3FCECFD5}"/>
    <cellStyle name="Normal 4 2 2 5 2 4 4" xfId="10201" xr:uid="{894A95F3-7CB9-4346-8F41-35FB64FA3F7E}"/>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2 2 2" xfId="16977" xr:uid="{05C89F6B-7201-442A-AD40-688AED2CC724}"/>
    <cellStyle name="Normal 4 2 2 5 2 5 2 3" xfId="12759" xr:uid="{559CDD7B-F5EF-4171-99B1-B7ECEF743819}"/>
    <cellStyle name="Normal 4 2 2 5 2 5 3" xfId="6382" xr:uid="{00000000-0005-0000-0000-0000F3120000}"/>
    <cellStyle name="Normal 4 2 2 5 2 5 3 2" xfId="14832" xr:uid="{EB653B68-2F7B-4721-95A2-8AF9AFB045C5}"/>
    <cellStyle name="Normal 4 2 2 5 2 5 4" xfId="10614" xr:uid="{A5C236CB-C7E3-42F5-A46A-56897DB06A9E}"/>
    <cellStyle name="Normal 4 2 2 5 2 6" xfId="2512" xr:uid="{00000000-0005-0000-0000-0000F4120000}"/>
    <cellStyle name="Normal 4 2 2 5 2 6 2" xfId="6795" xr:uid="{00000000-0005-0000-0000-0000F5120000}"/>
    <cellStyle name="Normal 4 2 2 5 2 6 2 2" xfId="15245" xr:uid="{C856BE70-E9F1-478C-90BC-4C9664B1ADA7}"/>
    <cellStyle name="Normal 4 2 2 5 2 6 3" xfId="11027" xr:uid="{B1437200-6B73-45D0-91FF-95C0FADE3AAB}"/>
    <cellStyle name="Normal 4 2 2 5 2 7" xfId="4730" xr:uid="{00000000-0005-0000-0000-0000F6120000}"/>
    <cellStyle name="Normal 4 2 2 5 2 7 2" xfId="13180" xr:uid="{DE5B2F8D-3A7F-498A-8046-1710FA6B3755}"/>
    <cellStyle name="Normal 4 2 2 5 2 8" xfId="8962" xr:uid="{D9E1242C-A51D-4DA9-96DD-2D0A13B6EA2C}"/>
    <cellStyle name="Normal 4 2 2 5 3" xfId="828" xr:uid="{00000000-0005-0000-0000-0000F7120000}"/>
    <cellStyle name="Normal 4 2 2 5 3 2" xfId="3065" xr:uid="{00000000-0005-0000-0000-0000F8120000}"/>
    <cellStyle name="Normal 4 2 2 5 3 2 2" xfId="7287" xr:uid="{00000000-0005-0000-0000-0000F9120000}"/>
    <cellStyle name="Normal 4 2 2 5 3 2 2 2" xfId="15737" xr:uid="{3816C662-4F07-4751-92FC-7D3EA57BF8C8}"/>
    <cellStyle name="Normal 4 2 2 5 3 2 3" xfId="11519" xr:uid="{6DBF1CC0-4D7E-4270-A4B1-6158C0602162}"/>
    <cellStyle name="Normal 4 2 2 5 3 3" xfId="5142" xr:uid="{00000000-0005-0000-0000-0000FA120000}"/>
    <cellStyle name="Normal 4 2 2 5 3 3 2" xfId="13592" xr:uid="{B28330B0-5E4F-47EC-B218-23C7FDFF803C}"/>
    <cellStyle name="Normal 4 2 2 5 3 4" xfId="9374" xr:uid="{0D6BA4AF-FD67-4469-A67C-80C357516A8B}"/>
    <cellStyle name="Normal 4 2 2 5 4" xfId="1248" xr:uid="{00000000-0005-0000-0000-0000FB120000}"/>
    <cellStyle name="Normal 4 2 2 5 4 2" xfId="3478" xr:uid="{00000000-0005-0000-0000-0000FC120000}"/>
    <cellStyle name="Normal 4 2 2 5 4 2 2" xfId="7700" xr:uid="{00000000-0005-0000-0000-0000FD120000}"/>
    <cellStyle name="Normal 4 2 2 5 4 2 2 2" xfId="16150" xr:uid="{FE855858-FD0D-460A-87F8-85722CB297A8}"/>
    <cellStyle name="Normal 4 2 2 5 4 2 3" xfId="11932" xr:uid="{3FB28DD6-4CBF-413C-8E0A-60B8B6883576}"/>
    <cellStyle name="Normal 4 2 2 5 4 3" xfId="5555" xr:uid="{00000000-0005-0000-0000-0000FE120000}"/>
    <cellStyle name="Normal 4 2 2 5 4 3 2" xfId="14005" xr:uid="{2E3B467A-4C18-4518-8F4F-A39640D743FA}"/>
    <cellStyle name="Normal 4 2 2 5 4 4" xfId="9787" xr:uid="{3908091D-796A-4C62-9D84-E5EA4A3C4BDD}"/>
    <cellStyle name="Normal 4 2 2 5 5" xfId="1661" xr:uid="{00000000-0005-0000-0000-0000FF120000}"/>
    <cellStyle name="Normal 4 2 2 5 5 2" xfId="3891" xr:uid="{00000000-0005-0000-0000-000000130000}"/>
    <cellStyle name="Normal 4 2 2 5 5 2 2" xfId="8113" xr:uid="{00000000-0005-0000-0000-000001130000}"/>
    <cellStyle name="Normal 4 2 2 5 5 2 2 2" xfId="16563" xr:uid="{65CBDA7E-68FF-4C73-B56C-C47BEC89D5ED}"/>
    <cellStyle name="Normal 4 2 2 5 5 2 3" xfId="12345" xr:uid="{6DE9A94C-180E-4DA3-8652-F621C6C967CD}"/>
    <cellStyle name="Normal 4 2 2 5 5 3" xfId="5968" xr:uid="{00000000-0005-0000-0000-000002130000}"/>
    <cellStyle name="Normal 4 2 2 5 5 3 2" xfId="14418" xr:uid="{FD48725B-E369-45C0-AF08-F7F31212363A}"/>
    <cellStyle name="Normal 4 2 2 5 5 4" xfId="10200" xr:uid="{D03A492F-A98F-4BE5-B74D-B9CD01057A27}"/>
    <cellStyle name="Normal 4 2 2 5 6" xfId="2075" xr:uid="{00000000-0005-0000-0000-000003130000}"/>
    <cellStyle name="Normal 4 2 2 5 6 2" xfId="4304" xr:uid="{00000000-0005-0000-0000-000004130000}"/>
    <cellStyle name="Normal 4 2 2 5 6 2 2" xfId="8526" xr:uid="{00000000-0005-0000-0000-000005130000}"/>
    <cellStyle name="Normal 4 2 2 5 6 2 2 2" xfId="16976" xr:uid="{69B8F0A3-DEDD-491B-8869-B80F58CF1F55}"/>
    <cellStyle name="Normal 4 2 2 5 6 2 3" xfId="12758" xr:uid="{654EF0DC-CDFB-4DED-A2F9-19681988B918}"/>
    <cellStyle name="Normal 4 2 2 5 6 3" xfId="6381" xr:uid="{00000000-0005-0000-0000-000006130000}"/>
    <cellStyle name="Normal 4 2 2 5 6 3 2" xfId="14831" xr:uid="{1E5217D4-8F25-42F4-B448-2F148CB40C9C}"/>
    <cellStyle name="Normal 4 2 2 5 6 4" xfId="10613" xr:uid="{D749DB60-515B-433A-8251-8784282642D9}"/>
    <cellStyle name="Normal 4 2 2 5 7" xfId="2511" xr:uid="{00000000-0005-0000-0000-000007130000}"/>
    <cellStyle name="Normal 4 2 2 5 7 2" xfId="6794" xr:uid="{00000000-0005-0000-0000-000008130000}"/>
    <cellStyle name="Normal 4 2 2 5 7 2 2" xfId="15244" xr:uid="{9B5B4F9A-7FB2-4A5E-8302-FFEED39432CB}"/>
    <cellStyle name="Normal 4 2 2 5 7 3" xfId="11026" xr:uid="{304BFBFA-654E-410B-871E-246C533FFF00}"/>
    <cellStyle name="Normal 4 2 2 5 8" xfId="4729" xr:uid="{00000000-0005-0000-0000-000009130000}"/>
    <cellStyle name="Normal 4 2 2 5 8 2" xfId="13179" xr:uid="{7CFF49CA-2D30-4B29-995E-395D8C6B7F56}"/>
    <cellStyle name="Normal 4 2 2 5 9" xfId="8961" xr:uid="{1470F9E2-2AAF-490A-ABB6-3E364082CC78}"/>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2 2 2" xfId="15739" xr:uid="{4902DCFF-6792-44C2-847B-30A42060395E}"/>
    <cellStyle name="Normal 4 2 2 6 2 2 3" xfId="11521" xr:uid="{D70B5592-CF91-4A90-9480-F384B9B36627}"/>
    <cellStyle name="Normal 4 2 2 6 2 3" xfId="5144" xr:uid="{00000000-0005-0000-0000-00000E130000}"/>
    <cellStyle name="Normal 4 2 2 6 2 3 2" xfId="13594" xr:uid="{9C176BF4-D501-435E-8FBF-3EA69C317188}"/>
    <cellStyle name="Normal 4 2 2 6 2 4" xfId="9376" xr:uid="{3A785ACA-32A1-416D-A36D-51F6E68688BA}"/>
    <cellStyle name="Normal 4 2 2 6 3" xfId="1250" xr:uid="{00000000-0005-0000-0000-00000F130000}"/>
    <cellStyle name="Normal 4 2 2 6 3 2" xfId="3480" xr:uid="{00000000-0005-0000-0000-000010130000}"/>
    <cellStyle name="Normal 4 2 2 6 3 2 2" xfId="7702" xr:uid="{00000000-0005-0000-0000-000011130000}"/>
    <cellStyle name="Normal 4 2 2 6 3 2 2 2" xfId="16152" xr:uid="{81B7EF5C-6EED-4AFC-86CC-2691C2DE2F79}"/>
    <cellStyle name="Normal 4 2 2 6 3 2 3" xfId="11934" xr:uid="{D83D4E0D-5E3E-41B1-BE1D-366E9B5E73FA}"/>
    <cellStyle name="Normal 4 2 2 6 3 3" xfId="5557" xr:uid="{00000000-0005-0000-0000-000012130000}"/>
    <cellStyle name="Normal 4 2 2 6 3 3 2" xfId="14007" xr:uid="{58B255B2-FDFD-4F5E-8369-9CC657FE8BCC}"/>
    <cellStyle name="Normal 4 2 2 6 3 4" xfId="9789" xr:uid="{A44246A0-DDDC-4382-8180-FEB9CDB09235}"/>
    <cellStyle name="Normal 4 2 2 6 4" xfId="1663" xr:uid="{00000000-0005-0000-0000-000013130000}"/>
    <cellStyle name="Normal 4 2 2 6 4 2" xfId="3893" xr:uid="{00000000-0005-0000-0000-000014130000}"/>
    <cellStyle name="Normal 4 2 2 6 4 2 2" xfId="8115" xr:uid="{00000000-0005-0000-0000-000015130000}"/>
    <cellStyle name="Normal 4 2 2 6 4 2 2 2" xfId="16565" xr:uid="{DD91EE62-FE70-455D-9217-3D612E827768}"/>
    <cellStyle name="Normal 4 2 2 6 4 2 3" xfId="12347" xr:uid="{8AFFFD20-5620-4024-8F48-C3C8406CE1B6}"/>
    <cellStyle name="Normal 4 2 2 6 4 3" xfId="5970" xr:uid="{00000000-0005-0000-0000-000016130000}"/>
    <cellStyle name="Normal 4 2 2 6 4 3 2" xfId="14420" xr:uid="{FC503277-796E-4765-B173-D7FF1E185505}"/>
    <cellStyle name="Normal 4 2 2 6 4 4" xfId="10202" xr:uid="{6E982847-CD62-4A29-9940-52A9D45464F6}"/>
    <cellStyle name="Normal 4 2 2 6 5" xfId="2077" xr:uid="{00000000-0005-0000-0000-000017130000}"/>
    <cellStyle name="Normal 4 2 2 6 5 2" xfId="4306" xr:uid="{00000000-0005-0000-0000-000018130000}"/>
    <cellStyle name="Normal 4 2 2 6 5 2 2" xfId="8528" xr:uid="{00000000-0005-0000-0000-000019130000}"/>
    <cellStyle name="Normal 4 2 2 6 5 2 2 2" xfId="16978" xr:uid="{1C199FF3-AB9D-4147-AAAA-8F46FCE13EB9}"/>
    <cellStyle name="Normal 4 2 2 6 5 2 3" xfId="12760" xr:uid="{17A8F55E-909C-46C1-802D-75A75B156A02}"/>
    <cellStyle name="Normal 4 2 2 6 5 3" xfId="6383" xr:uid="{00000000-0005-0000-0000-00001A130000}"/>
    <cellStyle name="Normal 4 2 2 6 5 3 2" xfId="14833" xr:uid="{2D42A3D2-9092-42CF-A58A-0DBA0780F84E}"/>
    <cellStyle name="Normal 4 2 2 6 5 4" xfId="10615" xr:uid="{E0BB616C-437B-4397-901B-83A151B5C974}"/>
    <cellStyle name="Normal 4 2 2 6 6" xfId="2513" xr:uid="{00000000-0005-0000-0000-00001B130000}"/>
    <cellStyle name="Normal 4 2 2 6 6 2" xfId="6796" xr:uid="{00000000-0005-0000-0000-00001C130000}"/>
    <cellStyle name="Normal 4 2 2 6 6 2 2" xfId="15246" xr:uid="{21483432-DECF-4B09-A330-153DECE04DF8}"/>
    <cellStyle name="Normal 4 2 2 6 6 3" xfId="11028" xr:uid="{600538F9-7FE5-4F90-8E0E-5FD0B9321304}"/>
    <cellStyle name="Normal 4 2 2 6 7" xfId="4731" xr:uid="{00000000-0005-0000-0000-00001D130000}"/>
    <cellStyle name="Normal 4 2 2 6 7 2" xfId="13181" xr:uid="{D6B2F72A-FA8B-4D33-A1A0-05C056C61DAF}"/>
    <cellStyle name="Normal 4 2 2 6 8" xfId="8963" xr:uid="{BEA05B0E-758A-4345-B985-52BCD8F1FCE3}"/>
    <cellStyle name="Normal 4 2 2 7" xfId="815" xr:uid="{00000000-0005-0000-0000-00001E130000}"/>
    <cellStyle name="Normal 4 2 2 7 2" xfId="3052" xr:uid="{00000000-0005-0000-0000-00001F130000}"/>
    <cellStyle name="Normal 4 2 2 7 2 2" xfId="7274" xr:uid="{00000000-0005-0000-0000-000020130000}"/>
    <cellStyle name="Normal 4 2 2 7 2 2 2" xfId="15724" xr:uid="{64B18052-67F2-4C9C-81B1-0ADB63479318}"/>
    <cellStyle name="Normal 4 2 2 7 2 3" xfId="11506" xr:uid="{6430FD0A-6C93-46C9-980F-4167024B6385}"/>
    <cellStyle name="Normal 4 2 2 7 3" xfId="5129" xr:uid="{00000000-0005-0000-0000-000021130000}"/>
    <cellStyle name="Normal 4 2 2 7 3 2" xfId="13579" xr:uid="{82000D13-9897-4629-9733-6C6BDCA125D5}"/>
    <cellStyle name="Normal 4 2 2 7 4" xfId="9361" xr:uid="{D5B81F55-D4AA-499E-80B0-687907071E1D}"/>
    <cellStyle name="Normal 4 2 2 8" xfId="1235" xr:uid="{00000000-0005-0000-0000-000022130000}"/>
    <cellStyle name="Normal 4 2 2 8 2" xfId="3465" xr:uid="{00000000-0005-0000-0000-000023130000}"/>
    <cellStyle name="Normal 4 2 2 8 2 2" xfId="7687" xr:uid="{00000000-0005-0000-0000-000024130000}"/>
    <cellStyle name="Normal 4 2 2 8 2 2 2" xfId="16137" xr:uid="{4145256C-CC0C-4BFA-87A2-47E559B5C1D2}"/>
    <cellStyle name="Normal 4 2 2 8 2 3" xfId="11919" xr:uid="{C5E5C11A-3DF3-4679-91CC-43636ABC7F9B}"/>
    <cellStyle name="Normal 4 2 2 8 3" xfId="5542" xr:uid="{00000000-0005-0000-0000-000025130000}"/>
    <cellStyle name="Normal 4 2 2 8 3 2" xfId="13992" xr:uid="{12C7FF2F-E5F4-47AB-AA7B-19AEBEB5FB64}"/>
    <cellStyle name="Normal 4 2 2 8 4" xfId="9774" xr:uid="{DEDDA2AC-8FF4-4B3C-9C35-C023BA431D48}"/>
    <cellStyle name="Normal 4 2 2 9" xfId="1648" xr:uid="{00000000-0005-0000-0000-000026130000}"/>
    <cellStyle name="Normal 4 2 2 9 2" xfId="3878" xr:uid="{00000000-0005-0000-0000-000027130000}"/>
    <cellStyle name="Normal 4 2 2 9 2 2" xfId="8100" xr:uid="{00000000-0005-0000-0000-000028130000}"/>
    <cellStyle name="Normal 4 2 2 9 2 2 2" xfId="16550" xr:uid="{E7BCE667-C813-4122-A1DB-6CD03FFCC3E4}"/>
    <cellStyle name="Normal 4 2 2 9 2 3" xfId="12332" xr:uid="{A4CE9FBC-6B45-4ED3-9A2E-4D099B49B047}"/>
    <cellStyle name="Normal 4 2 2 9 3" xfId="5955" xr:uid="{00000000-0005-0000-0000-000029130000}"/>
    <cellStyle name="Normal 4 2 2 9 3 2" xfId="14405" xr:uid="{AE684CD0-EB5C-469C-8FB7-54A710CCC98D}"/>
    <cellStyle name="Normal 4 2 2 9 4" xfId="10187" xr:uid="{A7FE6E40-48AF-4CC3-8229-5C5CF12BD8DC}"/>
    <cellStyle name="Normal 4 2 3" xfId="354" xr:uid="{00000000-0005-0000-0000-00002A130000}"/>
    <cellStyle name="Normal 4 2 4" xfId="355" xr:uid="{00000000-0005-0000-0000-00002B130000}"/>
    <cellStyle name="Normal 4 2 4 10" xfId="4732" xr:uid="{00000000-0005-0000-0000-00002C130000}"/>
    <cellStyle name="Normal 4 2 4 10 2" xfId="13182" xr:uid="{E6759E80-0415-4E11-B14D-61691D5111AC}"/>
    <cellStyle name="Normal 4 2 4 11" xfId="8964" xr:uid="{003B8E08-E8E6-4CCA-BC02-6D70B4121815}"/>
    <cellStyle name="Normal 4 2 4 2" xfId="356" xr:uid="{00000000-0005-0000-0000-00002D130000}"/>
    <cellStyle name="Normal 4 2 4 2 10" xfId="8965" xr:uid="{D3A897BD-86AF-4FB0-91B9-63B8D756F229}"/>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2 2 2" xfId="15743" xr:uid="{3ECEBBE2-54B7-446E-947F-B1B96901EC83}"/>
    <cellStyle name="Normal 4 2 4 2 2 2 2 2 3" xfId="11525" xr:uid="{4DAA4F41-A463-4C20-9855-089FDD8550F3}"/>
    <cellStyle name="Normal 4 2 4 2 2 2 2 3" xfId="5148" xr:uid="{00000000-0005-0000-0000-000033130000}"/>
    <cellStyle name="Normal 4 2 4 2 2 2 2 3 2" xfId="13598" xr:uid="{F8893D3E-06D7-4840-8BA2-2E039DE6B8E0}"/>
    <cellStyle name="Normal 4 2 4 2 2 2 2 4" xfId="9380" xr:uid="{C5BFF3F7-9AF1-4C96-9942-50A278B3BFCF}"/>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2 2 2" xfId="16156" xr:uid="{D451D27D-FA23-4D05-AA6D-A668A45DBC73}"/>
    <cellStyle name="Normal 4 2 4 2 2 2 3 2 3" xfId="11938" xr:uid="{A1833380-6D4E-4B20-8288-1D67EAE81AD6}"/>
    <cellStyle name="Normal 4 2 4 2 2 2 3 3" xfId="5561" xr:uid="{00000000-0005-0000-0000-000037130000}"/>
    <cellStyle name="Normal 4 2 4 2 2 2 3 3 2" xfId="14011" xr:uid="{3CB07E7A-A266-4413-9413-C8A2496E54CF}"/>
    <cellStyle name="Normal 4 2 4 2 2 2 3 4" xfId="9793" xr:uid="{2F0F0C06-4AAE-4C88-BDD4-9392A26BF2DA}"/>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2 2 2" xfId="16569" xr:uid="{358CB109-50D6-43E8-9E50-912FE2402586}"/>
    <cellStyle name="Normal 4 2 4 2 2 2 4 2 3" xfId="12351" xr:uid="{95EAEF10-FFB6-411E-A53F-1DFAC89DF95D}"/>
    <cellStyle name="Normal 4 2 4 2 2 2 4 3" xfId="5974" xr:uid="{00000000-0005-0000-0000-00003B130000}"/>
    <cellStyle name="Normal 4 2 4 2 2 2 4 3 2" xfId="14424" xr:uid="{F54C35A2-E779-4EFC-8406-223364CD18D8}"/>
    <cellStyle name="Normal 4 2 4 2 2 2 4 4" xfId="10206" xr:uid="{EDAB8BDA-207C-4355-8012-20653CE7BCFE}"/>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2 2 2" xfId="16982" xr:uid="{FF121E26-87A3-4DC2-B6CF-2253F9942E8D}"/>
    <cellStyle name="Normal 4 2 4 2 2 2 5 2 3" xfId="12764" xr:uid="{F6905F59-2AC4-4894-9A69-419E79444BFC}"/>
    <cellStyle name="Normal 4 2 4 2 2 2 5 3" xfId="6387" xr:uid="{00000000-0005-0000-0000-00003F130000}"/>
    <cellStyle name="Normal 4 2 4 2 2 2 5 3 2" xfId="14837" xr:uid="{2F06CFDB-D515-4C3B-83B1-26DB6E2D0835}"/>
    <cellStyle name="Normal 4 2 4 2 2 2 5 4" xfId="10619" xr:uid="{F15FAC82-2A14-495D-BEA9-A39BA9AD37B0}"/>
    <cellStyle name="Normal 4 2 4 2 2 2 6" xfId="2517" xr:uid="{00000000-0005-0000-0000-000040130000}"/>
    <cellStyle name="Normal 4 2 4 2 2 2 6 2" xfId="6800" xr:uid="{00000000-0005-0000-0000-000041130000}"/>
    <cellStyle name="Normal 4 2 4 2 2 2 6 2 2" xfId="15250" xr:uid="{3D900FB1-6D49-4B21-A053-3FEC53C85297}"/>
    <cellStyle name="Normal 4 2 4 2 2 2 6 3" xfId="11032" xr:uid="{F9F464AD-5C28-45E7-B9F2-A9480C8F8FB8}"/>
    <cellStyle name="Normal 4 2 4 2 2 2 7" xfId="4735" xr:uid="{00000000-0005-0000-0000-000042130000}"/>
    <cellStyle name="Normal 4 2 4 2 2 2 7 2" xfId="13185" xr:uid="{7A58F353-5B03-49E2-BA4F-7AA4306D1D5E}"/>
    <cellStyle name="Normal 4 2 4 2 2 2 8" xfId="8967" xr:uid="{00EC81C9-A0D1-4B6F-88B4-3292E579FB2E}"/>
    <cellStyle name="Normal 4 2 4 2 2 3" xfId="833" xr:uid="{00000000-0005-0000-0000-000043130000}"/>
    <cellStyle name="Normal 4 2 4 2 2 3 2" xfId="3070" xr:uid="{00000000-0005-0000-0000-000044130000}"/>
    <cellStyle name="Normal 4 2 4 2 2 3 2 2" xfId="7292" xr:uid="{00000000-0005-0000-0000-000045130000}"/>
    <cellStyle name="Normal 4 2 4 2 2 3 2 2 2" xfId="15742" xr:uid="{9A79A762-CD9B-4267-92B0-DF1B0F3DAD3A}"/>
    <cellStyle name="Normal 4 2 4 2 2 3 2 3" xfId="11524" xr:uid="{29C23284-3818-41CB-BF98-C59B9571B277}"/>
    <cellStyle name="Normal 4 2 4 2 2 3 3" xfId="5147" xr:uid="{00000000-0005-0000-0000-000046130000}"/>
    <cellStyle name="Normal 4 2 4 2 2 3 3 2" xfId="13597" xr:uid="{8DE6FC61-E187-4CB7-BBD2-0D8EA6455DFC}"/>
    <cellStyle name="Normal 4 2 4 2 2 3 4" xfId="9379" xr:uid="{68C62F24-5471-4BC5-8764-A77B49D5BEE8}"/>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2 2 2" xfId="16155" xr:uid="{3DAA9DA1-64EF-401F-8142-720FF83A4565}"/>
    <cellStyle name="Normal 4 2 4 2 2 4 2 3" xfId="11937" xr:uid="{9B2BA014-12C7-49C3-89DC-E6CEF8CB1826}"/>
    <cellStyle name="Normal 4 2 4 2 2 4 3" xfId="5560" xr:uid="{00000000-0005-0000-0000-00004A130000}"/>
    <cellStyle name="Normal 4 2 4 2 2 4 3 2" xfId="14010" xr:uid="{8B6AD4F5-659D-473E-A288-FE76EAA7DFFC}"/>
    <cellStyle name="Normal 4 2 4 2 2 4 4" xfId="9792" xr:uid="{6AB7B260-A4C0-4697-BF3B-446531F1C442}"/>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2 2 2" xfId="16568" xr:uid="{367B110D-2964-4076-821B-E46DCF622F83}"/>
    <cellStyle name="Normal 4 2 4 2 2 5 2 3" xfId="12350" xr:uid="{B1C81BF0-3B1E-4724-A2A4-8840347D435C}"/>
    <cellStyle name="Normal 4 2 4 2 2 5 3" xfId="5973" xr:uid="{00000000-0005-0000-0000-00004E130000}"/>
    <cellStyle name="Normal 4 2 4 2 2 5 3 2" xfId="14423" xr:uid="{A5E8F6DB-8ED8-40C0-8A26-D0240728C296}"/>
    <cellStyle name="Normal 4 2 4 2 2 5 4" xfId="10205" xr:uid="{4E82820A-D2EE-4AB2-9797-B83B2B3B2F81}"/>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2 2 2" xfId="16981" xr:uid="{A8F83F7D-42AD-46BE-BFE4-72D1F083F939}"/>
    <cellStyle name="Normal 4 2 4 2 2 6 2 3" xfId="12763" xr:uid="{06F4267A-DDB2-4697-A737-742BA97227BD}"/>
    <cellStyle name="Normal 4 2 4 2 2 6 3" xfId="6386" xr:uid="{00000000-0005-0000-0000-000052130000}"/>
    <cellStyle name="Normal 4 2 4 2 2 6 3 2" xfId="14836" xr:uid="{24F5428C-A9F0-4D94-927A-18A74ED1BFEB}"/>
    <cellStyle name="Normal 4 2 4 2 2 6 4" xfId="10618" xr:uid="{7F429E0B-DC20-4F19-95F8-37323C8E26A6}"/>
    <cellStyle name="Normal 4 2 4 2 2 7" xfId="2516" xr:uid="{00000000-0005-0000-0000-000053130000}"/>
    <cellStyle name="Normal 4 2 4 2 2 7 2" xfId="6799" xr:uid="{00000000-0005-0000-0000-000054130000}"/>
    <cellStyle name="Normal 4 2 4 2 2 7 2 2" xfId="15249" xr:uid="{1A2294E7-D2CD-4F67-8FD4-7453B6C7A9D5}"/>
    <cellStyle name="Normal 4 2 4 2 2 7 3" xfId="11031" xr:uid="{C355D2AF-112F-432F-98C9-3ADD72B93E29}"/>
    <cellStyle name="Normal 4 2 4 2 2 8" xfId="4734" xr:uid="{00000000-0005-0000-0000-000055130000}"/>
    <cellStyle name="Normal 4 2 4 2 2 8 2" xfId="13184" xr:uid="{2C8D5183-2D01-4B71-8C2D-AF5BA18E2E91}"/>
    <cellStyle name="Normal 4 2 4 2 2 9" xfId="8966" xr:uid="{F52EC1E5-BFE9-48CC-B4DA-F86DE76673E9}"/>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2 2 2" xfId="15744" xr:uid="{63C02C8D-7DB4-41EE-BDE1-094915A96703}"/>
    <cellStyle name="Normal 4 2 4 2 3 2 2 3" xfId="11526" xr:uid="{C28913BD-38BA-482C-B217-48D3F0147A9A}"/>
    <cellStyle name="Normal 4 2 4 2 3 2 3" xfId="5149" xr:uid="{00000000-0005-0000-0000-00005A130000}"/>
    <cellStyle name="Normal 4 2 4 2 3 2 3 2" xfId="13599" xr:uid="{BEE1BB81-3046-4FB0-A805-3855C289753A}"/>
    <cellStyle name="Normal 4 2 4 2 3 2 4" xfId="9381" xr:uid="{BF28E62F-2E04-4288-A8C6-CFBE539B10D6}"/>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2 2 2" xfId="16157" xr:uid="{7A49D74F-CE8B-4F15-B317-42ADD7280189}"/>
    <cellStyle name="Normal 4 2 4 2 3 3 2 3" xfId="11939" xr:uid="{BAE13778-FED7-401C-B3DE-4179DB22AD27}"/>
    <cellStyle name="Normal 4 2 4 2 3 3 3" xfId="5562" xr:uid="{00000000-0005-0000-0000-00005E130000}"/>
    <cellStyle name="Normal 4 2 4 2 3 3 3 2" xfId="14012" xr:uid="{4B154730-9CAA-44AA-829F-64C386BF835F}"/>
    <cellStyle name="Normal 4 2 4 2 3 3 4" xfId="9794" xr:uid="{1411BF80-1B27-49DD-B6D1-A13BA936C48C}"/>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2 2 2" xfId="16570" xr:uid="{486D8064-1BE6-43BA-9BA5-0661E706F093}"/>
    <cellStyle name="Normal 4 2 4 2 3 4 2 3" xfId="12352" xr:uid="{B743F414-AEA6-447F-8BDF-5CE42EE19DEB}"/>
    <cellStyle name="Normal 4 2 4 2 3 4 3" xfId="5975" xr:uid="{00000000-0005-0000-0000-000062130000}"/>
    <cellStyle name="Normal 4 2 4 2 3 4 3 2" xfId="14425" xr:uid="{F2E42530-1F9F-44EF-9187-7C654330873E}"/>
    <cellStyle name="Normal 4 2 4 2 3 4 4" xfId="10207" xr:uid="{E3C91F71-D03B-4F62-9A39-C73AEACE0435}"/>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2 2 2" xfId="16983" xr:uid="{C6DF8348-E29E-4464-A53D-6EB057FC464B}"/>
    <cellStyle name="Normal 4 2 4 2 3 5 2 3" xfId="12765" xr:uid="{6DF34982-A1EB-4FD0-B4D3-488EA8BA315D}"/>
    <cellStyle name="Normal 4 2 4 2 3 5 3" xfId="6388" xr:uid="{00000000-0005-0000-0000-000066130000}"/>
    <cellStyle name="Normal 4 2 4 2 3 5 3 2" xfId="14838" xr:uid="{70289FD1-0B0B-491F-94CE-8BA7C7804ED6}"/>
    <cellStyle name="Normal 4 2 4 2 3 5 4" xfId="10620" xr:uid="{9B9CE3F8-D59B-4016-8C28-654FF130F9A8}"/>
    <cellStyle name="Normal 4 2 4 2 3 6" xfId="2518" xr:uid="{00000000-0005-0000-0000-000067130000}"/>
    <cellStyle name="Normal 4 2 4 2 3 6 2" xfId="6801" xr:uid="{00000000-0005-0000-0000-000068130000}"/>
    <cellStyle name="Normal 4 2 4 2 3 6 2 2" xfId="15251" xr:uid="{FF9AB251-5370-4E2D-AFC4-9F6066321EDB}"/>
    <cellStyle name="Normal 4 2 4 2 3 6 3" xfId="11033" xr:uid="{DE7F22B8-5056-4C72-915A-24B24489F822}"/>
    <cellStyle name="Normal 4 2 4 2 3 7" xfId="4736" xr:uid="{00000000-0005-0000-0000-000069130000}"/>
    <cellStyle name="Normal 4 2 4 2 3 7 2" xfId="13186" xr:uid="{3DA09D91-A675-4EDF-B994-7693273EB523}"/>
    <cellStyle name="Normal 4 2 4 2 3 8" xfId="8968" xr:uid="{5136D0AC-B9EC-4034-BB5E-4433A3FB3154}"/>
    <cellStyle name="Normal 4 2 4 2 4" xfId="832" xr:uid="{00000000-0005-0000-0000-00006A130000}"/>
    <cellStyle name="Normal 4 2 4 2 4 2" xfId="3069" xr:uid="{00000000-0005-0000-0000-00006B130000}"/>
    <cellStyle name="Normal 4 2 4 2 4 2 2" xfId="7291" xr:uid="{00000000-0005-0000-0000-00006C130000}"/>
    <cellStyle name="Normal 4 2 4 2 4 2 2 2" xfId="15741" xr:uid="{03D50C63-2A36-4515-A0E2-DDB00059CE6A}"/>
    <cellStyle name="Normal 4 2 4 2 4 2 3" xfId="11523" xr:uid="{10FE192A-9DE2-439A-891E-0C5F2276995D}"/>
    <cellStyle name="Normal 4 2 4 2 4 3" xfId="5146" xr:uid="{00000000-0005-0000-0000-00006D130000}"/>
    <cellStyle name="Normal 4 2 4 2 4 3 2" xfId="13596" xr:uid="{3A4D068A-510E-4792-B9D1-6872E6179098}"/>
    <cellStyle name="Normal 4 2 4 2 4 4" xfId="9378" xr:uid="{E4037B61-DB7C-4743-B264-6D98D21C1DAA}"/>
    <cellStyle name="Normal 4 2 4 2 5" xfId="1252" xr:uid="{00000000-0005-0000-0000-00006E130000}"/>
    <cellStyle name="Normal 4 2 4 2 5 2" xfId="3482" xr:uid="{00000000-0005-0000-0000-00006F130000}"/>
    <cellStyle name="Normal 4 2 4 2 5 2 2" xfId="7704" xr:uid="{00000000-0005-0000-0000-000070130000}"/>
    <cellStyle name="Normal 4 2 4 2 5 2 2 2" xfId="16154" xr:uid="{D2ADBB5D-4152-4B10-AB90-681975ED2D08}"/>
    <cellStyle name="Normal 4 2 4 2 5 2 3" xfId="11936" xr:uid="{A8BF3C5B-C85D-46E6-933B-E9C3663EACA4}"/>
    <cellStyle name="Normal 4 2 4 2 5 3" xfId="5559" xr:uid="{00000000-0005-0000-0000-000071130000}"/>
    <cellStyle name="Normal 4 2 4 2 5 3 2" xfId="14009" xr:uid="{DE6D676B-E968-4983-98BF-C7B4E2672994}"/>
    <cellStyle name="Normal 4 2 4 2 5 4" xfId="9791" xr:uid="{673AA4B5-7809-4DF7-9F31-C7FB4D285F2B}"/>
    <cellStyle name="Normal 4 2 4 2 6" xfId="1665" xr:uid="{00000000-0005-0000-0000-000072130000}"/>
    <cellStyle name="Normal 4 2 4 2 6 2" xfId="3895" xr:uid="{00000000-0005-0000-0000-000073130000}"/>
    <cellStyle name="Normal 4 2 4 2 6 2 2" xfId="8117" xr:uid="{00000000-0005-0000-0000-000074130000}"/>
    <cellStyle name="Normal 4 2 4 2 6 2 2 2" xfId="16567" xr:uid="{EF629188-9220-4833-9E5A-FEF8363D620D}"/>
    <cellStyle name="Normal 4 2 4 2 6 2 3" xfId="12349" xr:uid="{149CA8E0-4CC9-4994-AF8B-3894D5921355}"/>
    <cellStyle name="Normal 4 2 4 2 6 3" xfId="5972" xr:uid="{00000000-0005-0000-0000-000075130000}"/>
    <cellStyle name="Normal 4 2 4 2 6 3 2" xfId="14422" xr:uid="{1EEB84A1-73AD-4A28-B9E4-D1ACF273D81A}"/>
    <cellStyle name="Normal 4 2 4 2 6 4" xfId="10204" xr:uid="{A4E0D917-F1B2-4AD0-A6C7-8CCFDB00410A}"/>
    <cellStyle name="Normal 4 2 4 2 7" xfId="2079" xr:uid="{00000000-0005-0000-0000-000076130000}"/>
    <cellStyle name="Normal 4 2 4 2 7 2" xfId="4308" xr:uid="{00000000-0005-0000-0000-000077130000}"/>
    <cellStyle name="Normal 4 2 4 2 7 2 2" xfId="8530" xr:uid="{00000000-0005-0000-0000-000078130000}"/>
    <cellStyle name="Normal 4 2 4 2 7 2 2 2" xfId="16980" xr:uid="{A5A9196C-031E-457E-8E7F-0C43B4D5461B}"/>
    <cellStyle name="Normal 4 2 4 2 7 2 3" xfId="12762" xr:uid="{C3430C6E-3255-4BCA-96DC-205F820C92EC}"/>
    <cellStyle name="Normal 4 2 4 2 7 3" xfId="6385" xr:uid="{00000000-0005-0000-0000-000079130000}"/>
    <cellStyle name="Normal 4 2 4 2 7 3 2" xfId="14835" xr:uid="{2F581C9E-479A-4D31-BD70-155D6D697723}"/>
    <cellStyle name="Normal 4 2 4 2 7 4" xfId="10617" xr:uid="{F9CCE032-23E4-4EB1-9996-69D8E15D5828}"/>
    <cellStyle name="Normal 4 2 4 2 8" xfId="2515" xr:uid="{00000000-0005-0000-0000-00007A130000}"/>
    <cellStyle name="Normal 4 2 4 2 8 2" xfId="6798" xr:uid="{00000000-0005-0000-0000-00007B130000}"/>
    <cellStyle name="Normal 4 2 4 2 8 2 2" xfId="15248" xr:uid="{F83BD58A-FCB1-4A15-B2ED-CB1422ACF583}"/>
    <cellStyle name="Normal 4 2 4 2 8 3" xfId="11030" xr:uid="{5EDC8797-BE77-4F96-B356-42E53D11C8EC}"/>
    <cellStyle name="Normal 4 2 4 2 9" xfId="4733" xr:uid="{00000000-0005-0000-0000-00007C130000}"/>
    <cellStyle name="Normal 4 2 4 2 9 2" xfId="13183" xr:uid="{00DCDF21-BF64-46E5-82F3-E82F05932478}"/>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2 2 2" xfId="15746" xr:uid="{BDC53E11-08E1-4307-86E0-C7237CDF7EF3}"/>
    <cellStyle name="Normal 4 2 4 3 2 2 2 3" xfId="11528" xr:uid="{6CF842E1-A21A-4D6C-A376-6F260D9AB144}"/>
    <cellStyle name="Normal 4 2 4 3 2 2 3" xfId="5151" xr:uid="{00000000-0005-0000-0000-000082130000}"/>
    <cellStyle name="Normal 4 2 4 3 2 2 3 2" xfId="13601" xr:uid="{BB27A280-EE78-4521-B41C-AAFBAA1F691B}"/>
    <cellStyle name="Normal 4 2 4 3 2 2 4" xfId="9383" xr:uid="{ED89EF66-0D4C-47FD-8D7D-F09A41E6FE05}"/>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2 2 2" xfId="16159" xr:uid="{6A82EC03-1B04-48D4-83FF-092F30441C58}"/>
    <cellStyle name="Normal 4 2 4 3 2 3 2 3" xfId="11941" xr:uid="{48A291FC-5F76-435B-A9F5-4E36A68C8266}"/>
    <cellStyle name="Normal 4 2 4 3 2 3 3" xfId="5564" xr:uid="{00000000-0005-0000-0000-000086130000}"/>
    <cellStyle name="Normal 4 2 4 3 2 3 3 2" xfId="14014" xr:uid="{85C42A42-14B9-49C6-AE44-3185E8B25624}"/>
    <cellStyle name="Normal 4 2 4 3 2 3 4" xfId="9796" xr:uid="{3F1283F8-FDBD-49EA-94A9-289C9026C98D}"/>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2 2 2" xfId="16572" xr:uid="{5A56AC71-9936-4B53-A8ED-98B6AE91B98F}"/>
    <cellStyle name="Normal 4 2 4 3 2 4 2 3" xfId="12354" xr:uid="{3F2DC92F-D849-4888-A4B4-1F1A0B25FF08}"/>
    <cellStyle name="Normal 4 2 4 3 2 4 3" xfId="5977" xr:uid="{00000000-0005-0000-0000-00008A130000}"/>
    <cellStyle name="Normal 4 2 4 3 2 4 3 2" xfId="14427" xr:uid="{A7858564-E01E-4D91-8B55-A5C20F48B786}"/>
    <cellStyle name="Normal 4 2 4 3 2 4 4" xfId="10209" xr:uid="{628AEBC3-0B5F-4D4E-86E8-C2BCBB4FB87D}"/>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2 2 2" xfId="16985" xr:uid="{F40BD0F1-C76D-4DD3-8A8C-A221105FDC3B}"/>
    <cellStyle name="Normal 4 2 4 3 2 5 2 3" xfId="12767" xr:uid="{E8882D7B-92E5-48BB-9E9E-6EAB0061E9FA}"/>
    <cellStyle name="Normal 4 2 4 3 2 5 3" xfId="6390" xr:uid="{00000000-0005-0000-0000-00008E130000}"/>
    <cellStyle name="Normal 4 2 4 3 2 5 3 2" xfId="14840" xr:uid="{0DE473C9-D68F-4FF0-9948-B5713C858226}"/>
    <cellStyle name="Normal 4 2 4 3 2 5 4" xfId="10622" xr:uid="{2B6B6AE2-BD0A-4E01-AF43-5A82531AB2AC}"/>
    <cellStyle name="Normal 4 2 4 3 2 6" xfId="2520" xr:uid="{00000000-0005-0000-0000-00008F130000}"/>
    <cellStyle name="Normal 4 2 4 3 2 6 2" xfId="6803" xr:uid="{00000000-0005-0000-0000-000090130000}"/>
    <cellStyle name="Normal 4 2 4 3 2 6 2 2" xfId="15253" xr:uid="{427EE642-08A9-4CC9-B852-4C5AB6DD31C8}"/>
    <cellStyle name="Normal 4 2 4 3 2 6 3" xfId="11035" xr:uid="{12A5FE30-E1CE-4609-8542-A4E0F96CFD2B}"/>
    <cellStyle name="Normal 4 2 4 3 2 7" xfId="4738" xr:uid="{00000000-0005-0000-0000-000091130000}"/>
    <cellStyle name="Normal 4 2 4 3 2 7 2" xfId="13188" xr:uid="{4B487C5B-8712-4653-8223-C0DC4C76AD60}"/>
    <cellStyle name="Normal 4 2 4 3 2 8" xfId="8970" xr:uid="{A291596D-5E69-47BC-BEA0-B8A378FA77E0}"/>
    <cellStyle name="Normal 4 2 4 3 3" xfId="836" xr:uid="{00000000-0005-0000-0000-000092130000}"/>
    <cellStyle name="Normal 4 2 4 3 3 2" xfId="3073" xr:uid="{00000000-0005-0000-0000-000093130000}"/>
    <cellStyle name="Normal 4 2 4 3 3 2 2" xfId="7295" xr:uid="{00000000-0005-0000-0000-000094130000}"/>
    <cellStyle name="Normal 4 2 4 3 3 2 2 2" xfId="15745" xr:uid="{7B87ADCD-4D34-4A8A-AECF-C947382B8455}"/>
    <cellStyle name="Normal 4 2 4 3 3 2 3" xfId="11527" xr:uid="{405B18EB-21DC-4D89-996A-A156E7E0215A}"/>
    <cellStyle name="Normal 4 2 4 3 3 3" xfId="5150" xr:uid="{00000000-0005-0000-0000-000095130000}"/>
    <cellStyle name="Normal 4 2 4 3 3 3 2" xfId="13600" xr:uid="{E55AC0CF-930A-4D05-BC81-F9E565821702}"/>
    <cellStyle name="Normal 4 2 4 3 3 4" xfId="9382" xr:uid="{F39FAE3F-4310-472B-9DB5-2EAE59D74FD3}"/>
    <cellStyle name="Normal 4 2 4 3 4" xfId="1256" xr:uid="{00000000-0005-0000-0000-000096130000}"/>
    <cellStyle name="Normal 4 2 4 3 4 2" xfId="3486" xr:uid="{00000000-0005-0000-0000-000097130000}"/>
    <cellStyle name="Normal 4 2 4 3 4 2 2" xfId="7708" xr:uid="{00000000-0005-0000-0000-000098130000}"/>
    <cellStyle name="Normal 4 2 4 3 4 2 2 2" xfId="16158" xr:uid="{59B4B73E-6EAA-48F8-B060-6434CC432BB6}"/>
    <cellStyle name="Normal 4 2 4 3 4 2 3" xfId="11940" xr:uid="{EB743961-DA06-4D5C-847B-BAD9DEC7AD73}"/>
    <cellStyle name="Normal 4 2 4 3 4 3" xfId="5563" xr:uid="{00000000-0005-0000-0000-000099130000}"/>
    <cellStyle name="Normal 4 2 4 3 4 3 2" xfId="14013" xr:uid="{DE8AB601-2119-4549-AEEC-72A48CB54B6C}"/>
    <cellStyle name="Normal 4 2 4 3 4 4" xfId="9795" xr:uid="{61FF7D01-18F0-4F02-BCEE-C59340BB27A7}"/>
    <cellStyle name="Normal 4 2 4 3 5" xfId="1669" xr:uid="{00000000-0005-0000-0000-00009A130000}"/>
    <cellStyle name="Normal 4 2 4 3 5 2" xfId="3899" xr:uid="{00000000-0005-0000-0000-00009B130000}"/>
    <cellStyle name="Normal 4 2 4 3 5 2 2" xfId="8121" xr:uid="{00000000-0005-0000-0000-00009C130000}"/>
    <cellStyle name="Normal 4 2 4 3 5 2 2 2" xfId="16571" xr:uid="{F45E9BDD-5DAC-47AF-ADAE-461E616B4950}"/>
    <cellStyle name="Normal 4 2 4 3 5 2 3" xfId="12353" xr:uid="{57E6308A-B246-45EB-ACBF-F3999F8C76B1}"/>
    <cellStyle name="Normal 4 2 4 3 5 3" xfId="5976" xr:uid="{00000000-0005-0000-0000-00009D130000}"/>
    <cellStyle name="Normal 4 2 4 3 5 3 2" xfId="14426" xr:uid="{5C5023AF-64AF-4EC6-B76F-BCC64FE4E5D1}"/>
    <cellStyle name="Normal 4 2 4 3 5 4" xfId="10208" xr:uid="{1514E3A7-FD09-479B-A84E-0F1A7B2CE285}"/>
    <cellStyle name="Normal 4 2 4 3 6" xfId="2083" xr:uid="{00000000-0005-0000-0000-00009E130000}"/>
    <cellStyle name="Normal 4 2 4 3 6 2" xfId="4312" xr:uid="{00000000-0005-0000-0000-00009F130000}"/>
    <cellStyle name="Normal 4 2 4 3 6 2 2" xfId="8534" xr:uid="{00000000-0005-0000-0000-0000A0130000}"/>
    <cellStyle name="Normal 4 2 4 3 6 2 2 2" xfId="16984" xr:uid="{1F398F87-55B6-4F6F-8ADE-39AE6DFDBE74}"/>
    <cellStyle name="Normal 4 2 4 3 6 2 3" xfId="12766" xr:uid="{883317B1-B453-4476-91B4-23C54661E4E4}"/>
    <cellStyle name="Normal 4 2 4 3 6 3" xfId="6389" xr:uid="{00000000-0005-0000-0000-0000A1130000}"/>
    <cellStyle name="Normal 4 2 4 3 6 3 2" xfId="14839" xr:uid="{4688AEA4-D51A-44C8-A03E-024B66FADC28}"/>
    <cellStyle name="Normal 4 2 4 3 6 4" xfId="10621" xr:uid="{14B1158D-BDE3-4986-AFB9-4BDF3A371DAE}"/>
    <cellStyle name="Normal 4 2 4 3 7" xfId="2519" xr:uid="{00000000-0005-0000-0000-0000A2130000}"/>
    <cellStyle name="Normal 4 2 4 3 7 2" xfId="6802" xr:uid="{00000000-0005-0000-0000-0000A3130000}"/>
    <cellStyle name="Normal 4 2 4 3 7 2 2" xfId="15252" xr:uid="{D2A27CA1-9F0B-4D3E-9008-8F0FBA94FE35}"/>
    <cellStyle name="Normal 4 2 4 3 7 3" xfId="11034" xr:uid="{B4203ED1-D6BA-4AB7-B5E4-31CA5A16B320}"/>
    <cellStyle name="Normal 4 2 4 3 8" xfId="4737" xr:uid="{00000000-0005-0000-0000-0000A4130000}"/>
    <cellStyle name="Normal 4 2 4 3 8 2" xfId="13187" xr:uid="{219E723C-43C1-4C68-8BA6-F180CCACB8EB}"/>
    <cellStyle name="Normal 4 2 4 3 9" xfId="8969" xr:uid="{E46AB3CE-A0CD-45D6-B907-9F75FC998D88}"/>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2 2 2" xfId="15747" xr:uid="{0FAAD510-492C-4F7C-8B06-C0EC7CFFBECA}"/>
    <cellStyle name="Normal 4 2 4 4 2 2 3" xfId="11529" xr:uid="{AE5B1BD8-794A-4212-BB51-E66BDD03BF88}"/>
    <cellStyle name="Normal 4 2 4 4 2 3" xfId="5152" xr:uid="{00000000-0005-0000-0000-0000A9130000}"/>
    <cellStyle name="Normal 4 2 4 4 2 3 2" xfId="13602" xr:uid="{D228E539-FB44-4144-B0A5-3A868AADBD63}"/>
    <cellStyle name="Normal 4 2 4 4 2 4" xfId="9384" xr:uid="{16C8FC32-8989-4E44-AEB3-F0ED719DD6DB}"/>
    <cellStyle name="Normal 4 2 4 4 3" xfId="1258" xr:uid="{00000000-0005-0000-0000-0000AA130000}"/>
    <cellStyle name="Normal 4 2 4 4 3 2" xfId="3488" xr:uid="{00000000-0005-0000-0000-0000AB130000}"/>
    <cellStyle name="Normal 4 2 4 4 3 2 2" xfId="7710" xr:uid="{00000000-0005-0000-0000-0000AC130000}"/>
    <cellStyle name="Normal 4 2 4 4 3 2 2 2" xfId="16160" xr:uid="{4DC04F24-45C3-4394-AEED-5979DC7F878B}"/>
    <cellStyle name="Normal 4 2 4 4 3 2 3" xfId="11942" xr:uid="{AB6CA4DC-0956-4B5E-B4E3-FA6378A4F062}"/>
    <cellStyle name="Normal 4 2 4 4 3 3" xfId="5565" xr:uid="{00000000-0005-0000-0000-0000AD130000}"/>
    <cellStyle name="Normal 4 2 4 4 3 3 2" xfId="14015" xr:uid="{F75BDC08-7F57-4DD2-AADA-44CB06208B95}"/>
    <cellStyle name="Normal 4 2 4 4 3 4" xfId="9797" xr:uid="{078BA42B-5229-4014-9329-65E7E2C86EB7}"/>
    <cellStyle name="Normal 4 2 4 4 4" xfId="1671" xr:uid="{00000000-0005-0000-0000-0000AE130000}"/>
    <cellStyle name="Normal 4 2 4 4 4 2" xfId="3901" xr:uid="{00000000-0005-0000-0000-0000AF130000}"/>
    <cellStyle name="Normal 4 2 4 4 4 2 2" xfId="8123" xr:uid="{00000000-0005-0000-0000-0000B0130000}"/>
    <cellStyle name="Normal 4 2 4 4 4 2 2 2" xfId="16573" xr:uid="{BB21C662-C3D3-400D-AA68-D47665A7AF43}"/>
    <cellStyle name="Normal 4 2 4 4 4 2 3" xfId="12355" xr:uid="{1A58467A-BEC3-422D-95DD-3DD4872A1FD6}"/>
    <cellStyle name="Normal 4 2 4 4 4 3" xfId="5978" xr:uid="{00000000-0005-0000-0000-0000B1130000}"/>
    <cellStyle name="Normal 4 2 4 4 4 3 2" xfId="14428" xr:uid="{7EE64298-1B53-4DA1-8593-3668941136F7}"/>
    <cellStyle name="Normal 4 2 4 4 4 4" xfId="10210" xr:uid="{A6CEEF51-DE00-4CBD-A8CC-EC3AB0A6C0B1}"/>
    <cellStyle name="Normal 4 2 4 4 5" xfId="2085" xr:uid="{00000000-0005-0000-0000-0000B2130000}"/>
    <cellStyle name="Normal 4 2 4 4 5 2" xfId="4314" xr:uid="{00000000-0005-0000-0000-0000B3130000}"/>
    <cellStyle name="Normal 4 2 4 4 5 2 2" xfId="8536" xr:uid="{00000000-0005-0000-0000-0000B4130000}"/>
    <cellStyle name="Normal 4 2 4 4 5 2 2 2" xfId="16986" xr:uid="{83DF5D02-639E-41F4-B6BA-27C8AD8E52D7}"/>
    <cellStyle name="Normal 4 2 4 4 5 2 3" xfId="12768" xr:uid="{E2D1676C-D37A-4F09-BA10-57E082AD0021}"/>
    <cellStyle name="Normal 4 2 4 4 5 3" xfId="6391" xr:uid="{00000000-0005-0000-0000-0000B5130000}"/>
    <cellStyle name="Normal 4 2 4 4 5 3 2" xfId="14841" xr:uid="{88A58842-9713-46B2-BFB7-8D5EEA48E061}"/>
    <cellStyle name="Normal 4 2 4 4 5 4" xfId="10623" xr:uid="{0D5C0D96-2AF6-4311-A7A3-6B9375417C3F}"/>
    <cellStyle name="Normal 4 2 4 4 6" xfId="2521" xr:uid="{00000000-0005-0000-0000-0000B6130000}"/>
    <cellStyle name="Normal 4 2 4 4 6 2" xfId="6804" xr:uid="{00000000-0005-0000-0000-0000B7130000}"/>
    <cellStyle name="Normal 4 2 4 4 6 2 2" xfId="15254" xr:uid="{DC9B63CD-2131-4E23-B895-37771FF04227}"/>
    <cellStyle name="Normal 4 2 4 4 6 3" xfId="11036" xr:uid="{A5555499-92B8-4BA1-85E3-5A0ACA11FD60}"/>
    <cellStyle name="Normal 4 2 4 4 7" xfId="4739" xr:uid="{00000000-0005-0000-0000-0000B8130000}"/>
    <cellStyle name="Normal 4 2 4 4 7 2" xfId="13189" xr:uid="{F3356E36-66DF-4742-8A4B-0304C8636F76}"/>
    <cellStyle name="Normal 4 2 4 4 8" xfId="8971" xr:uid="{936D3B02-94BB-4E0C-87BD-706F8D8ACB21}"/>
    <cellStyle name="Normal 4 2 4 5" xfId="831" xr:uid="{00000000-0005-0000-0000-0000B9130000}"/>
    <cellStyle name="Normal 4 2 4 5 2" xfId="3068" xr:uid="{00000000-0005-0000-0000-0000BA130000}"/>
    <cellStyle name="Normal 4 2 4 5 2 2" xfId="7290" xr:uid="{00000000-0005-0000-0000-0000BB130000}"/>
    <cellStyle name="Normal 4 2 4 5 2 2 2" xfId="15740" xr:uid="{E0698A90-DABD-40B5-AA32-19B6514CECF1}"/>
    <cellStyle name="Normal 4 2 4 5 2 3" xfId="11522" xr:uid="{2BF03B26-B5F2-494A-91AE-E9CFB85EE028}"/>
    <cellStyle name="Normal 4 2 4 5 3" xfId="5145" xr:uid="{00000000-0005-0000-0000-0000BC130000}"/>
    <cellStyle name="Normal 4 2 4 5 3 2" xfId="13595" xr:uid="{8289BC95-924E-4A18-80D3-0527E52BB61A}"/>
    <cellStyle name="Normal 4 2 4 5 4" xfId="9377" xr:uid="{F252A730-B0F0-4F99-8C17-C07E33190C2C}"/>
    <cellStyle name="Normal 4 2 4 6" xfId="1251" xr:uid="{00000000-0005-0000-0000-0000BD130000}"/>
    <cellStyle name="Normal 4 2 4 6 2" xfId="3481" xr:uid="{00000000-0005-0000-0000-0000BE130000}"/>
    <cellStyle name="Normal 4 2 4 6 2 2" xfId="7703" xr:uid="{00000000-0005-0000-0000-0000BF130000}"/>
    <cellStyle name="Normal 4 2 4 6 2 2 2" xfId="16153" xr:uid="{0C727CE7-FF60-4409-8465-B83E713CB22B}"/>
    <cellStyle name="Normal 4 2 4 6 2 3" xfId="11935" xr:uid="{2F0FD3BB-1341-492E-BE99-897C6A61D519}"/>
    <cellStyle name="Normal 4 2 4 6 3" xfId="5558" xr:uid="{00000000-0005-0000-0000-0000C0130000}"/>
    <cellStyle name="Normal 4 2 4 6 3 2" xfId="14008" xr:uid="{D0482C6D-C161-4847-A8BD-ED850C932FE7}"/>
    <cellStyle name="Normal 4 2 4 6 4" xfId="9790" xr:uid="{0E36E2D7-BF9E-47BD-9522-7B4951F2AE6B}"/>
    <cellStyle name="Normal 4 2 4 7" xfId="1664" xr:uid="{00000000-0005-0000-0000-0000C1130000}"/>
    <cellStyle name="Normal 4 2 4 7 2" xfId="3894" xr:uid="{00000000-0005-0000-0000-0000C2130000}"/>
    <cellStyle name="Normal 4 2 4 7 2 2" xfId="8116" xr:uid="{00000000-0005-0000-0000-0000C3130000}"/>
    <cellStyle name="Normal 4 2 4 7 2 2 2" xfId="16566" xr:uid="{60AE8C70-D5E3-4F1E-AE52-FB8087BBFFDB}"/>
    <cellStyle name="Normal 4 2 4 7 2 3" xfId="12348" xr:uid="{5430ECC3-8917-4C60-948E-A653C0FB9ACB}"/>
    <cellStyle name="Normal 4 2 4 7 3" xfId="5971" xr:uid="{00000000-0005-0000-0000-0000C4130000}"/>
    <cellStyle name="Normal 4 2 4 7 3 2" xfId="14421" xr:uid="{9A6F9942-73C9-4746-8527-AEECFA4FED2E}"/>
    <cellStyle name="Normal 4 2 4 7 4" xfId="10203" xr:uid="{102E6342-1FA5-41D0-9F0A-FDE9E72BF911}"/>
    <cellStyle name="Normal 4 2 4 8" xfId="2078" xr:uid="{00000000-0005-0000-0000-0000C5130000}"/>
    <cellStyle name="Normal 4 2 4 8 2" xfId="4307" xr:uid="{00000000-0005-0000-0000-0000C6130000}"/>
    <cellStyle name="Normal 4 2 4 8 2 2" xfId="8529" xr:uid="{00000000-0005-0000-0000-0000C7130000}"/>
    <cellStyle name="Normal 4 2 4 8 2 2 2" xfId="16979" xr:uid="{35942F0F-BB35-413E-BB83-58D4B1C3F3D8}"/>
    <cellStyle name="Normal 4 2 4 8 2 3" xfId="12761" xr:uid="{D7DCB307-2E0F-48A1-8F5C-E9CB2EC553AC}"/>
    <cellStyle name="Normal 4 2 4 8 3" xfId="6384" xr:uid="{00000000-0005-0000-0000-0000C8130000}"/>
    <cellStyle name="Normal 4 2 4 8 3 2" xfId="14834" xr:uid="{7F6E718A-65FD-49E9-8FE8-E036BA09C28A}"/>
    <cellStyle name="Normal 4 2 4 8 4" xfId="10616" xr:uid="{876801C4-97D1-496B-8E05-351CDE6CD00F}"/>
    <cellStyle name="Normal 4 2 4 9" xfId="2514" xr:uid="{00000000-0005-0000-0000-0000C9130000}"/>
    <cellStyle name="Normal 4 2 4 9 2" xfId="6797" xr:uid="{00000000-0005-0000-0000-0000CA130000}"/>
    <cellStyle name="Normal 4 2 4 9 2 2" xfId="15247" xr:uid="{DC8FC91F-6030-422F-9C2A-3B12131EE80F}"/>
    <cellStyle name="Normal 4 2 4 9 3" xfId="11029" xr:uid="{9925A938-A6B4-4AE4-95F9-6C7968164F9C}"/>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2 2 2" xfId="15749" xr:uid="{CFA75FD2-40FA-4A06-91B7-F71C4711343A}"/>
    <cellStyle name="Normal 4 2 5 2 2 2 3" xfId="11531" xr:uid="{76D47FF7-E816-44F9-91BB-0F6341482416}"/>
    <cellStyle name="Normal 4 2 5 2 2 3" xfId="5154" xr:uid="{00000000-0005-0000-0000-0000D0130000}"/>
    <cellStyle name="Normal 4 2 5 2 2 3 2" xfId="13604" xr:uid="{FF622765-8CBF-4E56-8261-83634E1781EC}"/>
    <cellStyle name="Normal 4 2 5 2 2 4" xfId="9386" xr:uid="{CC9E2411-6202-44EB-B87E-5288BBBA224E}"/>
    <cellStyle name="Normal 4 2 5 2 3" xfId="1260" xr:uid="{00000000-0005-0000-0000-0000D1130000}"/>
    <cellStyle name="Normal 4 2 5 2 3 2" xfId="3490" xr:uid="{00000000-0005-0000-0000-0000D2130000}"/>
    <cellStyle name="Normal 4 2 5 2 3 2 2" xfId="7712" xr:uid="{00000000-0005-0000-0000-0000D3130000}"/>
    <cellStyle name="Normal 4 2 5 2 3 2 2 2" xfId="16162" xr:uid="{D77B741E-BE82-442A-9ED2-124B7BC918D5}"/>
    <cellStyle name="Normal 4 2 5 2 3 2 3" xfId="11944" xr:uid="{180CE8DE-ED0A-43F3-9BA7-03504A3765C7}"/>
    <cellStyle name="Normal 4 2 5 2 3 3" xfId="5567" xr:uid="{00000000-0005-0000-0000-0000D4130000}"/>
    <cellStyle name="Normal 4 2 5 2 3 3 2" xfId="14017" xr:uid="{4A853319-8DEB-4F94-858F-EE210A5CD380}"/>
    <cellStyle name="Normal 4 2 5 2 3 4" xfId="9799" xr:uid="{6276AE07-A9EC-4627-B583-1FE515101015}"/>
    <cellStyle name="Normal 4 2 5 2 4" xfId="1673" xr:uid="{00000000-0005-0000-0000-0000D5130000}"/>
    <cellStyle name="Normal 4 2 5 2 4 2" xfId="3903" xr:uid="{00000000-0005-0000-0000-0000D6130000}"/>
    <cellStyle name="Normal 4 2 5 2 4 2 2" xfId="8125" xr:uid="{00000000-0005-0000-0000-0000D7130000}"/>
    <cellStyle name="Normal 4 2 5 2 4 2 2 2" xfId="16575" xr:uid="{9875D217-1248-47AA-82C0-B108C716BE7B}"/>
    <cellStyle name="Normal 4 2 5 2 4 2 3" xfId="12357" xr:uid="{E43FD8BB-5D8D-4929-B710-6D9AFA8BABA8}"/>
    <cellStyle name="Normal 4 2 5 2 4 3" xfId="5980" xr:uid="{00000000-0005-0000-0000-0000D8130000}"/>
    <cellStyle name="Normal 4 2 5 2 4 3 2" xfId="14430" xr:uid="{C427088C-42B8-4F89-9C2B-1A5B6D627E67}"/>
    <cellStyle name="Normal 4 2 5 2 4 4" xfId="10212" xr:uid="{930CC9B0-B6CB-459D-9B74-17676AA6D32F}"/>
    <cellStyle name="Normal 4 2 5 2 5" xfId="2087" xr:uid="{00000000-0005-0000-0000-0000D9130000}"/>
    <cellStyle name="Normal 4 2 5 2 5 2" xfId="4316" xr:uid="{00000000-0005-0000-0000-0000DA130000}"/>
    <cellStyle name="Normal 4 2 5 2 5 2 2" xfId="8538" xr:uid="{00000000-0005-0000-0000-0000DB130000}"/>
    <cellStyle name="Normal 4 2 5 2 5 2 2 2" xfId="16988" xr:uid="{3F37A7DF-1F6D-49E9-B251-B1FFB58985C8}"/>
    <cellStyle name="Normal 4 2 5 2 5 2 3" xfId="12770" xr:uid="{EA028395-1589-4456-925D-A40BA0F997C2}"/>
    <cellStyle name="Normal 4 2 5 2 5 3" xfId="6393" xr:uid="{00000000-0005-0000-0000-0000DC130000}"/>
    <cellStyle name="Normal 4 2 5 2 5 3 2" xfId="14843" xr:uid="{CCED88A9-24B4-4419-9B38-369C83E457F7}"/>
    <cellStyle name="Normal 4 2 5 2 5 4" xfId="10625" xr:uid="{AF2A7AD0-1EF9-4E42-8AC2-170661C9C6DB}"/>
    <cellStyle name="Normal 4 2 5 2 6" xfId="2523" xr:uid="{00000000-0005-0000-0000-0000DD130000}"/>
    <cellStyle name="Normal 4 2 5 2 6 2" xfId="6806" xr:uid="{00000000-0005-0000-0000-0000DE130000}"/>
    <cellStyle name="Normal 4 2 5 2 6 2 2" xfId="15256" xr:uid="{0B554CE3-4E8C-4EB8-A67C-3FB978E49BE6}"/>
    <cellStyle name="Normal 4 2 5 2 6 3" xfId="11038" xr:uid="{29385068-B5C2-4C8B-A049-F4671A6D7E1A}"/>
    <cellStyle name="Normal 4 2 5 2 7" xfId="4741" xr:uid="{00000000-0005-0000-0000-0000DF130000}"/>
    <cellStyle name="Normal 4 2 5 2 7 2" xfId="13191" xr:uid="{6D3E4D82-EE4C-4A19-841C-B5938B7E44E5}"/>
    <cellStyle name="Normal 4 2 5 2 8" xfId="8973" xr:uid="{ACBEF7D5-FB8A-44A2-94E0-A1511D583962}"/>
    <cellStyle name="Normal 4 2 5 3" xfId="839" xr:uid="{00000000-0005-0000-0000-0000E0130000}"/>
    <cellStyle name="Normal 4 2 5 3 2" xfId="3076" xr:uid="{00000000-0005-0000-0000-0000E1130000}"/>
    <cellStyle name="Normal 4 2 5 3 2 2" xfId="7298" xr:uid="{00000000-0005-0000-0000-0000E2130000}"/>
    <cellStyle name="Normal 4 2 5 3 2 2 2" xfId="15748" xr:uid="{F22FA492-4CDF-4928-A1C3-09817DA50B34}"/>
    <cellStyle name="Normal 4 2 5 3 2 3" xfId="11530" xr:uid="{7F652B23-A813-424C-B16A-6F28C6D1F286}"/>
    <cellStyle name="Normal 4 2 5 3 3" xfId="5153" xr:uid="{00000000-0005-0000-0000-0000E3130000}"/>
    <cellStyle name="Normal 4 2 5 3 3 2" xfId="13603" xr:uid="{B6FDE85B-A6DC-40A4-B2FF-6084D59BF9FD}"/>
    <cellStyle name="Normal 4 2 5 3 4" xfId="9385" xr:uid="{F23A444B-3B27-45F9-A7E0-3DBDA0C51576}"/>
    <cellStyle name="Normal 4 2 5 4" xfId="1259" xr:uid="{00000000-0005-0000-0000-0000E4130000}"/>
    <cellStyle name="Normal 4 2 5 4 2" xfId="3489" xr:uid="{00000000-0005-0000-0000-0000E5130000}"/>
    <cellStyle name="Normal 4 2 5 4 2 2" xfId="7711" xr:uid="{00000000-0005-0000-0000-0000E6130000}"/>
    <cellStyle name="Normal 4 2 5 4 2 2 2" xfId="16161" xr:uid="{00B434A2-E6FE-403A-BEB4-E7AAEB5091E8}"/>
    <cellStyle name="Normal 4 2 5 4 2 3" xfId="11943" xr:uid="{6D0CA63C-84FC-4610-A21F-68143AB67B50}"/>
    <cellStyle name="Normal 4 2 5 4 3" xfId="5566" xr:uid="{00000000-0005-0000-0000-0000E7130000}"/>
    <cellStyle name="Normal 4 2 5 4 3 2" xfId="14016" xr:uid="{EEF39950-ECFE-4358-889E-C10E28DFDD40}"/>
    <cellStyle name="Normal 4 2 5 4 4" xfId="9798" xr:uid="{D17FF330-6A0A-4F6B-88B8-C8A611570410}"/>
    <cellStyle name="Normal 4 2 5 5" xfId="1672" xr:uid="{00000000-0005-0000-0000-0000E8130000}"/>
    <cellStyle name="Normal 4 2 5 5 2" xfId="3902" xr:uid="{00000000-0005-0000-0000-0000E9130000}"/>
    <cellStyle name="Normal 4 2 5 5 2 2" xfId="8124" xr:uid="{00000000-0005-0000-0000-0000EA130000}"/>
    <cellStyle name="Normal 4 2 5 5 2 2 2" xfId="16574" xr:uid="{CD66863A-6455-496C-82A7-7FDC442643A2}"/>
    <cellStyle name="Normal 4 2 5 5 2 3" xfId="12356" xr:uid="{1A94982F-A4C2-47CE-93A3-09A990FE90F3}"/>
    <cellStyle name="Normal 4 2 5 5 3" xfId="5979" xr:uid="{00000000-0005-0000-0000-0000EB130000}"/>
    <cellStyle name="Normal 4 2 5 5 3 2" xfId="14429" xr:uid="{B9B5EEA3-05D5-4D92-9693-3747698A081B}"/>
    <cellStyle name="Normal 4 2 5 5 4" xfId="10211" xr:uid="{1273284F-BC2C-4EF7-BA4F-BECFD7C8DBE0}"/>
    <cellStyle name="Normal 4 2 5 6" xfId="2086" xr:uid="{00000000-0005-0000-0000-0000EC130000}"/>
    <cellStyle name="Normal 4 2 5 6 2" xfId="4315" xr:uid="{00000000-0005-0000-0000-0000ED130000}"/>
    <cellStyle name="Normal 4 2 5 6 2 2" xfId="8537" xr:uid="{00000000-0005-0000-0000-0000EE130000}"/>
    <cellStyle name="Normal 4 2 5 6 2 2 2" xfId="16987" xr:uid="{45CB7FC9-CAA9-4CF4-A048-A7CC79B218DB}"/>
    <cellStyle name="Normal 4 2 5 6 2 3" xfId="12769" xr:uid="{D32245FB-A0BE-4EFD-930B-52002F4C30DD}"/>
    <cellStyle name="Normal 4 2 5 6 3" xfId="6392" xr:uid="{00000000-0005-0000-0000-0000EF130000}"/>
    <cellStyle name="Normal 4 2 5 6 3 2" xfId="14842" xr:uid="{771B8B69-8915-4760-9A6C-F3E3ACF6188C}"/>
    <cellStyle name="Normal 4 2 5 6 4" xfId="10624" xr:uid="{1E33E140-78F1-47C0-82A9-628C57443A97}"/>
    <cellStyle name="Normal 4 2 5 7" xfId="2522" xr:uid="{00000000-0005-0000-0000-0000F0130000}"/>
    <cellStyle name="Normal 4 2 5 7 2" xfId="6805" xr:uid="{00000000-0005-0000-0000-0000F1130000}"/>
    <cellStyle name="Normal 4 2 5 7 2 2" xfId="15255" xr:uid="{525ED950-2EEF-42B5-A69C-D36F2C35928B}"/>
    <cellStyle name="Normal 4 2 5 7 3" xfId="11037" xr:uid="{084D3CE1-E25F-41D6-902D-097ADFADBB45}"/>
    <cellStyle name="Normal 4 2 5 8" xfId="4740" xr:uid="{00000000-0005-0000-0000-0000F2130000}"/>
    <cellStyle name="Normal 4 2 5 8 2" xfId="13190" xr:uid="{14E120D9-FE40-4041-9AF4-408CCEC7E61D}"/>
    <cellStyle name="Normal 4 2 5 9" xfId="8972" xr:uid="{3F0EAD8C-5119-4BC1-83E6-A45E172CB395}"/>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2 2 2" xfId="15750" xr:uid="{49DAF3DB-1B28-4BFC-852B-CC6E17EFD869}"/>
    <cellStyle name="Normal 4 2 6 2 2 3" xfId="11532" xr:uid="{BEC1FF72-9D18-418C-933B-FF3EAC2DDAD8}"/>
    <cellStyle name="Normal 4 2 6 2 3" xfId="5155" xr:uid="{00000000-0005-0000-0000-0000F7130000}"/>
    <cellStyle name="Normal 4 2 6 2 3 2" xfId="13605" xr:uid="{0575F602-E3C2-4E56-9B53-7ECD2FFE0901}"/>
    <cellStyle name="Normal 4 2 6 2 4" xfId="9387" xr:uid="{341B8A6C-E544-48B8-8876-EB0CD10DC73C}"/>
    <cellStyle name="Normal 4 2 6 3" xfId="1261" xr:uid="{00000000-0005-0000-0000-0000F8130000}"/>
    <cellStyle name="Normal 4 2 6 3 2" xfId="3491" xr:uid="{00000000-0005-0000-0000-0000F9130000}"/>
    <cellStyle name="Normal 4 2 6 3 2 2" xfId="7713" xr:uid="{00000000-0005-0000-0000-0000FA130000}"/>
    <cellStyle name="Normal 4 2 6 3 2 2 2" xfId="16163" xr:uid="{EDFA8778-3AF6-44A1-81A4-02E23DF0D2A4}"/>
    <cellStyle name="Normal 4 2 6 3 2 3" xfId="11945" xr:uid="{421F6C00-18A9-48BE-BDA2-CFD92519127A}"/>
    <cellStyle name="Normal 4 2 6 3 3" xfId="5568" xr:uid="{00000000-0005-0000-0000-0000FB130000}"/>
    <cellStyle name="Normal 4 2 6 3 3 2" xfId="14018" xr:uid="{69E3986C-FA80-48B1-A6CB-01CD4415CF89}"/>
    <cellStyle name="Normal 4 2 6 3 4" xfId="9800" xr:uid="{1A35CDAC-901B-4427-A089-3A91FF5F6D4A}"/>
    <cellStyle name="Normal 4 2 6 4" xfId="1674" xr:uid="{00000000-0005-0000-0000-0000FC130000}"/>
    <cellStyle name="Normal 4 2 6 4 2" xfId="3904" xr:uid="{00000000-0005-0000-0000-0000FD130000}"/>
    <cellStyle name="Normal 4 2 6 4 2 2" xfId="8126" xr:uid="{00000000-0005-0000-0000-0000FE130000}"/>
    <cellStyle name="Normal 4 2 6 4 2 2 2" xfId="16576" xr:uid="{20311673-4A1C-4743-80B9-D7DD8F9BDB78}"/>
    <cellStyle name="Normal 4 2 6 4 2 3" xfId="12358" xr:uid="{D874084F-5653-4E22-B370-F606E2DE66AB}"/>
    <cellStyle name="Normal 4 2 6 4 3" xfId="5981" xr:uid="{00000000-0005-0000-0000-0000FF130000}"/>
    <cellStyle name="Normal 4 2 6 4 3 2" xfId="14431" xr:uid="{D825391A-3D19-4853-9496-FC725BFF01CB}"/>
    <cellStyle name="Normal 4 2 6 4 4" xfId="10213" xr:uid="{1787DD45-466E-44A1-80D1-43B18B64D965}"/>
    <cellStyle name="Normal 4 2 6 5" xfId="2088" xr:uid="{00000000-0005-0000-0000-000000140000}"/>
    <cellStyle name="Normal 4 2 6 5 2" xfId="4317" xr:uid="{00000000-0005-0000-0000-000001140000}"/>
    <cellStyle name="Normal 4 2 6 5 2 2" xfId="8539" xr:uid="{00000000-0005-0000-0000-000002140000}"/>
    <cellStyle name="Normal 4 2 6 5 2 2 2" xfId="16989" xr:uid="{9081CC57-6A32-4EE0-89FC-817EC8AA2543}"/>
    <cellStyle name="Normal 4 2 6 5 2 3" xfId="12771" xr:uid="{6A1D51CB-D351-4CE1-BCE6-1E4016E6B3F6}"/>
    <cellStyle name="Normal 4 2 6 5 3" xfId="6394" xr:uid="{00000000-0005-0000-0000-000003140000}"/>
    <cellStyle name="Normal 4 2 6 5 3 2" xfId="14844" xr:uid="{3EB4FA94-F7FA-4178-903E-88B589FB9081}"/>
    <cellStyle name="Normal 4 2 6 5 4" xfId="10626" xr:uid="{4453F418-B469-4912-9B3C-E939E8AD113D}"/>
    <cellStyle name="Normal 4 2 6 6" xfId="2524" xr:uid="{00000000-0005-0000-0000-000004140000}"/>
    <cellStyle name="Normal 4 2 6 6 2" xfId="6807" xr:uid="{00000000-0005-0000-0000-000005140000}"/>
    <cellStyle name="Normal 4 2 6 6 2 2" xfId="15257" xr:uid="{486A6B9F-C021-41F1-B268-E74189741094}"/>
    <cellStyle name="Normal 4 2 6 6 3" xfId="11039" xr:uid="{24B87522-0C62-4309-A467-3E2F7496B82E}"/>
    <cellStyle name="Normal 4 2 6 7" xfId="4742" xr:uid="{00000000-0005-0000-0000-000006140000}"/>
    <cellStyle name="Normal 4 2 6 7 2" xfId="13192" xr:uid="{BF0D7B21-CD18-4490-94B1-FEA1B9788206}"/>
    <cellStyle name="Normal 4 2 6 8" xfId="8974" xr:uid="{1408FB43-5D8F-4B3D-A5B4-625163DBE6FE}"/>
    <cellStyle name="Normal 4 3" xfId="366" xr:uid="{00000000-0005-0000-0000-000007140000}"/>
    <cellStyle name="Normal 4 3 10" xfId="8975" xr:uid="{F4449DEF-613C-495D-B3B2-DE44A0020FD0}"/>
    <cellStyle name="Normal 4 3 2" xfId="367" xr:uid="{00000000-0005-0000-0000-000008140000}"/>
    <cellStyle name="Normal 4 3 2 2" xfId="368" xr:uid="{00000000-0005-0000-0000-000009140000}"/>
    <cellStyle name="Normal 4 3 2 2 2" xfId="369" xr:uid="{00000000-0005-0000-0000-00000A140000}"/>
    <cellStyle name="Normal 4 3 2 2 2 10" xfId="8976" xr:uid="{2AEF886C-9B7E-49C0-AA86-EA1010211FB3}"/>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2 2 2" xfId="15754" xr:uid="{6EAE6274-CB2D-4390-8676-A36287148A83}"/>
    <cellStyle name="Normal 4 3 2 2 2 2 2 2 2 3" xfId="11536" xr:uid="{99A285DA-8618-4B30-913B-905102B99D96}"/>
    <cellStyle name="Normal 4 3 2 2 2 2 2 2 3" xfId="5159" xr:uid="{00000000-0005-0000-0000-000010140000}"/>
    <cellStyle name="Normal 4 3 2 2 2 2 2 2 3 2" xfId="13609" xr:uid="{BF0E285B-A782-4896-9681-A48D702C92C0}"/>
    <cellStyle name="Normal 4 3 2 2 2 2 2 2 4" xfId="9391" xr:uid="{294B2706-F0E6-4217-A503-107F0E40304B}"/>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2 2 2" xfId="16167" xr:uid="{02EF5D7F-91AC-4CFF-9C86-A73EFEE4C0E7}"/>
    <cellStyle name="Normal 4 3 2 2 2 2 2 3 2 3" xfId="11949" xr:uid="{59E0CAA0-9527-4F5F-B193-39B095DFC8AF}"/>
    <cellStyle name="Normal 4 3 2 2 2 2 2 3 3" xfId="5572" xr:uid="{00000000-0005-0000-0000-000014140000}"/>
    <cellStyle name="Normal 4 3 2 2 2 2 2 3 3 2" xfId="14022" xr:uid="{7F5A8BB2-8A89-4B34-9843-A2BFF3C2E271}"/>
    <cellStyle name="Normal 4 3 2 2 2 2 2 3 4" xfId="9804" xr:uid="{8D18EBB3-5706-4561-B948-6C5844AA488E}"/>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2 2 2" xfId="16580" xr:uid="{AD851364-A74D-47C6-9B20-C904D91AB8AD}"/>
    <cellStyle name="Normal 4 3 2 2 2 2 2 4 2 3" xfId="12362" xr:uid="{4A0C4D08-6258-4442-A5A9-7CE6D6FC5BE9}"/>
    <cellStyle name="Normal 4 3 2 2 2 2 2 4 3" xfId="5985" xr:uid="{00000000-0005-0000-0000-000018140000}"/>
    <cellStyle name="Normal 4 3 2 2 2 2 2 4 3 2" xfId="14435" xr:uid="{00145E04-0615-4DA0-B709-3AB0DADA34DE}"/>
    <cellStyle name="Normal 4 3 2 2 2 2 2 4 4" xfId="10217" xr:uid="{75E8617B-9FD0-4BC9-9506-90855030C24C}"/>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2 2 2" xfId="16993" xr:uid="{B30CF3E3-B368-40AB-846F-A733618B2E1E}"/>
    <cellStyle name="Normal 4 3 2 2 2 2 2 5 2 3" xfId="12775" xr:uid="{74F9DDA4-5995-4910-BAB0-DA806545CDDB}"/>
    <cellStyle name="Normal 4 3 2 2 2 2 2 5 3" xfId="6398" xr:uid="{00000000-0005-0000-0000-00001C140000}"/>
    <cellStyle name="Normal 4 3 2 2 2 2 2 5 3 2" xfId="14848" xr:uid="{36976ACB-A8CC-43AA-9C0A-753F54ECCCA5}"/>
    <cellStyle name="Normal 4 3 2 2 2 2 2 5 4" xfId="10630" xr:uid="{C9D4604A-EDCD-4524-97CA-BEBDA2252BFB}"/>
    <cellStyle name="Normal 4 3 2 2 2 2 2 6" xfId="2528" xr:uid="{00000000-0005-0000-0000-00001D140000}"/>
    <cellStyle name="Normal 4 3 2 2 2 2 2 6 2" xfId="6811" xr:uid="{00000000-0005-0000-0000-00001E140000}"/>
    <cellStyle name="Normal 4 3 2 2 2 2 2 6 2 2" xfId="15261" xr:uid="{AA9332A8-888C-4B33-BC7E-DBCBD8B6698C}"/>
    <cellStyle name="Normal 4 3 2 2 2 2 2 6 3" xfId="11043" xr:uid="{0FDD1260-AFF3-44FC-AFAF-01B421EFBC65}"/>
    <cellStyle name="Normal 4 3 2 2 2 2 2 7" xfId="4746" xr:uid="{00000000-0005-0000-0000-00001F140000}"/>
    <cellStyle name="Normal 4 3 2 2 2 2 2 7 2" xfId="13196" xr:uid="{2DCE10B4-EC78-4605-88E3-84803DE8E9A1}"/>
    <cellStyle name="Normal 4 3 2 2 2 2 2 8" xfId="8978" xr:uid="{D6EC9E68-A7E8-42DA-97F3-C684A5757D8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2 2 2" xfId="15753" xr:uid="{72269CA1-BA76-4101-B0F1-AB257781EDF4}"/>
    <cellStyle name="Normal 4 3 2 2 2 2 3 2 3" xfId="11535" xr:uid="{FDCC1183-674A-4DF4-A1BE-FF8A1D64A3A2}"/>
    <cellStyle name="Normal 4 3 2 2 2 2 3 3" xfId="5158" xr:uid="{00000000-0005-0000-0000-000023140000}"/>
    <cellStyle name="Normal 4 3 2 2 2 2 3 3 2" xfId="13608" xr:uid="{F224E560-AA7A-42E4-85A3-1654EC02F32E}"/>
    <cellStyle name="Normal 4 3 2 2 2 2 3 4" xfId="9390" xr:uid="{15FAA25C-00E1-4E4D-B660-B01FA054F6D6}"/>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2 2 2" xfId="16166" xr:uid="{C57665B6-0E31-48FF-817F-EFC80198121D}"/>
    <cellStyle name="Normal 4 3 2 2 2 2 4 2 3" xfId="11948" xr:uid="{E7E0D2FA-265E-4FAA-BEEE-246C1BFFB35F}"/>
    <cellStyle name="Normal 4 3 2 2 2 2 4 3" xfId="5571" xr:uid="{00000000-0005-0000-0000-000027140000}"/>
    <cellStyle name="Normal 4 3 2 2 2 2 4 3 2" xfId="14021" xr:uid="{961C88C2-5D5B-4603-A040-834B5AF99F52}"/>
    <cellStyle name="Normal 4 3 2 2 2 2 4 4" xfId="9803" xr:uid="{D5BD4495-5070-4CBD-90FD-B3710A94173F}"/>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2 2 2" xfId="16579" xr:uid="{798D247C-9914-47CF-84E1-E875274EA049}"/>
    <cellStyle name="Normal 4 3 2 2 2 2 5 2 3" xfId="12361" xr:uid="{998961B6-7416-4023-9891-0E46D2C0BDC0}"/>
    <cellStyle name="Normal 4 3 2 2 2 2 5 3" xfId="5984" xr:uid="{00000000-0005-0000-0000-00002B140000}"/>
    <cellStyle name="Normal 4 3 2 2 2 2 5 3 2" xfId="14434" xr:uid="{95D85DBA-1197-4F5B-85FB-D63A87FFD534}"/>
    <cellStyle name="Normal 4 3 2 2 2 2 5 4" xfId="10216" xr:uid="{46AF245D-04FF-4B01-83A9-8D549EF8DF58}"/>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2 2 2" xfId="16992" xr:uid="{FF4BE5E0-1B21-4387-BAF2-7A544A87870A}"/>
    <cellStyle name="Normal 4 3 2 2 2 2 6 2 3" xfId="12774" xr:uid="{DB1CF39E-18AC-4275-BDE9-85E922D5012C}"/>
    <cellStyle name="Normal 4 3 2 2 2 2 6 3" xfId="6397" xr:uid="{00000000-0005-0000-0000-00002F140000}"/>
    <cellStyle name="Normal 4 3 2 2 2 2 6 3 2" xfId="14847" xr:uid="{28A0CD76-4C00-47DD-909D-D73B2F92BC25}"/>
    <cellStyle name="Normal 4 3 2 2 2 2 6 4" xfId="10629" xr:uid="{4AB75F1D-D471-4E08-9DE6-BBC9868BFD83}"/>
    <cellStyle name="Normal 4 3 2 2 2 2 7" xfId="2527" xr:uid="{00000000-0005-0000-0000-000030140000}"/>
    <cellStyle name="Normal 4 3 2 2 2 2 7 2" xfId="6810" xr:uid="{00000000-0005-0000-0000-000031140000}"/>
    <cellStyle name="Normal 4 3 2 2 2 2 7 2 2" xfId="15260" xr:uid="{568DA465-0CFC-405E-8FD7-CDDB079DD04B}"/>
    <cellStyle name="Normal 4 3 2 2 2 2 7 3" xfId="11042" xr:uid="{749F7B5E-AA8B-4B34-A2DA-BEAE2C15DA82}"/>
    <cellStyle name="Normal 4 3 2 2 2 2 8" xfId="4745" xr:uid="{00000000-0005-0000-0000-000032140000}"/>
    <cellStyle name="Normal 4 3 2 2 2 2 8 2" xfId="13195" xr:uid="{47A67743-A3A4-4E44-9B31-7E9C59434F74}"/>
    <cellStyle name="Normal 4 3 2 2 2 2 9" xfId="8977" xr:uid="{01D141A3-7B1B-4E82-B38A-287455EF2E49}"/>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2 2 2" xfId="15755" xr:uid="{642FA04B-FF05-4AFB-AB9A-5596F0FA2988}"/>
    <cellStyle name="Normal 4 3 2 2 2 3 2 2 3" xfId="11537" xr:uid="{88252806-C3A1-4C21-8935-6EB89CE31B35}"/>
    <cellStyle name="Normal 4 3 2 2 2 3 2 3" xfId="5160" xr:uid="{00000000-0005-0000-0000-000037140000}"/>
    <cellStyle name="Normal 4 3 2 2 2 3 2 3 2" xfId="13610" xr:uid="{6288F799-3858-4D16-8753-746B2BCC481A}"/>
    <cellStyle name="Normal 4 3 2 2 2 3 2 4" xfId="9392" xr:uid="{399DF2E5-5D7A-4D21-8310-A19AF2C8A8EC}"/>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2 2 2" xfId="16168" xr:uid="{530B49FB-BC8D-4FB7-A44A-4F1313BDFC45}"/>
    <cellStyle name="Normal 4 3 2 2 2 3 3 2 3" xfId="11950" xr:uid="{B14F07AC-48E6-413E-89DA-7B3C6B550173}"/>
    <cellStyle name="Normal 4 3 2 2 2 3 3 3" xfId="5573" xr:uid="{00000000-0005-0000-0000-00003B140000}"/>
    <cellStyle name="Normal 4 3 2 2 2 3 3 3 2" xfId="14023" xr:uid="{6B431CF6-27F2-4C98-8F8B-52D2745ACDA8}"/>
    <cellStyle name="Normal 4 3 2 2 2 3 3 4" xfId="9805" xr:uid="{DB787356-8C89-4CDE-8EEC-FE50B89651FE}"/>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2 2 2" xfId="16581" xr:uid="{8D93D396-E3FB-45CD-B986-0FEE13EF81EF}"/>
    <cellStyle name="Normal 4 3 2 2 2 3 4 2 3" xfId="12363" xr:uid="{9F125622-189F-4EF6-AE85-E7974FFED9CA}"/>
    <cellStyle name="Normal 4 3 2 2 2 3 4 3" xfId="5986" xr:uid="{00000000-0005-0000-0000-00003F140000}"/>
    <cellStyle name="Normal 4 3 2 2 2 3 4 3 2" xfId="14436" xr:uid="{9A65C9D4-3566-43B9-832E-64C953126B7A}"/>
    <cellStyle name="Normal 4 3 2 2 2 3 4 4" xfId="10218" xr:uid="{BE9632EC-B6CB-4AA6-9FC3-EC382A452374}"/>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2 2 2" xfId="16994" xr:uid="{F62A34D6-E52D-4885-8713-4E94E721F930}"/>
    <cellStyle name="Normal 4 3 2 2 2 3 5 2 3" xfId="12776" xr:uid="{D98FDBC5-8819-472B-829B-90FE6C1B7253}"/>
    <cellStyle name="Normal 4 3 2 2 2 3 5 3" xfId="6399" xr:uid="{00000000-0005-0000-0000-000043140000}"/>
    <cellStyle name="Normal 4 3 2 2 2 3 5 3 2" xfId="14849" xr:uid="{B65017B4-DBDC-4AC0-9DE3-D813172BF072}"/>
    <cellStyle name="Normal 4 3 2 2 2 3 5 4" xfId="10631" xr:uid="{6DFD195F-4D9C-4D27-86B2-615135DA0942}"/>
    <cellStyle name="Normal 4 3 2 2 2 3 6" xfId="2529" xr:uid="{00000000-0005-0000-0000-000044140000}"/>
    <cellStyle name="Normal 4 3 2 2 2 3 6 2" xfId="6812" xr:uid="{00000000-0005-0000-0000-000045140000}"/>
    <cellStyle name="Normal 4 3 2 2 2 3 6 2 2" xfId="15262" xr:uid="{227D7512-2D93-4842-B3EE-AF8E1609ACD7}"/>
    <cellStyle name="Normal 4 3 2 2 2 3 6 3" xfId="11044" xr:uid="{7EDE31CB-192D-47A1-980B-57558D111D81}"/>
    <cellStyle name="Normal 4 3 2 2 2 3 7" xfId="4747" xr:uid="{00000000-0005-0000-0000-000046140000}"/>
    <cellStyle name="Normal 4 3 2 2 2 3 7 2" xfId="13197" xr:uid="{DBD78F12-1E74-4362-8694-CA3AA4038C15}"/>
    <cellStyle name="Normal 4 3 2 2 2 3 8" xfId="8979" xr:uid="{7D567D5A-705D-4E1E-9FE4-EED3A0793013}"/>
    <cellStyle name="Normal 4 3 2 2 2 4" xfId="844" xr:uid="{00000000-0005-0000-0000-000047140000}"/>
    <cellStyle name="Normal 4 3 2 2 2 4 2" xfId="3080" xr:uid="{00000000-0005-0000-0000-000048140000}"/>
    <cellStyle name="Normal 4 3 2 2 2 4 2 2" xfId="7302" xr:uid="{00000000-0005-0000-0000-000049140000}"/>
    <cellStyle name="Normal 4 3 2 2 2 4 2 2 2" xfId="15752" xr:uid="{F57C9D82-1539-421C-B09D-2DD050F9B365}"/>
    <cellStyle name="Normal 4 3 2 2 2 4 2 3" xfId="11534" xr:uid="{CE0D2D16-0EB0-4FC6-95DE-C15727A7DB3F}"/>
    <cellStyle name="Normal 4 3 2 2 2 4 3" xfId="5157" xr:uid="{00000000-0005-0000-0000-00004A140000}"/>
    <cellStyle name="Normal 4 3 2 2 2 4 3 2" xfId="13607" xr:uid="{6CF61869-7266-4C20-A899-239273A26E63}"/>
    <cellStyle name="Normal 4 3 2 2 2 4 4" xfId="9389" xr:uid="{82B14DF9-C00F-4A94-B78C-84089E9CF50D}"/>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2 2 2" xfId="16165" xr:uid="{40F55C9B-3136-443B-9215-9631341A4E4D}"/>
    <cellStyle name="Normal 4 3 2 2 2 5 2 3" xfId="11947" xr:uid="{507DACB7-398C-48A4-91C8-1FF43D101561}"/>
    <cellStyle name="Normal 4 3 2 2 2 5 3" xfId="5570" xr:uid="{00000000-0005-0000-0000-00004E140000}"/>
    <cellStyle name="Normal 4 3 2 2 2 5 3 2" xfId="14020" xr:uid="{29982FFF-C2D0-4FDF-9D53-4F8CF3CEBBCC}"/>
    <cellStyle name="Normal 4 3 2 2 2 5 4" xfId="9802" xr:uid="{B1FF3FAE-9F90-493A-8738-76B8587C4A15}"/>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2 2 2" xfId="16578" xr:uid="{40E564A5-8AE8-45E6-8C24-7237096699C5}"/>
    <cellStyle name="Normal 4 3 2 2 2 6 2 3" xfId="12360" xr:uid="{5B7FED2B-6ED1-4AB2-A009-0B7D46AA4D17}"/>
    <cellStyle name="Normal 4 3 2 2 2 6 3" xfId="5983" xr:uid="{00000000-0005-0000-0000-000052140000}"/>
    <cellStyle name="Normal 4 3 2 2 2 6 3 2" xfId="14433" xr:uid="{7CED641A-5CF1-4694-8F3E-558C11DB6C8A}"/>
    <cellStyle name="Normal 4 3 2 2 2 6 4" xfId="10215" xr:uid="{6F81AD53-1D12-4205-8734-3D80115F7054}"/>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2 2 2" xfId="16991" xr:uid="{0230D875-ECA2-4D7B-A182-191D856F47CB}"/>
    <cellStyle name="Normal 4 3 2 2 2 7 2 3" xfId="12773" xr:uid="{A907BFEC-9E54-4326-95A0-79061640E5FF}"/>
    <cellStyle name="Normal 4 3 2 2 2 7 3" xfId="6396" xr:uid="{00000000-0005-0000-0000-000056140000}"/>
    <cellStyle name="Normal 4 3 2 2 2 7 3 2" xfId="14846" xr:uid="{9875EB84-807C-49BA-B8E5-4E78EC3FE72D}"/>
    <cellStyle name="Normal 4 3 2 2 2 7 4" xfId="10628" xr:uid="{3B89F968-E5C8-4A81-A103-7F6C7D3EFB77}"/>
    <cellStyle name="Normal 4 3 2 2 2 8" xfId="2526" xr:uid="{00000000-0005-0000-0000-000057140000}"/>
    <cellStyle name="Normal 4 3 2 2 2 8 2" xfId="6809" xr:uid="{00000000-0005-0000-0000-000058140000}"/>
    <cellStyle name="Normal 4 3 2 2 2 8 2 2" xfId="15259" xr:uid="{730D0F1C-FE80-46A4-B1CF-117EBE8F676A}"/>
    <cellStyle name="Normal 4 3 2 2 2 8 3" xfId="11041" xr:uid="{0A26C930-9E83-4DAF-BAFD-312A362AF4F4}"/>
    <cellStyle name="Normal 4 3 2 2 2 9" xfId="4744" xr:uid="{00000000-0005-0000-0000-000059140000}"/>
    <cellStyle name="Normal 4 3 2 2 2 9 2" xfId="13194" xr:uid="{FE6D1A65-8F2E-46C2-9AB3-6D230FA3638A}"/>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10" xfId="8980" xr:uid="{2665C390-D336-44D3-A2D2-D2061FD9A983}"/>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2 2 2" xfId="15758" xr:uid="{C647E84B-8D27-49F1-A191-E1AECE096A35}"/>
    <cellStyle name="Normal 4 3 3 2 2 2 2 3" xfId="11540" xr:uid="{E5F384CC-0334-4A88-AE9C-37841FE56291}"/>
    <cellStyle name="Normal 4 3 3 2 2 2 3" xfId="5163" xr:uid="{00000000-0005-0000-0000-000063140000}"/>
    <cellStyle name="Normal 4 3 3 2 2 2 3 2" xfId="13613" xr:uid="{C58EC8D0-8320-4B15-8C19-1643533EA40E}"/>
    <cellStyle name="Normal 4 3 3 2 2 2 4" xfId="9395" xr:uid="{EAFA4D5B-09AE-4FBD-B242-A5CDBE477AA5}"/>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2 2 2" xfId="16171" xr:uid="{0356D1AC-33B7-42A5-B6A6-7DA30ED59E3B}"/>
    <cellStyle name="Normal 4 3 3 2 2 3 2 3" xfId="11953" xr:uid="{35ED5610-6A96-4D28-99C6-B8C30733D078}"/>
    <cellStyle name="Normal 4 3 3 2 2 3 3" xfId="5576" xr:uid="{00000000-0005-0000-0000-000067140000}"/>
    <cellStyle name="Normal 4 3 3 2 2 3 3 2" xfId="14026" xr:uid="{459661E7-DC23-40CE-A125-B7F0DB30F081}"/>
    <cellStyle name="Normal 4 3 3 2 2 3 4" xfId="9808" xr:uid="{9908AC2B-BFC0-4D71-88ED-FD6E0FCF74FB}"/>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2 2 2" xfId="16584" xr:uid="{B84918E1-A011-48F2-9017-A2687CA61A04}"/>
    <cellStyle name="Normal 4 3 3 2 2 4 2 3" xfId="12366" xr:uid="{51F0FE1E-ADF7-473C-81D1-F43E9C2E7212}"/>
    <cellStyle name="Normal 4 3 3 2 2 4 3" xfId="5989" xr:uid="{00000000-0005-0000-0000-00006B140000}"/>
    <cellStyle name="Normal 4 3 3 2 2 4 3 2" xfId="14439" xr:uid="{AC2875EC-2AA1-4773-B18F-CA1B1B201947}"/>
    <cellStyle name="Normal 4 3 3 2 2 4 4" xfId="10221" xr:uid="{AAA996FA-E3B3-431E-A353-71641CB3A042}"/>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2 2 2" xfId="16997" xr:uid="{00C93B3D-8502-462C-97A6-BAB2D4F112C6}"/>
    <cellStyle name="Normal 4 3 3 2 2 5 2 3" xfId="12779" xr:uid="{5DD776CD-EC42-4F5F-BF42-2781551B2E4A}"/>
    <cellStyle name="Normal 4 3 3 2 2 5 3" xfId="6402" xr:uid="{00000000-0005-0000-0000-00006F140000}"/>
    <cellStyle name="Normal 4 3 3 2 2 5 3 2" xfId="14852" xr:uid="{97428D02-25F3-49B3-A437-F69C1436FAD4}"/>
    <cellStyle name="Normal 4 3 3 2 2 5 4" xfId="10634" xr:uid="{0B358B62-75A3-410B-AB50-6AC02D7D0BA9}"/>
    <cellStyle name="Normal 4 3 3 2 2 6" xfId="2532" xr:uid="{00000000-0005-0000-0000-000070140000}"/>
    <cellStyle name="Normal 4 3 3 2 2 6 2" xfId="6815" xr:uid="{00000000-0005-0000-0000-000071140000}"/>
    <cellStyle name="Normal 4 3 3 2 2 6 2 2" xfId="15265" xr:uid="{33B60661-87DC-4F12-8876-8E8097266F15}"/>
    <cellStyle name="Normal 4 3 3 2 2 6 3" xfId="11047" xr:uid="{F61E5026-D4D9-46B8-BCA7-2E5951DEFC16}"/>
    <cellStyle name="Normal 4 3 3 2 2 7" xfId="4750" xr:uid="{00000000-0005-0000-0000-000072140000}"/>
    <cellStyle name="Normal 4 3 3 2 2 7 2" xfId="13200" xr:uid="{8B473BA1-FE88-4708-BFD1-613F1D3B4D3C}"/>
    <cellStyle name="Normal 4 3 3 2 2 8" xfId="8982" xr:uid="{AD8EEA4C-87CD-4978-BCC3-7E3AFFD02218}"/>
    <cellStyle name="Normal 4 3 3 2 3" xfId="850" xr:uid="{00000000-0005-0000-0000-000073140000}"/>
    <cellStyle name="Normal 4 3 3 2 3 2" xfId="3085" xr:uid="{00000000-0005-0000-0000-000074140000}"/>
    <cellStyle name="Normal 4 3 3 2 3 2 2" xfId="7307" xr:uid="{00000000-0005-0000-0000-000075140000}"/>
    <cellStyle name="Normal 4 3 3 2 3 2 2 2" xfId="15757" xr:uid="{71EE93B5-ADA4-4A48-AE00-EEE61F29BF01}"/>
    <cellStyle name="Normal 4 3 3 2 3 2 3" xfId="11539" xr:uid="{CE21C7F9-4AAC-4BF4-BE8A-1F1E735694CA}"/>
    <cellStyle name="Normal 4 3 3 2 3 3" xfId="5162" xr:uid="{00000000-0005-0000-0000-000076140000}"/>
    <cellStyle name="Normal 4 3 3 2 3 3 2" xfId="13612" xr:uid="{FD2879D5-5112-480B-A68A-984C5076B6A6}"/>
    <cellStyle name="Normal 4 3 3 2 3 4" xfId="9394" xr:uid="{F39B5D6A-0101-45E8-8C73-326ED785B15A}"/>
    <cellStyle name="Normal 4 3 3 2 4" xfId="1268" xr:uid="{00000000-0005-0000-0000-000077140000}"/>
    <cellStyle name="Normal 4 3 3 2 4 2" xfId="3498" xr:uid="{00000000-0005-0000-0000-000078140000}"/>
    <cellStyle name="Normal 4 3 3 2 4 2 2" xfId="7720" xr:uid="{00000000-0005-0000-0000-000079140000}"/>
    <cellStyle name="Normal 4 3 3 2 4 2 2 2" xfId="16170" xr:uid="{5E212485-F0C8-4B02-BAD1-90E948E6F668}"/>
    <cellStyle name="Normal 4 3 3 2 4 2 3" xfId="11952" xr:uid="{8F48C3A8-9A17-4266-89CB-A6DC0A42DE1A}"/>
    <cellStyle name="Normal 4 3 3 2 4 3" xfId="5575" xr:uid="{00000000-0005-0000-0000-00007A140000}"/>
    <cellStyle name="Normal 4 3 3 2 4 3 2" xfId="14025" xr:uid="{F8DF0A5E-17F4-4070-A0A4-A735C7ED8088}"/>
    <cellStyle name="Normal 4 3 3 2 4 4" xfId="9807" xr:uid="{2586AC6E-55AA-4BCC-B8E5-B66B625C0692}"/>
    <cellStyle name="Normal 4 3 3 2 5" xfId="1681" xr:uid="{00000000-0005-0000-0000-00007B140000}"/>
    <cellStyle name="Normal 4 3 3 2 5 2" xfId="3911" xr:uid="{00000000-0005-0000-0000-00007C140000}"/>
    <cellStyle name="Normal 4 3 3 2 5 2 2" xfId="8133" xr:uid="{00000000-0005-0000-0000-00007D140000}"/>
    <cellStyle name="Normal 4 3 3 2 5 2 2 2" xfId="16583" xr:uid="{ADDA521B-B3F5-4270-8601-CA91C4B3E064}"/>
    <cellStyle name="Normal 4 3 3 2 5 2 3" xfId="12365" xr:uid="{0F0B73ED-5A19-4CCD-BA44-B8916C5D2EAF}"/>
    <cellStyle name="Normal 4 3 3 2 5 3" xfId="5988" xr:uid="{00000000-0005-0000-0000-00007E140000}"/>
    <cellStyle name="Normal 4 3 3 2 5 3 2" xfId="14438" xr:uid="{0CBE2CFD-7717-450D-BF6C-3DB6A7D95E95}"/>
    <cellStyle name="Normal 4 3 3 2 5 4" xfId="10220" xr:uid="{A8E753F2-E2B6-4D8B-B790-BF49ABD9CA55}"/>
    <cellStyle name="Normal 4 3 3 2 6" xfId="2095" xr:uid="{00000000-0005-0000-0000-00007F140000}"/>
    <cellStyle name="Normal 4 3 3 2 6 2" xfId="4324" xr:uid="{00000000-0005-0000-0000-000080140000}"/>
    <cellStyle name="Normal 4 3 3 2 6 2 2" xfId="8546" xr:uid="{00000000-0005-0000-0000-000081140000}"/>
    <cellStyle name="Normal 4 3 3 2 6 2 2 2" xfId="16996" xr:uid="{D9E50303-C27C-4325-BF34-3D164A6D7FDD}"/>
    <cellStyle name="Normal 4 3 3 2 6 2 3" xfId="12778" xr:uid="{6367EE97-356C-46D4-ADA4-66B4A5586AFC}"/>
    <cellStyle name="Normal 4 3 3 2 6 3" xfId="6401" xr:uid="{00000000-0005-0000-0000-000082140000}"/>
    <cellStyle name="Normal 4 3 3 2 6 3 2" xfId="14851" xr:uid="{0B6B79BA-CE7C-4308-914C-048237E378E6}"/>
    <cellStyle name="Normal 4 3 3 2 6 4" xfId="10633" xr:uid="{255AED4C-8CE9-4852-92FA-C7A1C4536C32}"/>
    <cellStyle name="Normal 4 3 3 2 7" xfId="2531" xr:uid="{00000000-0005-0000-0000-000083140000}"/>
    <cellStyle name="Normal 4 3 3 2 7 2" xfId="6814" xr:uid="{00000000-0005-0000-0000-000084140000}"/>
    <cellStyle name="Normal 4 3 3 2 7 2 2" xfId="15264" xr:uid="{B0E4EA6F-C523-459D-937C-81ED84989338}"/>
    <cellStyle name="Normal 4 3 3 2 7 3" xfId="11046" xr:uid="{83A65324-9459-42DC-BC2E-57673CB0C410}"/>
    <cellStyle name="Normal 4 3 3 2 8" xfId="4749" xr:uid="{00000000-0005-0000-0000-000085140000}"/>
    <cellStyle name="Normal 4 3 3 2 8 2" xfId="13199" xr:uid="{88597D3B-2273-4959-B446-BFFCC943A821}"/>
    <cellStyle name="Normal 4 3 3 2 9" xfId="8981" xr:uid="{BD0F6E17-E06A-4C75-AD50-ED63194A8B32}"/>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2 2 2" xfId="15759" xr:uid="{A678816C-414D-445B-9AC4-36BC021A7AA5}"/>
    <cellStyle name="Normal 4 3 3 3 2 2 3" xfId="11541" xr:uid="{9875F45A-9E29-4419-A799-5F77A6F1AC10}"/>
    <cellStyle name="Normal 4 3 3 3 2 3" xfId="5164" xr:uid="{00000000-0005-0000-0000-00008A140000}"/>
    <cellStyle name="Normal 4 3 3 3 2 3 2" xfId="13614" xr:uid="{686DADB3-61E5-4696-9719-3BF673E8ECF2}"/>
    <cellStyle name="Normal 4 3 3 3 2 4" xfId="9396" xr:uid="{2B7B7CBF-486D-4815-9C75-1F495DB26C05}"/>
    <cellStyle name="Normal 4 3 3 3 3" xfId="1270" xr:uid="{00000000-0005-0000-0000-00008B140000}"/>
    <cellStyle name="Normal 4 3 3 3 3 2" xfId="3500" xr:uid="{00000000-0005-0000-0000-00008C140000}"/>
    <cellStyle name="Normal 4 3 3 3 3 2 2" xfId="7722" xr:uid="{00000000-0005-0000-0000-00008D140000}"/>
    <cellStyle name="Normal 4 3 3 3 3 2 2 2" xfId="16172" xr:uid="{71256FE0-C0B0-48CB-A758-876C6FA55A4C}"/>
    <cellStyle name="Normal 4 3 3 3 3 2 3" xfId="11954" xr:uid="{7EBFEE8A-375E-4407-931D-2C6567858280}"/>
    <cellStyle name="Normal 4 3 3 3 3 3" xfId="5577" xr:uid="{00000000-0005-0000-0000-00008E140000}"/>
    <cellStyle name="Normal 4 3 3 3 3 3 2" xfId="14027" xr:uid="{93303E5A-50B1-4142-AB92-2522440F61D9}"/>
    <cellStyle name="Normal 4 3 3 3 3 4" xfId="9809" xr:uid="{8A406597-7AC7-4888-B61A-6F4B8E66CB4D}"/>
    <cellStyle name="Normal 4 3 3 3 4" xfId="1683" xr:uid="{00000000-0005-0000-0000-00008F140000}"/>
    <cellStyle name="Normal 4 3 3 3 4 2" xfId="3913" xr:uid="{00000000-0005-0000-0000-000090140000}"/>
    <cellStyle name="Normal 4 3 3 3 4 2 2" xfId="8135" xr:uid="{00000000-0005-0000-0000-000091140000}"/>
    <cellStyle name="Normal 4 3 3 3 4 2 2 2" xfId="16585" xr:uid="{7E6D2013-9A79-441C-9801-068E52A86162}"/>
    <cellStyle name="Normal 4 3 3 3 4 2 3" xfId="12367" xr:uid="{51DA20DE-7ACF-42D8-8783-ACE7ABCABA58}"/>
    <cellStyle name="Normal 4 3 3 3 4 3" xfId="5990" xr:uid="{00000000-0005-0000-0000-000092140000}"/>
    <cellStyle name="Normal 4 3 3 3 4 3 2" xfId="14440" xr:uid="{FF8EA4CA-97CC-4CB8-ABB2-BF5801A056A5}"/>
    <cellStyle name="Normal 4 3 3 3 4 4" xfId="10222" xr:uid="{A4D3E89F-2FF4-4460-95FD-3518A2114012}"/>
    <cellStyle name="Normal 4 3 3 3 5" xfId="2097" xr:uid="{00000000-0005-0000-0000-000093140000}"/>
    <cellStyle name="Normal 4 3 3 3 5 2" xfId="4326" xr:uid="{00000000-0005-0000-0000-000094140000}"/>
    <cellStyle name="Normal 4 3 3 3 5 2 2" xfId="8548" xr:uid="{00000000-0005-0000-0000-000095140000}"/>
    <cellStyle name="Normal 4 3 3 3 5 2 2 2" xfId="16998" xr:uid="{33EC0A4A-7B50-4092-9775-0F74784A5847}"/>
    <cellStyle name="Normal 4 3 3 3 5 2 3" xfId="12780" xr:uid="{03726737-5B66-4D3B-B45E-AEB2684BB248}"/>
    <cellStyle name="Normal 4 3 3 3 5 3" xfId="6403" xr:uid="{00000000-0005-0000-0000-000096140000}"/>
    <cellStyle name="Normal 4 3 3 3 5 3 2" xfId="14853" xr:uid="{905FDA84-5FBD-4F50-B694-9F803EE2D70C}"/>
    <cellStyle name="Normal 4 3 3 3 5 4" xfId="10635" xr:uid="{516FFCB1-4D14-46CC-ACA1-2DC1E2C08F78}"/>
    <cellStyle name="Normal 4 3 3 3 6" xfId="2533" xr:uid="{00000000-0005-0000-0000-000097140000}"/>
    <cellStyle name="Normal 4 3 3 3 6 2" xfId="6816" xr:uid="{00000000-0005-0000-0000-000098140000}"/>
    <cellStyle name="Normal 4 3 3 3 6 2 2" xfId="15266" xr:uid="{2D4D4179-8E09-4114-A7DA-A741F7DDAAA8}"/>
    <cellStyle name="Normal 4 3 3 3 6 3" xfId="11048" xr:uid="{93504306-38B5-4979-A175-128782F7D03A}"/>
    <cellStyle name="Normal 4 3 3 3 7" xfId="4751" xr:uid="{00000000-0005-0000-0000-000099140000}"/>
    <cellStyle name="Normal 4 3 3 3 7 2" xfId="13201" xr:uid="{22C6EF23-4B21-4A59-9292-67F3B7153542}"/>
    <cellStyle name="Normal 4 3 3 3 8" xfId="8983" xr:uid="{4BDE5AE4-1031-4BE9-84B2-12FB9A6465BF}"/>
    <cellStyle name="Normal 4 3 3 4" xfId="849" xr:uid="{00000000-0005-0000-0000-00009A140000}"/>
    <cellStyle name="Normal 4 3 3 4 2" xfId="3084" xr:uid="{00000000-0005-0000-0000-00009B140000}"/>
    <cellStyle name="Normal 4 3 3 4 2 2" xfId="7306" xr:uid="{00000000-0005-0000-0000-00009C140000}"/>
    <cellStyle name="Normal 4 3 3 4 2 2 2" xfId="15756" xr:uid="{61A797B9-920C-44F9-98C8-6C1979874F08}"/>
    <cellStyle name="Normal 4 3 3 4 2 3" xfId="11538" xr:uid="{31E0B8A8-C110-4024-B23B-62E3C0C9273E}"/>
    <cellStyle name="Normal 4 3 3 4 3" xfId="5161" xr:uid="{00000000-0005-0000-0000-00009D140000}"/>
    <cellStyle name="Normal 4 3 3 4 3 2" xfId="13611" xr:uid="{41C23243-CF90-41C5-9B92-81F226B69135}"/>
    <cellStyle name="Normal 4 3 3 4 4" xfId="9393" xr:uid="{478B240A-8DB7-4E2C-85CE-3243EC29A71D}"/>
    <cellStyle name="Normal 4 3 3 5" xfId="1267" xr:uid="{00000000-0005-0000-0000-00009E140000}"/>
    <cellStyle name="Normal 4 3 3 5 2" xfId="3497" xr:uid="{00000000-0005-0000-0000-00009F140000}"/>
    <cellStyle name="Normal 4 3 3 5 2 2" xfId="7719" xr:uid="{00000000-0005-0000-0000-0000A0140000}"/>
    <cellStyle name="Normal 4 3 3 5 2 2 2" xfId="16169" xr:uid="{6C0BCD81-E669-4B4A-B53F-0442199E42EB}"/>
    <cellStyle name="Normal 4 3 3 5 2 3" xfId="11951" xr:uid="{DDDAA85C-2AF0-4D4A-B822-06650F78E7FA}"/>
    <cellStyle name="Normal 4 3 3 5 3" xfId="5574" xr:uid="{00000000-0005-0000-0000-0000A1140000}"/>
    <cellStyle name="Normal 4 3 3 5 3 2" xfId="14024" xr:uid="{ED7D26FA-8489-4AD0-B6EA-11173DCCC796}"/>
    <cellStyle name="Normal 4 3 3 5 4" xfId="9806" xr:uid="{504DC8A0-2B88-4668-9102-E7F56AE9099C}"/>
    <cellStyle name="Normal 4 3 3 6" xfId="1680" xr:uid="{00000000-0005-0000-0000-0000A2140000}"/>
    <cellStyle name="Normal 4 3 3 6 2" xfId="3910" xr:uid="{00000000-0005-0000-0000-0000A3140000}"/>
    <cellStyle name="Normal 4 3 3 6 2 2" xfId="8132" xr:uid="{00000000-0005-0000-0000-0000A4140000}"/>
    <cellStyle name="Normal 4 3 3 6 2 2 2" xfId="16582" xr:uid="{266DC3EB-71AA-47B0-BA1C-4DF652F57B13}"/>
    <cellStyle name="Normal 4 3 3 6 2 3" xfId="12364" xr:uid="{DB51D9DC-DF7B-4415-851E-4970A0DCCB5D}"/>
    <cellStyle name="Normal 4 3 3 6 3" xfId="5987" xr:uid="{00000000-0005-0000-0000-0000A5140000}"/>
    <cellStyle name="Normal 4 3 3 6 3 2" xfId="14437" xr:uid="{2404467E-8E58-4AAF-99B0-6F644CAF145C}"/>
    <cellStyle name="Normal 4 3 3 6 4" xfId="10219" xr:uid="{6E4A7A21-937F-43F1-911E-D3A76F57C82A}"/>
    <cellStyle name="Normal 4 3 3 7" xfId="2094" xr:uid="{00000000-0005-0000-0000-0000A6140000}"/>
    <cellStyle name="Normal 4 3 3 7 2" xfId="4323" xr:uid="{00000000-0005-0000-0000-0000A7140000}"/>
    <cellStyle name="Normal 4 3 3 7 2 2" xfId="8545" xr:uid="{00000000-0005-0000-0000-0000A8140000}"/>
    <cellStyle name="Normal 4 3 3 7 2 2 2" xfId="16995" xr:uid="{178B39B4-67CD-49CB-8105-DDC4FB313953}"/>
    <cellStyle name="Normal 4 3 3 7 2 3" xfId="12777" xr:uid="{462634AB-57E3-43E0-9C3C-D530CC961A99}"/>
    <cellStyle name="Normal 4 3 3 7 3" xfId="6400" xr:uid="{00000000-0005-0000-0000-0000A9140000}"/>
    <cellStyle name="Normal 4 3 3 7 3 2" xfId="14850" xr:uid="{1B67DA39-6731-45AB-BB7B-CFD44765F893}"/>
    <cellStyle name="Normal 4 3 3 7 4" xfId="10632" xr:uid="{C7DD259F-5F0B-4B2B-8D77-C3B915DB03CA}"/>
    <cellStyle name="Normal 4 3 3 8" xfId="2530" xr:uid="{00000000-0005-0000-0000-0000AA140000}"/>
    <cellStyle name="Normal 4 3 3 8 2" xfId="6813" xr:uid="{00000000-0005-0000-0000-0000AB140000}"/>
    <cellStyle name="Normal 4 3 3 8 2 2" xfId="15263" xr:uid="{926D21C8-8E38-4C21-9314-0001DC4D3D57}"/>
    <cellStyle name="Normal 4 3 3 8 3" xfId="11045" xr:uid="{BE52A8C0-B84B-4E3F-A331-EE0F9FEA34CE}"/>
    <cellStyle name="Normal 4 3 3 9" xfId="4748" xr:uid="{00000000-0005-0000-0000-0000AC140000}"/>
    <cellStyle name="Normal 4 3 3 9 2" xfId="13198" xr:uid="{98D8C8EB-0124-48FC-91E5-09B3D95042A5}"/>
    <cellStyle name="Normal 4 3 4" xfId="842" xr:uid="{00000000-0005-0000-0000-0000AD140000}"/>
    <cellStyle name="Normal 4 3 4 2" xfId="3079" xr:uid="{00000000-0005-0000-0000-0000AE140000}"/>
    <cellStyle name="Normal 4 3 4 2 2" xfId="7301" xr:uid="{00000000-0005-0000-0000-0000AF140000}"/>
    <cellStyle name="Normal 4 3 4 2 2 2" xfId="15751" xr:uid="{06972942-6E76-458D-B0C2-01D45EF3876B}"/>
    <cellStyle name="Normal 4 3 4 2 3" xfId="11533" xr:uid="{D8018AF3-C5DF-4294-A878-D99CECEC69BF}"/>
    <cellStyle name="Normal 4 3 4 3" xfId="5156" xr:uid="{00000000-0005-0000-0000-0000B0140000}"/>
    <cellStyle name="Normal 4 3 4 3 2" xfId="13606" xr:uid="{5A08D44D-15E8-4847-892F-16599EFC1AC4}"/>
    <cellStyle name="Normal 4 3 4 4" xfId="9388" xr:uid="{F28F8C6A-DC13-4061-A13B-EBB52716AEA6}"/>
    <cellStyle name="Normal 4 3 5" xfId="1262" xr:uid="{00000000-0005-0000-0000-0000B1140000}"/>
    <cellStyle name="Normal 4 3 5 2" xfId="3492" xr:uid="{00000000-0005-0000-0000-0000B2140000}"/>
    <cellStyle name="Normal 4 3 5 2 2" xfId="7714" xr:uid="{00000000-0005-0000-0000-0000B3140000}"/>
    <cellStyle name="Normal 4 3 5 2 2 2" xfId="16164" xr:uid="{2740CAEF-8D82-41C8-98B0-B6A16D866C57}"/>
    <cellStyle name="Normal 4 3 5 2 3" xfId="11946" xr:uid="{A21EE30A-0D7B-4ABD-BC18-9D7BA23CA59F}"/>
    <cellStyle name="Normal 4 3 5 3" xfId="5569" xr:uid="{00000000-0005-0000-0000-0000B4140000}"/>
    <cellStyle name="Normal 4 3 5 3 2" xfId="14019" xr:uid="{CFABB7FE-3B69-4CA4-8B9E-E704936CE6F9}"/>
    <cellStyle name="Normal 4 3 5 4" xfId="9801" xr:uid="{5925B08E-0760-4B77-B8B2-61238A881276}"/>
    <cellStyle name="Normal 4 3 6" xfId="1675" xr:uid="{00000000-0005-0000-0000-0000B5140000}"/>
    <cellStyle name="Normal 4 3 6 2" xfId="3905" xr:uid="{00000000-0005-0000-0000-0000B6140000}"/>
    <cellStyle name="Normal 4 3 6 2 2" xfId="8127" xr:uid="{00000000-0005-0000-0000-0000B7140000}"/>
    <cellStyle name="Normal 4 3 6 2 2 2" xfId="16577" xr:uid="{42A91106-C7E7-4887-A8E9-4FADFA81B2A7}"/>
    <cellStyle name="Normal 4 3 6 2 3" xfId="12359" xr:uid="{522F24B9-DF37-4E92-B201-5519B18479B2}"/>
    <cellStyle name="Normal 4 3 6 3" xfId="5982" xr:uid="{00000000-0005-0000-0000-0000B8140000}"/>
    <cellStyle name="Normal 4 3 6 3 2" xfId="14432" xr:uid="{812E80E1-8AE3-4F83-9193-7B435002F39E}"/>
    <cellStyle name="Normal 4 3 6 4" xfId="10214" xr:uid="{799D49D1-DE2B-4B5A-8A9D-06F0EDD3F4E4}"/>
    <cellStyle name="Normal 4 3 7" xfId="2089" xr:uid="{00000000-0005-0000-0000-0000B9140000}"/>
    <cellStyle name="Normal 4 3 7 2" xfId="4318" xr:uid="{00000000-0005-0000-0000-0000BA140000}"/>
    <cellStyle name="Normal 4 3 7 2 2" xfId="8540" xr:uid="{00000000-0005-0000-0000-0000BB140000}"/>
    <cellStyle name="Normal 4 3 7 2 2 2" xfId="16990" xr:uid="{3CE19F76-8902-4C6E-98D6-3C2D6A1CF59B}"/>
    <cellStyle name="Normal 4 3 7 2 3" xfId="12772" xr:uid="{256003A2-F5DC-44F5-B7A1-0710E7DCFE5F}"/>
    <cellStyle name="Normal 4 3 7 3" xfId="6395" xr:uid="{00000000-0005-0000-0000-0000BC140000}"/>
    <cellStyle name="Normal 4 3 7 3 2" xfId="14845" xr:uid="{683BBEA6-3370-4757-9B71-CE330E510366}"/>
    <cellStyle name="Normal 4 3 7 4" xfId="10627" xr:uid="{A042BE81-6708-497B-8445-0DA405A4043D}"/>
    <cellStyle name="Normal 4 3 8" xfId="2525" xr:uid="{00000000-0005-0000-0000-0000BD140000}"/>
    <cellStyle name="Normal 4 3 8 2" xfId="6808" xr:uid="{00000000-0005-0000-0000-0000BE140000}"/>
    <cellStyle name="Normal 4 3 8 2 2" xfId="15258" xr:uid="{7C35C342-25A8-4469-879B-6487190DFFD5}"/>
    <cellStyle name="Normal 4 3 8 3" xfId="11040" xr:uid="{3EDD19C4-C644-4ECD-900E-B2757A6BD51F}"/>
    <cellStyle name="Normal 4 3 9" xfId="4743" xr:uid="{00000000-0005-0000-0000-0000BF140000}"/>
    <cellStyle name="Normal 4 3 9 2" xfId="13193" xr:uid="{B0665258-2E50-492B-8D9C-413B076EAA90}"/>
    <cellStyle name="Normal 4 4" xfId="378" xr:uid="{00000000-0005-0000-0000-0000C0140000}"/>
    <cellStyle name="Normal 4 4 10" xfId="2534" xr:uid="{00000000-0005-0000-0000-0000C1140000}"/>
    <cellStyle name="Normal 4 4 10 2" xfId="6817" xr:uid="{00000000-0005-0000-0000-0000C2140000}"/>
    <cellStyle name="Normal 4 4 10 2 2" xfId="15267" xr:uid="{B4EEDEF8-D91E-4703-9D23-1E42F5C32765}"/>
    <cellStyle name="Normal 4 4 10 3" xfId="11049" xr:uid="{11851FEA-9458-420B-A4EB-A61AE66F9687}"/>
    <cellStyle name="Normal 4 4 11" xfId="4752" xr:uid="{00000000-0005-0000-0000-0000C3140000}"/>
    <cellStyle name="Normal 4 4 11 2" xfId="13202" xr:uid="{8A0D14E2-8390-4A62-849B-CA1F56511000}"/>
    <cellStyle name="Normal 4 4 12" xfId="8984" xr:uid="{821A64BD-16D2-42A9-BE09-88A50A33AC8D}"/>
    <cellStyle name="Normal 4 4 2" xfId="379" xr:uid="{00000000-0005-0000-0000-0000C4140000}"/>
    <cellStyle name="Normal 4 4 2 10" xfId="4753" xr:uid="{00000000-0005-0000-0000-0000C5140000}"/>
    <cellStyle name="Normal 4 4 2 10 2" xfId="13203" xr:uid="{8D517297-E11D-4896-BA8C-AF8E4DCC860C}"/>
    <cellStyle name="Normal 4 4 2 11" xfId="8985" xr:uid="{699800B8-6211-470E-B38A-F75896FC1A35}"/>
    <cellStyle name="Normal 4 4 2 2" xfId="380" xr:uid="{00000000-0005-0000-0000-0000C6140000}"/>
    <cellStyle name="Normal 4 4 2 2 10" xfId="8986" xr:uid="{BE0BA294-CA6D-4167-A6ED-C561B349B4FF}"/>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2 2 2" xfId="15764" xr:uid="{54DC93E9-7648-4D35-B20A-8C3A608EFED6}"/>
    <cellStyle name="Normal 4 4 2 2 2 2 2 2 3" xfId="11546" xr:uid="{BF3936B3-F06D-437A-833C-301B7B7509C8}"/>
    <cellStyle name="Normal 4 4 2 2 2 2 2 3" xfId="5169" xr:uid="{00000000-0005-0000-0000-0000CC140000}"/>
    <cellStyle name="Normal 4 4 2 2 2 2 2 3 2" xfId="13619" xr:uid="{BDAC1A50-AB4C-4803-8EB8-B07EB393DE4A}"/>
    <cellStyle name="Normal 4 4 2 2 2 2 2 4" xfId="9401" xr:uid="{846DE618-C2C3-411F-9258-48E4070641CC}"/>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2 2 2" xfId="16177" xr:uid="{B4CF0C64-726D-46BD-B518-AB10C87FF0BE}"/>
    <cellStyle name="Normal 4 4 2 2 2 2 3 2 3" xfId="11959" xr:uid="{CB053DC9-58ED-460B-9BBD-EC8CA593D246}"/>
    <cellStyle name="Normal 4 4 2 2 2 2 3 3" xfId="5582" xr:uid="{00000000-0005-0000-0000-0000D0140000}"/>
    <cellStyle name="Normal 4 4 2 2 2 2 3 3 2" xfId="14032" xr:uid="{72EA8A58-7F55-4D7C-B134-F03B42892B18}"/>
    <cellStyle name="Normal 4 4 2 2 2 2 3 4" xfId="9814" xr:uid="{7A499F9F-B44F-4C9C-864C-E5B8514AAB52}"/>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2 2 2" xfId="16590" xr:uid="{43057598-E085-493B-8040-C0C0A927E0F1}"/>
    <cellStyle name="Normal 4 4 2 2 2 2 4 2 3" xfId="12372" xr:uid="{1DE4728B-11BC-4D22-8B5F-94B93018A2BD}"/>
    <cellStyle name="Normal 4 4 2 2 2 2 4 3" xfId="5995" xr:uid="{00000000-0005-0000-0000-0000D4140000}"/>
    <cellStyle name="Normal 4 4 2 2 2 2 4 3 2" xfId="14445" xr:uid="{0762F20A-A8E4-43EA-8514-41F697EEEC21}"/>
    <cellStyle name="Normal 4 4 2 2 2 2 4 4" xfId="10227" xr:uid="{B4D05491-F70D-4D68-A975-29C265C32EF8}"/>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2 2 2" xfId="17003" xr:uid="{D3D07D80-665B-4CB6-B91A-0CDB36F4CAC9}"/>
    <cellStyle name="Normal 4 4 2 2 2 2 5 2 3" xfId="12785" xr:uid="{AADBB5E2-8386-45B8-8C5D-3A4AF681190C}"/>
    <cellStyle name="Normal 4 4 2 2 2 2 5 3" xfId="6408" xr:uid="{00000000-0005-0000-0000-0000D8140000}"/>
    <cellStyle name="Normal 4 4 2 2 2 2 5 3 2" xfId="14858" xr:uid="{75047398-094F-4531-8A78-8C023B103358}"/>
    <cellStyle name="Normal 4 4 2 2 2 2 5 4" xfId="10640" xr:uid="{D79B5CCD-B433-4946-A08A-657642D855A3}"/>
    <cellStyle name="Normal 4 4 2 2 2 2 6" xfId="2538" xr:uid="{00000000-0005-0000-0000-0000D9140000}"/>
    <cellStyle name="Normal 4 4 2 2 2 2 6 2" xfId="6821" xr:uid="{00000000-0005-0000-0000-0000DA140000}"/>
    <cellStyle name="Normal 4 4 2 2 2 2 6 2 2" xfId="15271" xr:uid="{1E74CFAB-1968-4CEF-9536-AAD9E626A7A6}"/>
    <cellStyle name="Normal 4 4 2 2 2 2 6 3" xfId="11053" xr:uid="{7EEFCFA1-C40C-490A-821A-445EABDBF58B}"/>
    <cellStyle name="Normal 4 4 2 2 2 2 7" xfId="4756" xr:uid="{00000000-0005-0000-0000-0000DB140000}"/>
    <cellStyle name="Normal 4 4 2 2 2 2 7 2" xfId="13206" xr:uid="{208D9021-27B2-46F6-9148-EF3B4A01B6F2}"/>
    <cellStyle name="Normal 4 4 2 2 2 2 8" xfId="8988" xr:uid="{0385E324-426C-4D80-89F8-1B829AF838B3}"/>
    <cellStyle name="Normal 4 4 2 2 2 3" xfId="856" xr:uid="{00000000-0005-0000-0000-0000DC140000}"/>
    <cellStyle name="Normal 4 4 2 2 2 3 2" xfId="3091" xr:uid="{00000000-0005-0000-0000-0000DD140000}"/>
    <cellStyle name="Normal 4 4 2 2 2 3 2 2" xfId="7313" xr:uid="{00000000-0005-0000-0000-0000DE140000}"/>
    <cellStyle name="Normal 4 4 2 2 2 3 2 2 2" xfId="15763" xr:uid="{C4DFBB12-6E6E-4807-97FD-750768086CDB}"/>
    <cellStyle name="Normal 4 4 2 2 2 3 2 3" xfId="11545" xr:uid="{E529CB99-9EC7-4735-9A36-926DC47DC219}"/>
    <cellStyle name="Normal 4 4 2 2 2 3 3" xfId="5168" xr:uid="{00000000-0005-0000-0000-0000DF140000}"/>
    <cellStyle name="Normal 4 4 2 2 2 3 3 2" xfId="13618" xr:uid="{B65D98A5-137B-440E-A0D4-3D85DE50C07B}"/>
    <cellStyle name="Normal 4 4 2 2 2 3 4" xfId="9400" xr:uid="{8DFE283B-0F76-481E-871A-2EB0A5353895}"/>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2 2 2" xfId="16176" xr:uid="{3C39A3FA-182B-4CAF-A83C-5492CAF2D9B7}"/>
    <cellStyle name="Normal 4 4 2 2 2 4 2 3" xfId="11958" xr:uid="{B57F09DB-A4E3-4215-8A58-9F0EC9FB11E6}"/>
    <cellStyle name="Normal 4 4 2 2 2 4 3" xfId="5581" xr:uid="{00000000-0005-0000-0000-0000E3140000}"/>
    <cellStyle name="Normal 4 4 2 2 2 4 3 2" xfId="14031" xr:uid="{5B3E2372-4EF4-4B6C-88C2-7F5C0343A13A}"/>
    <cellStyle name="Normal 4 4 2 2 2 4 4" xfId="9813" xr:uid="{BDBC511D-CE70-4E77-8F89-6AF668EB457B}"/>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2 2 2" xfId="16589" xr:uid="{383D7376-BD97-4457-8EDC-F875EDBA1806}"/>
    <cellStyle name="Normal 4 4 2 2 2 5 2 3" xfId="12371" xr:uid="{23BBE7EC-8F87-4249-8B9E-3DBF9F1D266B}"/>
    <cellStyle name="Normal 4 4 2 2 2 5 3" xfId="5994" xr:uid="{00000000-0005-0000-0000-0000E7140000}"/>
    <cellStyle name="Normal 4 4 2 2 2 5 3 2" xfId="14444" xr:uid="{3A9A4A65-EE68-4804-BF90-686C9057638E}"/>
    <cellStyle name="Normal 4 4 2 2 2 5 4" xfId="10226" xr:uid="{A5841677-E727-49E8-915B-3CDBC4E747EF}"/>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2 2 2" xfId="17002" xr:uid="{60D7F22F-E06E-4DE0-8083-26E622212B59}"/>
    <cellStyle name="Normal 4 4 2 2 2 6 2 3" xfId="12784" xr:uid="{E591C6C3-2AC5-4B81-AD87-D5F141BCF633}"/>
    <cellStyle name="Normal 4 4 2 2 2 6 3" xfId="6407" xr:uid="{00000000-0005-0000-0000-0000EB140000}"/>
    <cellStyle name="Normal 4 4 2 2 2 6 3 2" xfId="14857" xr:uid="{99E72BD1-2A5C-43C4-89AA-D66EE75C9F2F}"/>
    <cellStyle name="Normal 4 4 2 2 2 6 4" xfId="10639" xr:uid="{F1602BE6-A2B2-480E-80DC-CBEC90643396}"/>
    <cellStyle name="Normal 4 4 2 2 2 7" xfId="2537" xr:uid="{00000000-0005-0000-0000-0000EC140000}"/>
    <cellStyle name="Normal 4 4 2 2 2 7 2" xfId="6820" xr:uid="{00000000-0005-0000-0000-0000ED140000}"/>
    <cellStyle name="Normal 4 4 2 2 2 7 2 2" xfId="15270" xr:uid="{17B4129C-62E9-4922-AA42-53D255A0D233}"/>
    <cellStyle name="Normal 4 4 2 2 2 7 3" xfId="11052" xr:uid="{C68F6ACA-CF9C-4D81-BD79-047A787EB147}"/>
    <cellStyle name="Normal 4 4 2 2 2 8" xfId="4755" xr:uid="{00000000-0005-0000-0000-0000EE140000}"/>
    <cellStyle name="Normal 4 4 2 2 2 8 2" xfId="13205" xr:uid="{B668A8AB-FF17-4307-8351-1606076DB236}"/>
    <cellStyle name="Normal 4 4 2 2 2 9" xfId="8987" xr:uid="{45B57D42-3BE6-41F7-901E-787D55758435}"/>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2 2 2" xfId="15765" xr:uid="{043D8D81-EF31-4CC1-A592-12540761E524}"/>
    <cellStyle name="Normal 4 4 2 2 3 2 2 3" xfId="11547" xr:uid="{63FE952C-A92B-4BC3-8410-595B82785B6C}"/>
    <cellStyle name="Normal 4 4 2 2 3 2 3" xfId="5170" xr:uid="{00000000-0005-0000-0000-0000F3140000}"/>
    <cellStyle name="Normal 4 4 2 2 3 2 3 2" xfId="13620" xr:uid="{6D386997-2853-4E22-B4F8-DCC5EDDDD790}"/>
    <cellStyle name="Normal 4 4 2 2 3 2 4" xfId="9402" xr:uid="{4068D54F-10A9-4C2D-A9F4-851C92D970A5}"/>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2 2 2" xfId="16178" xr:uid="{65A56699-6651-43B5-BE2D-9EC637E4EC5D}"/>
    <cellStyle name="Normal 4 4 2 2 3 3 2 3" xfId="11960" xr:uid="{14ED2236-EB16-4DE1-9F44-266B58714C31}"/>
    <cellStyle name="Normal 4 4 2 2 3 3 3" xfId="5583" xr:uid="{00000000-0005-0000-0000-0000F7140000}"/>
    <cellStyle name="Normal 4 4 2 2 3 3 3 2" xfId="14033" xr:uid="{5D59D7A1-9BD3-412A-AF77-EADA52C16471}"/>
    <cellStyle name="Normal 4 4 2 2 3 3 4" xfId="9815" xr:uid="{A4A124A3-7D9D-4D97-BB91-07A6CD89C73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2 2 2" xfId="16591" xr:uid="{4F7C7261-B20B-4D97-A7F1-A674681D4E14}"/>
    <cellStyle name="Normal 4 4 2 2 3 4 2 3" xfId="12373" xr:uid="{75161B61-98C6-4A32-91F7-9E886BDEE68F}"/>
    <cellStyle name="Normal 4 4 2 2 3 4 3" xfId="5996" xr:uid="{00000000-0005-0000-0000-0000FB140000}"/>
    <cellStyle name="Normal 4 4 2 2 3 4 3 2" xfId="14446" xr:uid="{918375F4-A8CC-4CE9-B784-DC5721B7D72A}"/>
    <cellStyle name="Normal 4 4 2 2 3 4 4" xfId="10228" xr:uid="{25CEDF92-63C1-4AD8-80BE-AE172AE65F0F}"/>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2 2 2" xfId="17004" xr:uid="{7955E284-F8F4-414A-AE29-29B8A05475C2}"/>
    <cellStyle name="Normal 4 4 2 2 3 5 2 3" xfId="12786" xr:uid="{619D63C3-E31E-428F-A454-63F5448382B7}"/>
    <cellStyle name="Normal 4 4 2 2 3 5 3" xfId="6409" xr:uid="{00000000-0005-0000-0000-0000FF140000}"/>
    <cellStyle name="Normal 4 4 2 2 3 5 3 2" xfId="14859" xr:uid="{A2A3B63E-1E93-4C75-A6EB-F67315029B1F}"/>
    <cellStyle name="Normal 4 4 2 2 3 5 4" xfId="10641" xr:uid="{AF1FED53-20EA-4899-ACEC-7452FD25815D}"/>
    <cellStyle name="Normal 4 4 2 2 3 6" xfId="2539" xr:uid="{00000000-0005-0000-0000-000000150000}"/>
    <cellStyle name="Normal 4 4 2 2 3 6 2" xfId="6822" xr:uid="{00000000-0005-0000-0000-000001150000}"/>
    <cellStyle name="Normal 4 4 2 2 3 6 2 2" xfId="15272" xr:uid="{E526204E-5822-47EC-9DF7-7C6A12A61335}"/>
    <cellStyle name="Normal 4 4 2 2 3 6 3" xfId="11054" xr:uid="{DAADCB65-9650-458B-8CAC-005FBBE00018}"/>
    <cellStyle name="Normal 4 4 2 2 3 7" xfId="4757" xr:uid="{00000000-0005-0000-0000-000002150000}"/>
    <cellStyle name="Normal 4 4 2 2 3 7 2" xfId="13207" xr:uid="{F0378ED0-17E1-4888-9D37-1D3916A66D52}"/>
    <cellStyle name="Normal 4 4 2 2 3 8" xfId="8989" xr:uid="{4A8AC5B7-FE2A-4BD6-AB4F-55B61A540C19}"/>
    <cellStyle name="Normal 4 4 2 2 4" xfId="855" xr:uid="{00000000-0005-0000-0000-000003150000}"/>
    <cellStyle name="Normal 4 4 2 2 4 2" xfId="3090" xr:uid="{00000000-0005-0000-0000-000004150000}"/>
    <cellStyle name="Normal 4 4 2 2 4 2 2" xfId="7312" xr:uid="{00000000-0005-0000-0000-000005150000}"/>
    <cellStyle name="Normal 4 4 2 2 4 2 2 2" xfId="15762" xr:uid="{F9887505-F154-4286-9865-28EC3670CBD8}"/>
    <cellStyle name="Normal 4 4 2 2 4 2 3" xfId="11544" xr:uid="{B8605866-DEAC-4CD7-B5F9-F982DD78D37E}"/>
    <cellStyle name="Normal 4 4 2 2 4 3" xfId="5167" xr:uid="{00000000-0005-0000-0000-000006150000}"/>
    <cellStyle name="Normal 4 4 2 2 4 3 2" xfId="13617" xr:uid="{7F4EF6C5-F1D9-464B-BD9C-EB181C92999C}"/>
    <cellStyle name="Normal 4 4 2 2 4 4" xfId="9399" xr:uid="{8E416E1C-254F-4013-A958-A995004B0FBE}"/>
    <cellStyle name="Normal 4 4 2 2 5" xfId="1273" xr:uid="{00000000-0005-0000-0000-000007150000}"/>
    <cellStyle name="Normal 4 4 2 2 5 2" xfId="3503" xr:uid="{00000000-0005-0000-0000-000008150000}"/>
    <cellStyle name="Normal 4 4 2 2 5 2 2" xfId="7725" xr:uid="{00000000-0005-0000-0000-000009150000}"/>
    <cellStyle name="Normal 4 4 2 2 5 2 2 2" xfId="16175" xr:uid="{798AB39A-880A-4D6F-BA6F-B6509F6A9D47}"/>
    <cellStyle name="Normal 4 4 2 2 5 2 3" xfId="11957" xr:uid="{68204D51-77E1-4D69-B6DD-BA243AAA84FE}"/>
    <cellStyle name="Normal 4 4 2 2 5 3" xfId="5580" xr:uid="{00000000-0005-0000-0000-00000A150000}"/>
    <cellStyle name="Normal 4 4 2 2 5 3 2" xfId="14030" xr:uid="{7C6E05A3-48ED-4EE8-97FB-3D9306BD6B58}"/>
    <cellStyle name="Normal 4 4 2 2 5 4" xfId="9812" xr:uid="{742D38AA-2B69-4E9D-998D-8961A963FAD2}"/>
    <cellStyle name="Normal 4 4 2 2 6" xfId="1686" xr:uid="{00000000-0005-0000-0000-00000B150000}"/>
    <cellStyle name="Normal 4 4 2 2 6 2" xfId="3916" xr:uid="{00000000-0005-0000-0000-00000C150000}"/>
    <cellStyle name="Normal 4 4 2 2 6 2 2" xfId="8138" xr:uid="{00000000-0005-0000-0000-00000D150000}"/>
    <cellStyle name="Normal 4 4 2 2 6 2 2 2" xfId="16588" xr:uid="{A308A5D9-0FA2-4739-9206-D216F1A7E7DE}"/>
    <cellStyle name="Normal 4 4 2 2 6 2 3" xfId="12370" xr:uid="{3A6555FD-BCC6-43E0-9873-F6E86CD78F4F}"/>
    <cellStyle name="Normal 4 4 2 2 6 3" xfId="5993" xr:uid="{00000000-0005-0000-0000-00000E150000}"/>
    <cellStyle name="Normal 4 4 2 2 6 3 2" xfId="14443" xr:uid="{A7EAD312-77F3-492F-A57B-32858D9FD139}"/>
    <cellStyle name="Normal 4 4 2 2 6 4" xfId="10225" xr:uid="{CE950BFE-32C7-454F-BEE3-6CBDE0A7EE47}"/>
    <cellStyle name="Normal 4 4 2 2 7" xfId="2100" xr:uid="{00000000-0005-0000-0000-00000F150000}"/>
    <cellStyle name="Normal 4 4 2 2 7 2" xfId="4329" xr:uid="{00000000-0005-0000-0000-000010150000}"/>
    <cellStyle name="Normal 4 4 2 2 7 2 2" xfId="8551" xr:uid="{00000000-0005-0000-0000-000011150000}"/>
    <cellStyle name="Normal 4 4 2 2 7 2 2 2" xfId="17001" xr:uid="{A6BBF63A-EE80-4CDB-AA70-26A8A5AA8271}"/>
    <cellStyle name="Normal 4 4 2 2 7 2 3" xfId="12783" xr:uid="{B7F917B7-8C2D-425B-A445-4539476E05B9}"/>
    <cellStyle name="Normal 4 4 2 2 7 3" xfId="6406" xr:uid="{00000000-0005-0000-0000-000012150000}"/>
    <cellStyle name="Normal 4 4 2 2 7 3 2" xfId="14856" xr:uid="{6E7E3A09-3EF4-4712-81B0-FD26DBF3CE57}"/>
    <cellStyle name="Normal 4 4 2 2 7 4" xfId="10638" xr:uid="{E7A91F2C-5E62-4E82-8FE3-ABE72F3E41C6}"/>
    <cellStyle name="Normal 4 4 2 2 8" xfId="2536" xr:uid="{00000000-0005-0000-0000-000013150000}"/>
    <cellStyle name="Normal 4 4 2 2 8 2" xfId="6819" xr:uid="{00000000-0005-0000-0000-000014150000}"/>
    <cellStyle name="Normal 4 4 2 2 8 2 2" xfId="15269" xr:uid="{3ED094D7-4596-4BAC-BAFE-7640BBA711D5}"/>
    <cellStyle name="Normal 4 4 2 2 8 3" xfId="11051" xr:uid="{D5D3D59D-FCA8-4B40-AE46-A17F40540086}"/>
    <cellStyle name="Normal 4 4 2 2 9" xfId="4754" xr:uid="{00000000-0005-0000-0000-000015150000}"/>
    <cellStyle name="Normal 4 4 2 2 9 2" xfId="13204" xr:uid="{3A177F0D-B07B-44A6-B42C-9D8949463406}"/>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2 2 2" xfId="15767" xr:uid="{6866F329-3FDD-4786-8275-73A039751548}"/>
    <cellStyle name="Normal 4 4 2 3 2 2 2 3" xfId="11549" xr:uid="{5AA52A46-F401-4FE2-B9E0-998096A31D88}"/>
    <cellStyle name="Normal 4 4 2 3 2 2 3" xfId="5172" xr:uid="{00000000-0005-0000-0000-00001B150000}"/>
    <cellStyle name="Normal 4 4 2 3 2 2 3 2" xfId="13622" xr:uid="{6858BF73-2AC5-44D9-94A7-5C727A14C42F}"/>
    <cellStyle name="Normal 4 4 2 3 2 2 4" xfId="9404" xr:uid="{DE80C746-8D7D-4E6D-8EA9-D532AD7BB72E}"/>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2 2 2" xfId="16180" xr:uid="{071A5720-1454-44BD-84CE-AD68DE06F423}"/>
    <cellStyle name="Normal 4 4 2 3 2 3 2 3" xfId="11962" xr:uid="{E87CAB9D-3990-4240-A199-B0C9703F259E}"/>
    <cellStyle name="Normal 4 4 2 3 2 3 3" xfId="5585" xr:uid="{00000000-0005-0000-0000-00001F150000}"/>
    <cellStyle name="Normal 4 4 2 3 2 3 3 2" xfId="14035" xr:uid="{54EBEA8A-EAFE-4F23-B7F5-4F772E3F41D7}"/>
    <cellStyle name="Normal 4 4 2 3 2 3 4" xfId="9817" xr:uid="{35BA65D2-6E8A-481A-9983-357A9FC2D55B}"/>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2 2 2" xfId="16593" xr:uid="{8D31B426-0764-40EF-8573-34606DFE9D55}"/>
    <cellStyle name="Normal 4 4 2 3 2 4 2 3" xfId="12375" xr:uid="{ABA5F739-C087-45D5-9E2F-D802438E8057}"/>
    <cellStyle name="Normal 4 4 2 3 2 4 3" xfId="5998" xr:uid="{00000000-0005-0000-0000-000023150000}"/>
    <cellStyle name="Normal 4 4 2 3 2 4 3 2" xfId="14448" xr:uid="{42759402-62E3-439E-9D2C-3378BA966AB1}"/>
    <cellStyle name="Normal 4 4 2 3 2 4 4" xfId="10230" xr:uid="{6CE150A1-F165-4540-A2CE-35A1B6F0422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2 2 2" xfId="17006" xr:uid="{BD92CB12-B829-470E-BF5E-4E7AEFF0DE76}"/>
    <cellStyle name="Normal 4 4 2 3 2 5 2 3" xfId="12788" xr:uid="{089759BC-D30B-4630-95C3-C8A2F0DE1C92}"/>
    <cellStyle name="Normal 4 4 2 3 2 5 3" xfId="6411" xr:uid="{00000000-0005-0000-0000-000027150000}"/>
    <cellStyle name="Normal 4 4 2 3 2 5 3 2" xfId="14861" xr:uid="{B21BC00E-2684-4062-ACC3-BD896B913224}"/>
    <cellStyle name="Normal 4 4 2 3 2 5 4" xfId="10643" xr:uid="{CAC5A82F-0C7E-4758-BB34-E3737987B06A}"/>
    <cellStyle name="Normal 4 4 2 3 2 6" xfId="2541" xr:uid="{00000000-0005-0000-0000-000028150000}"/>
    <cellStyle name="Normal 4 4 2 3 2 6 2" xfId="6824" xr:uid="{00000000-0005-0000-0000-000029150000}"/>
    <cellStyle name="Normal 4 4 2 3 2 6 2 2" xfId="15274" xr:uid="{B7A90C7E-2A36-4A42-B63D-002E8200ABE9}"/>
    <cellStyle name="Normal 4 4 2 3 2 6 3" xfId="11056" xr:uid="{0B727A90-47FA-4E90-9991-ABC1F64F5C37}"/>
    <cellStyle name="Normal 4 4 2 3 2 7" xfId="4759" xr:uid="{00000000-0005-0000-0000-00002A150000}"/>
    <cellStyle name="Normal 4 4 2 3 2 7 2" xfId="13209" xr:uid="{79FCB724-A9B7-4487-8169-5D7B57D2D8B5}"/>
    <cellStyle name="Normal 4 4 2 3 2 8" xfId="8991" xr:uid="{699B31A0-7834-45C6-AA51-783BBF10A180}"/>
    <cellStyle name="Normal 4 4 2 3 3" xfId="859" xr:uid="{00000000-0005-0000-0000-00002B150000}"/>
    <cellStyle name="Normal 4 4 2 3 3 2" xfId="3094" xr:uid="{00000000-0005-0000-0000-00002C150000}"/>
    <cellStyle name="Normal 4 4 2 3 3 2 2" xfId="7316" xr:uid="{00000000-0005-0000-0000-00002D150000}"/>
    <cellStyle name="Normal 4 4 2 3 3 2 2 2" xfId="15766" xr:uid="{D82C91E0-589C-4413-B0E6-27C4289415B0}"/>
    <cellStyle name="Normal 4 4 2 3 3 2 3" xfId="11548" xr:uid="{15CA8FA7-6DFF-44E3-995A-79CCC69FC7BB}"/>
    <cellStyle name="Normal 4 4 2 3 3 3" xfId="5171" xr:uid="{00000000-0005-0000-0000-00002E150000}"/>
    <cellStyle name="Normal 4 4 2 3 3 3 2" xfId="13621" xr:uid="{CAE42DDC-67D1-49FD-8C3D-BCAA2F6E4F74}"/>
    <cellStyle name="Normal 4 4 2 3 3 4" xfId="9403" xr:uid="{8F7DCF7E-C72B-4C90-989A-72E243524CE4}"/>
    <cellStyle name="Normal 4 4 2 3 4" xfId="1277" xr:uid="{00000000-0005-0000-0000-00002F150000}"/>
    <cellStyle name="Normal 4 4 2 3 4 2" xfId="3507" xr:uid="{00000000-0005-0000-0000-000030150000}"/>
    <cellStyle name="Normal 4 4 2 3 4 2 2" xfId="7729" xr:uid="{00000000-0005-0000-0000-000031150000}"/>
    <cellStyle name="Normal 4 4 2 3 4 2 2 2" xfId="16179" xr:uid="{A7B67020-5C98-43E1-850E-662841D3EF45}"/>
    <cellStyle name="Normal 4 4 2 3 4 2 3" xfId="11961" xr:uid="{9FE667AA-EF57-4E14-B28B-6F7F3D78BFE1}"/>
    <cellStyle name="Normal 4 4 2 3 4 3" xfId="5584" xr:uid="{00000000-0005-0000-0000-000032150000}"/>
    <cellStyle name="Normal 4 4 2 3 4 3 2" xfId="14034" xr:uid="{662DFFD1-C417-467D-8810-BA6F36FF7CBB}"/>
    <cellStyle name="Normal 4 4 2 3 4 4" xfId="9816" xr:uid="{EBEB06E1-CDB2-40D0-889D-D53034569081}"/>
    <cellStyle name="Normal 4 4 2 3 5" xfId="1690" xr:uid="{00000000-0005-0000-0000-000033150000}"/>
    <cellStyle name="Normal 4 4 2 3 5 2" xfId="3920" xr:uid="{00000000-0005-0000-0000-000034150000}"/>
    <cellStyle name="Normal 4 4 2 3 5 2 2" xfId="8142" xr:uid="{00000000-0005-0000-0000-000035150000}"/>
    <cellStyle name="Normal 4 4 2 3 5 2 2 2" xfId="16592" xr:uid="{630061F7-8B04-4EC8-B251-F73350DDCB23}"/>
    <cellStyle name="Normal 4 4 2 3 5 2 3" xfId="12374" xr:uid="{F4AD1926-B357-478B-816F-B83EFD40E9DB}"/>
    <cellStyle name="Normal 4 4 2 3 5 3" xfId="5997" xr:uid="{00000000-0005-0000-0000-000036150000}"/>
    <cellStyle name="Normal 4 4 2 3 5 3 2" xfId="14447" xr:uid="{1DE9EFBC-4D39-4A5A-BE65-D2CADF2A5EC9}"/>
    <cellStyle name="Normal 4 4 2 3 5 4" xfId="10229" xr:uid="{545E3CBE-E134-4D72-AB7C-C5FA17C61B9A}"/>
    <cellStyle name="Normal 4 4 2 3 6" xfId="2104" xr:uid="{00000000-0005-0000-0000-000037150000}"/>
    <cellStyle name="Normal 4 4 2 3 6 2" xfId="4333" xr:uid="{00000000-0005-0000-0000-000038150000}"/>
    <cellStyle name="Normal 4 4 2 3 6 2 2" xfId="8555" xr:uid="{00000000-0005-0000-0000-000039150000}"/>
    <cellStyle name="Normal 4 4 2 3 6 2 2 2" xfId="17005" xr:uid="{F85B7F69-0821-4858-9040-EEF9D98DE31D}"/>
    <cellStyle name="Normal 4 4 2 3 6 2 3" xfId="12787" xr:uid="{7E263D25-E179-49CD-A886-CA2BDEA18153}"/>
    <cellStyle name="Normal 4 4 2 3 6 3" xfId="6410" xr:uid="{00000000-0005-0000-0000-00003A150000}"/>
    <cellStyle name="Normal 4 4 2 3 6 3 2" xfId="14860" xr:uid="{71B39A7F-3064-4479-BC29-33768C9B228E}"/>
    <cellStyle name="Normal 4 4 2 3 6 4" xfId="10642" xr:uid="{9D06EA2A-06B6-43D5-B739-15271BA1A027}"/>
    <cellStyle name="Normal 4 4 2 3 7" xfId="2540" xr:uid="{00000000-0005-0000-0000-00003B150000}"/>
    <cellStyle name="Normal 4 4 2 3 7 2" xfId="6823" xr:uid="{00000000-0005-0000-0000-00003C150000}"/>
    <cellStyle name="Normal 4 4 2 3 7 2 2" xfId="15273" xr:uid="{672AAC7E-3055-4E21-ACBA-3DFFD5EEB9E8}"/>
    <cellStyle name="Normal 4 4 2 3 7 3" xfId="11055" xr:uid="{AEC22E06-6E8A-458E-A1A0-17BE3DBE39EE}"/>
    <cellStyle name="Normal 4 4 2 3 8" xfId="4758" xr:uid="{00000000-0005-0000-0000-00003D150000}"/>
    <cellStyle name="Normal 4 4 2 3 8 2" xfId="13208" xr:uid="{8A43D5D8-4030-4D83-B3EE-25AA9BBDDA06}"/>
    <cellStyle name="Normal 4 4 2 3 9" xfId="8990" xr:uid="{D3A7552E-AB14-473B-A011-3E25433CA161}"/>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2 2 2" xfId="15768" xr:uid="{8FB12EBD-2C78-4F90-9695-4D1D23F1FF38}"/>
    <cellStyle name="Normal 4 4 2 4 2 2 3" xfId="11550" xr:uid="{2EC3FD9E-A86C-4391-91AE-FB26598AA5E6}"/>
    <cellStyle name="Normal 4 4 2 4 2 3" xfId="5173" xr:uid="{00000000-0005-0000-0000-000042150000}"/>
    <cellStyle name="Normal 4 4 2 4 2 3 2" xfId="13623" xr:uid="{06EB54EE-0648-418E-A54F-0ADD7DBF4061}"/>
    <cellStyle name="Normal 4 4 2 4 2 4" xfId="9405" xr:uid="{EB1C0F29-3E24-4BC1-92A5-B68B71085FDE}"/>
    <cellStyle name="Normal 4 4 2 4 3" xfId="1279" xr:uid="{00000000-0005-0000-0000-000043150000}"/>
    <cellStyle name="Normal 4 4 2 4 3 2" xfId="3509" xr:uid="{00000000-0005-0000-0000-000044150000}"/>
    <cellStyle name="Normal 4 4 2 4 3 2 2" xfId="7731" xr:uid="{00000000-0005-0000-0000-000045150000}"/>
    <cellStyle name="Normal 4 4 2 4 3 2 2 2" xfId="16181" xr:uid="{B6918551-6FAC-4279-ACA7-F768B7642CAD}"/>
    <cellStyle name="Normal 4 4 2 4 3 2 3" xfId="11963" xr:uid="{AB4FD2A9-8206-448A-8D85-0245AEE817AF}"/>
    <cellStyle name="Normal 4 4 2 4 3 3" xfId="5586" xr:uid="{00000000-0005-0000-0000-000046150000}"/>
    <cellStyle name="Normal 4 4 2 4 3 3 2" xfId="14036" xr:uid="{A6C56E4C-AD1B-414F-BF0F-533487EB2609}"/>
    <cellStyle name="Normal 4 4 2 4 3 4" xfId="9818" xr:uid="{6E823B8E-6266-4A1B-A12D-FD6954A86A76}"/>
    <cellStyle name="Normal 4 4 2 4 4" xfId="1692" xr:uid="{00000000-0005-0000-0000-000047150000}"/>
    <cellStyle name="Normal 4 4 2 4 4 2" xfId="3922" xr:uid="{00000000-0005-0000-0000-000048150000}"/>
    <cellStyle name="Normal 4 4 2 4 4 2 2" xfId="8144" xr:uid="{00000000-0005-0000-0000-000049150000}"/>
    <cellStyle name="Normal 4 4 2 4 4 2 2 2" xfId="16594" xr:uid="{C065A293-3EE1-4C19-9CFB-601725E055A8}"/>
    <cellStyle name="Normal 4 4 2 4 4 2 3" xfId="12376" xr:uid="{A053C683-C106-4476-966B-DEDFE002C27C}"/>
    <cellStyle name="Normal 4 4 2 4 4 3" xfId="5999" xr:uid="{00000000-0005-0000-0000-00004A150000}"/>
    <cellStyle name="Normal 4 4 2 4 4 3 2" xfId="14449" xr:uid="{1A7698A2-3668-413C-BE87-3E95249E5072}"/>
    <cellStyle name="Normal 4 4 2 4 4 4" xfId="10231" xr:uid="{44E54570-F587-4CEE-9668-54DBAA9AAE0C}"/>
    <cellStyle name="Normal 4 4 2 4 5" xfId="2106" xr:uid="{00000000-0005-0000-0000-00004B150000}"/>
    <cellStyle name="Normal 4 4 2 4 5 2" xfId="4335" xr:uid="{00000000-0005-0000-0000-00004C150000}"/>
    <cellStyle name="Normal 4 4 2 4 5 2 2" xfId="8557" xr:uid="{00000000-0005-0000-0000-00004D150000}"/>
    <cellStyle name="Normal 4 4 2 4 5 2 2 2" xfId="17007" xr:uid="{994AA63C-F4B0-4EF8-B3FF-43F2874744BE}"/>
    <cellStyle name="Normal 4 4 2 4 5 2 3" xfId="12789" xr:uid="{272627C3-7B65-47FD-828C-CBFA3C2E1429}"/>
    <cellStyle name="Normal 4 4 2 4 5 3" xfId="6412" xr:uid="{00000000-0005-0000-0000-00004E150000}"/>
    <cellStyle name="Normal 4 4 2 4 5 3 2" xfId="14862" xr:uid="{EA7DC306-9BC6-43CB-AA80-83F543092D75}"/>
    <cellStyle name="Normal 4 4 2 4 5 4" xfId="10644" xr:uid="{1CEECBAC-ADD3-4DEC-98D4-2014A6D0AFAC}"/>
    <cellStyle name="Normal 4 4 2 4 6" xfId="2542" xr:uid="{00000000-0005-0000-0000-00004F150000}"/>
    <cellStyle name="Normal 4 4 2 4 6 2" xfId="6825" xr:uid="{00000000-0005-0000-0000-000050150000}"/>
    <cellStyle name="Normal 4 4 2 4 6 2 2" xfId="15275" xr:uid="{98A55076-3882-42E0-98AB-272DC7D26A79}"/>
    <cellStyle name="Normal 4 4 2 4 6 3" xfId="11057" xr:uid="{8424BDCA-723D-4231-9874-3BD4E90CA08F}"/>
    <cellStyle name="Normal 4 4 2 4 7" xfId="4760" xr:uid="{00000000-0005-0000-0000-000051150000}"/>
    <cellStyle name="Normal 4 4 2 4 7 2" xfId="13210" xr:uid="{B66A41F8-199A-43E8-9FE3-292D09690864}"/>
    <cellStyle name="Normal 4 4 2 4 8" xfId="8992" xr:uid="{E432F717-5893-4C9F-91CD-095EFFD02874}"/>
    <cellStyle name="Normal 4 4 2 5" xfId="854" xr:uid="{00000000-0005-0000-0000-000052150000}"/>
    <cellStyle name="Normal 4 4 2 5 2" xfId="3089" xr:uid="{00000000-0005-0000-0000-000053150000}"/>
    <cellStyle name="Normal 4 4 2 5 2 2" xfId="7311" xr:uid="{00000000-0005-0000-0000-000054150000}"/>
    <cellStyle name="Normal 4 4 2 5 2 2 2" xfId="15761" xr:uid="{FB927CAC-E912-4D4B-970B-D944158853CA}"/>
    <cellStyle name="Normal 4 4 2 5 2 3" xfId="11543" xr:uid="{EE071650-8072-4C99-8B9D-E54BDB9D3F31}"/>
    <cellStyle name="Normal 4 4 2 5 3" xfId="5166" xr:uid="{00000000-0005-0000-0000-000055150000}"/>
    <cellStyle name="Normal 4 4 2 5 3 2" xfId="13616" xr:uid="{045D64EA-0D25-4310-A44D-0E111D7B44A3}"/>
    <cellStyle name="Normal 4 4 2 5 4" xfId="9398" xr:uid="{AF0FB64B-AE42-4A67-8DB6-A51AF40F0669}"/>
    <cellStyle name="Normal 4 4 2 6" xfId="1272" xr:uid="{00000000-0005-0000-0000-000056150000}"/>
    <cellStyle name="Normal 4 4 2 6 2" xfId="3502" xr:uid="{00000000-0005-0000-0000-000057150000}"/>
    <cellStyle name="Normal 4 4 2 6 2 2" xfId="7724" xr:uid="{00000000-0005-0000-0000-000058150000}"/>
    <cellStyle name="Normal 4 4 2 6 2 2 2" xfId="16174" xr:uid="{F04D057B-4194-4ACD-8353-A186CE8063D5}"/>
    <cellStyle name="Normal 4 4 2 6 2 3" xfId="11956" xr:uid="{E817AAF8-BF59-4146-8573-239941CC1D45}"/>
    <cellStyle name="Normal 4 4 2 6 3" xfId="5579" xr:uid="{00000000-0005-0000-0000-000059150000}"/>
    <cellStyle name="Normal 4 4 2 6 3 2" xfId="14029" xr:uid="{68864252-2C2A-408E-A02E-907BAC808A73}"/>
    <cellStyle name="Normal 4 4 2 6 4" xfId="9811" xr:uid="{EC285C03-9401-4C50-8152-39168CAE490E}"/>
    <cellStyle name="Normal 4 4 2 7" xfId="1685" xr:uid="{00000000-0005-0000-0000-00005A150000}"/>
    <cellStyle name="Normal 4 4 2 7 2" xfId="3915" xr:uid="{00000000-0005-0000-0000-00005B150000}"/>
    <cellStyle name="Normal 4 4 2 7 2 2" xfId="8137" xr:uid="{00000000-0005-0000-0000-00005C150000}"/>
    <cellStyle name="Normal 4 4 2 7 2 2 2" xfId="16587" xr:uid="{78E9F0DB-9BA9-457A-B18D-73A48BB1DDA8}"/>
    <cellStyle name="Normal 4 4 2 7 2 3" xfId="12369" xr:uid="{69960BE2-9DA0-4991-89F4-C7F2A3EB8713}"/>
    <cellStyle name="Normal 4 4 2 7 3" xfId="5992" xr:uid="{00000000-0005-0000-0000-00005D150000}"/>
    <cellStyle name="Normal 4 4 2 7 3 2" xfId="14442" xr:uid="{E770654B-0A37-4FF4-A79F-F934281C3037}"/>
    <cellStyle name="Normal 4 4 2 7 4" xfId="10224" xr:uid="{B5C41D10-AC1B-4C18-8B17-D1312A2FA025}"/>
    <cellStyle name="Normal 4 4 2 8" xfId="2099" xr:uid="{00000000-0005-0000-0000-00005E150000}"/>
    <cellStyle name="Normal 4 4 2 8 2" xfId="4328" xr:uid="{00000000-0005-0000-0000-00005F150000}"/>
    <cellStyle name="Normal 4 4 2 8 2 2" xfId="8550" xr:uid="{00000000-0005-0000-0000-000060150000}"/>
    <cellStyle name="Normal 4 4 2 8 2 2 2" xfId="17000" xr:uid="{86ED13DE-7239-4674-A91F-44F049679F8C}"/>
    <cellStyle name="Normal 4 4 2 8 2 3" xfId="12782" xr:uid="{36F82E56-B23F-4475-944E-9F6F654DD2F0}"/>
    <cellStyle name="Normal 4 4 2 8 3" xfId="6405" xr:uid="{00000000-0005-0000-0000-000061150000}"/>
    <cellStyle name="Normal 4 4 2 8 3 2" xfId="14855" xr:uid="{1BE75C0C-312F-4BFC-B008-379FA0914C41}"/>
    <cellStyle name="Normal 4 4 2 8 4" xfId="10637" xr:uid="{4D6F9298-53FA-4362-B69E-CDCC0B192873}"/>
    <cellStyle name="Normal 4 4 2 9" xfId="2535" xr:uid="{00000000-0005-0000-0000-000062150000}"/>
    <cellStyle name="Normal 4 4 2 9 2" xfId="6818" xr:uid="{00000000-0005-0000-0000-000063150000}"/>
    <cellStyle name="Normal 4 4 2 9 2 2" xfId="15268" xr:uid="{97400843-E2F8-42D0-9ABC-658E4B7EBC99}"/>
    <cellStyle name="Normal 4 4 2 9 3" xfId="11050" xr:uid="{0D625424-807E-4E13-8985-30CBD2AAF082}"/>
    <cellStyle name="Normal 4 4 3" xfId="387" xr:uid="{00000000-0005-0000-0000-000064150000}"/>
    <cellStyle name="Normal 4 4 3 10" xfId="8993" xr:uid="{2EE070C2-05FC-4906-80A6-0EA57DC977FB}"/>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2 2 2" xfId="15771" xr:uid="{E581426F-2BE6-4925-8A36-411E2671968F}"/>
    <cellStyle name="Normal 4 4 3 2 2 2 2 3" xfId="11553" xr:uid="{C1BC0FA7-05CB-414F-A45F-FD8EFA2E48EF}"/>
    <cellStyle name="Normal 4 4 3 2 2 2 3" xfId="5176" xr:uid="{00000000-0005-0000-0000-00006A150000}"/>
    <cellStyle name="Normal 4 4 3 2 2 2 3 2" xfId="13626" xr:uid="{B1E83E73-7E5B-4100-9093-F3CB4E19381F}"/>
    <cellStyle name="Normal 4 4 3 2 2 2 4" xfId="9408" xr:uid="{6D3A8465-6003-479F-91E5-51FF34FA70A3}"/>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2 2 2" xfId="16184" xr:uid="{1C8F0873-17EF-4DE9-AC99-4C8E23EB134B}"/>
    <cellStyle name="Normal 4 4 3 2 2 3 2 3" xfId="11966" xr:uid="{8AA9B479-49AF-4D51-9DFF-8957EBD715C7}"/>
    <cellStyle name="Normal 4 4 3 2 2 3 3" xfId="5589" xr:uid="{00000000-0005-0000-0000-00006E150000}"/>
    <cellStyle name="Normal 4 4 3 2 2 3 3 2" xfId="14039" xr:uid="{E091FE4B-E99C-4B15-B5E2-21317DCFF922}"/>
    <cellStyle name="Normal 4 4 3 2 2 3 4" xfId="9821" xr:uid="{088D7BC1-A69D-44BD-BBC1-F2F553AF5D11}"/>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2 2 2" xfId="16597" xr:uid="{EFDBA259-BF38-499B-9407-660BFC0CEA39}"/>
    <cellStyle name="Normal 4 4 3 2 2 4 2 3" xfId="12379" xr:uid="{0CA8D417-E08F-4B93-A90D-672CFAAC6C10}"/>
    <cellStyle name="Normal 4 4 3 2 2 4 3" xfId="6002" xr:uid="{00000000-0005-0000-0000-000072150000}"/>
    <cellStyle name="Normal 4 4 3 2 2 4 3 2" xfId="14452" xr:uid="{309F712F-5A42-4AED-8573-78DC036C70C1}"/>
    <cellStyle name="Normal 4 4 3 2 2 4 4" xfId="10234" xr:uid="{E8627A22-BAA6-429F-83ED-04109FB330BA}"/>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2 2 2" xfId="17010" xr:uid="{E11A2787-93FD-4A01-BCCA-BBBD52D5E025}"/>
    <cellStyle name="Normal 4 4 3 2 2 5 2 3" xfId="12792" xr:uid="{261178A2-C267-4DBC-8B36-2D4B84AB9172}"/>
    <cellStyle name="Normal 4 4 3 2 2 5 3" xfId="6415" xr:uid="{00000000-0005-0000-0000-000076150000}"/>
    <cellStyle name="Normal 4 4 3 2 2 5 3 2" xfId="14865" xr:uid="{A13A62B7-A8CE-47AF-B709-E9B8CEC8B61F}"/>
    <cellStyle name="Normal 4 4 3 2 2 5 4" xfId="10647" xr:uid="{5E63F469-C3FE-4333-ACC5-137C7D9E415C}"/>
    <cellStyle name="Normal 4 4 3 2 2 6" xfId="2545" xr:uid="{00000000-0005-0000-0000-000077150000}"/>
    <cellStyle name="Normal 4 4 3 2 2 6 2" xfId="6828" xr:uid="{00000000-0005-0000-0000-000078150000}"/>
    <cellStyle name="Normal 4 4 3 2 2 6 2 2" xfId="15278" xr:uid="{602F2EAE-5CE1-4BE1-AF47-0AFB44B38EDE}"/>
    <cellStyle name="Normal 4 4 3 2 2 6 3" xfId="11060" xr:uid="{D3E69FB3-1CF5-42CE-860C-9254EEC940C5}"/>
    <cellStyle name="Normal 4 4 3 2 2 7" xfId="4763" xr:uid="{00000000-0005-0000-0000-000079150000}"/>
    <cellStyle name="Normal 4 4 3 2 2 7 2" xfId="13213" xr:uid="{42108330-B5E2-46E9-AD98-A80928A91303}"/>
    <cellStyle name="Normal 4 4 3 2 2 8" xfId="8995" xr:uid="{5AD2A789-BBAA-4D7D-947B-912C3894F854}"/>
    <cellStyle name="Normal 4 4 3 2 3" xfId="863" xr:uid="{00000000-0005-0000-0000-00007A150000}"/>
    <cellStyle name="Normal 4 4 3 2 3 2" xfId="3098" xr:uid="{00000000-0005-0000-0000-00007B150000}"/>
    <cellStyle name="Normal 4 4 3 2 3 2 2" xfId="7320" xr:uid="{00000000-0005-0000-0000-00007C150000}"/>
    <cellStyle name="Normal 4 4 3 2 3 2 2 2" xfId="15770" xr:uid="{C09762F0-680D-41D2-BC25-4BD9E5C5F17D}"/>
    <cellStyle name="Normal 4 4 3 2 3 2 3" xfId="11552" xr:uid="{53867188-9B81-4BB5-A9C1-0F3D560A6CEF}"/>
    <cellStyle name="Normal 4 4 3 2 3 3" xfId="5175" xr:uid="{00000000-0005-0000-0000-00007D150000}"/>
    <cellStyle name="Normal 4 4 3 2 3 3 2" xfId="13625" xr:uid="{CD4A6090-42DC-4424-8C80-C837EDE34715}"/>
    <cellStyle name="Normal 4 4 3 2 3 4" xfId="9407" xr:uid="{949B4F33-A0B6-4495-91E4-8D19C41A1112}"/>
    <cellStyle name="Normal 4 4 3 2 4" xfId="1281" xr:uid="{00000000-0005-0000-0000-00007E150000}"/>
    <cellStyle name="Normal 4 4 3 2 4 2" xfId="3511" xr:uid="{00000000-0005-0000-0000-00007F150000}"/>
    <cellStyle name="Normal 4 4 3 2 4 2 2" xfId="7733" xr:uid="{00000000-0005-0000-0000-000080150000}"/>
    <cellStyle name="Normal 4 4 3 2 4 2 2 2" xfId="16183" xr:uid="{4C9C02F3-B979-442C-B625-A352B1E49C8B}"/>
    <cellStyle name="Normal 4 4 3 2 4 2 3" xfId="11965" xr:uid="{B576C551-48B0-433E-92FA-5D8334FC8C0C}"/>
    <cellStyle name="Normal 4 4 3 2 4 3" xfId="5588" xr:uid="{00000000-0005-0000-0000-000081150000}"/>
    <cellStyle name="Normal 4 4 3 2 4 3 2" xfId="14038" xr:uid="{5CA2B5B3-BE26-4F92-8454-95E9BEFF5962}"/>
    <cellStyle name="Normal 4 4 3 2 4 4" xfId="9820" xr:uid="{EBE9CC25-2E5F-4880-B3D8-8195523EDB60}"/>
    <cellStyle name="Normal 4 4 3 2 5" xfId="1694" xr:uid="{00000000-0005-0000-0000-000082150000}"/>
    <cellStyle name="Normal 4 4 3 2 5 2" xfId="3924" xr:uid="{00000000-0005-0000-0000-000083150000}"/>
    <cellStyle name="Normal 4 4 3 2 5 2 2" xfId="8146" xr:uid="{00000000-0005-0000-0000-000084150000}"/>
    <cellStyle name="Normal 4 4 3 2 5 2 2 2" xfId="16596" xr:uid="{A6E2013F-F121-480B-99FF-73FFDD84AB61}"/>
    <cellStyle name="Normal 4 4 3 2 5 2 3" xfId="12378" xr:uid="{6FF272A3-5B33-4220-88A7-16E8B2E52920}"/>
    <cellStyle name="Normal 4 4 3 2 5 3" xfId="6001" xr:uid="{00000000-0005-0000-0000-000085150000}"/>
    <cellStyle name="Normal 4 4 3 2 5 3 2" xfId="14451" xr:uid="{469AF281-FCCA-49A8-B6F0-B206F2DD2D51}"/>
    <cellStyle name="Normal 4 4 3 2 5 4" xfId="10233" xr:uid="{4ECBFD48-ECE1-44E2-9F5E-0FE10C35FC5A}"/>
    <cellStyle name="Normal 4 4 3 2 6" xfId="2108" xr:uid="{00000000-0005-0000-0000-000086150000}"/>
    <cellStyle name="Normal 4 4 3 2 6 2" xfId="4337" xr:uid="{00000000-0005-0000-0000-000087150000}"/>
    <cellStyle name="Normal 4 4 3 2 6 2 2" xfId="8559" xr:uid="{00000000-0005-0000-0000-000088150000}"/>
    <cellStyle name="Normal 4 4 3 2 6 2 2 2" xfId="17009" xr:uid="{70AE75A1-D690-4272-9699-1340731AE7E2}"/>
    <cellStyle name="Normal 4 4 3 2 6 2 3" xfId="12791" xr:uid="{D7580114-492B-41A1-8F39-4273220A03DE}"/>
    <cellStyle name="Normal 4 4 3 2 6 3" xfId="6414" xr:uid="{00000000-0005-0000-0000-000089150000}"/>
    <cellStyle name="Normal 4 4 3 2 6 3 2" xfId="14864" xr:uid="{BF2A8390-F73F-4EFB-A0CB-9C94A4906935}"/>
    <cellStyle name="Normal 4 4 3 2 6 4" xfId="10646" xr:uid="{8389EE62-665B-43B6-8828-B5B88B530CE8}"/>
    <cellStyle name="Normal 4 4 3 2 7" xfId="2544" xr:uid="{00000000-0005-0000-0000-00008A150000}"/>
    <cellStyle name="Normal 4 4 3 2 7 2" xfId="6827" xr:uid="{00000000-0005-0000-0000-00008B150000}"/>
    <cellStyle name="Normal 4 4 3 2 7 2 2" xfId="15277" xr:uid="{F52A50FC-95D1-4BAC-9A8A-D2C02F8A3E88}"/>
    <cellStyle name="Normal 4 4 3 2 7 3" xfId="11059" xr:uid="{165A7DD0-F52A-4653-B0B2-899FEF491397}"/>
    <cellStyle name="Normal 4 4 3 2 8" xfId="4762" xr:uid="{00000000-0005-0000-0000-00008C150000}"/>
    <cellStyle name="Normal 4 4 3 2 8 2" xfId="13212" xr:uid="{CC6127F6-833E-46E7-BA50-FF007763039F}"/>
    <cellStyle name="Normal 4 4 3 2 9" xfId="8994" xr:uid="{FEAA5F60-F6AF-4831-88B1-18D79EF2B631}"/>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2 2 2" xfId="15772" xr:uid="{CE97DB55-45B9-430B-9322-A8BFE86E9DEC}"/>
    <cellStyle name="Normal 4 4 3 3 2 2 3" xfId="11554" xr:uid="{E4863876-D259-4554-AB93-FB8D41651F31}"/>
    <cellStyle name="Normal 4 4 3 3 2 3" xfId="5177" xr:uid="{00000000-0005-0000-0000-000091150000}"/>
    <cellStyle name="Normal 4 4 3 3 2 3 2" xfId="13627" xr:uid="{48BD4B21-D184-4204-A1B2-0AE04CA62CC0}"/>
    <cellStyle name="Normal 4 4 3 3 2 4" xfId="9409" xr:uid="{AC1D4936-E459-4309-BE44-5D752BC3F2A7}"/>
    <cellStyle name="Normal 4 4 3 3 3" xfId="1283" xr:uid="{00000000-0005-0000-0000-000092150000}"/>
    <cellStyle name="Normal 4 4 3 3 3 2" xfId="3513" xr:uid="{00000000-0005-0000-0000-000093150000}"/>
    <cellStyle name="Normal 4 4 3 3 3 2 2" xfId="7735" xr:uid="{00000000-0005-0000-0000-000094150000}"/>
    <cellStyle name="Normal 4 4 3 3 3 2 2 2" xfId="16185" xr:uid="{D0A2A64E-E395-4A77-8189-ECF1FE1A80CC}"/>
    <cellStyle name="Normal 4 4 3 3 3 2 3" xfId="11967" xr:uid="{82D293B9-6E55-4FB8-AF2B-B076EC6A653C}"/>
    <cellStyle name="Normal 4 4 3 3 3 3" xfId="5590" xr:uid="{00000000-0005-0000-0000-000095150000}"/>
    <cellStyle name="Normal 4 4 3 3 3 3 2" xfId="14040" xr:uid="{59C4E3E8-5F40-4539-BDC5-D674BB37CEFD}"/>
    <cellStyle name="Normal 4 4 3 3 3 4" xfId="9822" xr:uid="{CC74FE7F-1B14-4DF0-BE3C-296068E39F47}"/>
    <cellStyle name="Normal 4 4 3 3 4" xfId="1696" xr:uid="{00000000-0005-0000-0000-000096150000}"/>
    <cellStyle name="Normal 4 4 3 3 4 2" xfId="3926" xr:uid="{00000000-0005-0000-0000-000097150000}"/>
    <cellStyle name="Normal 4 4 3 3 4 2 2" xfId="8148" xr:uid="{00000000-0005-0000-0000-000098150000}"/>
    <cellStyle name="Normal 4 4 3 3 4 2 2 2" xfId="16598" xr:uid="{7C61C23A-2686-4D5C-B549-115695339C3C}"/>
    <cellStyle name="Normal 4 4 3 3 4 2 3" xfId="12380" xr:uid="{B805A8EC-A0FD-4AF9-A212-D9603198D44C}"/>
    <cellStyle name="Normal 4 4 3 3 4 3" xfId="6003" xr:uid="{00000000-0005-0000-0000-000099150000}"/>
    <cellStyle name="Normal 4 4 3 3 4 3 2" xfId="14453" xr:uid="{E98F5B38-F431-425F-B535-866457CAA497}"/>
    <cellStyle name="Normal 4 4 3 3 4 4" xfId="10235" xr:uid="{F56A43C9-96E1-4F57-88F9-5B00D0006DE7}"/>
    <cellStyle name="Normal 4 4 3 3 5" xfId="2110" xr:uid="{00000000-0005-0000-0000-00009A150000}"/>
    <cellStyle name="Normal 4 4 3 3 5 2" xfId="4339" xr:uid="{00000000-0005-0000-0000-00009B150000}"/>
    <cellStyle name="Normal 4 4 3 3 5 2 2" xfId="8561" xr:uid="{00000000-0005-0000-0000-00009C150000}"/>
    <cellStyle name="Normal 4 4 3 3 5 2 2 2" xfId="17011" xr:uid="{D2E10263-5750-47A6-99C2-6CFA3E1C08D4}"/>
    <cellStyle name="Normal 4 4 3 3 5 2 3" xfId="12793" xr:uid="{9584D0BB-43E3-40B8-9781-7B44AC4745D0}"/>
    <cellStyle name="Normal 4 4 3 3 5 3" xfId="6416" xr:uid="{00000000-0005-0000-0000-00009D150000}"/>
    <cellStyle name="Normal 4 4 3 3 5 3 2" xfId="14866" xr:uid="{78D13323-212C-41FB-91A0-7BC7CC6D98A0}"/>
    <cellStyle name="Normal 4 4 3 3 5 4" xfId="10648" xr:uid="{563FC83D-855A-4E2A-A45F-C8F1218C0EC3}"/>
    <cellStyle name="Normal 4 4 3 3 6" xfId="2546" xr:uid="{00000000-0005-0000-0000-00009E150000}"/>
    <cellStyle name="Normal 4 4 3 3 6 2" xfId="6829" xr:uid="{00000000-0005-0000-0000-00009F150000}"/>
    <cellStyle name="Normal 4 4 3 3 6 2 2" xfId="15279" xr:uid="{92D1BCF2-FC2F-49B8-AC0B-E0398221C893}"/>
    <cellStyle name="Normal 4 4 3 3 6 3" xfId="11061" xr:uid="{78B74E80-23A7-4744-A6CC-2A54B4F971FC}"/>
    <cellStyle name="Normal 4 4 3 3 7" xfId="4764" xr:uid="{00000000-0005-0000-0000-0000A0150000}"/>
    <cellStyle name="Normal 4 4 3 3 7 2" xfId="13214" xr:uid="{2ADA3464-491A-4B0C-9CDD-6508A23FCDDF}"/>
    <cellStyle name="Normal 4 4 3 3 8" xfId="8996" xr:uid="{5C5C7B2F-DDB3-4410-A066-454940D7FD11}"/>
    <cellStyle name="Normal 4 4 3 4" xfId="862" xr:uid="{00000000-0005-0000-0000-0000A1150000}"/>
    <cellStyle name="Normal 4 4 3 4 2" xfId="3097" xr:uid="{00000000-0005-0000-0000-0000A2150000}"/>
    <cellStyle name="Normal 4 4 3 4 2 2" xfId="7319" xr:uid="{00000000-0005-0000-0000-0000A3150000}"/>
    <cellStyle name="Normal 4 4 3 4 2 2 2" xfId="15769" xr:uid="{BCCC990A-419F-4DF0-8717-9755A351154F}"/>
    <cellStyle name="Normal 4 4 3 4 2 3" xfId="11551" xr:uid="{341F4BD1-F5CD-45D2-9B40-E4F0490C0E17}"/>
    <cellStyle name="Normal 4 4 3 4 3" xfId="5174" xr:uid="{00000000-0005-0000-0000-0000A4150000}"/>
    <cellStyle name="Normal 4 4 3 4 3 2" xfId="13624" xr:uid="{9287B861-8DAA-4684-9998-B93F030F639D}"/>
    <cellStyle name="Normal 4 4 3 4 4" xfId="9406" xr:uid="{6F3279F7-134D-4612-A68A-FAF71AB84C9A}"/>
    <cellStyle name="Normal 4 4 3 5" xfId="1280" xr:uid="{00000000-0005-0000-0000-0000A5150000}"/>
    <cellStyle name="Normal 4 4 3 5 2" xfId="3510" xr:uid="{00000000-0005-0000-0000-0000A6150000}"/>
    <cellStyle name="Normal 4 4 3 5 2 2" xfId="7732" xr:uid="{00000000-0005-0000-0000-0000A7150000}"/>
    <cellStyle name="Normal 4 4 3 5 2 2 2" xfId="16182" xr:uid="{1C9AA9F1-641E-4A59-8EC7-F76C22C198F8}"/>
    <cellStyle name="Normal 4 4 3 5 2 3" xfId="11964" xr:uid="{1D3ECC96-B26C-429E-8B3B-4E5D2ACD0BCF}"/>
    <cellStyle name="Normal 4 4 3 5 3" xfId="5587" xr:uid="{00000000-0005-0000-0000-0000A8150000}"/>
    <cellStyle name="Normal 4 4 3 5 3 2" xfId="14037" xr:uid="{86F76774-F95B-4FE2-B071-E801787CBA52}"/>
    <cellStyle name="Normal 4 4 3 5 4" xfId="9819" xr:uid="{018E7312-71CF-4F68-9A91-A1717C3A0586}"/>
    <cellStyle name="Normal 4 4 3 6" xfId="1693" xr:uid="{00000000-0005-0000-0000-0000A9150000}"/>
    <cellStyle name="Normal 4 4 3 6 2" xfId="3923" xr:uid="{00000000-0005-0000-0000-0000AA150000}"/>
    <cellStyle name="Normal 4 4 3 6 2 2" xfId="8145" xr:uid="{00000000-0005-0000-0000-0000AB150000}"/>
    <cellStyle name="Normal 4 4 3 6 2 2 2" xfId="16595" xr:uid="{444C465B-9579-4023-B7FB-4D0AAD0083CD}"/>
    <cellStyle name="Normal 4 4 3 6 2 3" xfId="12377" xr:uid="{932C1990-FEE4-443E-9213-39BC5723EF5B}"/>
    <cellStyle name="Normal 4 4 3 6 3" xfId="6000" xr:uid="{00000000-0005-0000-0000-0000AC150000}"/>
    <cellStyle name="Normal 4 4 3 6 3 2" xfId="14450" xr:uid="{E26E372E-A3DA-4898-8FEE-4DD2ED8A3585}"/>
    <cellStyle name="Normal 4 4 3 6 4" xfId="10232" xr:uid="{7AED0813-4F03-4102-BE67-B27AA72A1B30}"/>
    <cellStyle name="Normal 4 4 3 7" xfId="2107" xr:uid="{00000000-0005-0000-0000-0000AD150000}"/>
    <cellStyle name="Normal 4 4 3 7 2" xfId="4336" xr:uid="{00000000-0005-0000-0000-0000AE150000}"/>
    <cellStyle name="Normal 4 4 3 7 2 2" xfId="8558" xr:uid="{00000000-0005-0000-0000-0000AF150000}"/>
    <cellStyle name="Normal 4 4 3 7 2 2 2" xfId="17008" xr:uid="{5E6679B8-A75D-4055-9482-F7AE6271AA43}"/>
    <cellStyle name="Normal 4 4 3 7 2 3" xfId="12790" xr:uid="{DBBD01A0-B9BB-43C1-9C40-68A55DDE006A}"/>
    <cellStyle name="Normal 4 4 3 7 3" xfId="6413" xr:uid="{00000000-0005-0000-0000-0000B0150000}"/>
    <cellStyle name="Normal 4 4 3 7 3 2" xfId="14863" xr:uid="{758FFADD-B99A-49E5-A1F4-11FFD53A06EE}"/>
    <cellStyle name="Normal 4 4 3 7 4" xfId="10645" xr:uid="{EB622DEF-ADBF-41E4-93C1-050F8DF75304}"/>
    <cellStyle name="Normal 4 4 3 8" xfId="2543" xr:uid="{00000000-0005-0000-0000-0000B1150000}"/>
    <cellStyle name="Normal 4 4 3 8 2" xfId="6826" xr:uid="{00000000-0005-0000-0000-0000B2150000}"/>
    <cellStyle name="Normal 4 4 3 8 2 2" xfId="15276" xr:uid="{A4E39EFF-B45A-415A-8A2E-B4C83993BCE8}"/>
    <cellStyle name="Normal 4 4 3 8 3" xfId="11058" xr:uid="{16CF8C88-B3F7-43FF-ACB5-063295ECB8EC}"/>
    <cellStyle name="Normal 4 4 3 9" xfId="4761" xr:uid="{00000000-0005-0000-0000-0000B3150000}"/>
    <cellStyle name="Normal 4 4 3 9 2" xfId="13211" xr:uid="{F9117EE4-DCEC-4A1E-9B0B-5FA87E74654D}"/>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2 2 2" xfId="15774" xr:uid="{F2A325B3-CEF1-49C0-B4E8-5104BDF3C239}"/>
    <cellStyle name="Normal 4 4 4 2 2 2 3" xfId="11556" xr:uid="{F4E51783-BAA4-4896-BC45-9D755DBA1510}"/>
    <cellStyle name="Normal 4 4 4 2 2 3" xfId="5179" xr:uid="{00000000-0005-0000-0000-0000B9150000}"/>
    <cellStyle name="Normal 4 4 4 2 2 3 2" xfId="13629" xr:uid="{7FB128B6-56B9-4FE2-8A57-A9B22E81D18C}"/>
    <cellStyle name="Normal 4 4 4 2 2 4" xfId="9411" xr:uid="{520432F0-C5F5-4A1C-80AC-B39E3B78E7F5}"/>
    <cellStyle name="Normal 4 4 4 2 3" xfId="1285" xr:uid="{00000000-0005-0000-0000-0000BA150000}"/>
    <cellStyle name="Normal 4 4 4 2 3 2" xfId="3515" xr:uid="{00000000-0005-0000-0000-0000BB150000}"/>
    <cellStyle name="Normal 4 4 4 2 3 2 2" xfId="7737" xr:uid="{00000000-0005-0000-0000-0000BC150000}"/>
    <cellStyle name="Normal 4 4 4 2 3 2 2 2" xfId="16187" xr:uid="{17D904E4-45BF-4ABC-83F4-2AFC101E7F97}"/>
    <cellStyle name="Normal 4 4 4 2 3 2 3" xfId="11969" xr:uid="{9116AB0C-4829-401C-BC4A-EFC9BAB34177}"/>
    <cellStyle name="Normal 4 4 4 2 3 3" xfId="5592" xr:uid="{00000000-0005-0000-0000-0000BD150000}"/>
    <cellStyle name="Normal 4 4 4 2 3 3 2" xfId="14042" xr:uid="{EE682F70-8948-4A1D-AAC8-9474906D2837}"/>
    <cellStyle name="Normal 4 4 4 2 3 4" xfId="9824" xr:uid="{E851BF62-1DE5-4BFA-B3A6-78468C1E30FF}"/>
    <cellStyle name="Normal 4 4 4 2 4" xfId="1698" xr:uid="{00000000-0005-0000-0000-0000BE150000}"/>
    <cellStyle name="Normal 4 4 4 2 4 2" xfId="3928" xr:uid="{00000000-0005-0000-0000-0000BF150000}"/>
    <cellStyle name="Normal 4 4 4 2 4 2 2" xfId="8150" xr:uid="{00000000-0005-0000-0000-0000C0150000}"/>
    <cellStyle name="Normal 4 4 4 2 4 2 2 2" xfId="16600" xr:uid="{5BB30465-B3A8-4D89-BD22-6D1C38AB26C1}"/>
    <cellStyle name="Normal 4 4 4 2 4 2 3" xfId="12382" xr:uid="{40AAFE1F-29A1-4609-AADC-225BF9C1C45E}"/>
    <cellStyle name="Normal 4 4 4 2 4 3" xfId="6005" xr:uid="{00000000-0005-0000-0000-0000C1150000}"/>
    <cellStyle name="Normal 4 4 4 2 4 3 2" xfId="14455" xr:uid="{B9214992-299A-4D27-A382-DD885BC93B2A}"/>
    <cellStyle name="Normal 4 4 4 2 4 4" xfId="10237" xr:uid="{7D72A478-D4F0-4F9A-9424-ADFDC693D2E1}"/>
    <cellStyle name="Normal 4 4 4 2 5" xfId="2112" xr:uid="{00000000-0005-0000-0000-0000C2150000}"/>
    <cellStyle name="Normal 4 4 4 2 5 2" xfId="4341" xr:uid="{00000000-0005-0000-0000-0000C3150000}"/>
    <cellStyle name="Normal 4 4 4 2 5 2 2" xfId="8563" xr:uid="{00000000-0005-0000-0000-0000C4150000}"/>
    <cellStyle name="Normal 4 4 4 2 5 2 2 2" xfId="17013" xr:uid="{3B8A68FD-24B5-42FC-8D27-F90A5F97BBA0}"/>
    <cellStyle name="Normal 4 4 4 2 5 2 3" xfId="12795" xr:uid="{877A27C6-4D50-4913-93B4-98D1DCA44FA5}"/>
    <cellStyle name="Normal 4 4 4 2 5 3" xfId="6418" xr:uid="{00000000-0005-0000-0000-0000C5150000}"/>
    <cellStyle name="Normal 4 4 4 2 5 3 2" xfId="14868" xr:uid="{98BB0DA5-F701-4713-A4AC-57B32B132B40}"/>
    <cellStyle name="Normal 4 4 4 2 5 4" xfId="10650" xr:uid="{A8968C90-27FB-46C8-9DE3-136A65251B35}"/>
    <cellStyle name="Normal 4 4 4 2 6" xfId="2548" xr:uid="{00000000-0005-0000-0000-0000C6150000}"/>
    <cellStyle name="Normal 4 4 4 2 6 2" xfId="6831" xr:uid="{00000000-0005-0000-0000-0000C7150000}"/>
    <cellStyle name="Normal 4 4 4 2 6 2 2" xfId="15281" xr:uid="{196EC666-D66B-47B5-A163-EFF7AA163649}"/>
    <cellStyle name="Normal 4 4 4 2 6 3" xfId="11063" xr:uid="{3A35A8DE-203F-46A9-923F-9AF10A5A27EC}"/>
    <cellStyle name="Normal 4 4 4 2 7" xfId="4766" xr:uid="{00000000-0005-0000-0000-0000C8150000}"/>
    <cellStyle name="Normal 4 4 4 2 7 2" xfId="13216" xr:uid="{9ECF6655-672E-46C1-A1B5-71D279D45883}"/>
    <cellStyle name="Normal 4 4 4 2 8" xfId="8998" xr:uid="{68C59321-77E3-4D09-BCFB-6B92D3596791}"/>
    <cellStyle name="Normal 4 4 4 3" xfId="866" xr:uid="{00000000-0005-0000-0000-0000C9150000}"/>
    <cellStyle name="Normal 4 4 4 3 2" xfId="3101" xr:uid="{00000000-0005-0000-0000-0000CA150000}"/>
    <cellStyle name="Normal 4 4 4 3 2 2" xfId="7323" xr:uid="{00000000-0005-0000-0000-0000CB150000}"/>
    <cellStyle name="Normal 4 4 4 3 2 2 2" xfId="15773" xr:uid="{EB5B3C7C-0C26-4E64-8FD6-955EB059EA14}"/>
    <cellStyle name="Normal 4 4 4 3 2 3" xfId="11555" xr:uid="{6C5B7994-B0AF-4BE3-931D-4538DFD49E80}"/>
    <cellStyle name="Normal 4 4 4 3 3" xfId="5178" xr:uid="{00000000-0005-0000-0000-0000CC150000}"/>
    <cellStyle name="Normal 4 4 4 3 3 2" xfId="13628" xr:uid="{94E97E17-4E9A-4485-9941-5A417FBAB611}"/>
    <cellStyle name="Normal 4 4 4 3 4" xfId="9410" xr:uid="{D809C50A-8B44-4314-8919-646C2947DB50}"/>
    <cellStyle name="Normal 4 4 4 4" xfId="1284" xr:uid="{00000000-0005-0000-0000-0000CD150000}"/>
    <cellStyle name="Normal 4 4 4 4 2" xfId="3514" xr:uid="{00000000-0005-0000-0000-0000CE150000}"/>
    <cellStyle name="Normal 4 4 4 4 2 2" xfId="7736" xr:uid="{00000000-0005-0000-0000-0000CF150000}"/>
    <cellStyle name="Normal 4 4 4 4 2 2 2" xfId="16186" xr:uid="{1838A07E-169E-4FB1-89B2-6CBD12372980}"/>
    <cellStyle name="Normal 4 4 4 4 2 3" xfId="11968" xr:uid="{E3329040-A545-456A-B964-6DC02A0B6DAB}"/>
    <cellStyle name="Normal 4 4 4 4 3" xfId="5591" xr:uid="{00000000-0005-0000-0000-0000D0150000}"/>
    <cellStyle name="Normal 4 4 4 4 3 2" xfId="14041" xr:uid="{0745CB80-C2F6-4886-8D91-3290E002F973}"/>
    <cellStyle name="Normal 4 4 4 4 4" xfId="9823" xr:uid="{D6DE8D1C-41BB-4C42-8B72-6E91D485E8DF}"/>
    <cellStyle name="Normal 4 4 4 5" xfId="1697" xr:uid="{00000000-0005-0000-0000-0000D1150000}"/>
    <cellStyle name="Normal 4 4 4 5 2" xfId="3927" xr:uid="{00000000-0005-0000-0000-0000D2150000}"/>
    <cellStyle name="Normal 4 4 4 5 2 2" xfId="8149" xr:uid="{00000000-0005-0000-0000-0000D3150000}"/>
    <cellStyle name="Normal 4 4 4 5 2 2 2" xfId="16599" xr:uid="{12CB7648-D2E8-4872-99F9-661D98C74A8D}"/>
    <cellStyle name="Normal 4 4 4 5 2 3" xfId="12381" xr:uid="{369EFF21-8A53-4A60-9A70-A8551C0829CC}"/>
    <cellStyle name="Normal 4 4 4 5 3" xfId="6004" xr:uid="{00000000-0005-0000-0000-0000D4150000}"/>
    <cellStyle name="Normal 4 4 4 5 3 2" xfId="14454" xr:uid="{2ECA2448-CCB9-40F4-A095-CE3E423AFD1E}"/>
    <cellStyle name="Normal 4 4 4 5 4" xfId="10236" xr:uid="{002DE2BF-9876-4A06-AE98-D4F02C668401}"/>
    <cellStyle name="Normal 4 4 4 6" xfId="2111" xr:uid="{00000000-0005-0000-0000-0000D5150000}"/>
    <cellStyle name="Normal 4 4 4 6 2" xfId="4340" xr:uid="{00000000-0005-0000-0000-0000D6150000}"/>
    <cellStyle name="Normal 4 4 4 6 2 2" xfId="8562" xr:uid="{00000000-0005-0000-0000-0000D7150000}"/>
    <cellStyle name="Normal 4 4 4 6 2 2 2" xfId="17012" xr:uid="{1971629F-7182-484D-8059-1635786D910A}"/>
    <cellStyle name="Normal 4 4 4 6 2 3" xfId="12794" xr:uid="{609F5E1F-6651-453B-840B-04DAA7CCEE99}"/>
    <cellStyle name="Normal 4 4 4 6 3" xfId="6417" xr:uid="{00000000-0005-0000-0000-0000D8150000}"/>
    <cellStyle name="Normal 4 4 4 6 3 2" xfId="14867" xr:uid="{E88A930A-5120-4998-B500-1B91C6DBCE52}"/>
    <cellStyle name="Normal 4 4 4 6 4" xfId="10649" xr:uid="{6BFDC5F4-B9A7-4E95-86D8-C31D7E96B919}"/>
    <cellStyle name="Normal 4 4 4 7" xfId="2547" xr:uid="{00000000-0005-0000-0000-0000D9150000}"/>
    <cellStyle name="Normal 4 4 4 7 2" xfId="6830" xr:uid="{00000000-0005-0000-0000-0000DA150000}"/>
    <cellStyle name="Normal 4 4 4 7 2 2" xfId="15280" xr:uid="{D4ECF0F7-0756-45CA-A878-9CE3D9FEF893}"/>
    <cellStyle name="Normal 4 4 4 7 3" xfId="11062" xr:uid="{4A4C4929-D45F-461A-A937-8F508E5D7DA3}"/>
    <cellStyle name="Normal 4 4 4 8" xfId="4765" xr:uid="{00000000-0005-0000-0000-0000DB150000}"/>
    <cellStyle name="Normal 4 4 4 8 2" xfId="13215" xr:uid="{62A06E3C-3F6F-477B-ACC8-228EE4D74E97}"/>
    <cellStyle name="Normal 4 4 4 9" xfId="8997" xr:uid="{E6B4D157-687D-429A-884B-777C5F42901B}"/>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2 2 2" xfId="15775" xr:uid="{21330B2A-516E-4CAD-98CA-6E3533BC5F16}"/>
    <cellStyle name="Normal 4 4 5 2 2 3" xfId="11557" xr:uid="{8F89EE90-656D-49AD-A1B2-024A6A89FCFF}"/>
    <cellStyle name="Normal 4 4 5 2 3" xfId="5180" xr:uid="{00000000-0005-0000-0000-0000E0150000}"/>
    <cellStyle name="Normal 4 4 5 2 3 2" xfId="13630" xr:uid="{443A8FE3-5C14-4774-85A1-4C2EA44A18DA}"/>
    <cellStyle name="Normal 4 4 5 2 4" xfId="9412" xr:uid="{02BFAEFD-D1A7-4157-B42F-571FD1F527B3}"/>
    <cellStyle name="Normal 4 4 5 3" xfId="1286" xr:uid="{00000000-0005-0000-0000-0000E1150000}"/>
    <cellStyle name="Normal 4 4 5 3 2" xfId="3516" xr:uid="{00000000-0005-0000-0000-0000E2150000}"/>
    <cellStyle name="Normal 4 4 5 3 2 2" xfId="7738" xr:uid="{00000000-0005-0000-0000-0000E3150000}"/>
    <cellStyle name="Normal 4 4 5 3 2 2 2" xfId="16188" xr:uid="{FD402C01-58E4-49CF-8839-E53EEA6F038E}"/>
    <cellStyle name="Normal 4 4 5 3 2 3" xfId="11970" xr:uid="{B46D1D94-A50B-44CF-BB31-76654B49F6C4}"/>
    <cellStyle name="Normal 4 4 5 3 3" xfId="5593" xr:uid="{00000000-0005-0000-0000-0000E4150000}"/>
    <cellStyle name="Normal 4 4 5 3 3 2" xfId="14043" xr:uid="{4EF69E72-5331-4A01-A434-C772A93DD0B5}"/>
    <cellStyle name="Normal 4 4 5 3 4" xfId="9825" xr:uid="{C4C97131-3965-4FB8-B9D0-CB72A00702DB}"/>
    <cellStyle name="Normal 4 4 5 4" xfId="1699" xr:uid="{00000000-0005-0000-0000-0000E5150000}"/>
    <cellStyle name="Normal 4 4 5 4 2" xfId="3929" xr:uid="{00000000-0005-0000-0000-0000E6150000}"/>
    <cellStyle name="Normal 4 4 5 4 2 2" xfId="8151" xr:uid="{00000000-0005-0000-0000-0000E7150000}"/>
    <cellStyle name="Normal 4 4 5 4 2 2 2" xfId="16601" xr:uid="{B00FD5DA-5EEC-4FFF-86EB-D505C2C91C09}"/>
    <cellStyle name="Normal 4 4 5 4 2 3" xfId="12383" xr:uid="{0C136F0E-6A97-432C-9A78-4BC832DB0177}"/>
    <cellStyle name="Normal 4 4 5 4 3" xfId="6006" xr:uid="{00000000-0005-0000-0000-0000E8150000}"/>
    <cellStyle name="Normal 4 4 5 4 3 2" xfId="14456" xr:uid="{7B468877-D71A-42E3-ACF0-4E9BB4AB81D5}"/>
    <cellStyle name="Normal 4 4 5 4 4" xfId="10238" xr:uid="{3704B027-6A05-4518-AF6F-06D3E0222C59}"/>
    <cellStyle name="Normal 4 4 5 5" xfId="2113" xr:uid="{00000000-0005-0000-0000-0000E9150000}"/>
    <cellStyle name="Normal 4 4 5 5 2" xfId="4342" xr:uid="{00000000-0005-0000-0000-0000EA150000}"/>
    <cellStyle name="Normal 4 4 5 5 2 2" xfId="8564" xr:uid="{00000000-0005-0000-0000-0000EB150000}"/>
    <cellStyle name="Normal 4 4 5 5 2 2 2" xfId="17014" xr:uid="{23AEDD4B-88B9-4A01-8848-CCA0270827CF}"/>
    <cellStyle name="Normal 4 4 5 5 2 3" xfId="12796" xr:uid="{BD5CCE0B-DF46-4361-994D-0B815FB4D6AE}"/>
    <cellStyle name="Normal 4 4 5 5 3" xfId="6419" xr:uid="{00000000-0005-0000-0000-0000EC150000}"/>
    <cellStyle name="Normal 4 4 5 5 3 2" xfId="14869" xr:uid="{D1180282-9E4C-485E-872B-0D58FF9BF340}"/>
    <cellStyle name="Normal 4 4 5 5 4" xfId="10651" xr:uid="{F350F02B-43CC-45FC-B3F3-9DFD5646745F}"/>
    <cellStyle name="Normal 4 4 5 6" xfId="2549" xr:uid="{00000000-0005-0000-0000-0000ED150000}"/>
    <cellStyle name="Normal 4 4 5 6 2" xfId="6832" xr:uid="{00000000-0005-0000-0000-0000EE150000}"/>
    <cellStyle name="Normal 4 4 5 6 2 2" xfId="15282" xr:uid="{BD8573F4-95ED-4AFE-A762-006B7780E823}"/>
    <cellStyle name="Normal 4 4 5 6 3" xfId="11064" xr:uid="{7EE29B0A-FBA0-494F-894B-40A5D248F50B}"/>
    <cellStyle name="Normal 4 4 5 7" xfId="4767" xr:uid="{00000000-0005-0000-0000-0000EF150000}"/>
    <cellStyle name="Normal 4 4 5 7 2" xfId="13217" xr:uid="{7CCD67D9-9470-48FA-A2C5-3F64C616B61E}"/>
    <cellStyle name="Normal 4 4 5 8" xfId="8999" xr:uid="{BB89BEC5-F70A-452D-8CD9-A6E38FFC00C9}"/>
    <cellStyle name="Normal 4 4 6" xfId="853" xr:uid="{00000000-0005-0000-0000-0000F0150000}"/>
    <cellStyle name="Normal 4 4 6 2" xfId="3088" xr:uid="{00000000-0005-0000-0000-0000F1150000}"/>
    <cellStyle name="Normal 4 4 6 2 2" xfId="7310" xr:uid="{00000000-0005-0000-0000-0000F2150000}"/>
    <cellStyle name="Normal 4 4 6 2 2 2" xfId="15760" xr:uid="{33368DB0-8724-43A9-BFB4-6C089B2B27F7}"/>
    <cellStyle name="Normal 4 4 6 2 3" xfId="11542" xr:uid="{0E94B58C-276E-4479-BF7F-44E6925570A1}"/>
    <cellStyle name="Normal 4 4 6 3" xfId="5165" xr:uid="{00000000-0005-0000-0000-0000F3150000}"/>
    <cellStyle name="Normal 4 4 6 3 2" xfId="13615" xr:uid="{DAD38FD7-9920-4860-ABD1-83511F87D8CD}"/>
    <cellStyle name="Normal 4 4 6 4" xfId="9397" xr:uid="{852133CC-A361-4F6C-903E-27B7F1B9EA15}"/>
    <cellStyle name="Normal 4 4 7" xfId="1271" xr:uid="{00000000-0005-0000-0000-0000F4150000}"/>
    <cellStyle name="Normal 4 4 7 2" xfId="3501" xr:uid="{00000000-0005-0000-0000-0000F5150000}"/>
    <cellStyle name="Normal 4 4 7 2 2" xfId="7723" xr:uid="{00000000-0005-0000-0000-0000F6150000}"/>
    <cellStyle name="Normal 4 4 7 2 2 2" xfId="16173" xr:uid="{96840820-EE2D-4494-B521-095403BA8F47}"/>
    <cellStyle name="Normal 4 4 7 2 3" xfId="11955" xr:uid="{E78D7D84-A095-481E-9CD8-4B6469CEC02B}"/>
    <cellStyle name="Normal 4 4 7 3" xfId="5578" xr:uid="{00000000-0005-0000-0000-0000F7150000}"/>
    <cellStyle name="Normal 4 4 7 3 2" xfId="14028" xr:uid="{C3D61DC5-04C8-45EF-9BD5-F0AD8E7CC923}"/>
    <cellStyle name="Normal 4 4 7 4" xfId="9810" xr:uid="{536C5E02-01E8-4B7D-813C-3E7A9D9F0381}"/>
    <cellStyle name="Normal 4 4 8" xfId="1684" xr:uid="{00000000-0005-0000-0000-0000F8150000}"/>
    <cellStyle name="Normal 4 4 8 2" xfId="3914" xr:uid="{00000000-0005-0000-0000-0000F9150000}"/>
    <cellStyle name="Normal 4 4 8 2 2" xfId="8136" xr:uid="{00000000-0005-0000-0000-0000FA150000}"/>
    <cellStyle name="Normal 4 4 8 2 2 2" xfId="16586" xr:uid="{EA85FC59-09D7-4099-9DFD-688C7E688C16}"/>
    <cellStyle name="Normal 4 4 8 2 3" xfId="12368" xr:uid="{7643B355-7C9C-4FB8-B431-D4E9F372548C}"/>
    <cellStyle name="Normal 4 4 8 3" xfId="5991" xr:uid="{00000000-0005-0000-0000-0000FB150000}"/>
    <cellStyle name="Normal 4 4 8 3 2" xfId="14441" xr:uid="{6D605DE9-6118-4C4E-A125-E250876FFAB2}"/>
    <cellStyle name="Normal 4 4 8 4" xfId="10223" xr:uid="{42AEC4C5-E146-492E-BCF4-DA3CCD65F25F}"/>
    <cellStyle name="Normal 4 4 9" xfId="2098" xr:uid="{00000000-0005-0000-0000-0000FC150000}"/>
    <cellStyle name="Normal 4 4 9 2" xfId="4327" xr:uid="{00000000-0005-0000-0000-0000FD150000}"/>
    <cellStyle name="Normal 4 4 9 2 2" xfId="8549" xr:uid="{00000000-0005-0000-0000-0000FE150000}"/>
    <cellStyle name="Normal 4 4 9 2 2 2" xfId="16999" xr:uid="{DE3816FA-24FD-4D34-A1EF-89596CA9AF14}"/>
    <cellStyle name="Normal 4 4 9 2 3" xfId="12781" xr:uid="{4F1CF1E9-DC33-4457-B0F6-26DA0DB39025}"/>
    <cellStyle name="Normal 4 4 9 3" xfId="6404" xr:uid="{00000000-0005-0000-0000-0000FF150000}"/>
    <cellStyle name="Normal 4 4 9 3 2" xfId="14854" xr:uid="{4589A8CE-FE32-4AE6-9E26-B8607B7CEE36}"/>
    <cellStyle name="Normal 4 4 9 4" xfId="10636" xr:uid="{3370FFBF-11E7-4C80-92C2-6601388B71A9}"/>
    <cellStyle name="Normal 4 5" xfId="394" xr:uid="{00000000-0005-0000-0000-000000160000}"/>
    <cellStyle name="Normal 4 6" xfId="395" xr:uid="{00000000-0005-0000-0000-000001160000}"/>
    <cellStyle name="Normal 4 6 10" xfId="4768" xr:uid="{00000000-0005-0000-0000-000002160000}"/>
    <cellStyle name="Normal 4 6 10 2" xfId="13218" xr:uid="{8C948267-4FB0-480A-8E72-05DD75FFE37F}"/>
    <cellStyle name="Normal 4 6 11" xfId="9000" xr:uid="{456150D2-33A7-44DF-AD37-F6D58CD2F339}"/>
    <cellStyle name="Normal 4 6 2" xfId="396" xr:uid="{00000000-0005-0000-0000-000003160000}"/>
    <cellStyle name="Normal 4 6 2 10" xfId="9001" xr:uid="{36C517F5-9C35-4E57-A00B-CAE2EEDA6B91}"/>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2 2 2" xfId="15779" xr:uid="{62BDECB9-4A04-48F7-AEF2-96EB7D872625}"/>
    <cellStyle name="Normal 4 6 2 2 2 2 2 3" xfId="11561" xr:uid="{05EE6EEB-624A-4339-8354-BA6D97ACE140}"/>
    <cellStyle name="Normal 4 6 2 2 2 2 3" xfId="5184" xr:uid="{00000000-0005-0000-0000-000009160000}"/>
    <cellStyle name="Normal 4 6 2 2 2 2 3 2" xfId="13634" xr:uid="{7809FD4B-8477-4CDD-A1A1-A2BBA2E584ED}"/>
    <cellStyle name="Normal 4 6 2 2 2 2 4" xfId="9416" xr:uid="{E6038E30-22E9-4753-9189-7C50B4C30AF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2 2 2" xfId="16192" xr:uid="{1F1FBE6D-1626-45BE-B93B-9F6CB9576B26}"/>
    <cellStyle name="Normal 4 6 2 2 2 3 2 3" xfId="11974" xr:uid="{85C679D4-E482-4D43-A0F4-1381D33F11DD}"/>
    <cellStyle name="Normal 4 6 2 2 2 3 3" xfId="5597" xr:uid="{00000000-0005-0000-0000-00000D160000}"/>
    <cellStyle name="Normal 4 6 2 2 2 3 3 2" xfId="14047" xr:uid="{33FE18E5-435B-4053-9161-7D3C4DB195CB}"/>
    <cellStyle name="Normal 4 6 2 2 2 3 4" xfId="9829" xr:uid="{31A7E493-4B7B-4580-AD41-0B615F2F83F4}"/>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2 2 2" xfId="16605" xr:uid="{099F2891-6D98-4FBA-A5EF-C465C9A8CC38}"/>
    <cellStyle name="Normal 4 6 2 2 2 4 2 3" xfId="12387" xr:uid="{96FD0D2A-FB5A-4969-9687-AFE2E31CF935}"/>
    <cellStyle name="Normal 4 6 2 2 2 4 3" xfId="6010" xr:uid="{00000000-0005-0000-0000-000011160000}"/>
    <cellStyle name="Normal 4 6 2 2 2 4 3 2" xfId="14460" xr:uid="{1A7F8F32-3B44-448A-A3FF-3CBCCA52457E}"/>
    <cellStyle name="Normal 4 6 2 2 2 4 4" xfId="10242" xr:uid="{6E3641AC-0FE9-43CE-A210-EE2368A35ED6}"/>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2 2 2" xfId="17018" xr:uid="{40CB2480-BB11-4092-8F79-3DF64BFF1946}"/>
    <cellStyle name="Normal 4 6 2 2 2 5 2 3" xfId="12800" xr:uid="{55B353A1-F95C-47AB-844B-D1F82E07742F}"/>
    <cellStyle name="Normal 4 6 2 2 2 5 3" xfId="6423" xr:uid="{00000000-0005-0000-0000-000015160000}"/>
    <cellStyle name="Normal 4 6 2 2 2 5 3 2" xfId="14873" xr:uid="{C7F66DC0-DCDA-42F2-9E4A-F20AC252ADB7}"/>
    <cellStyle name="Normal 4 6 2 2 2 5 4" xfId="10655" xr:uid="{9A30C015-9DCC-4268-8EE3-D4DB111F9F2C}"/>
    <cellStyle name="Normal 4 6 2 2 2 6" xfId="2553" xr:uid="{00000000-0005-0000-0000-000016160000}"/>
    <cellStyle name="Normal 4 6 2 2 2 6 2" xfId="6836" xr:uid="{00000000-0005-0000-0000-000017160000}"/>
    <cellStyle name="Normal 4 6 2 2 2 6 2 2" xfId="15286" xr:uid="{BEBA5F62-98B2-4199-9222-295C59B75454}"/>
    <cellStyle name="Normal 4 6 2 2 2 6 3" xfId="11068" xr:uid="{61707C2C-49D3-416C-8A43-02334E5CD4EC}"/>
    <cellStyle name="Normal 4 6 2 2 2 7" xfId="4771" xr:uid="{00000000-0005-0000-0000-000018160000}"/>
    <cellStyle name="Normal 4 6 2 2 2 7 2" xfId="13221" xr:uid="{5EBAB5B1-EDF1-4603-BD12-2F9259E55B4A}"/>
    <cellStyle name="Normal 4 6 2 2 2 8" xfId="9003" xr:uid="{2828907B-E63B-4CCD-A3FF-B433764FF626}"/>
    <cellStyle name="Normal 4 6 2 2 3" xfId="871" xr:uid="{00000000-0005-0000-0000-000019160000}"/>
    <cellStyle name="Normal 4 6 2 2 3 2" xfId="3106" xr:uid="{00000000-0005-0000-0000-00001A160000}"/>
    <cellStyle name="Normal 4 6 2 2 3 2 2" xfId="7328" xr:uid="{00000000-0005-0000-0000-00001B160000}"/>
    <cellStyle name="Normal 4 6 2 2 3 2 2 2" xfId="15778" xr:uid="{37A0E7AB-F4A0-4708-A099-CD3E6A7B027A}"/>
    <cellStyle name="Normal 4 6 2 2 3 2 3" xfId="11560" xr:uid="{A934DDB2-B4B6-45B4-9CB2-DDE71DBEED2D}"/>
    <cellStyle name="Normal 4 6 2 2 3 3" xfId="5183" xr:uid="{00000000-0005-0000-0000-00001C160000}"/>
    <cellStyle name="Normal 4 6 2 2 3 3 2" xfId="13633" xr:uid="{31C8DDB0-A69E-489D-9250-984B0026BBB5}"/>
    <cellStyle name="Normal 4 6 2 2 3 4" xfId="9415" xr:uid="{FF4D130B-4D2B-4DFE-A502-9970F38FD320}"/>
    <cellStyle name="Normal 4 6 2 2 4" xfId="1289" xr:uid="{00000000-0005-0000-0000-00001D160000}"/>
    <cellStyle name="Normal 4 6 2 2 4 2" xfId="3519" xr:uid="{00000000-0005-0000-0000-00001E160000}"/>
    <cellStyle name="Normal 4 6 2 2 4 2 2" xfId="7741" xr:uid="{00000000-0005-0000-0000-00001F160000}"/>
    <cellStyle name="Normal 4 6 2 2 4 2 2 2" xfId="16191" xr:uid="{C4B09B23-1DD3-4701-A766-1556B200BDEE}"/>
    <cellStyle name="Normal 4 6 2 2 4 2 3" xfId="11973" xr:uid="{B0ACF9E5-7697-4098-AEF2-AECC6EC7A75B}"/>
    <cellStyle name="Normal 4 6 2 2 4 3" xfId="5596" xr:uid="{00000000-0005-0000-0000-000020160000}"/>
    <cellStyle name="Normal 4 6 2 2 4 3 2" xfId="14046" xr:uid="{5472F7DB-62BE-4D72-ABFF-342A0A2602DB}"/>
    <cellStyle name="Normal 4 6 2 2 4 4" xfId="9828" xr:uid="{8B5667C9-E3E9-47DA-9787-680A8C66898B}"/>
    <cellStyle name="Normal 4 6 2 2 5" xfId="1702" xr:uid="{00000000-0005-0000-0000-000021160000}"/>
    <cellStyle name="Normal 4 6 2 2 5 2" xfId="3932" xr:uid="{00000000-0005-0000-0000-000022160000}"/>
    <cellStyle name="Normal 4 6 2 2 5 2 2" xfId="8154" xr:uid="{00000000-0005-0000-0000-000023160000}"/>
    <cellStyle name="Normal 4 6 2 2 5 2 2 2" xfId="16604" xr:uid="{6E0992B8-1541-4AD2-89A2-40120F5CF604}"/>
    <cellStyle name="Normal 4 6 2 2 5 2 3" xfId="12386" xr:uid="{BD83E666-7AFB-4C28-9FEC-58AAF4D4BCD8}"/>
    <cellStyle name="Normal 4 6 2 2 5 3" xfId="6009" xr:uid="{00000000-0005-0000-0000-000024160000}"/>
    <cellStyle name="Normal 4 6 2 2 5 3 2" xfId="14459" xr:uid="{38ADF507-B2BE-4070-B772-DE3C4226799C}"/>
    <cellStyle name="Normal 4 6 2 2 5 4" xfId="10241" xr:uid="{415326E3-7559-45C0-8B81-0BB5CBA784F5}"/>
    <cellStyle name="Normal 4 6 2 2 6" xfId="2116" xr:uid="{00000000-0005-0000-0000-000025160000}"/>
    <cellStyle name="Normal 4 6 2 2 6 2" xfId="4345" xr:uid="{00000000-0005-0000-0000-000026160000}"/>
    <cellStyle name="Normal 4 6 2 2 6 2 2" xfId="8567" xr:uid="{00000000-0005-0000-0000-000027160000}"/>
    <cellStyle name="Normal 4 6 2 2 6 2 2 2" xfId="17017" xr:uid="{4E0ED7E1-4D2B-471B-913F-F0BDC4AAC552}"/>
    <cellStyle name="Normal 4 6 2 2 6 2 3" xfId="12799" xr:uid="{BD07F572-A28C-4351-901C-CC65C4840895}"/>
    <cellStyle name="Normal 4 6 2 2 6 3" xfId="6422" xr:uid="{00000000-0005-0000-0000-000028160000}"/>
    <cellStyle name="Normal 4 6 2 2 6 3 2" xfId="14872" xr:uid="{CCA3ECED-8F3B-4B79-9B9B-463C59A6DF14}"/>
    <cellStyle name="Normal 4 6 2 2 6 4" xfId="10654" xr:uid="{FA5BCCBE-CF90-4FAB-897A-9DBB3BAB1468}"/>
    <cellStyle name="Normal 4 6 2 2 7" xfId="2552" xr:uid="{00000000-0005-0000-0000-000029160000}"/>
    <cellStyle name="Normal 4 6 2 2 7 2" xfId="6835" xr:uid="{00000000-0005-0000-0000-00002A160000}"/>
    <cellStyle name="Normal 4 6 2 2 7 2 2" xfId="15285" xr:uid="{CDD9D8FE-4AB1-4F07-8398-38E99CCBF252}"/>
    <cellStyle name="Normal 4 6 2 2 7 3" xfId="11067" xr:uid="{893BD2AF-3396-49BF-8AD3-E459AEB3CB79}"/>
    <cellStyle name="Normal 4 6 2 2 8" xfId="4770" xr:uid="{00000000-0005-0000-0000-00002B160000}"/>
    <cellStyle name="Normal 4 6 2 2 8 2" xfId="13220" xr:uid="{6BBB90D1-79EB-4A0A-AE3E-C8F4CE80A03E}"/>
    <cellStyle name="Normal 4 6 2 2 9" xfId="9002" xr:uid="{D75D83A4-A013-4891-AA3D-62E42FEAEF7F}"/>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2 2 2" xfId="15780" xr:uid="{B0FCD24D-F2C2-47BE-936E-20B92F444A92}"/>
    <cellStyle name="Normal 4 6 2 3 2 2 3" xfId="11562" xr:uid="{BE0711AF-361C-4994-912E-E3A27EA4BAC5}"/>
    <cellStyle name="Normal 4 6 2 3 2 3" xfId="5185" xr:uid="{00000000-0005-0000-0000-000030160000}"/>
    <cellStyle name="Normal 4 6 2 3 2 3 2" xfId="13635" xr:uid="{9423848B-1CAA-436C-8738-44624307DC7E}"/>
    <cellStyle name="Normal 4 6 2 3 2 4" xfId="9417" xr:uid="{699F818F-BA0E-4A71-BF60-ED62862BC9DE}"/>
    <cellStyle name="Normal 4 6 2 3 3" xfId="1291" xr:uid="{00000000-0005-0000-0000-000031160000}"/>
    <cellStyle name="Normal 4 6 2 3 3 2" xfId="3521" xr:uid="{00000000-0005-0000-0000-000032160000}"/>
    <cellStyle name="Normal 4 6 2 3 3 2 2" xfId="7743" xr:uid="{00000000-0005-0000-0000-000033160000}"/>
    <cellStyle name="Normal 4 6 2 3 3 2 2 2" xfId="16193" xr:uid="{1FF9DF5F-9E3C-4257-AC79-AAD616C8AA1E}"/>
    <cellStyle name="Normal 4 6 2 3 3 2 3" xfId="11975" xr:uid="{749A71DC-3BA6-4391-B4AD-C6A0B1D75DE3}"/>
    <cellStyle name="Normal 4 6 2 3 3 3" xfId="5598" xr:uid="{00000000-0005-0000-0000-000034160000}"/>
    <cellStyle name="Normal 4 6 2 3 3 3 2" xfId="14048" xr:uid="{9D13D5C3-90A8-4AD7-B984-0211BD93CA40}"/>
    <cellStyle name="Normal 4 6 2 3 3 4" xfId="9830" xr:uid="{B15EB923-C9B0-44E2-BA17-7A4551BD2ACB}"/>
    <cellStyle name="Normal 4 6 2 3 4" xfId="1704" xr:uid="{00000000-0005-0000-0000-000035160000}"/>
    <cellStyle name="Normal 4 6 2 3 4 2" xfId="3934" xr:uid="{00000000-0005-0000-0000-000036160000}"/>
    <cellStyle name="Normal 4 6 2 3 4 2 2" xfId="8156" xr:uid="{00000000-0005-0000-0000-000037160000}"/>
    <cellStyle name="Normal 4 6 2 3 4 2 2 2" xfId="16606" xr:uid="{376EC2DA-F3DF-42B9-A524-5E70C2E5B52C}"/>
    <cellStyle name="Normal 4 6 2 3 4 2 3" xfId="12388" xr:uid="{FE168348-5C3E-4C24-A99C-1D363DFE6882}"/>
    <cellStyle name="Normal 4 6 2 3 4 3" xfId="6011" xr:uid="{00000000-0005-0000-0000-000038160000}"/>
    <cellStyle name="Normal 4 6 2 3 4 3 2" xfId="14461" xr:uid="{310AED28-0E74-4FFF-B4F9-A99F63609464}"/>
    <cellStyle name="Normal 4 6 2 3 4 4" xfId="10243" xr:uid="{0A867E2E-2C8C-4D5D-B3B1-A97EFE503CA8}"/>
    <cellStyle name="Normal 4 6 2 3 5" xfId="2118" xr:uid="{00000000-0005-0000-0000-000039160000}"/>
    <cellStyle name="Normal 4 6 2 3 5 2" xfId="4347" xr:uid="{00000000-0005-0000-0000-00003A160000}"/>
    <cellStyle name="Normal 4 6 2 3 5 2 2" xfId="8569" xr:uid="{00000000-0005-0000-0000-00003B160000}"/>
    <cellStyle name="Normal 4 6 2 3 5 2 2 2" xfId="17019" xr:uid="{13A31CF4-E636-4FAC-A9CF-94C64F73DB8F}"/>
    <cellStyle name="Normal 4 6 2 3 5 2 3" xfId="12801" xr:uid="{3F8C33FF-2909-459C-BDC8-47B475D58CE7}"/>
    <cellStyle name="Normal 4 6 2 3 5 3" xfId="6424" xr:uid="{00000000-0005-0000-0000-00003C160000}"/>
    <cellStyle name="Normal 4 6 2 3 5 3 2" xfId="14874" xr:uid="{AF75A652-566D-4D0D-B67D-4C0863A958B8}"/>
    <cellStyle name="Normal 4 6 2 3 5 4" xfId="10656" xr:uid="{0422E20E-B8EF-4B0F-AF00-63596B1C3DA3}"/>
    <cellStyle name="Normal 4 6 2 3 6" xfId="2554" xr:uid="{00000000-0005-0000-0000-00003D160000}"/>
    <cellStyle name="Normal 4 6 2 3 6 2" xfId="6837" xr:uid="{00000000-0005-0000-0000-00003E160000}"/>
    <cellStyle name="Normal 4 6 2 3 6 2 2" xfId="15287" xr:uid="{2BB87365-1DFC-4234-AC4A-159C700031EE}"/>
    <cellStyle name="Normal 4 6 2 3 6 3" xfId="11069" xr:uid="{D6050447-4E00-4E09-989C-83F19C63F294}"/>
    <cellStyle name="Normal 4 6 2 3 7" xfId="4772" xr:uid="{00000000-0005-0000-0000-00003F160000}"/>
    <cellStyle name="Normal 4 6 2 3 7 2" xfId="13222" xr:uid="{744A7E42-CF50-4B7D-AF75-F9A94E846E9E}"/>
    <cellStyle name="Normal 4 6 2 3 8" xfId="9004" xr:uid="{BE1525C2-F3FE-4974-AE9A-CD2E16B73C16}"/>
    <cellStyle name="Normal 4 6 2 4" xfId="870" xr:uid="{00000000-0005-0000-0000-000040160000}"/>
    <cellStyle name="Normal 4 6 2 4 2" xfId="3105" xr:uid="{00000000-0005-0000-0000-000041160000}"/>
    <cellStyle name="Normal 4 6 2 4 2 2" xfId="7327" xr:uid="{00000000-0005-0000-0000-000042160000}"/>
    <cellStyle name="Normal 4 6 2 4 2 2 2" xfId="15777" xr:uid="{2AE75C26-6B88-4AEC-B381-9FC753477321}"/>
    <cellStyle name="Normal 4 6 2 4 2 3" xfId="11559" xr:uid="{5F7700E7-6D41-4395-8015-AE0023D18370}"/>
    <cellStyle name="Normal 4 6 2 4 3" xfId="5182" xr:uid="{00000000-0005-0000-0000-000043160000}"/>
    <cellStyle name="Normal 4 6 2 4 3 2" xfId="13632" xr:uid="{55CE2A3D-738C-471E-B1C7-C3DFED0ABC18}"/>
    <cellStyle name="Normal 4 6 2 4 4" xfId="9414" xr:uid="{3A8D4776-E0EF-49AD-ABCE-500875A8E48A}"/>
    <cellStyle name="Normal 4 6 2 5" xfId="1288" xr:uid="{00000000-0005-0000-0000-000044160000}"/>
    <cellStyle name="Normal 4 6 2 5 2" xfId="3518" xr:uid="{00000000-0005-0000-0000-000045160000}"/>
    <cellStyle name="Normal 4 6 2 5 2 2" xfId="7740" xr:uid="{00000000-0005-0000-0000-000046160000}"/>
    <cellStyle name="Normal 4 6 2 5 2 2 2" xfId="16190" xr:uid="{96E115D8-0B23-4D4D-BDA2-37848B48A49F}"/>
    <cellStyle name="Normal 4 6 2 5 2 3" xfId="11972" xr:uid="{9EF93C98-3FCE-4E3A-9C9E-3CB7B4398F7E}"/>
    <cellStyle name="Normal 4 6 2 5 3" xfId="5595" xr:uid="{00000000-0005-0000-0000-000047160000}"/>
    <cellStyle name="Normal 4 6 2 5 3 2" xfId="14045" xr:uid="{ACE203EB-CDBB-4A6B-A867-DEBCAB993529}"/>
    <cellStyle name="Normal 4 6 2 5 4" xfId="9827" xr:uid="{7EA65134-DFB8-49F4-98FD-8E0ED42B6C80}"/>
    <cellStyle name="Normal 4 6 2 6" xfId="1701" xr:uid="{00000000-0005-0000-0000-000048160000}"/>
    <cellStyle name="Normal 4 6 2 6 2" xfId="3931" xr:uid="{00000000-0005-0000-0000-000049160000}"/>
    <cellStyle name="Normal 4 6 2 6 2 2" xfId="8153" xr:uid="{00000000-0005-0000-0000-00004A160000}"/>
    <cellStyle name="Normal 4 6 2 6 2 2 2" xfId="16603" xr:uid="{D9F013AF-06E8-48F0-BEDB-19C25AE9D9CD}"/>
    <cellStyle name="Normal 4 6 2 6 2 3" xfId="12385" xr:uid="{CDCD0DAD-DCD2-4308-906E-6A5860F0CC96}"/>
    <cellStyle name="Normal 4 6 2 6 3" xfId="6008" xr:uid="{00000000-0005-0000-0000-00004B160000}"/>
    <cellStyle name="Normal 4 6 2 6 3 2" xfId="14458" xr:uid="{AB70960E-703A-45AE-A076-5D2579136685}"/>
    <cellStyle name="Normal 4 6 2 6 4" xfId="10240" xr:uid="{7F0CD1C7-B413-4ED4-80AE-413C4506209B}"/>
    <cellStyle name="Normal 4 6 2 7" xfId="2115" xr:uid="{00000000-0005-0000-0000-00004C160000}"/>
    <cellStyle name="Normal 4 6 2 7 2" xfId="4344" xr:uid="{00000000-0005-0000-0000-00004D160000}"/>
    <cellStyle name="Normal 4 6 2 7 2 2" xfId="8566" xr:uid="{00000000-0005-0000-0000-00004E160000}"/>
    <cellStyle name="Normal 4 6 2 7 2 2 2" xfId="17016" xr:uid="{7A9B5BAC-AE9F-44CC-B019-8CDCB448DB37}"/>
    <cellStyle name="Normal 4 6 2 7 2 3" xfId="12798" xr:uid="{252264F4-BA48-4D57-97DE-015CB8A2DCA6}"/>
    <cellStyle name="Normal 4 6 2 7 3" xfId="6421" xr:uid="{00000000-0005-0000-0000-00004F160000}"/>
    <cellStyle name="Normal 4 6 2 7 3 2" xfId="14871" xr:uid="{50BD0013-6ABF-4476-9745-B08F3501FCDE}"/>
    <cellStyle name="Normal 4 6 2 7 4" xfId="10653" xr:uid="{01BBF841-82B0-44AF-8262-176102EBA79D}"/>
    <cellStyle name="Normal 4 6 2 8" xfId="2551" xr:uid="{00000000-0005-0000-0000-000050160000}"/>
    <cellStyle name="Normal 4 6 2 8 2" xfId="6834" xr:uid="{00000000-0005-0000-0000-000051160000}"/>
    <cellStyle name="Normal 4 6 2 8 2 2" xfId="15284" xr:uid="{B5E24F20-4E51-4400-B9C6-D08D614E6B51}"/>
    <cellStyle name="Normal 4 6 2 8 3" xfId="11066" xr:uid="{177B0F4C-B449-4ABE-8205-568D347EEC54}"/>
    <cellStyle name="Normal 4 6 2 9" xfId="4769" xr:uid="{00000000-0005-0000-0000-000052160000}"/>
    <cellStyle name="Normal 4 6 2 9 2" xfId="13219" xr:uid="{970BC72D-D1AB-4FBD-AB5E-A3A98ADE68CA}"/>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2 2 2" xfId="15782" xr:uid="{929BA40D-D95D-4C98-9017-0DAA7C81F526}"/>
    <cellStyle name="Normal 4 6 3 2 2 2 3" xfId="11564" xr:uid="{6BECBDD7-6AEE-4AAC-9D7F-D65675F7043F}"/>
    <cellStyle name="Normal 4 6 3 2 2 3" xfId="5187" xr:uid="{00000000-0005-0000-0000-000058160000}"/>
    <cellStyle name="Normal 4 6 3 2 2 3 2" xfId="13637" xr:uid="{ABFFB4F9-33C3-4D08-AA8E-66A80067532E}"/>
    <cellStyle name="Normal 4 6 3 2 2 4" xfId="9419" xr:uid="{23FE3BC2-1B8C-4D8D-8C98-84CCA241A996}"/>
    <cellStyle name="Normal 4 6 3 2 3" xfId="1293" xr:uid="{00000000-0005-0000-0000-000059160000}"/>
    <cellStyle name="Normal 4 6 3 2 3 2" xfId="3523" xr:uid="{00000000-0005-0000-0000-00005A160000}"/>
    <cellStyle name="Normal 4 6 3 2 3 2 2" xfId="7745" xr:uid="{00000000-0005-0000-0000-00005B160000}"/>
    <cellStyle name="Normal 4 6 3 2 3 2 2 2" xfId="16195" xr:uid="{3AE8265E-090E-48A0-82F3-2743A727BC4A}"/>
    <cellStyle name="Normal 4 6 3 2 3 2 3" xfId="11977" xr:uid="{B8E87A1F-7FFF-4EE3-A4B7-39BE9D98C113}"/>
    <cellStyle name="Normal 4 6 3 2 3 3" xfId="5600" xr:uid="{00000000-0005-0000-0000-00005C160000}"/>
    <cellStyle name="Normal 4 6 3 2 3 3 2" xfId="14050" xr:uid="{7F5AA727-7AFE-4547-84F2-4AFC857AC712}"/>
    <cellStyle name="Normal 4 6 3 2 3 4" xfId="9832" xr:uid="{456E24B5-E472-4BF2-978E-E93EB7A075E5}"/>
    <cellStyle name="Normal 4 6 3 2 4" xfId="1706" xr:uid="{00000000-0005-0000-0000-00005D160000}"/>
    <cellStyle name="Normal 4 6 3 2 4 2" xfId="3936" xr:uid="{00000000-0005-0000-0000-00005E160000}"/>
    <cellStyle name="Normal 4 6 3 2 4 2 2" xfId="8158" xr:uid="{00000000-0005-0000-0000-00005F160000}"/>
    <cellStyle name="Normal 4 6 3 2 4 2 2 2" xfId="16608" xr:uid="{B62AD8C6-B0DE-4204-91F0-96BA7AFCA0E5}"/>
    <cellStyle name="Normal 4 6 3 2 4 2 3" xfId="12390" xr:uid="{07B686B5-CBA8-4A88-9155-C7FA4B405DBF}"/>
    <cellStyle name="Normal 4 6 3 2 4 3" xfId="6013" xr:uid="{00000000-0005-0000-0000-000060160000}"/>
    <cellStyle name="Normal 4 6 3 2 4 3 2" xfId="14463" xr:uid="{274C5AFB-E910-4D3D-9A42-815997489B54}"/>
    <cellStyle name="Normal 4 6 3 2 4 4" xfId="10245" xr:uid="{D4B0A24C-F8AF-44B0-AB2D-39CB98BB99FC}"/>
    <cellStyle name="Normal 4 6 3 2 5" xfId="2120" xr:uid="{00000000-0005-0000-0000-000061160000}"/>
    <cellStyle name="Normal 4 6 3 2 5 2" xfId="4349" xr:uid="{00000000-0005-0000-0000-000062160000}"/>
    <cellStyle name="Normal 4 6 3 2 5 2 2" xfId="8571" xr:uid="{00000000-0005-0000-0000-000063160000}"/>
    <cellStyle name="Normal 4 6 3 2 5 2 2 2" xfId="17021" xr:uid="{23F684D4-F39A-441F-AE8C-D2BA07DF6039}"/>
    <cellStyle name="Normal 4 6 3 2 5 2 3" xfId="12803" xr:uid="{3A467E18-8546-4FC9-8F71-BD4426285CF4}"/>
    <cellStyle name="Normal 4 6 3 2 5 3" xfId="6426" xr:uid="{00000000-0005-0000-0000-000064160000}"/>
    <cellStyle name="Normal 4 6 3 2 5 3 2" xfId="14876" xr:uid="{86F34C48-1E0F-4A3B-AA11-2628ED3BF61D}"/>
    <cellStyle name="Normal 4 6 3 2 5 4" xfId="10658" xr:uid="{0B0EC95E-EE67-48C2-8826-3626C3405214}"/>
    <cellStyle name="Normal 4 6 3 2 6" xfId="2556" xr:uid="{00000000-0005-0000-0000-000065160000}"/>
    <cellStyle name="Normal 4 6 3 2 6 2" xfId="6839" xr:uid="{00000000-0005-0000-0000-000066160000}"/>
    <cellStyle name="Normal 4 6 3 2 6 2 2" xfId="15289" xr:uid="{75AA544D-B9B3-4C2B-8AB7-BDA2475B4432}"/>
    <cellStyle name="Normal 4 6 3 2 6 3" xfId="11071" xr:uid="{1209D5E5-FC2F-488B-B2D4-1A967A08C986}"/>
    <cellStyle name="Normal 4 6 3 2 7" xfId="4774" xr:uid="{00000000-0005-0000-0000-000067160000}"/>
    <cellStyle name="Normal 4 6 3 2 7 2" xfId="13224" xr:uid="{5F049048-4004-43D8-B531-A6EF9D325AC0}"/>
    <cellStyle name="Normal 4 6 3 2 8" xfId="9006" xr:uid="{0A3CE516-8B90-49B5-9F84-934DAA2D6274}"/>
    <cellStyle name="Normal 4 6 3 3" xfId="874" xr:uid="{00000000-0005-0000-0000-000068160000}"/>
    <cellStyle name="Normal 4 6 3 3 2" xfId="3109" xr:uid="{00000000-0005-0000-0000-000069160000}"/>
    <cellStyle name="Normal 4 6 3 3 2 2" xfId="7331" xr:uid="{00000000-0005-0000-0000-00006A160000}"/>
    <cellStyle name="Normal 4 6 3 3 2 2 2" xfId="15781" xr:uid="{ADC44B83-6162-436B-A562-E98116E437EA}"/>
    <cellStyle name="Normal 4 6 3 3 2 3" xfId="11563" xr:uid="{4BA04C04-E9D0-418C-A5EB-D6428C203871}"/>
    <cellStyle name="Normal 4 6 3 3 3" xfId="5186" xr:uid="{00000000-0005-0000-0000-00006B160000}"/>
    <cellStyle name="Normal 4 6 3 3 3 2" xfId="13636" xr:uid="{7838875D-C7CE-4C42-9919-06FF0BB15C07}"/>
    <cellStyle name="Normal 4 6 3 3 4" xfId="9418" xr:uid="{09BC4965-0858-45C7-9AC4-703DE81AD60F}"/>
    <cellStyle name="Normal 4 6 3 4" xfId="1292" xr:uid="{00000000-0005-0000-0000-00006C160000}"/>
    <cellStyle name="Normal 4 6 3 4 2" xfId="3522" xr:uid="{00000000-0005-0000-0000-00006D160000}"/>
    <cellStyle name="Normal 4 6 3 4 2 2" xfId="7744" xr:uid="{00000000-0005-0000-0000-00006E160000}"/>
    <cellStyle name="Normal 4 6 3 4 2 2 2" xfId="16194" xr:uid="{B840AD2E-D20D-447A-9AFA-2F447763D5EF}"/>
    <cellStyle name="Normal 4 6 3 4 2 3" xfId="11976" xr:uid="{34F1DF74-AC1F-4E72-B566-7A21223E9B92}"/>
    <cellStyle name="Normal 4 6 3 4 3" xfId="5599" xr:uid="{00000000-0005-0000-0000-00006F160000}"/>
    <cellStyle name="Normal 4 6 3 4 3 2" xfId="14049" xr:uid="{DB9AF026-292A-458D-9211-F8F80FCD4FA7}"/>
    <cellStyle name="Normal 4 6 3 4 4" xfId="9831" xr:uid="{137403C4-1F8D-4EF5-B72C-F77938F90F06}"/>
    <cellStyle name="Normal 4 6 3 5" xfId="1705" xr:uid="{00000000-0005-0000-0000-000070160000}"/>
    <cellStyle name="Normal 4 6 3 5 2" xfId="3935" xr:uid="{00000000-0005-0000-0000-000071160000}"/>
    <cellStyle name="Normal 4 6 3 5 2 2" xfId="8157" xr:uid="{00000000-0005-0000-0000-000072160000}"/>
    <cellStyle name="Normal 4 6 3 5 2 2 2" xfId="16607" xr:uid="{D891D368-8A02-412F-9E2A-05E87CFB4D46}"/>
    <cellStyle name="Normal 4 6 3 5 2 3" xfId="12389" xr:uid="{AD57BA8D-FCBA-4D08-98B5-5408E8E80EFB}"/>
    <cellStyle name="Normal 4 6 3 5 3" xfId="6012" xr:uid="{00000000-0005-0000-0000-000073160000}"/>
    <cellStyle name="Normal 4 6 3 5 3 2" xfId="14462" xr:uid="{668C0A09-A8F9-4A08-B5FB-DCF81A1EF6E8}"/>
    <cellStyle name="Normal 4 6 3 5 4" xfId="10244" xr:uid="{9ED11AE4-8D74-469B-A3BD-23F6F8A3A3AD}"/>
    <cellStyle name="Normal 4 6 3 6" xfId="2119" xr:uid="{00000000-0005-0000-0000-000074160000}"/>
    <cellStyle name="Normal 4 6 3 6 2" xfId="4348" xr:uid="{00000000-0005-0000-0000-000075160000}"/>
    <cellStyle name="Normal 4 6 3 6 2 2" xfId="8570" xr:uid="{00000000-0005-0000-0000-000076160000}"/>
    <cellStyle name="Normal 4 6 3 6 2 2 2" xfId="17020" xr:uid="{84E6E97C-949E-41FD-9E44-330C273605CC}"/>
    <cellStyle name="Normal 4 6 3 6 2 3" xfId="12802" xr:uid="{B637DD10-CBB0-471F-940E-7C8823757DC3}"/>
    <cellStyle name="Normal 4 6 3 6 3" xfId="6425" xr:uid="{00000000-0005-0000-0000-000077160000}"/>
    <cellStyle name="Normal 4 6 3 6 3 2" xfId="14875" xr:uid="{61A55CDF-FD36-4C00-86C1-2E97C912D81C}"/>
    <cellStyle name="Normal 4 6 3 6 4" xfId="10657" xr:uid="{208F5E08-B97C-46A7-AB24-D65F4E2644B5}"/>
    <cellStyle name="Normal 4 6 3 7" xfId="2555" xr:uid="{00000000-0005-0000-0000-000078160000}"/>
    <cellStyle name="Normal 4 6 3 7 2" xfId="6838" xr:uid="{00000000-0005-0000-0000-000079160000}"/>
    <cellStyle name="Normal 4 6 3 7 2 2" xfId="15288" xr:uid="{C70F9E2E-5340-4265-91E8-2298966C05DF}"/>
    <cellStyle name="Normal 4 6 3 7 3" xfId="11070" xr:uid="{087BF066-6767-457C-819E-A8D9FA896ECA}"/>
    <cellStyle name="Normal 4 6 3 8" xfId="4773" xr:uid="{00000000-0005-0000-0000-00007A160000}"/>
    <cellStyle name="Normal 4 6 3 8 2" xfId="13223" xr:uid="{AE821F26-1F9C-4112-90BB-0ED0EC184F87}"/>
    <cellStyle name="Normal 4 6 3 9" xfId="9005" xr:uid="{1E18BBCC-D13E-444C-944B-F42F97A29331}"/>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2 2 2" xfId="15783" xr:uid="{7E8FCCF9-5DC2-4E4F-B0FA-BC7E1DFE7C67}"/>
    <cellStyle name="Normal 4 6 4 2 2 3" xfId="11565" xr:uid="{1A7404F2-2C77-46F6-8DC6-AD434F7F2099}"/>
    <cellStyle name="Normal 4 6 4 2 3" xfId="5188" xr:uid="{00000000-0005-0000-0000-00007F160000}"/>
    <cellStyle name="Normal 4 6 4 2 3 2" xfId="13638" xr:uid="{8906FB23-6427-4690-A542-B34C7AB9C1B6}"/>
    <cellStyle name="Normal 4 6 4 2 4" xfId="9420" xr:uid="{0BEDDF62-CA43-429D-88F2-63ECC7489551}"/>
    <cellStyle name="Normal 4 6 4 3" xfId="1294" xr:uid="{00000000-0005-0000-0000-000080160000}"/>
    <cellStyle name="Normal 4 6 4 3 2" xfId="3524" xr:uid="{00000000-0005-0000-0000-000081160000}"/>
    <cellStyle name="Normal 4 6 4 3 2 2" xfId="7746" xr:uid="{00000000-0005-0000-0000-000082160000}"/>
    <cellStyle name="Normal 4 6 4 3 2 2 2" xfId="16196" xr:uid="{B11FC689-88EF-48BF-9A63-615C821A0AD8}"/>
    <cellStyle name="Normal 4 6 4 3 2 3" xfId="11978" xr:uid="{9F3937DC-A93A-4EC9-9181-70A4860D436F}"/>
    <cellStyle name="Normal 4 6 4 3 3" xfId="5601" xr:uid="{00000000-0005-0000-0000-000083160000}"/>
    <cellStyle name="Normal 4 6 4 3 3 2" xfId="14051" xr:uid="{64059F89-E1A3-4744-A874-11AC92FD1CC6}"/>
    <cellStyle name="Normal 4 6 4 3 4" xfId="9833" xr:uid="{EE439123-707B-4E86-B97E-04592DAC5357}"/>
    <cellStyle name="Normal 4 6 4 4" xfId="1707" xr:uid="{00000000-0005-0000-0000-000084160000}"/>
    <cellStyle name="Normal 4 6 4 4 2" xfId="3937" xr:uid="{00000000-0005-0000-0000-000085160000}"/>
    <cellStyle name="Normal 4 6 4 4 2 2" xfId="8159" xr:uid="{00000000-0005-0000-0000-000086160000}"/>
    <cellStyle name="Normal 4 6 4 4 2 2 2" xfId="16609" xr:uid="{37B6DCFC-7ACF-4C84-8557-227DD6817107}"/>
    <cellStyle name="Normal 4 6 4 4 2 3" xfId="12391" xr:uid="{B7B6C540-F107-4F53-8E32-87B2E2BFE487}"/>
    <cellStyle name="Normal 4 6 4 4 3" xfId="6014" xr:uid="{00000000-0005-0000-0000-000087160000}"/>
    <cellStyle name="Normal 4 6 4 4 3 2" xfId="14464" xr:uid="{02C032AD-9D4C-4418-95AD-9C6921BE25B4}"/>
    <cellStyle name="Normal 4 6 4 4 4" xfId="10246" xr:uid="{BEA4A7F9-2DB0-4AD6-B5FD-6975875E3A84}"/>
    <cellStyle name="Normal 4 6 4 5" xfId="2121" xr:uid="{00000000-0005-0000-0000-000088160000}"/>
    <cellStyle name="Normal 4 6 4 5 2" xfId="4350" xr:uid="{00000000-0005-0000-0000-000089160000}"/>
    <cellStyle name="Normal 4 6 4 5 2 2" xfId="8572" xr:uid="{00000000-0005-0000-0000-00008A160000}"/>
    <cellStyle name="Normal 4 6 4 5 2 2 2" xfId="17022" xr:uid="{A181CDDF-FB02-4FE2-BF9B-32F934A00936}"/>
    <cellStyle name="Normal 4 6 4 5 2 3" xfId="12804" xr:uid="{70F656E6-34EB-4319-98A7-6286DDC0CC5F}"/>
    <cellStyle name="Normal 4 6 4 5 3" xfId="6427" xr:uid="{00000000-0005-0000-0000-00008B160000}"/>
    <cellStyle name="Normal 4 6 4 5 3 2" xfId="14877" xr:uid="{3F8874C1-29B0-4902-AA18-3AF9E7278CF8}"/>
    <cellStyle name="Normal 4 6 4 5 4" xfId="10659" xr:uid="{330A03AE-6AFA-4A7D-A8FF-92CF91D74081}"/>
    <cellStyle name="Normal 4 6 4 6" xfId="2557" xr:uid="{00000000-0005-0000-0000-00008C160000}"/>
    <cellStyle name="Normal 4 6 4 6 2" xfId="6840" xr:uid="{00000000-0005-0000-0000-00008D160000}"/>
    <cellStyle name="Normal 4 6 4 6 2 2" xfId="15290" xr:uid="{DF5CE5D7-3A63-4927-8F30-D00E293F0712}"/>
    <cellStyle name="Normal 4 6 4 6 3" xfId="11072" xr:uid="{8F229182-53E7-461E-BF13-139263CB3B6A}"/>
    <cellStyle name="Normal 4 6 4 7" xfId="4775" xr:uid="{00000000-0005-0000-0000-00008E160000}"/>
    <cellStyle name="Normal 4 6 4 7 2" xfId="13225" xr:uid="{3C984F55-C9C1-4D64-AC9B-54FB474B0118}"/>
    <cellStyle name="Normal 4 6 4 8" xfId="9007" xr:uid="{C5302ED8-087D-4C2A-B806-1EDCD8334248}"/>
    <cellStyle name="Normal 4 6 5" xfId="869" xr:uid="{00000000-0005-0000-0000-00008F160000}"/>
    <cellStyle name="Normal 4 6 5 2" xfId="3104" xr:uid="{00000000-0005-0000-0000-000090160000}"/>
    <cellStyle name="Normal 4 6 5 2 2" xfId="7326" xr:uid="{00000000-0005-0000-0000-000091160000}"/>
    <cellStyle name="Normal 4 6 5 2 2 2" xfId="15776" xr:uid="{F2FA0DBE-9EF0-4AB7-A623-1AB51AFDF416}"/>
    <cellStyle name="Normal 4 6 5 2 3" xfId="11558" xr:uid="{E2AA1CBE-529F-4B34-A525-43244077D041}"/>
    <cellStyle name="Normal 4 6 5 3" xfId="5181" xr:uid="{00000000-0005-0000-0000-000092160000}"/>
    <cellStyle name="Normal 4 6 5 3 2" xfId="13631" xr:uid="{A84750CF-822C-4914-B4EB-F908B12F1CD6}"/>
    <cellStyle name="Normal 4 6 5 4" xfId="9413" xr:uid="{B8C39C31-84C2-43C8-9AF8-19975795F4E8}"/>
    <cellStyle name="Normal 4 6 6" xfId="1287" xr:uid="{00000000-0005-0000-0000-000093160000}"/>
    <cellStyle name="Normal 4 6 6 2" xfId="3517" xr:uid="{00000000-0005-0000-0000-000094160000}"/>
    <cellStyle name="Normal 4 6 6 2 2" xfId="7739" xr:uid="{00000000-0005-0000-0000-000095160000}"/>
    <cellStyle name="Normal 4 6 6 2 2 2" xfId="16189" xr:uid="{CBB3EF85-0C10-4ACF-A66C-F26049037EE1}"/>
    <cellStyle name="Normal 4 6 6 2 3" xfId="11971" xr:uid="{D4736099-2A21-4BDD-9549-AF42CA719B0C}"/>
    <cellStyle name="Normal 4 6 6 3" xfId="5594" xr:uid="{00000000-0005-0000-0000-000096160000}"/>
    <cellStyle name="Normal 4 6 6 3 2" xfId="14044" xr:uid="{4BFD3111-5377-49B5-8312-01753D3243FB}"/>
    <cellStyle name="Normal 4 6 6 4" xfId="9826" xr:uid="{1717CD2D-2C77-4453-B9B1-6BE2E5F68117}"/>
    <cellStyle name="Normal 4 6 7" xfId="1700" xr:uid="{00000000-0005-0000-0000-000097160000}"/>
    <cellStyle name="Normal 4 6 7 2" xfId="3930" xr:uid="{00000000-0005-0000-0000-000098160000}"/>
    <cellStyle name="Normal 4 6 7 2 2" xfId="8152" xr:uid="{00000000-0005-0000-0000-000099160000}"/>
    <cellStyle name="Normal 4 6 7 2 2 2" xfId="16602" xr:uid="{9CFB42A0-8469-41AF-A02B-37BD367DC414}"/>
    <cellStyle name="Normal 4 6 7 2 3" xfId="12384" xr:uid="{C0D8D7B7-3557-4D18-858E-7F0DDF43C73E}"/>
    <cellStyle name="Normal 4 6 7 3" xfId="6007" xr:uid="{00000000-0005-0000-0000-00009A160000}"/>
    <cellStyle name="Normal 4 6 7 3 2" xfId="14457" xr:uid="{F0155C94-563C-48CA-BC0E-66A7679A4142}"/>
    <cellStyle name="Normal 4 6 7 4" xfId="10239" xr:uid="{2B08D5C5-11E6-4A8D-AF97-19D3FB0A9369}"/>
    <cellStyle name="Normal 4 6 8" xfId="2114" xr:uid="{00000000-0005-0000-0000-00009B160000}"/>
    <cellStyle name="Normal 4 6 8 2" xfId="4343" xr:uid="{00000000-0005-0000-0000-00009C160000}"/>
    <cellStyle name="Normal 4 6 8 2 2" xfId="8565" xr:uid="{00000000-0005-0000-0000-00009D160000}"/>
    <cellStyle name="Normal 4 6 8 2 2 2" xfId="17015" xr:uid="{DAFB4DB8-E2B3-49C4-8B69-A3864B48D8C2}"/>
    <cellStyle name="Normal 4 6 8 2 3" xfId="12797" xr:uid="{30F5E0BD-6C2E-477D-BF08-0276EEC68384}"/>
    <cellStyle name="Normal 4 6 8 3" xfId="6420" xr:uid="{00000000-0005-0000-0000-00009E160000}"/>
    <cellStyle name="Normal 4 6 8 3 2" xfId="14870" xr:uid="{B37DBEEB-6A11-49FE-8852-95602E264AD5}"/>
    <cellStyle name="Normal 4 6 8 4" xfId="10652" xr:uid="{D7DC8550-E408-43C4-9567-99458ED93D10}"/>
    <cellStyle name="Normal 4 6 9" xfId="2550" xr:uid="{00000000-0005-0000-0000-00009F160000}"/>
    <cellStyle name="Normal 4 6 9 2" xfId="6833" xr:uid="{00000000-0005-0000-0000-0000A0160000}"/>
    <cellStyle name="Normal 4 6 9 2 2" xfId="15283" xr:uid="{13A4F976-2E3D-424C-A52D-DE86027F2922}"/>
    <cellStyle name="Normal 4 6 9 3" xfId="11065" xr:uid="{1C164910-97E4-45AD-8A55-D780696B9812}"/>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2 2 2" xfId="15785" xr:uid="{F03B811B-9EA0-46E8-9F8C-6FE88900F7CC}"/>
    <cellStyle name="Normal 4 7 2 2 2 3" xfId="11567" xr:uid="{BF2A953A-F91C-495A-B9F0-87992A149201}"/>
    <cellStyle name="Normal 4 7 2 2 3" xfId="5190" xr:uid="{00000000-0005-0000-0000-0000A6160000}"/>
    <cellStyle name="Normal 4 7 2 2 3 2" xfId="13640" xr:uid="{344A224C-1AD3-4CE9-AD03-30C17B970214}"/>
    <cellStyle name="Normal 4 7 2 2 4" xfId="9422" xr:uid="{8B0E678A-58BA-4757-AF15-22BA42976D5B}"/>
    <cellStyle name="Normal 4 7 2 3" xfId="1296" xr:uid="{00000000-0005-0000-0000-0000A7160000}"/>
    <cellStyle name="Normal 4 7 2 3 2" xfId="3526" xr:uid="{00000000-0005-0000-0000-0000A8160000}"/>
    <cellStyle name="Normal 4 7 2 3 2 2" xfId="7748" xr:uid="{00000000-0005-0000-0000-0000A9160000}"/>
    <cellStyle name="Normal 4 7 2 3 2 2 2" xfId="16198" xr:uid="{9E71557B-2F57-45BA-88D5-EB33BE42A390}"/>
    <cellStyle name="Normal 4 7 2 3 2 3" xfId="11980" xr:uid="{7724F205-F9B3-4E5E-B2CA-CFDFD63316C3}"/>
    <cellStyle name="Normal 4 7 2 3 3" xfId="5603" xr:uid="{00000000-0005-0000-0000-0000AA160000}"/>
    <cellStyle name="Normal 4 7 2 3 3 2" xfId="14053" xr:uid="{246E2E2D-7D46-4318-B843-5740F45E681F}"/>
    <cellStyle name="Normal 4 7 2 3 4" xfId="9835" xr:uid="{BF7564C6-645E-48E4-B46C-BF7E4ACC2B07}"/>
    <cellStyle name="Normal 4 7 2 4" xfId="1709" xr:uid="{00000000-0005-0000-0000-0000AB160000}"/>
    <cellStyle name="Normal 4 7 2 4 2" xfId="3939" xr:uid="{00000000-0005-0000-0000-0000AC160000}"/>
    <cellStyle name="Normal 4 7 2 4 2 2" xfId="8161" xr:uid="{00000000-0005-0000-0000-0000AD160000}"/>
    <cellStyle name="Normal 4 7 2 4 2 2 2" xfId="16611" xr:uid="{3F0E1F44-409E-4BB1-9994-88B63104CD72}"/>
    <cellStyle name="Normal 4 7 2 4 2 3" xfId="12393" xr:uid="{192F1E06-F125-4F27-B65A-D56405FC7C39}"/>
    <cellStyle name="Normal 4 7 2 4 3" xfId="6016" xr:uid="{00000000-0005-0000-0000-0000AE160000}"/>
    <cellStyle name="Normal 4 7 2 4 3 2" xfId="14466" xr:uid="{C7F2D790-F960-4C85-89A9-6869D3E94DEB}"/>
    <cellStyle name="Normal 4 7 2 4 4" xfId="10248" xr:uid="{475F5F84-8B46-4765-A6D8-6A14A3FCB913}"/>
    <cellStyle name="Normal 4 7 2 5" xfId="2123" xr:uid="{00000000-0005-0000-0000-0000AF160000}"/>
    <cellStyle name="Normal 4 7 2 5 2" xfId="4352" xr:uid="{00000000-0005-0000-0000-0000B0160000}"/>
    <cellStyle name="Normal 4 7 2 5 2 2" xfId="8574" xr:uid="{00000000-0005-0000-0000-0000B1160000}"/>
    <cellStyle name="Normal 4 7 2 5 2 2 2" xfId="17024" xr:uid="{6DC3CEF2-2DE1-49A1-A237-938D2F7D5D32}"/>
    <cellStyle name="Normal 4 7 2 5 2 3" xfId="12806" xr:uid="{7A1341F0-5132-4469-A65F-62065C92E6A3}"/>
    <cellStyle name="Normal 4 7 2 5 3" xfId="6429" xr:uid="{00000000-0005-0000-0000-0000B2160000}"/>
    <cellStyle name="Normal 4 7 2 5 3 2" xfId="14879" xr:uid="{3C60DBAC-7426-431E-9F11-7610E2E35542}"/>
    <cellStyle name="Normal 4 7 2 5 4" xfId="10661" xr:uid="{734ADC93-05EA-41F0-A626-E93EA342219C}"/>
    <cellStyle name="Normal 4 7 2 6" xfId="2559" xr:uid="{00000000-0005-0000-0000-0000B3160000}"/>
    <cellStyle name="Normal 4 7 2 6 2" xfId="6842" xr:uid="{00000000-0005-0000-0000-0000B4160000}"/>
    <cellStyle name="Normal 4 7 2 6 2 2" xfId="15292" xr:uid="{4C7FC0F1-162A-4B3C-85F8-86E4A4068047}"/>
    <cellStyle name="Normal 4 7 2 6 3" xfId="11074" xr:uid="{AADC57B6-6CA0-42F0-A22B-4B2DD212BF60}"/>
    <cellStyle name="Normal 4 7 2 7" xfId="4777" xr:uid="{00000000-0005-0000-0000-0000B5160000}"/>
    <cellStyle name="Normal 4 7 2 7 2" xfId="13227" xr:uid="{EB4F1E26-4807-4173-9FEE-39647E764757}"/>
    <cellStyle name="Normal 4 7 2 8" xfId="9009" xr:uid="{9389B972-2C9B-40C8-AA4C-DD7891F3E83E}"/>
    <cellStyle name="Normal 4 7 3" xfId="877" xr:uid="{00000000-0005-0000-0000-0000B6160000}"/>
    <cellStyle name="Normal 4 7 3 2" xfId="3112" xr:uid="{00000000-0005-0000-0000-0000B7160000}"/>
    <cellStyle name="Normal 4 7 3 2 2" xfId="7334" xr:uid="{00000000-0005-0000-0000-0000B8160000}"/>
    <cellStyle name="Normal 4 7 3 2 2 2" xfId="15784" xr:uid="{120C5C57-A20F-4E86-955B-118638A70A86}"/>
    <cellStyle name="Normal 4 7 3 2 3" xfId="11566" xr:uid="{1984810E-81F7-4B06-9A4B-520CB4924B8C}"/>
    <cellStyle name="Normal 4 7 3 3" xfId="5189" xr:uid="{00000000-0005-0000-0000-0000B9160000}"/>
    <cellStyle name="Normal 4 7 3 3 2" xfId="13639" xr:uid="{01A65A8F-A2B8-4EC5-BF05-7DB37B431C20}"/>
    <cellStyle name="Normal 4 7 3 4" xfId="9421" xr:uid="{909FA5A1-7399-401C-9674-4868F307A1DC}"/>
    <cellStyle name="Normal 4 7 4" xfId="1295" xr:uid="{00000000-0005-0000-0000-0000BA160000}"/>
    <cellStyle name="Normal 4 7 4 2" xfId="3525" xr:uid="{00000000-0005-0000-0000-0000BB160000}"/>
    <cellStyle name="Normal 4 7 4 2 2" xfId="7747" xr:uid="{00000000-0005-0000-0000-0000BC160000}"/>
    <cellStyle name="Normal 4 7 4 2 2 2" xfId="16197" xr:uid="{F48E104A-68A1-4E2C-9A9A-A718BE0FD50C}"/>
    <cellStyle name="Normal 4 7 4 2 3" xfId="11979" xr:uid="{2B2082F9-C772-4B62-9D9F-A033B13CF01A}"/>
    <cellStyle name="Normal 4 7 4 3" xfId="5602" xr:uid="{00000000-0005-0000-0000-0000BD160000}"/>
    <cellStyle name="Normal 4 7 4 3 2" xfId="14052" xr:uid="{F412E972-FFB2-4C19-9BB1-182AFFD179B0}"/>
    <cellStyle name="Normal 4 7 4 4" xfId="9834" xr:uid="{F4DF23FF-2B64-422D-979C-29E8287CA1A8}"/>
    <cellStyle name="Normal 4 7 5" xfId="1708" xr:uid="{00000000-0005-0000-0000-0000BE160000}"/>
    <cellStyle name="Normal 4 7 5 2" xfId="3938" xr:uid="{00000000-0005-0000-0000-0000BF160000}"/>
    <cellStyle name="Normal 4 7 5 2 2" xfId="8160" xr:uid="{00000000-0005-0000-0000-0000C0160000}"/>
    <cellStyle name="Normal 4 7 5 2 2 2" xfId="16610" xr:uid="{FB2381EE-3BC6-4D73-AAF4-9EEE0ADA0172}"/>
    <cellStyle name="Normal 4 7 5 2 3" xfId="12392" xr:uid="{D222BEFE-0A16-4154-9D52-3DE63F53A526}"/>
    <cellStyle name="Normal 4 7 5 3" xfId="6015" xr:uid="{00000000-0005-0000-0000-0000C1160000}"/>
    <cellStyle name="Normal 4 7 5 3 2" xfId="14465" xr:uid="{69A874B4-7A0F-4816-8459-78CE3158C425}"/>
    <cellStyle name="Normal 4 7 5 4" xfId="10247" xr:uid="{4C11166A-05FE-40B1-8B36-7EDA1E2B1C5A}"/>
    <cellStyle name="Normal 4 7 6" xfId="2122" xr:uid="{00000000-0005-0000-0000-0000C2160000}"/>
    <cellStyle name="Normal 4 7 6 2" xfId="4351" xr:uid="{00000000-0005-0000-0000-0000C3160000}"/>
    <cellStyle name="Normal 4 7 6 2 2" xfId="8573" xr:uid="{00000000-0005-0000-0000-0000C4160000}"/>
    <cellStyle name="Normal 4 7 6 2 2 2" xfId="17023" xr:uid="{F17F9BEE-E3D2-4867-8D7B-39F5D5309854}"/>
    <cellStyle name="Normal 4 7 6 2 3" xfId="12805" xr:uid="{52090B5D-7D95-4C14-8AAC-7B056F3D05B4}"/>
    <cellStyle name="Normal 4 7 6 3" xfId="6428" xr:uid="{00000000-0005-0000-0000-0000C5160000}"/>
    <cellStyle name="Normal 4 7 6 3 2" xfId="14878" xr:uid="{7368C1AE-CA9E-4A1C-ADE2-17BD294E0966}"/>
    <cellStyle name="Normal 4 7 6 4" xfId="10660" xr:uid="{155ED277-503B-418A-B4F7-152A4B16190F}"/>
    <cellStyle name="Normal 4 7 7" xfId="2558" xr:uid="{00000000-0005-0000-0000-0000C6160000}"/>
    <cellStyle name="Normal 4 7 7 2" xfId="6841" xr:uid="{00000000-0005-0000-0000-0000C7160000}"/>
    <cellStyle name="Normal 4 7 7 2 2" xfId="15291" xr:uid="{C5E3C5FA-8DD2-436A-94D0-845381D9480D}"/>
    <cellStyle name="Normal 4 7 7 3" xfId="11073" xr:uid="{E0D60981-FBEF-4B3C-8BCD-FB10741252AE}"/>
    <cellStyle name="Normal 4 7 8" xfId="4776" xr:uid="{00000000-0005-0000-0000-0000C8160000}"/>
    <cellStyle name="Normal 4 7 8 2" xfId="13226" xr:uid="{4912D424-2D53-434D-902F-92030F1D0D7A}"/>
    <cellStyle name="Normal 4 7 9" xfId="9008" xr:uid="{AAC6A5CF-C07F-4195-9BF0-F108AB38B87C}"/>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2 2 2" xfId="15786" xr:uid="{BEE18399-000D-4542-A158-F92C58D18E72}"/>
    <cellStyle name="Normal 4 8 2 2 3" xfId="11568" xr:uid="{42164B12-F33D-4125-88C2-024BA7B273F9}"/>
    <cellStyle name="Normal 4 8 2 3" xfId="5191" xr:uid="{00000000-0005-0000-0000-0000CD160000}"/>
    <cellStyle name="Normal 4 8 2 3 2" xfId="13641" xr:uid="{E313BDEA-50AB-411C-AF1F-AA5254233149}"/>
    <cellStyle name="Normal 4 8 2 4" xfId="9423" xr:uid="{38C2EEC1-3D37-4AA4-9F64-E8AB6D3E8B30}"/>
    <cellStyle name="Normal 4 8 3" xfId="1297" xr:uid="{00000000-0005-0000-0000-0000CE160000}"/>
    <cellStyle name="Normal 4 8 3 2" xfId="3527" xr:uid="{00000000-0005-0000-0000-0000CF160000}"/>
    <cellStyle name="Normal 4 8 3 2 2" xfId="7749" xr:uid="{00000000-0005-0000-0000-0000D0160000}"/>
    <cellStyle name="Normal 4 8 3 2 2 2" xfId="16199" xr:uid="{C8DFA4E8-C274-4469-8A16-059FFD005CE8}"/>
    <cellStyle name="Normal 4 8 3 2 3" xfId="11981" xr:uid="{C55AEAC5-2C00-4384-85A7-AFA0DAFF83C1}"/>
    <cellStyle name="Normal 4 8 3 3" xfId="5604" xr:uid="{00000000-0005-0000-0000-0000D1160000}"/>
    <cellStyle name="Normal 4 8 3 3 2" xfId="14054" xr:uid="{A62EFDE4-E957-4C90-AB51-1222951ED474}"/>
    <cellStyle name="Normal 4 8 3 4" xfId="9836" xr:uid="{2BF7B8A7-659D-4ACA-BE67-6E570FFBFCA1}"/>
    <cellStyle name="Normal 4 8 4" xfId="1710" xr:uid="{00000000-0005-0000-0000-0000D2160000}"/>
    <cellStyle name="Normal 4 8 4 2" xfId="3940" xr:uid="{00000000-0005-0000-0000-0000D3160000}"/>
    <cellStyle name="Normal 4 8 4 2 2" xfId="8162" xr:uid="{00000000-0005-0000-0000-0000D4160000}"/>
    <cellStyle name="Normal 4 8 4 2 2 2" xfId="16612" xr:uid="{76C57DB7-C14C-49D3-887C-7753803DD789}"/>
    <cellStyle name="Normal 4 8 4 2 3" xfId="12394" xr:uid="{73836930-381C-46D1-B29E-471C669CE728}"/>
    <cellStyle name="Normal 4 8 4 3" xfId="6017" xr:uid="{00000000-0005-0000-0000-0000D5160000}"/>
    <cellStyle name="Normal 4 8 4 3 2" xfId="14467" xr:uid="{CDBD48DC-B409-4892-9E9C-CEDB7206F7A7}"/>
    <cellStyle name="Normal 4 8 4 4" xfId="10249" xr:uid="{C19F7A86-3A1F-4562-B40E-C0FF78E8BFAC}"/>
    <cellStyle name="Normal 4 8 5" xfId="2124" xr:uid="{00000000-0005-0000-0000-0000D6160000}"/>
    <cellStyle name="Normal 4 8 5 2" xfId="4353" xr:uid="{00000000-0005-0000-0000-0000D7160000}"/>
    <cellStyle name="Normal 4 8 5 2 2" xfId="8575" xr:uid="{00000000-0005-0000-0000-0000D8160000}"/>
    <cellStyle name="Normal 4 8 5 2 2 2" xfId="17025" xr:uid="{0F9FECB3-62D8-4941-A328-B6D841F352E5}"/>
    <cellStyle name="Normal 4 8 5 2 3" xfId="12807" xr:uid="{00201869-DA32-4AC4-B495-27A2BE9E7A30}"/>
    <cellStyle name="Normal 4 8 5 3" xfId="6430" xr:uid="{00000000-0005-0000-0000-0000D9160000}"/>
    <cellStyle name="Normal 4 8 5 3 2" xfId="14880" xr:uid="{2BDD7076-11F7-4BB3-9EBE-D51500E4CBEE}"/>
    <cellStyle name="Normal 4 8 5 4" xfId="10662" xr:uid="{1CF868D5-45BE-4760-A0C1-833547C2CF42}"/>
    <cellStyle name="Normal 4 8 6" xfId="2560" xr:uid="{00000000-0005-0000-0000-0000DA160000}"/>
    <cellStyle name="Normal 4 8 6 2" xfId="6843" xr:uid="{00000000-0005-0000-0000-0000DB160000}"/>
    <cellStyle name="Normal 4 8 6 2 2" xfId="15293" xr:uid="{226475B2-A5A9-420E-BB92-B4F43524E3FF}"/>
    <cellStyle name="Normal 4 8 6 3" xfId="11075" xr:uid="{09AA82DB-A85F-4016-B83E-A6A323861D58}"/>
    <cellStyle name="Normal 4 8 7" xfId="4778" xr:uid="{00000000-0005-0000-0000-0000DC160000}"/>
    <cellStyle name="Normal 4 8 7 2" xfId="13228" xr:uid="{38A3E18C-A742-41C9-BFD9-6B28287C3EEE}"/>
    <cellStyle name="Normal 4 8 8" xfId="9010" xr:uid="{0E299FC3-5874-4D33-87C6-0E1DD720C1AF}"/>
    <cellStyle name="Normal 4 9" xfId="4715" xr:uid="{00000000-0005-0000-0000-0000DD160000}"/>
    <cellStyle name="Normal 4 9 2" xfId="13165" xr:uid="{63EE2AEB-0439-4FA5-83A0-ABFADDD4D49B}"/>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2 2 2" xfId="16613" xr:uid="{C2F511E7-498D-487D-86FC-4830538054E6}"/>
    <cellStyle name="Normal 5 10 2 3" xfId="12395" xr:uid="{265BE509-B9EC-448E-9258-E3B4B283DBEA}"/>
    <cellStyle name="Normal 5 10 3" xfId="6018" xr:uid="{00000000-0005-0000-0000-0000E2160000}"/>
    <cellStyle name="Normal 5 10 3 2" xfId="14468" xr:uid="{FB446AC2-4E1E-4F40-9713-063610B35D1A}"/>
    <cellStyle name="Normal 5 10 4" xfId="10250" xr:uid="{507113E6-D8FC-41DA-A46D-B2119DAF7DDF}"/>
    <cellStyle name="Normal 5 11" xfId="2125" xr:uid="{00000000-0005-0000-0000-0000E3160000}"/>
    <cellStyle name="Normal 5 11 2" xfId="4354" xr:uid="{00000000-0005-0000-0000-0000E4160000}"/>
    <cellStyle name="Normal 5 11 2 2" xfId="8576" xr:uid="{00000000-0005-0000-0000-0000E5160000}"/>
    <cellStyle name="Normal 5 11 2 2 2" xfId="17026" xr:uid="{C0CD321E-5BA5-451E-AE5A-12DCCA622E5D}"/>
    <cellStyle name="Normal 5 11 2 3" xfId="12808" xr:uid="{CA638C91-8466-429F-9580-8B79D132F914}"/>
    <cellStyle name="Normal 5 11 3" xfId="6431" xr:uid="{00000000-0005-0000-0000-0000E6160000}"/>
    <cellStyle name="Normal 5 11 3 2" xfId="14881" xr:uid="{51A9D984-F2C8-4956-8D22-8C058C357FE7}"/>
    <cellStyle name="Normal 5 11 4" xfId="10663" xr:uid="{79201F4C-6181-4D1B-A355-34D013058C26}"/>
    <cellStyle name="Normal 5 12" xfId="2561" xr:uid="{00000000-0005-0000-0000-0000E7160000}"/>
    <cellStyle name="Normal 5 12 2" xfId="6844" xr:uid="{00000000-0005-0000-0000-0000E8160000}"/>
    <cellStyle name="Normal 5 12 2 2" xfId="15294" xr:uid="{6364284C-F1BE-4AB0-8A98-E9D454ADB293}"/>
    <cellStyle name="Normal 5 12 3" xfId="11076" xr:uid="{E9B75697-3641-4A79-9A41-7FEF7F99E910}"/>
    <cellStyle name="Normal 5 13" xfId="4779" xr:uid="{00000000-0005-0000-0000-0000E9160000}"/>
    <cellStyle name="Normal 5 13 2" xfId="13229" xr:uid="{6952F0AF-2633-412F-99CA-AE5277D44FFD}"/>
    <cellStyle name="Normal 5 14" xfId="9011" xr:uid="{ACD9BA85-3820-4F4B-B825-576EB03E75D5}"/>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2 2 2" xfId="17027" xr:uid="{55471C3B-7FC5-49D2-A2AE-B5F2E15E46F2}"/>
    <cellStyle name="Normal 5 2 10 2 3" xfId="12809" xr:uid="{C40763B7-D91C-401A-AC07-5B5D5EF79414}"/>
    <cellStyle name="Normal 5 2 10 3" xfId="6432" xr:uid="{00000000-0005-0000-0000-0000EE160000}"/>
    <cellStyle name="Normal 5 2 10 3 2" xfId="14882" xr:uid="{41AB0407-054D-4900-B106-55805B075C99}"/>
    <cellStyle name="Normal 5 2 10 4" xfId="10664" xr:uid="{B33C8241-7F64-4FA4-A176-8ACEE22D88CA}"/>
    <cellStyle name="Normal 5 2 11" xfId="2562" xr:uid="{00000000-0005-0000-0000-0000EF160000}"/>
    <cellStyle name="Normal 5 2 11 2" xfId="6845" xr:uid="{00000000-0005-0000-0000-0000F0160000}"/>
    <cellStyle name="Normal 5 2 11 2 2" xfId="15295" xr:uid="{A76F7B24-0B6D-44E8-9D2F-7C3F96075698}"/>
    <cellStyle name="Normal 5 2 11 3" xfId="11077" xr:uid="{2634E421-55B1-4548-8130-1DBAF6335E37}"/>
    <cellStyle name="Normal 5 2 12" xfId="4780" xr:uid="{00000000-0005-0000-0000-0000F1160000}"/>
    <cellStyle name="Normal 5 2 12 2" xfId="13230" xr:uid="{D2E13293-93D4-4A6A-91F6-D7D28387B81E}"/>
    <cellStyle name="Normal 5 2 13" xfId="9012" xr:uid="{F6AF7D55-14AE-499C-AD43-18537F7A77EC}"/>
    <cellStyle name="Normal 5 2 2" xfId="408" xr:uid="{00000000-0005-0000-0000-0000F2160000}"/>
    <cellStyle name="Normal 5 2 2 10" xfId="2563" xr:uid="{00000000-0005-0000-0000-0000F3160000}"/>
    <cellStyle name="Normal 5 2 2 10 2" xfId="6846" xr:uid="{00000000-0005-0000-0000-0000F4160000}"/>
    <cellStyle name="Normal 5 2 2 10 2 2" xfId="15296" xr:uid="{1F061456-FAC0-42E2-A66A-6E196A1077DF}"/>
    <cellStyle name="Normal 5 2 2 10 3" xfId="11078" xr:uid="{9F259ACE-DF0A-4400-8DB6-9A67C16AB5E0}"/>
    <cellStyle name="Normal 5 2 2 11" xfId="4781" xr:uid="{00000000-0005-0000-0000-0000F5160000}"/>
    <cellStyle name="Normal 5 2 2 11 2" xfId="13231" xr:uid="{57BCEC4C-BF0E-447C-BB7B-290DDD631B4F}"/>
    <cellStyle name="Normal 5 2 2 12" xfId="9013" xr:uid="{1C7683D6-BD82-4AA2-9B15-C4A1B1310E6C}"/>
    <cellStyle name="Normal 5 2 2 2" xfId="409" xr:uid="{00000000-0005-0000-0000-0000F6160000}"/>
    <cellStyle name="Normal 5 2 2 2 10" xfId="4782" xr:uid="{00000000-0005-0000-0000-0000F7160000}"/>
    <cellStyle name="Normal 5 2 2 2 10 2" xfId="13232" xr:uid="{3872C542-A199-4086-8065-CC4BEC5A904B}"/>
    <cellStyle name="Normal 5 2 2 2 11" xfId="9014" xr:uid="{D35A5528-8A8E-4F14-B976-C5577ECC5699}"/>
    <cellStyle name="Normal 5 2 2 2 2" xfId="410" xr:uid="{00000000-0005-0000-0000-0000F8160000}"/>
    <cellStyle name="Normal 5 2 2 2 2 10" xfId="9015" xr:uid="{1AAC4B14-AAEC-4FCD-91EF-0C475A9D149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2 2 2" xfId="15793" xr:uid="{D6A2BE76-B7A4-40E4-90DE-0DF532B4B699}"/>
    <cellStyle name="Normal 5 2 2 2 2 2 2 2 2 3" xfId="11575" xr:uid="{55B176F0-4E97-4737-9CBC-56E6642B6E9F}"/>
    <cellStyle name="Normal 5 2 2 2 2 2 2 2 3" xfId="5198" xr:uid="{00000000-0005-0000-0000-0000FE160000}"/>
    <cellStyle name="Normal 5 2 2 2 2 2 2 2 3 2" xfId="13648" xr:uid="{BCF19A44-DDDD-4ED7-A5D1-AD2700095C21}"/>
    <cellStyle name="Normal 5 2 2 2 2 2 2 2 4" xfId="9430" xr:uid="{4B0E171D-AD80-450B-BB4C-2A9E358E1AEC}"/>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2 2 2" xfId="16206" xr:uid="{15FAF005-5ADE-4030-AF9D-6E6E766EDD7E}"/>
    <cellStyle name="Normal 5 2 2 2 2 2 2 3 2 3" xfId="11988" xr:uid="{264DA12D-AC25-42D8-8B7E-313075D96291}"/>
    <cellStyle name="Normal 5 2 2 2 2 2 2 3 3" xfId="5611" xr:uid="{00000000-0005-0000-0000-000002170000}"/>
    <cellStyle name="Normal 5 2 2 2 2 2 2 3 3 2" xfId="14061" xr:uid="{A1C611CC-5011-4C5B-BDE4-C5E22941AFFA}"/>
    <cellStyle name="Normal 5 2 2 2 2 2 2 3 4" xfId="9843" xr:uid="{CD974803-F6DE-4D36-8E83-46A626B89125}"/>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2 2 2" xfId="16619" xr:uid="{15109662-7D26-4C94-AF0C-E21168D9837A}"/>
    <cellStyle name="Normal 5 2 2 2 2 2 2 4 2 3" xfId="12401" xr:uid="{956D75FA-F449-4E81-89BA-EF57315347B4}"/>
    <cellStyle name="Normal 5 2 2 2 2 2 2 4 3" xfId="6024" xr:uid="{00000000-0005-0000-0000-000006170000}"/>
    <cellStyle name="Normal 5 2 2 2 2 2 2 4 3 2" xfId="14474" xr:uid="{5E745896-58EF-44BB-A58A-2838DC3A1A14}"/>
    <cellStyle name="Normal 5 2 2 2 2 2 2 4 4" xfId="10256" xr:uid="{7B784C06-6F40-4500-93E9-81BFC40EB3BF}"/>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2 2 2" xfId="17032" xr:uid="{57C3FFEF-3528-4F3D-9102-2C8CBFDC4185}"/>
    <cellStyle name="Normal 5 2 2 2 2 2 2 5 2 3" xfId="12814" xr:uid="{D528F644-DE49-47AC-B364-971A983F15C6}"/>
    <cellStyle name="Normal 5 2 2 2 2 2 2 5 3" xfId="6437" xr:uid="{00000000-0005-0000-0000-00000A170000}"/>
    <cellStyle name="Normal 5 2 2 2 2 2 2 5 3 2" xfId="14887" xr:uid="{938BB834-BA83-4E16-B60D-51EED3B5DD0C}"/>
    <cellStyle name="Normal 5 2 2 2 2 2 2 5 4" xfId="10669" xr:uid="{D6AB7938-B0A3-4CDC-AC50-CF2799AFE434}"/>
    <cellStyle name="Normal 5 2 2 2 2 2 2 6" xfId="2567" xr:uid="{00000000-0005-0000-0000-00000B170000}"/>
    <cellStyle name="Normal 5 2 2 2 2 2 2 6 2" xfId="6850" xr:uid="{00000000-0005-0000-0000-00000C170000}"/>
    <cellStyle name="Normal 5 2 2 2 2 2 2 6 2 2" xfId="15300" xr:uid="{3425333D-7A2C-4001-A17A-EDE55187EB71}"/>
    <cellStyle name="Normal 5 2 2 2 2 2 2 6 3" xfId="11082" xr:uid="{30014C08-1465-4D0C-B03F-E4217A0C7070}"/>
    <cellStyle name="Normal 5 2 2 2 2 2 2 7" xfId="4785" xr:uid="{00000000-0005-0000-0000-00000D170000}"/>
    <cellStyle name="Normal 5 2 2 2 2 2 2 7 2" xfId="13235" xr:uid="{80F21693-DEE4-4A4B-AD1C-EC0B86F1A57F}"/>
    <cellStyle name="Normal 5 2 2 2 2 2 2 8" xfId="9017" xr:uid="{D96CB6B9-CEFE-422E-A213-8918E12CE8B2}"/>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2 2 2" xfId="15792" xr:uid="{68A38F4D-265D-41FD-BBFC-487F4F3C1B32}"/>
    <cellStyle name="Normal 5 2 2 2 2 2 3 2 3" xfId="11574" xr:uid="{EB7F02C7-7F63-4902-96D2-FD0C906ED4C4}"/>
    <cellStyle name="Normal 5 2 2 2 2 2 3 3" xfId="5197" xr:uid="{00000000-0005-0000-0000-000011170000}"/>
    <cellStyle name="Normal 5 2 2 2 2 2 3 3 2" xfId="13647" xr:uid="{7062DAF6-D4F0-4A38-9137-1457FAA7C24B}"/>
    <cellStyle name="Normal 5 2 2 2 2 2 3 4" xfId="9429" xr:uid="{622EE978-E26A-4F42-BF2C-92EA5820C3D1}"/>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2 2 2" xfId="16205" xr:uid="{CDD67F59-BE77-4CFF-A0B1-DA2FC86B9FC9}"/>
    <cellStyle name="Normal 5 2 2 2 2 2 4 2 3" xfId="11987" xr:uid="{AA2BBA78-D493-4AA9-960A-191132E290D8}"/>
    <cellStyle name="Normal 5 2 2 2 2 2 4 3" xfId="5610" xr:uid="{00000000-0005-0000-0000-000015170000}"/>
    <cellStyle name="Normal 5 2 2 2 2 2 4 3 2" xfId="14060" xr:uid="{DDA3B46A-E825-4F34-8FE4-A08080B40232}"/>
    <cellStyle name="Normal 5 2 2 2 2 2 4 4" xfId="9842" xr:uid="{9B09F37E-E42B-46AC-AE45-C97CB21E4CB7}"/>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2 2 2" xfId="16618" xr:uid="{926F5B87-845A-4A4D-8C21-CFA6DF675483}"/>
    <cellStyle name="Normal 5 2 2 2 2 2 5 2 3" xfId="12400" xr:uid="{91387A64-9831-4138-A382-8767E1258797}"/>
    <cellStyle name="Normal 5 2 2 2 2 2 5 3" xfId="6023" xr:uid="{00000000-0005-0000-0000-000019170000}"/>
    <cellStyle name="Normal 5 2 2 2 2 2 5 3 2" xfId="14473" xr:uid="{301910DB-BE09-4D59-B528-CC1EAE3216E5}"/>
    <cellStyle name="Normal 5 2 2 2 2 2 5 4" xfId="10255" xr:uid="{86005C43-3F09-4CE7-8983-EB52C37908D4}"/>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2 2 2" xfId="17031" xr:uid="{C9DA9966-D54A-4DD3-BABD-33C34DD3F64E}"/>
    <cellStyle name="Normal 5 2 2 2 2 2 6 2 3" xfId="12813" xr:uid="{6883D224-8211-4639-996B-7331FD00682A}"/>
    <cellStyle name="Normal 5 2 2 2 2 2 6 3" xfId="6436" xr:uid="{00000000-0005-0000-0000-00001D170000}"/>
    <cellStyle name="Normal 5 2 2 2 2 2 6 3 2" xfId="14886" xr:uid="{9924CC9D-DCC0-4454-AC46-9A6E77D40776}"/>
    <cellStyle name="Normal 5 2 2 2 2 2 6 4" xfId="10668" xr:uid="{F377AE6B-7DD0-4CEB-8CE9-FD7874179D47}"/>
    <cellStyle name="Normal 5 2 2 2 2 2 7" xfId="2566" xr:uid="{00000000-0005-0000-0000-00001E170000}"/>
    <cellStyle name="Normal 5 2 2 2 2 2 7 2" xfId="6849" xr:uid="{00000000-0005-0000-0000-00001F170000}"/>
    <cellStyle name="Normal 5 2 2 2 2 2 7 2 2" xfId="15299" xr:uid="{77DD0AA9-FA9D-42C7-A2D1-1CB3C0CE9B31}"/>
    <cellStyle name="Normal 5 2 2 2 2 2 7 3" xfId="11081" xr:uid="{4FF38710-AEC0-4176-9D01-4604A2EBF13D}"/>
    <cellStyle name="Normal 5 2 2 2 2 2 8" xfId="4784" xr:uid="{00000000-0005-0000-0000-000020170000}"/>
    <cellStyle name="Normal 5 2 2 2 2 2 8 2" xfId="13234" xr:uid="{A2971380-B7A0-4B41-B6BB-0D334B316B92}"/>
    <cellStyle name="Normal 5 2 2 2 2 2 9" xfId="9016" xr:uid="{9849D2F1-072D-4CCE-BA84-F02AF90B3B86}"/>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2 2 2" xfId="15794" xr:uid="{33B2ACA2-3F5B-48F0-BFCF-A5C6101983A6}"/>
    <cellStyle name="Normal 5 2 2 2 2 3 2 2 3" xfId="11576" xr:uid="{30580952-D171-4A7F-BD55-D8538215DE86}"/>
    <cellStyle name="Normal 5 2 2 2 2 3 2 3" xfId="5199" xr:uid="{00000000-0005-0000-0000-000025170000}"/>
    <cellStyle name="Normal 5 2 2 2 2 3 2 3 2" xfId="13649" xr:uid="{159D7246-D624-477C-A9BB-5B3825268456}"/>
    <cellStyle name="Normal 5 2 2 2 2 3 2 4" xfId="9431" xr:uid="{F9C341B8-A9E6-49B6-BDB6-B0ECD8A28939}"/>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2 2 2" xfId="16207" xr:uid="{EB64D37C-7920-4011-9B46-863387C6F97C}"/>
    <cellStyle name="Normal 5 2 2 2 2 3 3 2 3" xfId="11989" xr:uid="{56F65D1E-A41F-4B73-9060-8B4B396529B7}"/>
    <cellStyle name="Normal 5 2 2 2 2 3 3 3" xfId="5612" xr:uid="{00000000-0005-0000-0000-000029170000}"/>
    <cellStyle name="Normal 5 2 2 2 2 3 3 3 2" xfId="14062" xr:uid="{75533E00-826C-4828-B907-3D40DAD3F8BE}"/>
    <cellStyle name="Normal 5 2 2 2 2 3 3 4" xfId="9844" xr:uid="{DFA7DB6A-FDB0-461B-962D-358EC3612DD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2 2 2" xfId="16620" xr:uid="{53C344F5-DBD3-4674-B9DE-F652E504A8B4}"/>
    <cellStyle name="Normal 5 2 2 2 2 3 4 2 3" xfId="12402" xr:uid="{69472A5B-9B0F-4997-91BF-824081E33BE0}"/>
    <cellStyle name="Normal 5 2 2 2 2 3 4 3" xfId="6025" xr:uid="{00000000-0005-0000-0000-00002D170000}"/>
    <cellStyle name="Normal 5 2 2 2 2 3 4 3 2" xfId="14475" xr:uid="{CF352823-97F3-4CB5-B31F-15457D76F8E4}"/>
    <cellStyle name="Normal 5 2 2 2 2 3 4 4" xfId="10257" xr:uid="{25C168F2-F1A5-4ABE-A0C5-6E256998EE3B}"/>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2 2 2" xfId="17033" xr:uid="{BAA7BC79-A59B-4BD8-A84C-1A5CC0D2F594}"/>
    <cellStyle name="Normal 5 2 2 2 2 3 5 2 3" xfId="12815" xr:uid="{975544C9-638C-4656-BF6B-96AAE3F90C23}"/>
    <cellStyle name="Normal 5 2 2 2 2 3 5 3" xfId="6438" xr:uid="{00000000-0005-0000-0000-000031170000}"/>
    <cellStyle name="Normal 5 2 2 2 2 3 5 3 2" xfId="14888" xr:uid="{C87D5208-23E5-4F0B-AC70-B014B53CEB6A}"/>
    <cellStyle name="Normal 5 2 2 2 2 3 5 4" xfId="10670" xr:uid="{FA1C547A-EA35-45BE-894C-9A579E134E28}"/>
    <cellStyle name="Normal 5 2 2 2 2 3 6" xfId="2568" xr:uid="{00000000-0005-0000-0000-000032170000}"/>
    <cellStyle name="Normal 5 2 2 2 2 3 6 2" xfId="6851" xr:uid="{00000000-0005-0000-0000-000033170000}"/>
    <cellStyle name="Normal 5 2 2 2 2 3 6 2 2" xfId="15301" xr:uid="{FC17EED2-B8B2-41A0-B37F-D3EB4759B94B}"/>
    <cellStyle name="Normal 5 2 2 2 2 3 6 3" xfId="11083" xr:uid="{7EEBF62F-772F-4E24-A8F4-E9A11D503E8D}"/>
    <cellStyle name="Normal 5 2 2 2 2 3 7" xfId="4786" xr:uid="{00000000-0005-0000-0000-000034170000}"/>
    <cellStyle name="Normal 5 2 2 2 2 3 7 2" xfId="13236" xr:uid="{B23CAD5E-DFC7-4511-BD21-72B670722171}"/>
    <cellStyle name="Normal 5 2 2 2 2 3 8" xfId="9018" xr:uid="{20F12E4D-8552-4CFC-9919-3C385B02DDD6}"/>
    <cellStyle name="Normal 5 2 2 2 2 4" xfId="884" xr:uid="{00000000-0005-0000-0000-000035170000}"/>
    <cellStyle name="Normal 5 2 2 2 2 4 2" xfId="3119" xr:uid="{00000000-0005-0000-0000-000036170000}"/>
    <cellStyle name="Normal 5 2 2 2 2 4 2 2" xfId="7341" xr:uid="{00000000-0005-0000-0000-000037170000}"/>
    <cellStyle name="Normal 5 2 2 2 2 4 2 2 2" xfId="15791" xr:uid="{84C1335B-F104-4E30-99ED-938F2325D393}"/>
    <cellStyle name="Normal 5 2 2 2 2 4 2 3" xfId="11573" xr:uid="{9EDADAE1-DDFB-4BFB-B5E0-E0D75C860604}"/>
    <cellStyle name="Normal 5 2 2 2 2 4 3" xfId="5196" xr:uid="{00000000-0005-0000-0000-000038170000}"/>
    <cellStyle name="Normal 5 2 2 2 2 4 3 2" xfId="13646" xr:uid="{4B38CDB3-0A13-4C93-A746-55D716BBBD36}"/>
    <cellStyle name="Normal 5 2 2 2 2 4 4" xfId="9428" xr:uid="{1F4F33F8-C851-44C9-BEBE-4AC7950FA041}"/>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2 2 2" xfId="16204" xr:uid="{AE7003A4-2C73-4894-AE6C-5A30399B3609}"/>
    <cellStyle name="Normal 5 2 2 2 2 5 2 3" xfId="11986" xr:uid="{968F3942-4207-457C-A826-1B19BE6B084E}"/>
    <cellStyle name="Normal 5 2 2 2 2 5 3" xfId="5609" xr:uid="{00000000-0005-0000-0000-00003C170000}"/>
    <cellStyle name="Normal 5 2 2 2 2 5 3 2" xfId="14059" xr:uid="{13F37A99-B4A9-4142-BFF7-D8454C330D6B}"/>
    <cellStyle name="Normal 5 2 2 2 2 5 4" xfId="9841" xr:uid="{BCD6C972-C4D5-41F5-BD7E-E41AE9658009}"/>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2 2 2" xfId="16617" xr:uid="{9F204D30-BBF0-4B62-9F0F-9E4208097927}"/>
    <cellStyle name="Normal 5 2 2 2 2 6 2 3" xfId="12399" xr:uid="{AC905131-EE2C-4135-8655-45AF100CD4F8}"/>
    <cellStyle name="Normal 5 2 2 2 2 6 3" xfId="6022" xr:uid="{00000000-0005-0000-0000-000040170000}"/>
    <cellStyle name="Normal 5 2 2 2 2 6 3 2" xfId="14472" xr:uid="{3423E42D-4C47-48E4-9847-7A00A78956F4}"/>
    <cellStyle name="Normal 5 2 2 2 2 6 4" xfId="10254" xr:uid="{5D3B1417-160C-4E6E-BBE6-E3B9651A250E}"/>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2 2 2" xfId="17030" xr:uid="{CD4E5550-8A8F-4C10-A6F4-6C9CD296516E}"/>
    <cellStyle name="Normal 5 2 2 2 2 7 2 3" xfId="12812" xr:uid="{4A237675-0165-46E1-90FA-92AC75A0E56E}"/>
    <cellStyle name="Normal 5 2 2 2 2 7 3" xfId="6435" xr:uid="{00000000-0005-0000-0000-000044170000}"/>
    <cellStyle name="Normal 5 2 2 2 2 7 3 2" xfId="14885" xr:uid="{EA499D4A-8F9A-44B5-BAD7-ECFE63C34572}"/>
    <cellStyle name="Normal 5 2 2 2 2 7 4" xfId="10667" xr:uid="{BDA64203-9917-452C-8BF5-C155988AF937}"/>
    <cellStyle name="Normal 5 2 2 2 2 8" xfId="2565" xr:uid="{00000000-0005-0000-0000-000045170000}"/>
    <cellStyle name="Normal 5 2 2 2 2 8 2" xfId="6848" xr:uid="{00000000-0005-0000-0000-000046170000}"/>
    <cellStyle name="Normal 5 2 2 2 2 8 2 2" xfId="15298" xr:uid="{9EDFAC98-411B-48E4-BB6A-97DAB6D1DBD0}"/>
    <cellStyle name="Normal 5 2 2 2 2 8 3" xfId="11080" xr:uid="{5A5EC71B-A8FC-4E6A-8459-4842BDDA3257}"/>
    <cellStyle name="Normal 5 2 2 2 2 9" xfId="4783" xr:uid="{00000000-0005-0000-0000-000047170000}"/>
    <cellStyle name="Normal 5 2 2 2 2 9 2" xfId="13233" xr:uid="{E96C2D4E-C38C-4494-9F6B-5BA4BD6E08F4}"/>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2 2 2" xfId="15796" xr:uid="{CCE11633-10C1-42E9-9C2C-FB385F050416}"/>
    <cellStyle name="Normal 5 2 2 2 3 2 2 2 3" xfId="11578" xr:uid="{63E10CE2-7A88-4D3B-8FFB-BEBEB6CEBC14}"/>
    <cellStyle name="Normal 5 2 2 2 3 2 2 3" xfId="5201" xr:uid="{00000000-0005-0000-0000-00004D170000}"/>
    <cellStyle name="Normal 5 2 2 2 3 2 2 3 2" xfId="13651" xr:uid="{0EE3058A-13E9-4BBE-92D2-DE55FB157451}"/>
    <cellStyle name="Normal 5 2 2 2 3 2 2 4" xfId="9433" xr:uid="{129CBCBD-F280-412C-8654-6447C24924C6}"/>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2 2 2" xfId="16209" xr:uid="{185E8F83-1823-4D5C-B7B4-375A08B4263B}"/>
    <cellStyle name="Normal 5 2 2 2 3 2 3 2 3" xfId="11991" xr:uid="{66424FEF-0895-41DB-B254-44EB27BCAAA1}"/>
    <cellStyle name="Normal 5 2 2 2 3 2 3 3" xfId="5614" xr:uid="{00000000-0005-0000-0000-000051170000}"/>
    <cellStyle name="Normal 5 2 2 2 3 2 3 3 2" xfId="14064" xr:uid="{86D264E3-B292-4879-AF1F-C4BC63EF3723}"/>
    <cellStyle name="Normal 5 2 2 2 3 2 3 4" xfId="9846" xr:uid="{D2AE9F09-C641-48AD-977A-A73B7D4EE6DB}"/>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2 2 2" xfId="16622" xr:uid="{06DE5CBE-C5AB-44EC-B6B1-69BD631B3B06}"/>
    <cellStyle name="Normal 5 2 2 2 3 2 4 2 3" xfId="12404" xr:uid="{1E0AE5AB-315D-4ECA-A311-928F4951DBDF}"/>
    <cellStyle name="Normal 5 2 2 2 3 2 4 3" xfId="6027" xr:uid="{00000000-0005-0000-0000-000055170000}"/>
    <cellStyle name="Normal 5 2 2 2 3 2 4 3 2" xfId="14477" xr:uid="{A77A67EB-6502-49D2-9238-169B298A6EC1}"/>
    <cellStyle name="Normal 5 2 2 2 3 2 4 4" xfId="10259" xr:uid="{2FD3A890-3FF4-40D6-A375-962FBFB9F116}"/>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2 2 2" xfId="17035" xr:uid="{5095BBF3-A3DE-4954-A83E-DE25B4AFAC98}"/>
    <cellStyle name="Normal 5 2 2 2 3 2 5 2 3" xfId="12817" xr:uid="{FB674B23-A0D9-4A15-A463-16CF8F61BDC3}"/>
    <cellStyle name="Normal 5 2 2 2 3 2 5 3" xfId="6440" xr:uid="{00000000-0005-0000-0000-000059170000}"/>
    <cellStyle name="Normal 5 2 2 2 3 2 5 3 2" xfId="14890" xr:uid="{15B3BC66-B879-4930-A014-D8E1C6B098E5}"/>
    <cellStyle name="Normal 5 2 2 2 3 2 5 4" xfId="10672" xr:uid="{B61E61D3-0A84-44D7-8835-C289F628DB5E}"/>
    <cellStyle name="Normal 5 2 2 2 3 2 6" xfId="2570" xr:uid="{00000000-0005-0000-0000-00005A170000}"/>
    <cellStyle name="Normal 5 2 2 2 3 2 6 2" xfId="6853" xr:uid="{00000000-0005-0000-0000-00005B170000}"/>
    <cellStyle name="Normal 5 2 2 2 3 2 6 2 2" xfId="15303" xr:uid="{3997D5EC-853A-4946-B68E-13CFC3C58BC5}"/>
    <cellStyle name="Normal 5 2 2 2 3 2 6 3" xfId="11085" xr:uid="{91D37076-6542-41AC-BBF6-1CAFC7CA2855}"/>
    <cellStyle name="Normal 5 2 2 2 3 2 7" xfId="4788" xr:uid="{00000000-0005-0000-0000-00005C170000}"/>
    <cellStyle name="Normal 5 2 2 2 3 2 7 2" xfId="13238" xr:uid="{F7B46C1A-6FE2-40B3-80B7-BBA29E17CE74}"/>
    <cellStyle name="Normal 5 2 2 2 3 2 8" xfId="9020" xr:uid="{A17B167A-9E26-4300-8408-928576D4F6B7}"/>
    <cellStyle name="Normal 5 2 2 2 3 3" xfId="888" xr:uid="{00000000-0005-0000-0000-00005D170000}"/>
    <cellStyle name="Normal 5 2 2 2 3 3 2" xfId="3123" xr:uid="{00000000-0005-0000-0000-00005E170000}"/>
    <cellStyle name="Normal 5 2 2 2 3 3 2 2" xfId="7345" xr:uid="{00000000-0005-0000-0000-00005F170000}"/>
    <cellStyle name="Normal 5 2 2 2 3 3 2 2 2" xfId="15795" xr:uid="{E312DEF7-8EAB-4C0B-BD7D-278594FB578E}"/>
    <cellStyle name="Normal 5 2 2 2 3 3 2 3" xfId="11577" xr:uid="{894512EB-F3C1-42D3-AAFC-963DC258BD22}"/>
    <cellStyle name="Normal 5 2 2 2 3 3 3" xfId="5200" xr:uid="{00000000-0005-0000-0000-000060170000}"/>
    <cellStyle name="Normal 5 2 2 2 3 3 3 2" xfId="13650" xr:uid="{8D6AC5A9-6213-40DF-B571-BB5D7C5B49B8}"/>
    <cellStyle name="Normal 5 2 2 2 3 3 4" xfId="9432" xr:uid="{8E2C1B05-6F26-439D-A0A0-2480707E3DB1}"/>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2 2 2" xfId="16208" xr:uid="{CCE022B9-CD9B-482E-B3A3-4210C54DB0D7}"/>
    <cellStyle name="Normal 5 2 2 2 3 4 2 3" xfId="11990" xr:uid="{115CCEB2-B3B3-42C9-BC32-FC6DFAB68CC3}"/>
    <cellStyle name="Normal 5 2 2 2 3 4 3" xfId="5613" xr:uid="{00000000-0005-0000-0000-000064170000}"/>
    <cellStyle name="Normal 5 2 2 2 3 4 3 2" xfId="14063" xr:uid="{65433C15-8E80-4894-B537-09E1BEC79100}"/>
    <cellStyle name="Normal 5 2 2 2 3 4 4" xfId="9845" xr:uid="{71C9EBD1-F8C1-4EFB-BA5C-BCEB3184656B}"/>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2 2 2" xfId="16621" xr:uid="{CF3C982C-9A04-4FF4-8ECE-FF117F6D2A55}"/>
    <cellStyle name="Normal 5 2 2 2 3 5 2 3" xfId="12403" xr:uid="{315E7A0E-6E06-441A-9A50-D865219AF94C}"/>
    <cellStyle name="Normal 5 2 2 2 3 5 3" xfId="6026" xr:uid="{00000000-0005-0000-0000-000068170000}"/>
    <cellStyle name="Normal 5 2 2 2 3 5 3 2" xfId="14476" xr:uid="{3BBDDD2B-D33C-4D9C-A7F3-D436D63E0D50}"/>
    <cellStyle name="Normal 5 2 2 2 3 5 4" xfId="10258" xr:uid="{B3F71AD0-CF9D-4922-85DD-1AF022E8D018}"/>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2 2 2" xfId="17034" xr:uid="{B4B33CDB-85EC-452A-BA4E-AD405C916107}"/>
    <cellStyle name="Normal 5 2 2 2 3 6 2 3" xfId="12816" xr:uid="{5CF1EA95-B6CD-4044-87D6-23181BBCD3B1}"/>
    <cellStyle name="Normal 5 2 2 2 3 6 3" xfId="6439" xr:uid="{00000000-0005-0000-0000-00006C170000}"/>
    <cellStyle name="Normal 5 2 2 2 3 6 3 2" xfId="14889" xr:uid="{67BF3B35-C4E5-4975-A3FB-9EDA62BAE3E7}"/>
    <cellStyle name="Normal 5 2 2 2 3 6 4" xfId="10671" xr:uid="{1A84074B-F886-45B1-8664-7C7896F748B3}"/>
    <cellStyle name="Normal 5 2 2 2 3 7" xfId="2569" xr:uid="{00000000-0005-0000-0000-00006D170000}"/>
    <cellStyle name="Normal 5 2 2 2 3 7 2" xfId="6852" xr:uid="{00000000-0005-0000-0000-00006E170000}"/>
    <cellStyle name="Normal 5 2 2 2 3 7 2 2" xfId="15302" xr:uid="{9A9531B4-BC98-4C8F-AC76-6A7EDC5341A8}"/>
    <cellStyle name="Normal 5 2 2 2 3 7 3" xfId="11084" xr:uid="{41777F19-EC97-4360-ABA6-BF1F1ECE59BC}"/>
    <cellStyle name="Normal 5 2 2 2 3 8" xfId="4787" xr:uid="{00000000-0005-0000-0000-00006F170000}"/>
    <cellStyle name="Normal 5 2 2 2 3 8 2" xfId="13237" xr:uid="{502BC6A9-CA88-41D8-9705-D25646A92EFB}"/>
    <cellStyle name="Normal 5 2 2 2 3 9" xfId="9019" xr:uid="{715D2BEB-A933-4B30-8349-37A2D9AE1D9C}"/>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2 2 2" xfId="15797" xr:uid="{66BAA594-B16C-42FE-8F34-E6A641CC9C91}"/>
    <cellStyle name="Normal 5 2 2 2 4 2 2 3" xfId="11579" xr:uid="{5DB07AF7-07A0-4D51-B588-47522787D437}"/>
    <cellStyle name="Normal 5 2 2 2 4 2 3" xfId="5202" xr:uid="{00000000-0005-0000-0000-000074170000}"/>
    <cellStyle name="Normal 5 2 2 2 4 2 3 2" xfId="13652" xr:uid="{A713C675-F95E-41A2-99E7-D0D881D48B6D}"/>
    <cellStyle name="Normal 5 2 2 2 4 2 4" xfId="9434" xr:uid="{93FA00F8-6B17-455A-81CB-FF512DAAD691}"/>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2 2 2" xfId="16210" xr:uid="{9CBDDC4E-66A4-4AE8-91F1-F1207B991385}"/>
    <cellStyle name="Normal 5 2 2 2 4 3 2 3" xfId="11992" xr:uid="{5E8E7E24-46C5-4E4E-A5F0-291B87BDF976}"/>
    <cellStyle name="Normal 5 2 2 2 4 3 3" xfId="5615" xr:uid="{00000000-0005-0000-0000-000078170000}"/>
    <cellStyle name="Normal 5 2 2 2 4 3 3 2" xfId="14065" xr:uid="{60B35942-1D4A-4165-9E2E-A3C60EE0966B}"/>
    <cellStyle name="Normal 5 2 2 2 4 3 4" xfId="9847" xr:uid="{1C327A03-FAD3-4FBB-BB86-C3F087234EFB}"/>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2 2 2" xfId="16623" xr:uid="{6F8BE050-E5A7-4DE7-88E3-EC0AFFEE30B3}"/>
    <cellStyle name="Normal 5 2 2 2 4 4 2 3" xfId="12405" xr:uid="{30283D02-A0C7-4DD9-B821-2E74425FD140}"/>
    <cellStyle name="Normal 5 2 2 2 4 4 3" xfId="6028" xr:uid="{00000000-0005-0000-0000-00007C170000}"/>
    <cellStyle name="Normal 5 2 2 2 4 4 3 2" xfId="14478" xr:uid="{F56C358D-60A0-4DFB-A681-A993B6034F78}"/>
    <cellStyle name="Normal 5 2 2 2 4 4 4" xfId="10260" xr:uid="{2C8324A9-0F7A-440D-AF67-91259BE8709D}"/>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2 2 2" xfId="17036" xr:uid="{4BC139C2-A74D-410B-B340-F198C51D9266}"/>
    <cellStyle name="Normal 5 2 2 2 4 5 2 3" xfId="12818" xr:uid="{AE10E380-F592-4320-A17F-C747BB5B53BF}"/>
    <cellStyle name="Normal 5 2 2 2 4 5 3" xfId="6441" xr:uid="{00000000-0005-0000-0000-000080170000}"/>
    <cellStyle name="Normal 5 2 2 2 4 5 3 2" xfId="14891" xr:uid="{C96EAFDE-BA5F-4DC7-9F4F-A071DC53DABE}"/>
    <cellStyle name="Normal 5 2 2 2 4 5 4" xfId="10673" xr:uid="{AE38BB31-40B0-473E-89A2-173A7D261F2C}"/>
    <cellStyle name="Normal 5 2 2 2 4 6" xfId="2571" xr:uid="{00000000-0005-0000-0000-000081170000}"/>
    <cellStyle name="Normal 5 2 2 2 4 6 2" xfId="6854" xr:uid="{00000000-0005-0000-0000-000082170000}"/>
    <cellStyle name="Normal 5 2 2 2 4 6 2 2" xfId="15304" xr:uid="{42B49361-4CED-42C5-9320-0437BA3FBA3E}"/>
    <cellStyle name="Normal 5 2 2 2 4 6 3" xfId="11086" xr:uid="{A042FFFD-7D39-41F4-87D9-128204DD48D9}"/>
    <cellStyle name="Normal 5 2 2 2 4 7" xfId="4789" xr:uid="{00000000-0005-0000-0000-000083170000}"/>
    <cellStyle name="Normal 5 2 2 2 4 7 2" xfId="13239" xr:uid="{682472B4-E5CA-4232-91D7-FFE76156F65C}"/>
    <cellStyle name="Normal 5 2 2 2 4 8" xfId="9021" xr:uid="{9475DDE8-8A4D-4ECA-8D8D-EDD99D7C40F1}"/>
    <cellStyle name="Normal 5 2 2 2 5" xfId="883" xr:uid="{00000000-0005-0000-0000-000084170000}"/>
    <cellStyle name="Normal 5 2 2 2 5 2" xfId="3118" xr:uid="{00000000-0005-0000-0000-000085170000}"/>
    <cellStyle name="Normal 5 2 2 2 5 2 2" xfId="7340" xr:uid="{00000000-0005-0000-0000-000086170000}"/>
    <cellStyle name="Normal 5 2 2 2 5 2 2 2" xfId="15790" xr:uid="{96E44D9B-93B8-4839-823C-B7A4FC27E74C}"/>
    <cellStyle name="Normal 5 2 2 2 5 2 3" xfId="11572" xr:uid="{F87A94BA-00C8-40B5-9160-4F19E03B1AE9}"/>
    <cellStyle name="Normal 5 2 2 2 5 3" xfId="5195" xr:uid="{00000000-0005-0000-0000-000087170000}"/>
    <cellStyle name="Normal 5 2 2 2 5 3 2" xfId="13645" xr:uid="{4DD6DFEA-4BB5-4B8E-A085-78306EEE5316}"/>
    <cellStyle name="Normal 5 2 2 2 5 4" xfId="9427" xr:uid="{73F2C950-B9C6-44E0-93AC-253AF49CC8A7}"/>
    <cellStyle name="Normal 5 2 2 2 6" xfId="1301" xr:uid="{00000000-0005-0000-0000-000088170000}"/>
    <cellStyle name="Normal 5 2 2 2 6 2" xfId="3531" xr:uid="{00000000-0005-0000-0000-000089170000}"/>
    <cellStyle name="Normal 5 2 2 2 6 2 2" xfId="7753" xr:uid="{00000000-0005-0000-0000-00008A170000}"/>
    <cellStyle name="Normal 5 2 2 2 6 2 2 2" xfId="16203" xr:uid="{906A8BE8-801F-4B6C-BB80-5D44F9CCD899}"/>
    <cellStyle name="Normal 5 2 2 2 6 2 3" xfId="11985" xr:uid="{95B51031-BC33-4BCB-AC0C-6C50A2FCBE21}"/>
    <cellStyle name="Normal 5 2 2 2 6 3" xfId="5608" xr:uid="{00000000-0005-0000-0000-00008B170000}"/>
    <cellStyle name="Normal 5 2 2 2 6 3 2" xfId="14058" xr:uid="{644E0EEC-08B7-4587-9B58-3C43E8F914FE}"/>
    <cellStyle name="Normal 5 2 2 2 6 4" xfId="9840" xr:uid="{363ACA36-B7DC-4051-B869-91BF8718E107}"/>
    <cellStyle name="Normal 5 2 2 2 7" xfId="1714" xr:uid="{00000000-0005-0000-0000-00008C170000}"/>
    <cellStyle name="Normal 5 2 2 2 7 2" xfId="3944" xr:uid="{00000000-0005-0000-0000-00008D170000}"/>
    <cellStyle name="Normal 5 2 2 2 7 2 2" xfId="8166" xr:uid="{00000000-0005-0000-0000-00008E170000}"/>
    <cellStyle name="Normal 5 2 2 2 7 2 2 2" xfId="16616" xr:uid="{2B46EA56-B843-40EB-9E8E-54AE01753DCE}"/>
    <cellStyle name="Normal 5 2 2 2 7 2 3" xfId="12398" xr:uid="{26842815-0C80-41B5-B905-F1E6F01E9ACD}"/>
    <cellStyle name="Normal 5 2 2 2 7 3" xfId="6021" xr:uid="{00000000-0005-0000-0000-00008F170000}"/>
    <cellStyle name="Normal 5 2 2 2 7 3 2" xfId="14471" xr:uid="{ECD981C7-0951-438D-AE3C-EAAC17D4B33F}"/>
    <cellStyle name="Normal 5 2 2 2 7 4" xfId="10253" xr:uid="{08E3B673-C2A4-4565-99FE-947C29E1EFF8}"/>
    <cellStyle name="Normal 5 2 2 2 8" xfId="2128" xr:uid="{00000000-0005-0000-0000-000090170000}"/>
    <cellStyle name="Normal 5 2 2 2 8 2" xfId="4357" xr:uid="{00000000-0005-0000-0000-000091170000}"/>
    <cellStyle name="Normal 5 2 2 2 8 2 2" xfId="8579" xr:uid="{00000000-0005-0000-0000-000092170000}"/>
    <cellStyle name="Normal 5 2 2 2 8 2 2 2" xfId="17029" xr:uid="{41D0B6CB-55A6-47BC-AB5B-661F741B86FD}"/>
    <cellStyle name="Normal 5 2 2 2 8 2 3" xfId="12811" xr:uid="{59343A56-F507-4430-BA19-D784ADBD0187}"/>
    <cellStyle name="Normal 5 2 2 2 8 3" xfId="6434" xr:uid="{00000000-0005-0000-0000-000093170000}"/>
    <cellStyle name="Normal 5 2 2 2 8 3 2" xfId="14884" xr:uid="{0721E036-11FA-4FDE-B294-D01FB1C42B38}"/>
    <cellStyle name="Normal 5 2 2 2 8 4" xfId="10666" xr:uid="{56BB1B8D-30C6-47CE-84A7-26208C36CB7F}"/>
    <cellStyle name="Normal 5 2 2 2 9" xfId="2564" xr:uid="{00000000-0005-0000-0000-000094170000}"/>
    <cellStyle name="Normal 5 2 2 2 9 2" xfId="6847" xr:uid="{00000000-0005-0000-0000-000095170000}"/>
    <cellStyle name="Normal 5 2 2 2 9 2 2" xfId="15297" xr:uid="{0DF56AEE-29D6-4DAC-8FBE-B293DE56F2E7}"/>
    <cellStyle name="Normal 5 2 2 2 9 3" xfId="11079" xr:uid="{308075C1-2795-4C10-AD54-9ABB260907FE}"/>
    <cellStyle name="Normal 5 2 2 3" xfId="417" xr:uid="{00000000-0005-0000-0000-000096170000}"/>
    <cellStyle name="Normal 5 2 2 3 10" xfId="9022" xr:uid="{EAAA6C81-3322-436B-85F0-B93DF5141962}"/>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2 2 2" xfId="15800" xr:uid="{AE798BE2-18F7-41DC-83A1-C9A182BA42A2}"/>
    <cellStyle name="Normal 5 2 2 3 2 2 2 2 3" xfId="11582" xr:uid="{94026816-A48E-4AB5-9676-B977EA8F2A79}"/>
    <cellStyle name="Normal 5 2 2 3 2 2 2 3" xfId="5205" xr:uid="{00000000-0005-0000-0000-00009C170000}"/>
    <cellStyle name="Normal 5 2 2 3 2 2 2 3 2" xfId="13655" xr:uid="{D1E93FC3-BC1F-40BB-8C94-DCC4E18F2045}"/>
    <cellStyle name="Normal 5 2 2 3 2 2 2 4" xfId="9437" xr:uid="{B7A56D93-7945-45D0-843F-606E3AE7B829}"/>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2 2 2" xfId="16213" xr:uid="{5A6B581B-85CD-467B-A97D-17114A7B06DD}"/>
    <cellStyle name="Normal 5 2 2 3 2 2 3 2 3" xfId="11995" xr:uid="{3A657CF5-275B-48F7-9D35-33F018C0D1AE}"/>
    <cellStyle name="Normal 5 2 2 3 2 2 3 3" xfId="5618" xr:uid="{00000000-0005-0000-0000-0000A0170000}"/>
    <cellStyle name="Normal 5 2 2 3 2 2 3 3 2" xfId="14068" xr:uid="{00A39ECF-2D2D-4784-A83C-A6E5168BA770}"/>
    <cellStyle name="Normal 5 2 2 3 2 2 3 4" xfId="9850" xr:uid="{64C33BF2-1854-4C9A-A631-BAE823AC977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2 2 2" xfId="16626" xr:uid="{AF0D0DCC-4ECB-4250-99B0-3297675B23BF}"/>
    <cellStyle name="Normal 5 2 2 3 2 2 4 2 3" xfId="12408" xr:uid="{AACAD600-F73A-4CB7-A743-DE8F3383335D}"/>
    <cellStyle name="Normal 5 2 2 3 2 2 4 3" xfId="6031" xr:uid="{00000000-0005-0000-0000-0000A4170000}"/>
    <cellStyle name="Normal 5 2 2 3 2 2 4 3 2" xfId="14481" xr:uid="{39E9A524-0143-4F1B-AE87-53C77153E3E7}"/>
    <cellStyle name="Normal 5 2 2 3 2 2 4 4" xfId="10263" xr:uid="{B1BB964D-1D8F-4F71-91A8-C9B78C859B3F}"/>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2 2 2" xfId="17039" xr:uid="{4E027907-8328-4BF9-B7EE-0310304C76B3}"/>
    <cellStyle name="Normal 5 2 2 3 2 2 5 2 3" xfId="12821" xr:uid="{43A82B1B-4622-49DE-B3A4-79ACAA2B926F}"/>
    <cellStyle name="Normal 5 2 2 3 2 2 5 3" xfId="6444" xr:uid="{00000000-0005-0000-0000-0000A8170000}"/>
    <cellStyle name="Normal 5 2 2 3 2 2 5 3 2" xfId="14894" xr:uid="{8ABAB539-CC82-4B1F-9436-506F16EAB049}"/>
    <cellStyle name="Normal 5 2 2 3 2 2 5 4" xfId="10676" xr:uid="{9C4AB4DE-9739-4EBF-AF67-102CD6B77456}"/>
    <cellStyle name="Normal 5 2 2 3 2 2 6" xfId="2574" xr:uid="{00000000-0005-0000-0000-0000A9170000}"/>
    <cellStyle name="Normal 5 2 2 3 2 2 6 2" xfId="6857" xr:uid="{00000000-0005-0000-0000-0000AA170000}"/>
    <cellStyle name="Normal 5 2 2 3 2 2 6 2 2" xfId="15307" xr:uid="{040B4902-695B-4FFF-A8DD-A7AAA3E492E0}"/>
    <cellStyle name="Normal 5 2 2 3 2 2 6 3" xfId="11089" xr:uid="{746BD4DB-9242-4356-9FAF-D61D24D4C5E8}"/>
    <cellStyle name="Normal 5 2 2 3 2 2 7" xfId="4792" xr:uid="{00000000-0005-0000-0000-0000AB170000}"/>
    <cellStyle name="Normal 5 2 2 3 2 2 7 2" xfId="13242" xr:uid="{BA5345B4-E9CF-4F36-8855-6C5B2196AB78}"/>
    <cellStyle name="Normal 5 2 2 3 2 2 8" xfId="9024" xr:uid="{64DE5E6F-E04F-463B-8E64-DC963F72F33D}"/>
    <cellStyle name="Normal 5 2 2 3 2 3" xfId="892" xr:uid="{00000000-0005-0000-0000-0000AC170000}"/>
    <cellStyle name="Normal 5 2 2 3 2 3 2" xfId="3127" xr:uid="{00000000-0005-0000-0000-0000AD170000}"/>
    <cellStyle name="Normal 5 2 2 3 2 3 2 2" xfId="7349" xr:uid="{00000000-0005-0000-0000-0000AE170000}"/>
    <cellStyle name="Normal 5 2 2 3 2 3 2 2 2" xfId="15799" xr:uid="{E1DB515E-93BC-497F-9471-1128C35820E9}"/>
    <cellStyle name="Normal 5 2 2 3 2 3 2 3" xfId="11581" xr:uid="{E676E605-50D0-41F6-93DE-042252B34A7D}"/>
    <cellStyle name="Normal 5 2 2 3 2 3 3" xfId="5204" xr:uid="{00000000-0005-0000-0000-0000AF170000}"/>
    <cellStyle name="Normal 5 2 2 3 2 3 3 2" xfId="13654" xr:uid="{0D9D66CE-FBD8-4C4E-AFA6-F9BD420F8E0D}"/>
    <cellStyle name="Normal 5 2 2 3 2 3 4" xfId="9436" xr:uid="{8813018E-7259-42BB-8DDA-4E62F13EC6FB}"/>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2 2 2" xfId="16212" xr:uid="{3FCBCCAD-9F4D-4510-88D4-34902F97249E}"/>
    <cellStyle name="Normal 5 2 2 3 2 4 2 3" xfId="11994" xr:uid="{8BB04E9B-2AB4-41E0-A36F-803F4529997F}"/>
    <cellStyle name="Normal 5 2 2 3 2 4 3" xfId="5617" xr:uid="{00000000-0005-0000-0000-0000B3170000}"/>
    <cellStyle name="Normal 5 2 2 3 2 4 3 2" xfId="14067" xr:uid="{EFA7A254-EC44-4FE1-9AF5-E6BCBF36156A}"/>
    <cellStyle name="Normal 5 2 2 3 2 4 4" xfId="9849" xr:uid="{759C3841-F09D-4A7A-BF41-7C4E6207471F}"/>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2 2 2" xfId="16625" xr:uid="{827B2B17-934A-43A7-960E-683805AE6E88}"/>
    <cellStyle name="Normal 5 2 2 3 2 5 2 3" xfId="12407" xr:uid="{C060DBF3-5990-429C-A2E6-B275D3602496}"/>
    <cellStyle name="Normal 5 2 2 3 2 5 3" xfId="6030" xr:uid="{00000000-0005-0000-0000-0000B7170000}"/>
    <cellStyle name="Normal 5 2 2 3 2 5 3 2" xfId="14480" xr:uid="{07816E29-88EF-4374-AAFF-A7FE6DB64BD0}"/>
    <cellStyle name="Normal 5 2 2 3 2 5 4" xfId="10262" xr:uid="{04335207-C697-4D73-888D-0AF8EB7E299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2 2 2" xfId="17038" xr:uid="{276A32FD-CEB7-4AAF-ADEE-08D7BCA4BAD6}"/>
    <cellStyle name="Normal 5 2 2 3 2 6 2 3" xfId="12820" xr:uid="{A7E48C04-1ACA-459A-A646-8DE200E89522}"/>
    <cellStyle name="Normal 5 2 2 3 2 6 3" xfId="6443" xr:uid="{00000000-0005-0000-0000-0000BB170000}"/>
    <cellStyle name="Normal 5 2 2 3 2 6 3 2" xfId="14893" xr:uid="{D54C0C46-5E1B-4544-BBCD-BB4812A174CE}"/>
    <cellStyle name="Normal 5 2 2 3 2 6 4" xfId="10675" xr:uid="{1F883E9F-C162-46EE-99FE-B619936CAACA}"/>
    <cellStyle name="Normal 5 2 2 3 2 7" xfId="2573" xr:uid="{00000000-0005-0000-0000-0000BC170000}"/>
    <cellStyle name="Normal 5 2 2 3 2 7 2" xfId="6856" xr:uid="{00000000-0005-0000-0000-0000BD170000}"/>
    <cellStyle name="Normal 5 2 2 3 2 7 2 2" xfId="15306" xr:uid="{5D0ED4F8-5BCF-4469-A4B1-B88C3AC20561}"/>
    <cellStyle name="Normal 5 2 2 3 2 7 3" xfId="11088" xr:uid="{A13EC843-1997-41EA-BDF8-E7D5B6D99EBF}"/>
    <cellStyle name="Normal 5 2 2 3 2 8" xfId="4791" xr:uid="{00000000-0005-0000-0000-0000BE170000}"/>
    <cellStyle name="Normal 5 2 2 3 2 8 2" xfId="13241" xr:uid="{BEA0C09A-B536-48F9-96F2-FE0E14A06C42}"/>
    <cellStyle name="Normal 5 2 2 3 2 9" xfId="9023" xr:uid="{5A2E8CF3-036B-4777-B524-9000203BA8A8}"/>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2 2 2" xfId="15801" xr:uid="{5ABE2348-3D3E-4D37-8197-79D7A639DB00}"/>
    <cellStyle name="Normal 5 2 2 3 3 2 2 3" xfId="11583" xr:uid="{9D9B62BF-C618-4F45-8153-1CB66A13C8B4}"/>
    <cellStyle name="Normal 5 2 2 3 3 2 3" xfId="5206" xr:uid="{00000000-0005-0000-0000-0000C3170000}"/>
    <cellStyle name="Normal 5 2 2 3 3 2 3 2" xfId="13656" xr:uid="{E1729163-4CEA-448B-9AC4-366DCA1077B9}"/>
    <cellStyle name="Normal 5 2 2 3 3 2 4" xfId="9438" xr:uid="{3DC1FDB0-0CF6-499C-AF9C-92CBF231C454}"/>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2 2 2" xfId="16214" xr:uid="{F1C50A99-0893-4381-A611-467EB4FB2B5C}"/>
    <cellStyle name="Normal 5 2 2 3 3 3 2 3" xfId="11996" xr:uid="{6AE720FB-A6CF-4450-8B7C-DE84EDA52CE3}"/>
    <cellStyle name="Normal 5 2 2 3 3 3 3" xfId="5619" xr:uid="{00000000-0005-0000-0000-0000C7170000}"/>
    <cellStyle name="Normal 5 2 2 3 3 3 3 2" xfId="14069" xr:uid="{0DFFF04D-6386-47C9-9BF8-A57E64FCA004}"/>
    <cellStyle name="Normal 5 2 2 3 3 3 4" xfId="9851" xr:uid="{85ADC03D-0B41-4599-9020-339BA7A42C1E}"/>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2 2 2" xfId="16627" xr:uid="{9D42C071-2BC4-40E5-8008-3631A3D7A89E}"/>
    <cellStyle name="Normal 5 2 2 3 3 4 2 3" xfId="12409" xr:uid="{B51BC673-02BB-4407-9562-DA56F07F0B6E}"/>
    <cellStyle name="Normal 5 2 2 3 3 4 3" xfId="6032" xr:uid="{00000000-0005-0000-0000-0000CB170000}"/>
    <cellStyle name="Normal 5 2 2 3 3 4 3 2" xfId="14482" xr:uid="{B97F2DD2-BCB6-471F-B674-C923AC1B578F}"/>
    <cellStyle name="Normal 5 2 2 3 3 4 4" xfId="10264" xr:uid="{3C478141-EE2A-4695-BABF-D0D22FC076B8}"/>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2 2 2" xfId="17040" xr:uid="{8DDDB3B4-6DF5-40C7-B436-247D184E5B9D}"/>
    <cellStyle name="Normal 5 2 2 3 3 5 2 3" xfId="12822" xr:uid="{82AFF970-E5F7-438A-A5D5-FF6442DF6C7D}"/>
    <cellStyle name="Normal 5 2 2 3 3 5 3" xfId="6445" xr:uid="{00000000-0005-0000-0000-0000CF170000}"/>
    <cellStyle name="Normal 5 2 2 3 3 5 3 2" xfId="14895" xr:uid="{728727C3-02A5-42F2-912B-A127B45CB439}"/>
    <cellStyle name="Normal 5 2 2 3 3 5 4" xfId="10677" xr:uid="{D27B7D80-B953-4350-9CA8-493B7F5D056F}"/>
    <cellStyle name="Normal 5 2 2 3 3 6" xfId="2575" xr:uid="{00000000-0005-0000-0000-0000D0170000}"/>
    <cellStyle name="Normal 5 2 2 3 3 6 2" xfId="6858" xr:uid="{00000000-0005-0000-0000-0000D1170000}"/>
    <cellStyle name="Normal 5 2 2 3 3 6 2 2" xfId="15308" xr:uid="{655A43AB-5B65-4C75-BC73-D7B4FB553892}"/>
    <cellStyle name="Normal 5 2 2 3 3 6 3" xfId="11090" xr:uid="{FA234972-F4A8-46A6-B74B-608E28477BA5}"/>
    <cellStyle name="Normal 5 2 2 3 3 7" xfId="4793" xr:uid="{00000000-0005-0000-0000-0000D2170000}"/>
    <cellStyle name="Normal 5 2 2 3 3 7 2" xfId="13243" xr:uid="{185E89AB-B360-4B05-BF80-DD747E3940AE}"/>
    <cellStyle name="Normal 5 2 2 3 3 8" xfId="9025" xr:uid="{84C6EE05-D8EA-4F16-BD80-A838CF88940A}"/>
    <cellStyle name="Normal 5 2 2 3 4" xfId="891" xr:uid="{00000000-0005-0000-0000-0000D3170000}"/>
    <cellStyle name="Normal 5 2 2 3 4 2" xfId="3126" xr:uid="{00000000-0005-0000-0000-0000D4170000}"/>
    <cellStyle name="Normal 5 2 2 3 4 2 2" xfId="7348" xr:uid="{00000000-0005-0000-0000-0000D5170000}"/>
    <cellStyle name="Normal 5 2 2 3 4 2 2 2" xfId="15798" xr:uid="{049F5CC9-3A5A-4B63-8FA0-FE52A9DE30F5}"/>
    <cellStyle name="Normal 5 2 2 3 4 2 3" xfId="11580" xr:uid="{C86B8023-6D4E-4F7C-AC02-84B1F45A6D30}"/>
    <cellStyle name="Normal 5 2 2 3 4 3" xfId="5203" xr:uid="{00000000-0005-0000-0000-0000D6170000}"/>
    <cellStyle name="Normal 5 2 2 3 4 3 2" xfId="13653" xr:uid="{7251AE05-2A6E-4B4C-9E10-48F48E74EDFC}"/>
    <cellStyle name="Normal 5 2 2 3 4 4" xfId="9435" xr:uid="{C3FC817C-E5AF-4948-80E8-B2BD801E2EC3}"/>
    <cellStyle name="Normal 5 2 2 3 5" xfId="1309" xr:uid="{00000000-0005-0000-0000-0000D7170000}"/>
    <cellStyle name="Normal 5 2 2 3 5 2" xfId="3539" xr:uid="{00000000-0005-0000-0000-0000D8170000}"/>
    <cellStyle name="Normal 5 2 2 3 5 2 2" xfId="7761" xr:uid="{00000000-0005-0000-0000-0000D9170000}"/>
    <cellStyle name="Normal 5 2 2 3 5 2 2 2" xfId="16211" xr:uid="{E482E888-A6B7-4150-9C13-497569F066AF}"/>
    <cellStyle name="Normal 5 2 2 3 5 2 3" xfId="11993" xr:uid="{AC5E1E60-6F75-4E99-9D24-CDDAFED637FB}"/>
    <cellStyle name="Normal 5 2 2 3 5 3" xfId="5616" xr:uid="{00000000-0005-0000-0000-0000DA170000}"/>
    <cellStyle name="Normal 5 2 2 3 5 3 2" xfId="14066" xr:uid="{012A58BD-C6A6-42C3-9986-62175CB35306}"/>
    <cellStyle name="Normal 5 2 2 3 5 4" xfId="9848" xr:uid="{442A6795-5834-4A9D-95A2-19EAC5CF1F20}"/>
    <cellStyle name="Normal 5 2 2 3 6" xfId="1722" xr:uid="{00000000-0005-0000-0000-0000DB170000}"/>
    <cellStyle name="Normal 5 2 2 3 6 2" xfId="3952" xr:uid="{00000000-0005-0000-0000-0000DC170000}"/>
    <cellStyle name="Normal 5 2 2 3 6 2 2" xfId="8174" xr:uid="{00000000-0005-0000-0000-0000DD170000}"/>
    <cellStyle name="Normal 5 2 2 3 6 2 2 2" xfId="16624" xr:uid="{F2CABECE-6BD0-4579-9EA9-1EB09105CEBA}"/>
    <cellStyle name="Normal 5 2 2 3 6 2 3" xfId="12406" xr:uid="{7AEEC5DE-BF55-466F-8023-3E0317474A00}"/>
    <cellStyle name="Normal 5 2 2 3 6 3" xfId="6029" xr:uid="{00000000-0005-0000-0000-0000DE170000}"/>
    <cellStyle name="Normal 5 2 2 3 6 3 2" xfId="14479" xr:uid="{27A10B53-369D-40FF-AA85-E52CF40E29B3}"/>
    <cellStyle name="Normal 5 2 2 3 6 4" xfId="10261" xr:uid="{06C053E0-1EAC-480C-BD08-7DD1830B9959}"/>
    <cellStyle name="Normal 5 2 2 3 7" xfId="2136" xr:uid="{00000000-0005-0000-0000-0000DF170000}"/>
    <cellStyle name="Normal 5 2 2 3 7 2" xfId="4365" xr:uid="{00000000-0005-0000-0000-0000E0170000}"/>
    <cellStyle name="Normal 5 2 2 3 7 2 2" xfId="8587" xr:uid="{00000000-0005-0000-0000-0000E1170000}"/>
    <cellStyle name="Normal 5 2 2 3 7 2 2 2" xfId="17037" xr:uid="{74F3882D-23A9-4693-B99D-938A11B67C23}"/>
    <cellStyle name="Normal 5 2 2 3 7 2 3" xfId="12819" xr:uid="{26FF35EA-280E-4E3B-BF9D-A948D5C3E2C0}"/>
    <cellStyle name="Normal 5 2 2 3 7 3" xfId="6442" xr:uid="{00000000-0005-0000-0000-0000E2170000}"/>
    <cellStyle name="Normal 5 2 2 3 7 3 2" xfId="14892" xr:uid="{A26BF63D-D0C9-4356-A4E3-BE6CAA2E0CD7}"/>
    <cellStyle name="Normal 5 2 2 3 7 4" xfId="10674" xr:uid="{4BA0CB9B-44F6-4C7E-8E5D-23DB42E81279}"/>
    <cellStyle name="Normal 5 2 2 3 8" xfId="2572" xr:uid="{00000000-0005-0000-0000-0000E3170000}"/>
    <cellStyle name="Normal 5 2 2 3 8 2" xfId="6855" xr:uid="{00000000-0005-0000-0000-0000E4170000}"/>
    <cellStyle name="Normal 5 2 2 3 8 2 2" xfId="15305" xr:uid="{53BCF0B4-0587-464C-94ED-AFC076A59BBC}"/>
    <cellStyle name="Normal 5 2 2 3 8 3" xfId="11087" xr:uid="{F700A589-C4CC-4E53-91A3-1D54FA6DF7EC}"/>
    <cellStyle name="Normal 5 2 2 3 9" xfId="4790" xr:uid="{00000000-0005-0000-0000-0000E5170000}"/>
    <cellStyle name="Normal 5 2 2 3 9 2" xfId="13240" xr:uid="{DB988095-BEF6-43BA-9CE9-71E1C889C99E}"/>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2 2 2" xfId="15803" xr:uid="{DE7B3629-EB2E-4ACE-929A-C0EEEFE513F0}"/>
    <cellStyle name="Normal 5 2 2 4 2 2 2 3" xfId="11585" xr:uid="{09BB35AE-6D84-4DA6-9874-F4B8BDF39C3F}"/>
    <cellStyle name="Normal 5 2 2 4 2 2 3" xfId="5208" xr:uid="{00000000-0005-0000-0000-0000EB170000}"/>
    <cellStyle name="Normal 5 2 2 4 2 2 3 2" xfId="13658" xr:uid="{FAB48DAA-67F3-4B4D-89D6-14F276414509}"/>
    <cellStyle name="Normal 5 2 2 4 2 2 4" xfId="9440" xr:uid="{9FD3D535-FC35-4853-A456-F5180BB005C4}"/>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2 2 2" xfId="16216" xr:uid="{EFDF551B-BB46-477D-89CD-987E29FACE0A}"/>
    <cellStyle name="Normal 5 2 2 4 2 3 2 3" xfId="11998" xr:uid="{37C5D390-6EA8-4C59-A133-A420F1DF5441}"/>
    <cellStyle name="Normal 5 2 2 4 2 3 3" xfId="5621" xr:uid="{00000000-0005-0000-0000-0000EF170000}"/>
    <cellStyle name="Normal 5 2 2 4 2 3 3 2" xfId="14071" xr:uid="{83599F0F-167E-4378-812E-9B0FE725501C}"/>
    <cellStyle name="Normal 5 2 2 4 2 3 4" xfId="9853" xr:uid="{1E4C786B-EE35-472E-8DE9-D71791DE4B64}"/>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2 2 2" xfId="16629" xr:uid="{D358926B-B4B1-4619-9B65-F524D81EF1CE}"/>
    <cellStyle name="Normal 5 2 2 4 2 4 2 3" xfId="12411" xr:uid="{452C34F6-E5A6-4FDA-8D19-77AA8668F8AD}"/>
    <cellStyle name="Normal 5 2 2 4 2 4 3" xfId="6034" xr:uid="{00000000-0005-0000-0000-0000F3170000}"/>
    <cellStyle name="Normal 5 2 2 4 2 4 3 2" xfId="14484" xr:uid="{06744344-6651-4BDF-81DB-A2D502311B81}"/>
    <cellStyle name="Normal 5 2 2 4 2 4 4" xfId="10266" xr:uid="{25F293DB-37BC-49A3-962D-ED0A7F7BBF9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2 2 2" xfId="17042" xr:uid="{977E396F-EB3E-4BC3-9F9D-168106A56680}"/>
    <cellStyle name="Normal 5 2 2 4 2 5 2 3" xfId="12824" xr:uid="{B2DB51F2-F93A-4716-AD1F-C95FF4616FFB}"/>
    <cellStyle name="Normal 5 2 2 4 2 5 3" xfId="6447" xr:uid="{00000000-0005-0000-0000-0000F7170000}"/>
    <cellStyle name="Normal 5 2 2 4 2 5 3 2" xfId="14897" xr:uid="{51F72BCA-8006-4014-B41E-1C4B2734163D}"/>
    <cellStyle name="Normal 5 2 2 4 2 5 4" xfId="10679" xr:uid="{1EA01EF0-DF9F-4915-8181-4821A5EFC7C5}"/>
    <cellStyle name="Normal 5 2 2 4 2 6" xfId="2577" xr:uid="{00000000-0005-0000-0000-0000F8170000}"/>
    <cellStyle name="Normal 5 2 2 4 2 6 2" xfId="6860" xr:uid="{00000000-0005-0000-0000-0000F9170000}"/>
    <cellStyle name="Normal 5 2 2 4 2 6 2 2" xfId="15310" xr:uid="{1FE36AF6-FB01-4AC6-9420-83F62512F778}"/>
    <cellStyle name="Normal 5 2 2 4 2 6 3" xfId="11092" xr:uid="{45FECF6C-9375-431A-8CE0-EF3FA2E327CC}"/>
    <cellStyle name="Normal 5 2 2 4 2 7" xfId="4795" xr:uid="{00000000-0005-0000-0000-0000FA170000}"/>
    <cellStyle name="Normal 5 2 2 4 2 7 2" xfId="13245" xr:uid="{23D9ED0D-04EF-489F-BE80-82E365A37792}"/>
    <cellStyle name="Normal 5 2 2 4 2 8" xfId="9027" xr:uid="{05B3C471-1E80-4954-940B-5300E6BE19FD}"/>
    <cellStyle name="Normal 5 2 2 4 3" xfId="895" xr:uid="{00000000-0005-0000-0000-0000FB170000}"/>
    <cellStyle name="Normal 5 2 2 4 3 2" xfId="3130" xr:uid="{00000000-0005-0000-0000-0000FC170000}"/>
    <cellStyle name="Normal 5 2 2 4 3 2 2" xfId="7352" xr:uid="{00000000-0005-0000-0000-0000FD170000}"/>
    <cellStyle name="Normal 5 2 2 4 3 2 2 2" xfId="15802" xr:uid="{E94F1A7F-0A0C-40CC-BD14-E8A1096CB019}"/>
    <cellStyle name="Normal 5 2 2 4 3 2 3" xfId="11584" xr:uid="{AD56DDC3-12BF-42E6-A492-5ACB502798F4}"/>
    <cellStyle name="Normal 5 2 2 4 3 3" xfId="5207" xr:uid="{00000000-0005-0000-0000-0000FE170000}"/>
    <cellStyle name="Normal 5 2 2 4 3 3 2" xfId="13657" xr:uid="{E13EA88E-F64B-4A98-97D9-96F317DEEF56}"/>
    <cellStyle name="Normal 5 2 2 4 3 4" xfId="9439" xr:uid="{19A9BD19-5D69-4B12-93F0-0E59A5502B98}"/>
    <cellStyle name="Normal 5 2 2 4 4" xfId="1313" xr:uid="{00000000-0005-0000-0000-0000FF170000}"/>
    <cellStyle name="Normal 5 2 2 4 4 2" xfId="3543" xr:uid="{00000000-0005-0000-0000-000000180000}"/>
    <cellStyle name="Normal 5 2 2 4 4 2 2" xfId="7765" xr:uid="{00000000-0005-0000-0000-000001180000}"/>
    <cellStyle name="Normal 5 2 2 4 4 2 2 2" xfId="16215" xr:uid="{14A40C99-AA9A-4E9E-820D-9362D0112D1A}"/>
    <cellStyle name="Normal 5 2 2 4 4 2 3" xfId="11997" xr:uid="{D08B27CC-7CF0-492A-9F86-4F0CA5D04E1F}"/>
    <cellStyle name="Normal 5 2 2 4 4 3" xfId="5620" xr:uid="{00000000-0005-0000-0000-000002180000}"/>
    <cellStyle name="Normal 5 2 2 4 4 3 2" xfId="14070" xr:uid="{F0BDB568-9381-4AB3-AEE5-71121DFAFD20}"/>
    <cellStyle name="Normal 5 2 2 4 4 4" xfId="9852" xr:uid="{E6640D32-DCEF-42DB-AFAD-8019F9C6832A}"/>
    <cellStyle name="Normal 5 2 2 4 5" xfId="1726" xr:uid="{00000000-0005-0000-0000-000003180000}"/>
    <cellStyle name="Normal 5 2 2 4 5 2" xfId="3956" xr:uid="{00000000-0005-0000-0000-000004180000}"/>
    <cellStyle name="Normal 5 2 2 4 5 2 2" xfId="8178" xr:uid="{00000000-0005-0000-0000-000005180000}"/>
    <cellStyle name="Normal 5 2 2 4 5 2 2 2" xfId="16628" xr:uid="{581BEE7B-8169-40D8-99AE-2074168F72D8}"/>
    <cellStyle name="Normal 5 2 2 4 5 2 3" xfId="12410" xr:uid="{58A29406-70AC-48B3-B537-31562F44576B}"/>
    <cellStyle name="Normal 5 2 2 4 5 3" xfId="6033" xr:uid="{00000000-0005-0000-0000-000006180000}"/>
    <cellStyle name="Normal 5 2 2 4 5 3 2" xfId="14483" xr:uid="{CC75AF4D-6418-4536-B190-70D249C8E2C8}"/>
    <cellStyle name="Normal 5 2 2 4 5 4" xfId="10265" xr:uid="{F6452083-6695-4588-BF66-B25056B07FC7}"/>
    <cellStyle name="Normal 5 2 2 4 6" xfId="2140" xr:uid="{00000000-0005-0000-0000-000007180000}"/>
    <cellStyle name="Normal 5 2 2 4 6 2" xfId="4369" xr:uid="{00000000-0005-0000-0000-000008180000}"/>
    <cellStyle name="Normal 5 2 2 4 6 2 2" xfId="8591" xr:uid="{00000000-0005-0000-0000-000009180000}"/>
    <cellStyle name="Normal 5 2 2 4 6 2 2 2" xfId="17041" xr:uid="{8267AA2E-7029-4735-BDEA-A09187954B64}"/>
    <cellStyle name="Normal 5 2 2 4 6 2 3" xfId="12823" xr:uid="{A22908C1-D2A4-44E3-9134-44FD6CE69026}"/>
    <cellStyle name="Normal 5 2 2 4 6 3" xfId="6446" xr:uid="{00000000-0005-0000-0000-00000A180000}"/>
    <cellStyle name="Normal 5 2 2 4 6 3 2" xfId="14896" xr:uid="{A197C690-D0CD-4493-A2B4-FD736F8A15A6}"/>
    <cellStyle name="Normal 5 2 2 4 6 4" xfId="10678" xr:uid="{9C023652-0412-400C-85B1-33CDFE4CADD4}"/>
    <cellStyle name="Normal 5 2 2 4 7" xfId="2576" xr:uid="{00000000-0005-0000-0000-00000B180000}"/>
    <cellStyle name="Normal 5 2 2 4 7 2" xfId="6859" xr:uid="{00000000-0005-0000-0000-00000C180000}"/>
    <cellStyle name="Normal 5 2 2 4 7 2 2" xfId="15309" xr:uid="{66A82FD3-88AE-4C52-88EA-081941B00BB2}"/>
    <cellStyle name="Normal 5 2 2 4 7 3" xfId="11091" xr:uid="{C15CE2A4-48BD-4116-9066-EE5AFF8DF584}"/>
    <cellStyle name="Normal 5 2 2 4 8" xfId="4794" xr:uid="{00000000-0005-0000-0000-00000D180000}"/>
    <cellStyle name="Normal 5 2 2 4 8 2" xfId="13244" xr:uid="{3E0AED43-FB94-4FF7-A9E3-D834515BF634}"/>
    <cellStyle name="Normal 5 2 2 4 9" xfId="9026" xr:uid="{827EE6D8-6139-4EAB-AA48-B927C1987393}"/>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2 2 2" xfId="15804" xr:uid="{CA54985C-7457-48CF-9E60-93CF464845D1}"/>
    <cellStyle name="Normal 5 2 2 5 2 2 3" xfId="11586" xr:uid="{C577791E-3A49-4848-86A1-BBB2392382AC}"/>
    <cellStyle name="Normal 5 2 2 5 2 3" xfId="5209" xr:uid="{00000000-0005-0000-0000-000012180000}"/>
    <cellStyle name="Normal 5 2 2 5 2 3 2" xfId="13659" xr:uid="{5D97E147-AF70-4490-8068-E3538328DCED}"/>
    <cellStyle name="Normal 5 2 2 5 2 4" xfId="9441" xr:uid="{19B86F12-9599-4D1C-857A-3947638C0A20}"/>
    <cellStyle name="Normal 5 2 2 5 3" xfId="1315" xr:uid="{00000000-0005-0000-0000-000013180000}"/>
    <cellStyle name="Normal 5 2 2 5 3 2" xfId="3545" xr:uid="{00000000-0005-0000-0000-000014180000}"/>
    <cellStyle name="Normal 5 2 2 5 3 2 2" xfId="7767" xr:uid="{00000000-0005-0000-0000-000015180000}"/>
    <cellStyle name="Normal 5 2 2 5 3 2 2 2" xfId="16217" xr:uid="{0DA6448A-D850-4FB5-B1F7-ABB0089CD7B3}"/>
    <cellStyle name="Normal 5 2 2 5 3 2 3" xfId="11999" xr:uid="{B93B817B-9B2E-4156-902F-E6FAC25ED652}"/>
    <cellStyle name="Normal 5 2 2 5 3 3" xfId="5622" xr:uid="{00000000-0005-0000-0000-000016180000}"/>
    <cellStyle name="Normal 5 2 2 5 3 3 2" xfId="14072" xr:uid="{02AE2215-DD81-4FC2-8B26-41DC3EBA95EC}"/>
    <cellStyle name="Normal 5 2 2 5 3 4" xfId="9854" xr:uid="{A1F3E8C8-E4CF-4010-B8BE-9908217A7C47}"/>
    <cellStyle name="Normal 5 2 2 5 4" xfId="1728" xr:uid="{00000000-0005-0000-0000-000017180000}"/>
    <cellStyle name="Normal 5 2 2 5 4 2" xfId="3958" xr:uid="{00000000-0005-0000-0000-000018180000}"/>
    <cellStyle name="Normal 5 2 2 5 4 2 2" xfId="8180" xr:uid="{00000000-0005-0000-0000-000019180000}"/>
    <cellStyle name="Normal 5 2 2 5 4 2 2 2" xfId="16630" xr:uid="{AD36CD87-95EF-40AD-8A2A-49D9BF5D64FE}"/>
    <cellStyle name="Normal 5 2 2 5 4 2 3" xfId="12412" xr:uid="{43FDC818-3D46-4139-A44B-CBA47C0FC0C9}"/>
    <cellStyle name="Normal 5 2 2 5 4 3" xfId="6035" xr:uid="{00000000-0005-0000-0000-00001A180000}"/>
    <cellStyle name="Normal 5 2 2 5 4 3 2" xfId="14485" xr:uid="{5F8C50CA-A4ED-4AF9-A39C-724F85F908A9}"/>
    <cellStyle name="Normal 5 2 2 5 4 4" xfId="10267" xr:uid="{0AF3DF09-FB4C-4949-8B0E-0E08A3ECC065}"/>
    <cellStyle name="Normal 5 2 2 5 5" xfId="2142" xr:uid="{00000000-0005-0000-0000-00001B180000}"/>
    <cellStyle name="Normal 5 2 2 5 5 2" xfId="4371" xr:uid="{00000000-0005-0000-0000-00001C180000}"/>
    <cellStyle name="Normal 5 2 2 5 5 2 2" xfId="8593" xr:uid="{00000000-0005-0000-0000-00001D180000}"/>
    <cellStyle name="Normal 5 2 2 5 5 2 2 2" xfId="17043" xr:uid="{DB1AFA0C-EC6B-40DF-9610-AEA93D60C1A3}"/>
    <cellStyle name="Normal 5 2 2 5 5 2 3" xfId="12825" xr:uid="{4FCCBA1C-39AE-4D51-93F0-104A1F4E9F4D}"/>
    <cellStyle name="Normal 5 2 2 5 5 3" xfId="6448" xr:uid="{00000000-0005-0000-0000-00001E180000}"/>
    <cellStyle name="Normal 5 2 2 5 5 3 2" xfId="14898" xr:uid="{AF3A7377-19F0-4A1C-98D4-5E50AD1C5AC3}"/>
    <cellStyle name="Normal 5 2 2 5 5 4" xfId="10680" xr:uid="{C70F065C-FD54-431A-902B-D03786643CA6}"/>
    <cellStyle name="Normal 5 2 2 5 6" xfId="2578" xr:uid="{00000000-0005-0000-0000-00001F180000}"/>
    <cellStyle name="Normal 5 2 2 5 6 2" xfId="6861" xr:uid="{00000000-0005-0000-0000-000020180000}"/>
    <cellStyle name="Normal 5 2 2 5 6 2 2" xfId="15311" xr:uid="{CD719096-89F1-4E03-B70E-B9920F8214E2}"/>
    <cellStyle name="Normal 5 2 2 5 6 3" xfId="11093" xr:uid="{DAD769ED-7110-4D49-BB88-FCD7E0042818}"/>
    <cellStyle name="Normal 5 2 2 5 7" xfId="4796" xr:uid="{00000000-0005-0000-0000-000021180000}"/>
    <cellStyle name="Normal 5 2 2 5 7 2" xfId="13246" xr:uid="{22B3D28D-F2DB-4F46-A76C-2D6B6F7457A1}"/>
    <cellStyle name="Normal 5 2 2 5 8" xfId="9028" xr:uid="{04407F44-96D4-45F3-B992-CEA1EBACAFFF}"/>
    <cellStyle name="Normal 5 2 2 6" xfId="882" xr:uid="{00000000-0005-0000-0000-000022180000}"/>
    <cellStyle name="Normal 5 2 2 6 2" xfId="3117" xr:uid="{00000000-0005-0000-0000-000023180000}"/>
    <cellStyle name="Normal 5 2 2 6 2 2" xfId="7339" xr:uid="{00000000-0005-0000-0000-000024180000}"/>
    <cellStyle name="Normal 5 2 2 6 2 2 2" xfId="15789" xr:uid="{A52AD445-B29D-4DB7-8FFF-49BD855704E2}"/>
    <cellStyle name="Normal 5 2 2 6 2 3" xfId="11571" xr:uid="{51CCE01B-A9B8-4E9F-BBDC-1DD004F58D9E}"/>
    <cellStyle name="Normal 5 2 2 6 3" xfId="5194" xr:uid="{00000000-0005-0000-0000-000025180000}"/>
    <cellStyle name="Normal 5 2 2 6 3 2" xfId="13644" xr:uid="{6F26D126-AD8E-4E15-BB41-6BEC59971B5E}"/>
    <cellStyle name="Normal 5 2 2 6 4" xfId="9426" xr:uid="{3026CA41-F801-4624-AF3F-31DD0F53B27E}"/>
    <cellStyle name="Normal 5 2 2 7" xfId="1300" xr:uid="{00000000-0005-0000-0000-000026180000}"/>
    <cellStyle name="Normal 5 2 2 7 2" xfId="3530" xr:uid="{00000000-0005-0000-0000-000027180000}"/>
    <cellStyle name="Normal 5 2 2 7 2 2" xfId="7752" xr:uid="{00000000-0005-0000-0000-000028180000}"/>
    <cellStyle name="Normal 5 2 2 7 2 2 2" xfId="16202" xr:uid="{2F252340-6789-4608-9194-126F19E2A6F8}"/>
    <cellStyle name="Normal 5 2 2 7 2 3" xfId="11984" xr:uid="{8CB18B28-2CCF-4C71-A845-43D64BE49C33}"/>
    <cellStyle name="Normal 5 2 2 7 3" xfId="5607" xr:uid="{00000000-0005-0000-0000-000029180000}"/>
    <cellStyle name="Normal 5 2 2 7 3 2" xfId="14057" xr:uid="{3C791B0F-60F6-4B6A-A6A6-C21DAD15EF1E}"/>
    <cellStyle name="Normal 5 2 2 7 4" xfId="9839" xr:uid="{F926223F-A4B3-40B6-8BA8-EF15ED59CF69}"/>
    <cellStyle name="Normal 5 2 2 8" xfId="1713" xr:uid="{00000000-0005-0000-0000-00002A180000}"/>
    <cellStyle name="Normal 5 2 2 8 2" xfId="3943" xr:uid="{00000000-0005-0000-0000-00002B180000}"/>
    <cellStyle name="Normal 5 2 2 8 2 2" xfId="8165" xr:uid="{00000000-0005-0000-0000-00002C180000}"/>
    <cellStyle name="Normal 5 2 2 8 2 2 2" xfId="16615" xr:uid="{83A044F4-AEEF-4339-912D-364F10F75B88}"/>
    <cellStyle name="Normal 5 2 2 8 2 3" xfId="12397" xr:uid="{9E412487-266C-42AE-BBA6-FB06726EDF94}"/>
    <cellStyle name="Normal 5 2 2 8 3" xfId="6020" xr:uid="{00000000-0005-0000-0000-00002D180000}"/>
    <cellStyle name="Normal 5 2 2 8 3 2" xfId="14470" xr:uid="{D94F651A-0E66-4DC2-A335-57458FA5C379}"/>
    <cellStyle name="Normal 5 2 2 8 4" xfId="10252" xr:uid="{73414DA4-C7F2-4F66-B0F7-3BAE56F35F36}"/>
    <cellStyle name="Normal 5 2 2 9" xfId="2127" xr:uid="{00000000-0005-0000-0000-00002E180000}"/>
    <cellStyle name="Normal 5 2 2 9 2" xfId="4356" xr:uid="{00000000-0005-0000-0000-00002F180000}"/>
    <cellStyle name="Normal 5 2 2 9 2 2" xfId="8578" xr:uid="{00000000-0005-0000-0000-000030180000}"/>
    <cellStyle name="Normal 5 2 2 9 2 2 2" xfId="17028" xr:uid="{D81D5BD0-6F48-4730-918E-1F68233ABC4E}"/>
    <cellStyle name="Normal 5 2 2 9 2 3" xfId="12810" xr:uid="{41996F61-5FD4-4294-B8FE-A4D00EF1BC5D}"/>
    <cellStyle name="Normal 5 2 2 9 3" xfId="6433" xr:uid="{00000000-0005-0000-0000-000031180000}"/>
    <cellStyle name="Normal 5 2 2 9 3 2" xfId="14883" xr:uid="{8C8426C3-2AD0-4413-A6A2-7881B1DE32F2}"/>
    <cellStyle name="Normal 5 2 2 9 4" xfId="10665" xr:uid="{6803C280-6103-4614-B803-F65D5690EA2F}"/>
    <cellStyle name="Normal 5 2 3" xfId="424" xr:uid="{00000000-0005-0000-0000-000032180000}"/>
    <cellStyle name="Normal 5 2 3 10" xfId="4797" xr:uid="{00000000-0005-0000-0000-000033180000}"/>
    <cellStyle name="Normal 5 2 3 10 2" xfId="13247" xr:uid="{A9EBB225-FD15-4CAF-B9F4-136B143E37EB}"/>
    <cellStyle name="Normal 5 2 3 11" xfId="9029" xr:uid="{62CFBC0C-F18B-461D-8C00-47C5BC3C4A69}"/>
    <cellStyle name="Normal 5 2 3 2" xfId="425" xr:uid="{00000000-0005-0000-0000-000034180000}"/>
    <cellStyle name="Normal 5 2 3 2 10" xfId="9030" xr:uid="{0BD56E16-127B-4AD3-900F-AA46018A5A29}"/>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2 2 2" xfId="15808" xr:uid="{3B7D1C92-8131-421C-9AD3-77B2BF620819}"/>
    <cellStyle name="Normal 5 2 3 2 2 2 2 2 3" xfId="11590" xr:uid="{B0383431-90E8-4E8B-8314-7339BBF4B51A}"/>
    <cellStyle name="Normal 5 2 3 2 2 2 2 3" xfId="5213" xr:uid="{00000000-0005-0000-0000-00003A180000}"/>
    <cellStyle name="Normal 5 2 3 2 2 2 2 3 2" xfId="13663" xr:uid="{47756C8F-340F-4BE2-9417-C3273ABA11A7}"/>
    <cellStyle name="Normal 5 2 3 2 2 2 2 4" xfId="9445" xr:uid="{B013CBF2-BDC8-4E9D-9990-5559B2C3C896}"/>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2 2 2" xfId="16221" xr:uid="{92B52225-83F7-497E-A671-C24651530130}"/>
    <cellStyle name="Normal 5 2 3 2 2 2 3 2 3" xfId="12003" xr:uid="{B636D29A-78B2-47AD-B672-806EFC3BC80E}"/>
    <cellStyle name="Normal 5 2 3 2 2 2 3 3" xfId="5626" xr:uid="{00000000-0005-0000-0000-00003E180000}"/>
    <cellStyle name="Normal 5 2 3 2 2 2 3 3 2" xfId="14076" xr:uid="{C5634486-26D2-478E-8844-EA051D61862A}"/>
    <cellStyle name="Normal 5 2 3 2 2 2 3 4" xfId="9858" xr:uid="{E667C5E5-6D94-4197-81C2-C19D65638C98}"/>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2 2 2" xfId="16634" xr:uid="{567B913D-2190-41E6-992A-1FA1720D22E1}"/>
    <cellStyle name="Normal 5 2 3 2 2 2 4 2 3" xfId="12416" xr:uid="{3F3B1873-8930-4527-8F63-9DF640D39F19}"/>
    <cellStyle name="Normal 5 2 3 2 2 2 4 3" xfId="6039" xr:uid="{00000000-0005-0000-0000-000042180000}"/>
    <cellStyle name="Normal 5 2 3 2 2 2 4 3 2" xfId="14489" xr:uid="{B2B542D1-FBCD-4AF1-805A-30FC6DB38F26}"/>
    <cellStyle name="Normal 5 2 3 2 2 2 4 4" xfId="10271" xr:uid="{7C870FAB-70E2-4699-BEDC-A57A65C364E8}"/>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2 2 2" xfId="17047" xr:uid="{90DE11DF-FF16-4979-A985-33FFA4258BFB}"/>
    <cellStyle name="Normal 5 2 3 2 2 2 5 2 3" xfId="12829" xr:uid="{2B686F4D-8F52-43A1-9A2C-32788CFD4E23}"/>
    <cellStyle name="Normal 5 2 3 2 2 2 5 3" xfId="6452" xr:uid="{00000000-0005-0000-0000-000046180000}"/>
    <cellStyle name="Normal 5 2 3 2 2 2 5 3 2" xfId="14902" xr:uid="{F313A145-B378-458B-91B1-668B1660239A}"/>
    <cellStyle name="Normal 5 2 3 2 2 2 5 4" xfId="10684" xr:uid="{EC509119-5AE7-472C-A1ED-2BEF78E18DAE}"/>
    <cellStyle name="Normal 5 2 3 2 2 2 6" xfId="2582" xr:uid="{00000000-0005-0000-0000-000047180000}"/>
    <cellStyle name="Normal 5 2 3 2 2 2 6 2" xfId="6865" xr:uid="{00000000-0005-0000-0000-000048180000}"/>
    <cellStyle name="Normal 5 2 3 2 2 2 6 2 2" xfId="15315" xr:uid="{269D3F52-06A4-4835-BF11-97D962C62112}"/>
    <cellStyle name="Normal 5 2 3 2 2 2 6 3" xfId="11097" xr:uid="{61190AB0-9BFA-4EB1-9654-F03E78083660}"/>
    <cellStyle name="Normal 5 2 3 2 2 2 7" xfId="4800" xr:uid="{00000000-0005-0000-0000-000049180000}"/>
    <cellStyle name="Normal 5 2 3 2 2 2 7 2" xfId="13250" xr:uid="{0576C971-17E5-4D10-9D66-047272D0CBA8}"/>
    <cellStyle name="Normal 5 2 3 2 2 2 8" xfId="9032" xr:uid="{28AF1165-5C93-4454-A8F2-5DC5B2645219}"/>
    <cellStyle name="Normal 5 2 3 2 2 3" xfId="900" xr:uid="{00000000-0005-0000-0000-00004A180000}"/>
    <cellStyle name="Normal 5 2 3 2 2 3 2" xfId="3135" xr:uid="{00000000-0005-0000-0000-00004B180000}"/>
    <cellStyle name="Normal 5 2 3 2 2 3 2 2" xfId="7357" xr:uid="{00000000-0005-0000-0000-00004C180000}"/>
    <cellStyle name="Normal 5 2 3 2 2 3 2 2 2" xfId="15807" xr:uid="{24571121-AD9B-4ADB-B8A3-4F72222854D1}"/>
    <cellStyle name="Normal 5 2 3 2 2 3 2 3" xfId="11589" xr:uid="{A1ED629F-D2C5-48FC-AFE4-230ABA62E216}"/>
    <cellStyle name="Normal 5 2 3 2 2 3 3" xfId="5212" xr:uid="{00000000-0005-0000-0000-00004D180000}"/>
    <cellStyle name="Normal 5 2 3 2 2 3 3 2" xfId="13662" xr:uid="{2B2E4A88-30DC-4E22-92C7-D4BA3A3CFA36}"/>
    <cellStyle name="Normal 5 2 3 2 2 3 4" xfId="9444" xr:uid="{717370AE-CCFA-448E-BA01-65469B1C7844}"/>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2 2 2" xfId="16220" xr:uid="{F0EE6648-CA06-431A-8A66-E94A205EA7D9}"/>
    <cellStyle name="Normal 5 2 3 2 2 4 2 3" xfId="12002" xr:uid="{C9F58D66-5AB5-46C8-A7C3-5D55A9696A31}"/>
    <cellStyle name="Normal 5 2 3 2 2 4 3" xfId="5625" xr:uid="{00000000-0005-0000-0000-000051180000}"/>
    <cellStyle name="Normal 5 2 3 2 2 4 3 2" xfId="14075" xr:uid="{5084C51E-0013-460D-B7E7-97DA123063FB}"/>
    <cellStyle name="Normal 5 2 3 2 2 4 4" xfId="9857" xr:uid="{CF30AD99-E0EB-48DA-BAA4-9530B3879FE3}"/>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2 2 2" xfId="16633" xr:uid="{39E23F03-092D-46F1-934C-881FA9B1881B}"/>
    <cellStyle name="Normal 5 2 3 2 2 5 2 3" xfId="12415" xr:uid="{6568F4FE-D61A-4AB0-AAEF-82EA3CFBFD7D}"/>
    <cellStyle name="Normal 5 2 3 2 2 5 3" xfId="6038" xr:uid="{00000000-0005-0000-0000-000055180000}"/>
    <cellStyle name="Normal 5 2 3 2 2 5 3 2" xfId="14488" xr:uid="{778740E6-90B4-4271-A15F-DBB0E117E880}"/>
    <cellStyle name="Normal 5 2 3 2 2 5 4" xfId="10270" xr:uid="{56928C69-F241-430D-98BF-EFE778C197B3}"/>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2 2 2" xfId="17046" xr:uid="{DC0C94DA-00F3-4672-A243-042D5F3B29C0}"/>
    <cellStyle name="Normal 5 2 3 2 2 6 2 3" xfId="12828" xr:uid="{8D1EAB79-5B7A-4823-95F5-C07ACE8AFCBD}"/>
    <cellStyle name="Normal 5 2 3 2 2 6 3" xfId="6451" xr:uid="{00000000-0005-0000-0000-000059180000}"/>
    <cellStyle name="Normal 5 2 3 2 2 6 3 2" xfId="14901" xr:uid="{B20C6708-B989-4A11-98D2-B5F05F31527C}"/>
    <cellStyle name="Normal 5 2 3 2 2 6 4" xfId="10683" xr:uid="{95498352-E50F-4E5A-AE2C-C97F2788ECAD}"/>
    <cellStyle name="Normal 5 2 3 2 2 7" xfId="2581" xr:uid="{00000000-0005-0000-0000-00005A180000}"/>
    <cellStyle name="Normal 5 2 3 2 2 7 2" xfId="6864" xr:uid="{00000000-0005-0000-0000-00005B180000}"/>
    <cellStyle name="Normal 5 2 3 2 2 7 2 2" xfId="15314" xr:uid="{ECA556BD-BFEE-41CB-9BFC-5E9FBC6E9399}"/>
    <cellStyle name="Normal 5 2 3 2 2 7 3" xfId="11096" xr:uid="{387E52A8-DDD5-4B1E-84F3-D6FB176AC5B1}"/>
    <cellStyle name="Normal 5 2 3 2 2 8" xfId="4799" xr:uid="{00000000-0005-0000-0000-00005C180000}"/>
    <cellStyle name="Normal 5 2 3 2 2 8 2" xfId="13249" xr:uid="{7039A679-DAD1-4C02-A69D-D9BB10465E7F}"/>
    <cellStyle name="Normal 5 2 3 2 2 9" xfId="9031" xr:uid="{F571929E-2F13-4A14-AA0E-5A28091D8DC8}"/>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2 2 2" xfId="15809" xr:uid="{8F04C1D1-BD69-480A-97C0-F60C1F41BF3C}"/>
    <cellStyle name="Normal 5 2 3 2 3 2 2 3" xfId="11591" xr:uid="{72BB9445-B11D-4A43-916E-F75F93EFE71A}"/>
    <cellStyle name="Normal 5 2 3 2 3 2 3" xfId="5214" xr:uid="{00000000-0005-0000-0000-000061180000}"/>
    <cellStyle name="Normal 5 2 3 2 3 2 3 2" xfId="13664" xr:uid="{A6778DDE-B994-41EB-9FF1-F7D6445EEF53}"/>
    <cellStyle name="Normal 5 2 3 2 3 2 4" xfId="9446" xr:uid="{E9285910-850E-416B-A538-A1D71D648A2C}"/>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2 2 2" xfId="16222" xr:uid="{5D4C95F4-DD45-4695-933F-D33BBC23EB5F}"/>
    <cellStyle name="Normal 5 2 3 2 3 3 2 3" xfId="12004" xr:uid="{C3D9E2AA-82C8-4B99-AA46-DA02CB7EC686}"/>
    <cellStyle name="Normal 5 2 3 2 3 3 3" xfId="5627" xr:uid="{00000000-0005-0000-0000-000065180000}"/>
    <cellStyle name="Normal 5 2 3 2 3 3 3 2" xfId="14077" xr:uid="{ACC2F3D2-5FB6-494A-8E4C-D76BA1AD4800}"/>
    <cellStyle name="Normal 5 2 3 2 3 3 4" xfId="9859" xr:uid="{E2913599-0DFE-4F02-9158-0C9B72390D53}"/>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2 2 2" xfId="16635" xr:uid="{AAE9E0D0-B838-4656-A602-A1BD8D6C9549}"/>
    <cellStyle name="Normal 5 2 3 2 3 4 2 3" xfId="12417" xr:uid="{D5A066DF-D76C-4E03-B6F9-FF0BC18E1983}"/>
    <cellStyle name="Normal 5 2 3 2 3 4 3" xfId="6040" xr:uid="{00000000-0005-0000-0000-000069180000}"/>
    <cellStyle name="Normal 5 2 3 2 3 4 3 2" xfId="14490" xr:uid="{CB045558-F1C8-488C-8346-5B9C28BF9CFA}"/>
    <cellStyle name="Normal 5 2 3 2 3 4 4" xfId="10272" xr:uid="{A6D8840A-56FF-468C-9D24-02BFFEE7565A}"/>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2 2 2" xfId="17048" xr:uid="{0254C33D-B1B7-45AA-8033-7715CD62FE62}"/>
    <cellStyle name="Normal 5 2 3 2 3 5 2 3" xfId="12830" xr:uid="{E6EE473A-18D3-4F29-8369-C0597E772B75}"/>
    <cellStyle name="Normal 5 2 3 2 3 5 3" xfId="6453" xr:uid="{00000000-0005-0000-0000-00006D180000}"/>
    <cellStyle name="Normal 5 2 3 2 3 5 3 2" xfId="14903" xr:uid="{4FD4BCD8-1F02-40F5-9C07-C1257B96A455}"/>
    <cellStyle name="Normal 5 2 3 2 3 5 4" xfId="10685" xr:uid="{A76FA9ED-A604-47BD-AA37-340EC0730450}"/>
    <cellStyle name="Normal 5 2 3 2 3 6" xfId="2583" xr:uid="{00000000-0005-0000-0000-00006E180000}"/>
    <cellStyle name="Normal 5 2 3 2 3 6 2" xfId="6866" xr:uid="{00000000-0005-0000-0000-00006F180000}"/>
    <cellStyle name="Normal 5 2 3 2 3 6 2 2" xfId="15316" xr:uid="{382A4DC7-750E-47B4-868C-B22EDACA1AAB}"/>
    <cellStyle name="Normal 5 2 3 2 3 6 3" xfId="11098" xr:uid="{A6EA7D03-F881-4DE0-BC9A-5F845184A064}"/>
    <cellStyle name="Normal 5 2 3 2 3 7" xfId="4801" xr:uid="{00000000-0005-0000-0000-000070180000}"/>
    <cellStyle name="Normal 5 2 3 2 3 7 2" xfId="13251" xr:uid="{A1D6F6C9-6205-4DA8-A16C-08AF63F9DB18}"/>
    <cellStyle name="Normal 5 2 3 2 3 8" xfId="9033" xr:uid="{59F832B6-D160-4F15-8CF9-34B2E523152E}"/>
    <cellStyle name="Normal 5 2 3 2 4" xfId="899" xr:uid="{00000000-0005-0000-0000-000071180000}"/>
    <cellStyle name="Normal 5 2 3 2 4 2" xfId="3134" xr:uid="{00000000-0005-0000-0000-000072180000}"/>
    <cellStyle name="Normal 5 2 3 2 4 2 2" xfId="7356" xr:uid="{00000000-0005-0000-0000-000073180000}"/>
    <cellStyle name="Normal 5 2 3 2 4 2 2 2" xfId="15806" xr:uid="{14B433C7-DC7B-410B-90D8-3B0424C16632}"/>
    <cellStyle name="Normal 5 2 3 2 4 2 3" xfId="11588" xr:uid="{680060C0-BF7C-4764-8858-CDD3FBC5C67D}"/>
    <cellStyle name="Normal 5 2 3 2 4 3" xfId="5211" xr:uid="{00000000-0005-0000-0000-000074180000}"/>
    <cellStyle name="Normal 5 2 3 2 4 3 2" xfId="13661" xr:uid="{A3025A39-7D7E-46EE-A413-AF90ED91E9DE}"/>
    <cellStyle name="Normal 5 2 3 2 4 4" xfId="9443" xr:uid="{C692E9AC-C752-4A61-A3F8-34006D474F83}"/>
    <cellStyle name="Normal 5 2 3 2 5" xfId="1317" xr:uid="{00000000-0005-0000-0000-000075180000}"/>
    <cellStyle name="Normal 5 2 3 2 5 2" xfId="3547" xr:uid="{00000000-0005-0000-0000-000076180000}"/>
    <cellStyle name="Normal 5 2 3 2 5 2 2" xfId="7769" xr:uid="{00000000-0005-0000-0000-000077180000}"/>
    <cellStyle name="Normal 5 2 3 2 5 2 2 2" xfId="16219" xr:uid="{9B56DF65-5249-4A28-B766-A5379A89C7A9}"/>
    <cellStyle name="Normal 5 2 3 2 5 2 3" xfId="12001" xr:uid="{ACEF4A47-4594-461F-8EFC-47EAD197FCF6}"/>
    <cellStyle name="Normal 5 2 3 2 5 3" xfId="5624" xr:uid="{00000000-0005-0000-0000-000078180000}"/>
    <cellStyle name="Normal 5 2 3 2 5 3 2" xfId="14074" xr:uid="{97A07F18-7FE8-4FF9-B1B6-FB1BA237176C}"/>
    <cellStyle name="Normal 5 2 3 2 5 4" xfId="9856" xr:uid="{6A490295-E2AF-4F1A-BA52-938D2F478F91}"/>
    <cellStyle name="Normal 5 2 3 2 6" xfId="1730" xr:uid="{00000000-0005-0000-0000-000079180000}"/>
    <cellStyle name="Normal 5 2 3 2 6 2" xfId="3960" xr:uid="{00000000-0005-0000-0000-00007A180000}"/>
    <cellStyle name="Normal 5 2 3 2 6 2 2" xfId="8182" xr:uid="{00000000-0005-0000-0000-00007B180000}"/>
    <cellStyle name="Normal 5 2 3 2 6 2 2 2" xfId="16632" xr:uid="{9E45B9E1-5FB0-4FF9-A397-4330DA30B9B7}"/>
    <cellStyle name="Normal 5 2 3 2 6 2 3" xfId="12414" xr:uid="{F99315D9-056F-4B6C-91E7-C603C51F8BFD}"/>
    <cellStyle name="Normal 5 2 3 2 6 3" xfId="6037" xr:uid="{00000000-0005-0000-0000-00007C180000}"/>
    <cellStyle name="Normal 5 2 3 2 6 3 2" xfId="14487" xr:uid="{0B337BAB-8B6E-4830-A422-8833388AAF9D}"/>
    <cellStyle name="Normal 5 2 3 2 6 4" xfId="10269" xr:uid="{23EDC086-25C2-404C-A9C0-C1F6DC0E13EA}"/>
    <cellStyle name="Normal 5 2 3 2 7" xfId="2144" xr:uid="{00000000-0005-0000-0000-00007D180000}"/>
    <cellStyle name="Normal 5 2 3 2 7 2" xfId="4373" xr:uid="{00000000-0005-0000-0000-00007E180000}"/>
    <cellStyle name="Normal 5 2 3 2 7 2 2" xfId="8595" xr:uid="{00000000-0005-0000-0000-00007F180000}"/>
    <cellStyle name="Normal 5 2 3 2 7 2 2 2" xfId="17045" xr:uid="{A0795832-2605-4B0B-ACDA-4BF82B521CA3}"/>
    <cellStyle name="Normal 5 2 3 2 7 2 3" xfId="12827" xr:uid="{C81D43A7-CA03-4CE4-8440-D3635779CE48}"/>
    <cellStyle name="Normal 5 2 3 2 7 3" xfId="6450" xr:uid="{00000000-0005-0000-0000-000080180000}"/>
    <cellStyle name="Normal 5 2 3 2 7 3 2" xfId="14900" xr:uid="{F807C588-1874-4770-9E29-22D75D28ED75}"/>
    <cellStyle name="Normal 5 2 3 2 7 4" xfId="10682" xr:uid="{250814D5-82E0-455D-96BB-DE2F0188FDDC}"/>
    <cellStyle name="Normal 5 2 3 2 8" xfId="2580" xr:uid="{00000000-0005-0000-0000-000081180000}"/>
    <cellStyle name="Normal 5 2 3 2 8 2" xfId="6863" xr:uid="{00000000-0005-0000-0000-000082180000}"/>
    <cellStyle name="Normal 5 2 3 2 8 2 2" xfId="15313" xr:uid="{EB220D17-2A77-423B-9E69-E496F88C9AE5}"/>
    <cellStyle name="Normal 5 2 3 2 8 3" xfId="11095" xr:uid="{1302A1CB-141F-457C-9E0A-8D502A3F0BAC}"/>
    <cellStyle name="Normal 5 2 3 2 9" xfId="4798" xr:uid="{00000000-0005-0000-0000-000083180000}"/>
    <cellStyle name="Normal 5 2 3 2 9 2" xfId="13248" xr:uid="{EFDD8392-DF9C-43DB-BB8E-3F9D34C4A2AD}"/>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2 2 2" xfId="15811" xr:uid="{0D83D437-3DC4-4E22-86AE-D46ABC90EF35}"/>
    <cellStyle name="Normal 5 2 3 3 2 2 2 3" xfId="11593" xr:uid="{B479394E-DC6C-4E3A-914E-82866DC06372}"/>
    <cellStyle name="Normal 5 2 3 3 2 2 3" xfId="5216" xr:uid="{00000000-0005-0000-0000-000089180000}"/>
    <cellStyle name="Normal 5 2 3 3 2 2 3 2" xfId="13666" xr:uid="{613D1478-5A27-433A-B057-BA67A38B1FE7}"/>
    <cellStyle name="Normal 5 2 3 3 2 2 4" xfId="9448" xr:uid="{3C04D70B-5B2F-4CC8-9101-2719F948EBA3}"/>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2 2 2" xfId="16224" xr:uid="{C77D2BDF-C782-43C7-A65C-B0ADCC05F626}"/>
    <cellStyle name="Normal 5 2 3 3 2 3 2 3" xfId="12006" xr:uid="{182603E8-F122-401E-9340-05420814B378}"/>
    <cellStyle name="Normal 5 2 3 3 2 3 3" xfId="5629" xr:uid="{00000000-0005-0000-0000-00008D180000}"/>
    <cellStyle name="Normal 5 2 3 3 2 3 3 2" xfId="14079" xr:uid="{6E3B4D73-8E3C-472A-A8A1-4603CB5DC553}"/>
    <cellStyle name="Normal 5 2 3 3 2 3 4" xfId="9861" xr:uid="{0C727F0F-9C17-4A4C-908E-F164FCFF89D3}"/>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2 2 2" xfId="16637" xr:uid="{54DC5496-5690-44D0-8C9B-5E320ED4C350}"/>
    <cellStyle name="Normal 5 2 3 3 2 4 2 3" xfId="12419" xr:uid="{B8E6079F-49A0-4624-A42D-67B2341917E7}"/>
    <cellStyle name="Normal 5 2 3 3 2 4 3" xfId="6042" xr:uid="{00000000-0005-0000-0000-000091180000}"/>
    <cellStyle name="Normal 5 2 3 3 2 4 3 2" xfId="14492" xr:uid="{590B67D2-A20A-4224-A3AE-75A237AC0016}"/>
    <cellStyle name="Normal 5 2 3 3 2 4 4" xfId="10274" xr:uid="{58E5B6E6-696D-43A7-BF22-AFBBC2F147A2}"/>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2 2 2" xfId="17050" xr:uid="{62412137-B7A5-4C7B-9029-017B17EB0775}"/>
    <cellStyle name="Normal 5 2 3 3 2 5 2 3" xfId="12832" xr:uid="{5E885A95-9767-40C6-9F5A-98AEDB0A6A5C}"/>
    <cellStyle name="Normal 5 2 3 3 2 5 3" xfId="6455" xr:uid="{00000000-0005-0000-0000-000095180000}"/>
    <cellStyle name="Normal 5 2 3 3 2 5 3 2" xfId="14905" xr:uid="{4937C0B9-41E7-4EC3-866F-AACAC08F7521}"/>
    <cellStyle name="Normal 5 2 3 3 2 5 4" xfId="10687" xr:uid="{559AF639-65B3-4B28-A026-A85C4A1859A9}"/>
    <cellStyle name="Normal 5 2 3 3 2 6" xfId="2585" xr:uid="{00000000-0005-0000-0000-000096180000}"/>
    <cellStyle name="Normal 5 2 3 3 2 6 2" xfId="6868" xr:uid="{00000000-0005-0000-0000-000097180000}"/>
    <cellStyle name="Normal 5 2 3 3 2 6 2 2" xfId="15318" xr:uid="{6F3085A7-283B-491D-BD7D-AA5910705908}"/>
    <cellStyle name="Normal 5 2 3 3 2 6 3" xfId="11100" xr:uid="{85A29230-2F8D-40FF-9D66-55BFD0210B4F}"/>
    <cellStyle name="Normal 5 2 3 3 2 7" xfId="4803" xr:uid="{00000000-0005-0000-0000-000098180000}"/>
    <cellStyle name="Normal 5 2 3 3 2 7 2" xfId="13253" xr:uid="{C5B25ED9-933A-4C6B-AA90-062A0FE205E0}"/>
    <cellStyle name="Normal 5 2 3 3 2 8" xfId="9035" xr:uid="{BEEE9B80-FE06-4F58-A110-709458FFC42C}"/>
    <cellStyle name="Normal 5 2 3 3 3" xfId="903" xr:uid="{00000000-0005-0000-0000-000099180000}"/>
    <cellStyle name="Normal 5 2 3 3 3 2" xfId="3138" xr:uid="{00000000-0005-0000-0000-00009A180000}"/>
    <cellStyle name="Normal 5 2 3 3 3 2 2" xfId="7360" xr:uid="{00000000-0005-0000-0000-00009B180000}"/>
    <cellStyle name="Normal 5 2 3 3 3 2 2 2" xfId="15810" xr:uid="{FBB3FC80-3E9A-42C2-B1A2-8B6F95C0EFEA}"/>
    <cellStyle name="Normal 5 2 3 3 3 2 3" xfId="11592" xr:uid="{6FC3E67B-A424-4AE2-9A55-FAA0AFCEC7B6}"/>
    <cellStyle name="Normal 5 2 3 3 3 3" xfId="5215" xr:uid="{00000000-0005-0000-0000-00009C180000}"/>
    <cellStyle name="Normal 5 2 3 3 3 3 2" xfId="13665" xr:uid="{9F93B367-B0F9-430F-A2C2-A8D6864F7962}"/>
    <cellStyle name="Normal 5 2 3 3 3 4" xfId="9447" xr:uid="{A13D28F7-54A3-4036-A0A0-D29E52AB55EA}"/>
    <cellStyle name="Normal 5 2 3 3 4" xfId="1321" xr:uid="{00000000-0005-0000-0000-00009D180000}"/>
    <cellStyle name="Normal 5 2 3 3 4 2" xfId="3551" xr:uid="{00000000-0005-0000-0000-00009E180000}"/>
    <cellStyle name="Normal 5 2 3 3 4 2 2" xfId="7773" xr:uid="{00000000-0005-0000-0000-00009F180000}"/>
    <cellStyle name="Normal 5 2 3 3 4 2 2 2" xfId="16223" xr:uid="{0B2AE60E-C433-42A5-8089-8556CE86386A}"/>
    <cellStyle name="Normal 5 2 3 3 4 2 3" xfId="12005" xr:uid="{A7278CC1-EF8B-41E7-BF8F-0A9B101C0FF0}"/>
    <cellStyle name="Normal 5 2 3 3 4 3" xfId="5628" xr:uid="{00000000-0005-0000-0000-0000A0180000}"/>
    <cellStyle name="Normal 5 2 3 3 4 3 2" xfId="14078" xr:uid="{CAD7BF29-5C8F-4D71-AFA4-6F7201E0CC1D}"/>
    <cellStyle name="Normal 5 2 3 3 4 4" xfId="9860" xr:uid="{FEA3A6E5-814B-4E7E-9A2C-254001A7E98B}"/>
    <cellStyle name="Normal 5 2 3 3 5" xfId="1734" xr:uid="{00000000-0005-0000-0000-0000A1180000}"/>
    <cellStyle name="Normal 5 2 3 3 5 2" xfId="3964" xr:uid="{00000000-0005-0000-0000-0000A2180000}"/>
    <cellStyle name="Normal 5 2 3 3 5 2 2" xfId="8186" xr:uid="{00000000-0005-0000-0000-0000A3180000}"/>
    <cellStyle name="Normal 5 2 3 3 5 2 2 2" xfId="16636" xr:uid="{5B068E9A-A739-40BD-8FB2-5208E037A744}"/>
    <cellStyle name="Normal 5 2 3 3 5 2 3" xfId="12418" xr:uid="{4671993D-E409-4CEB-BD18-FA587F53BB8E}"/>
    <cellStyle name="Normal 5 2 3 3 5 3" xfId="6041" xr:uid="{00000000-0005-0000-0000-0000A4180000}"/>
    <cellStyle name="Normal 5 2 3 3 5 3 2" xfId="14491" xr:uid="{BE1DE2DD-ADB8-4F34-A133-7F676AAFD427}"/>
    <cellStyle name="Normal 5 2 3 3 5 4" xfId="10273" xr:uid="{86CFACF8-895B-44F3-9E82-7651AECC3F3B}"/>
    <cellStyle name="Normal 5 2 3 3 6" xfId="2148" xr:uid="{00000000-0005-0000-0000-0000A5180000}"/>
    <cellStyle name="Normal 5 2 3 3 6 2" xfId="4377" xr:uid="{00000000-0005-0000-0000-0000A6180000}"/>
    <cellStyle name="Normal 5 2 3 3 6 2 2" xfId="8599" xr:uid="{00000000-0005-0000-0000-0000A7180000}"/>
    <cellStyle name="Normal 5 2 3 3 6 2 2 2" xfId="17049" xr:uid="{F4CD4139-6A87-42B2-93CC-74CE8C2EA659}"/>
    <cellStyle name="Normal 5 2 3 3 6 2 3" xfId="12831" xr:uid="{1B3E1C2A-673A-4652-882D-A4E89F08A61A}"/>
    <cellStyle name="Normal 5 2 3 3 6 3" xfId="6454" xr:uid="{00000000-0005-0000-0000-0000A8180000}"/>
    <cellStyle name="Normal 5 2 3 3 6 3 2" xfId="14904" xr:uid="{802A79C4-B2F9-4CFA-B8BC-06D1D135050C}"/>
    <cellStyle name="Normal 5 2 3 3 6 4" xfId="10686" xr:uid="{B48E97A2-AFAD-4634-B356-21D85E7F7EBA}"/>
    <cellStyle name="Normal 5 2 3 3 7" xfId="2584" xr:uid="{00000000-0005-0000-0000-0000A9180000}"/>
    <cellStyle name="Normal 5 2 3 3 7 2" xfId="6867" xr:uid="{00000000-0005-0000-0000-0000AA180000}"/>
    <cellStyle name="Normal 5 2 3 3 7 2 2" xfId="15317" xr:uid="{BD124871-A769-47D1-AC61-B03BA7DBCFE8}"/>
    <cellStyle name="Normal 5 2 3 3 7 3" xfId="11099" xr:uid="{6DD2AE70-B079-4544-B8B8-9A0796B62C77}"/>
    <cellStyle name="Normal 5 2 3 3 8" xfId="4802" xr:uid="{00000000-0005-0000-0000-0000AB180000}"/>
    <cellStyle name="Normal 5 2 3 3 8 2" xfId="13252" xr:uid="{FB81AC59-A09E-43B8-822A-62622A16F814}"/>
    <cellStyle name="Normal 5 2 3 3 9" xfId="9034" xr:uid="{86758981-BF51-424D-8654-2DBC7285A7D4}"/>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2 2 2" xfId="15812" xr:uid="{C8247249-2669-491E-ABC8-4DAFC79658EA}"/>
    <cellStyle name="Normal 5 2 3 4 2 2 3" xfId="11594" xr:uid="{E5757BF0-5471-4181-A3FF-AE8F4963D73C}"/>
    <cellStyle name="Normal 5 2 3 4 2 3" xfId="5217" xr:uid="{00000000-0005-0000-0000-0000B0180000}"/>
    <cellStyle name="Normal 5 2 3 4 2 3 2" xfId="13667" xr:uid="{66B710D3-0033-4885-814E-483F958F2B3A}"/>
    <cellStyle name="Normal 5 2 3 4 2 4" xfId="9449" xr:uid="{81B5C9D7-F8B1-436F-B7D7-4D6BDA0FC319}"/>
    <cellStyle name="Normal 5 2 3 4 3" xfId="1323" xr:uid="{00000000-0005-0000-0000-0000B1180000}"/>
    <cellStyle name="Normal 5 2 3 4 3 2" xfId="3553" xr:uid="{00000000-0005-0000-0000-0000B2180000}"/>
    <cellStyle name="Normal 5 2 3 4 3 2 2" xfId="7775" xr:uid="{00000000-0005-0000-0000-0000B3180000}"/>
    <cellStyle name="Normal 5 2 3 4 3 2 2 2" xfId="16225" xr:uid="{431181DF-02EB-4939-AA55-F3290B5D6B7B}"/>
    <cellStyle name="Normal 5 2 3 4 3 2 3" xfId="12007" xr:uid="{F51E8CC0-869D-46A2-962D-50B46D230193}"/>
    <cellStyle name="Normal 5 2 3 4 3 3" xfId="5630" xr:uid="{00000000-0005-0000-0000-0000B4180000}"/>
    <cellStyle name="Normal 5 2 3 4 3 3 2" xfId="14080" xr:uid="{CFEDAA17-AAFD-418D-98CF-524F5BED89EF}"/>
    <cellStyle name="Normal 5 2 3 4 3 4" xfId="9862" xr:uid="{7EFD5B77-D09A-474C-92D4-40EA84290F25}"/>
    <cellStyle name="Normal 5 2 3 4 4" xfId="1736" xr:uid="{00000000-0005-0000-0000-0000B5180000}"/>
    <cellStyle name="Normal 5 2 3 4 4 2" xfId="3966" xr:uid="{00000000-0005-0000-0000-0000B6180000}"/>
    <cellStyle name="Normal 5 2 3 4 4 2 2" xfId="8188" xr:uid="{00000000-0005-0000-0000-0000B7180000}"/>
    <cellStyle name="Normal 5 2 3 4 4 2 2 2" xfId="16638" xr:uid="{ED2BED11-1B3A-4B79-81AC-55A5EA1A9793}"/>
    <cellStyle name="Normal 5 2 3 4 4 2 3" xfId="12420" xr:uid="{BC2EE9A2-FC5B-4BEC-8793-C7EE82DE35DF}"/>
    <cellStyle name="Normal 5 2 3 4 4 3" xfId="6043" xr:uid="{00000000-0005-0000-0000-0000B8180000}"/>
    <cellStyle name="Normal 5 2 3 4 4 3 2" xfId="14493" xr:uid="{A54163C4-E65E-4FB7-9B84-08353BC27FA8}"/>
    <cellStyle name="Normal 5 2 3 4 4 4" xfId="10275" xr:uid="{5AD2BFA8-DA61-4592-8FB2-4249181F117F}"/>
    <cellStyle name="Normal 5 2 3 4 5" xfId="2150" xr:uid="{00000000-0005-0000-0000-0000B9180000}"/>
    <cellStyle name="Normal 5 2 3 4 5 2" xfId="4379" xr:uid="{00000000-0005-0000-0000-0000BA180000}"/>
    <cellStyle name="Normal 5 2 3 4 5 2 2" xfId="8601" xr:uid="{00000000-0005-0000-0000-0000BB180000}"/>
    <cellStyle name="Normal 5 2 3 4 5 2 2 2" xfId="17051" xr:uid="{E9AD4843-F665-4E44-846A-AAB1D57A0004}"/>
    <cellStyle name="Normal 5 2 3 4 5 2 3" xfId="12833" xr:uid="{BE9F02DD-44C8-45B0-A905-6349C3B523F9}"/>
    <cellStyle name="Normal 5 2 3 4 5 3" xfId="6456" xr:uid="{00000000-0005-0000-0000-0000BC180000}"/>
    <cellStyle name="Normal 5 2 3 4 5 3 2" xfId="14906" xr:uid="{11614829-F1AB-41A2-A113-0E31C6B99BF0}"/>
    <cellStyle name="Normal 5 2 3 4 5 4" xfId="10688" xr:uid="{92D7A7A0-8B9B-4828-81FB-84FF713A0AED}"/>
    <cellStyle name="Normal 5 2 3 4 6" xfId="2586" xr:uid="{00000000-0005-0000-0000-0000BD180000}"/>
    <cellStyle name="Normal 5 2 3 4 6 2" xfId="6869" xr:uid="{00000000-0005-0000-0000-0000BE180000}"/>
    <cellStyle name="Normal 5 2 3 4 6 2 2" xfId="15319" xr:uid="{DD7A79B2-A63E-429C-908E-925CB9A86225}"/>
    <cellStyle name="Normal 5 2 3 4 6 3" xfId="11101" xr:uid="{39881A30-BF37-4EEA-B6A3-7175FC9F6528}"/>
    <cellStyle name="Normal 5 2 3 4 7" xfId="4804" xr:uid="{00000000-0005-0000-0000-0000BF180000}"/>
    <cellStyle name="Normal 5 2 3 4 7 2" xfId="13254" xr:uid="{49805601-CC42-4ECD-9753-1BD14C471A48}"/>
    <cellStyle name="Normal 5 2 3 4 8" xfId="9036" xr:uid="{7284CBB3-2712-432B-94CB-6A898871ECE3}"/>
    <cellStyle name="Normal 5 2 3 5" xfId="898" xr:uid="{00000000-0005-0000-0000-0000C0180000}"/>
    <cellStyle name="Normal 5 2 3 5 2" xfId="3133" xr:uid="{00000000-0005-0000-0000-0000C1180000}"/>
    <cellStyle name="Normal 5 2 3 5 2 2" xfId="7355" xr:uid="{00000000-0005-0000-0000-0000C2180000}"/>
    <cellStyle name="Normal 5 2 3 5 2 2 2" xfId="15805" xr:uid="{C7F4ADC2-D6CF-43DE-8163-8CFB8634B8C0}"/>
    <cellStyle name="Normal 5 2 3 5 2 3" xfId="11587" xr:uid="{FDEA6D57-6EA5-4855-9ABD-C8EF0C5B13CB}"/>
    <cellStyle name="Normal 5 2 3 5 3" xfId="5210" xr:uid="{00000000-0005-0000-0000-0000C3180000}"/>
    <cellStyle name="Normal 5 2 3 5 3 2" xfId="13660" xr:uid="{5F20DBA2-81E7-4A92-995D-AD1D753002E9}"/>
    <cellStyle name="Normal 5 2 3 5 4" xfId="9442" xr:uid="{5BD75B54-06FF-4909-A93F-3F5A27D2B458}"/>
    <cellStyle name="Normal 5 2 3 6" xfId="1316" xr:uid="{00000000-0005-0000-0000-0000C4180000}"/>
    <cellStyle name="Normal 5 2 3 6 2" xfId="3546" xr:uid="{00000000-0005-0000-0000-0000C5180000}"/>
    <cellStyle name="Normal 5 2 3 6 2 2" xfId="7768" xr:uid="{00000000-0005-0000-0000-0000C6180000}"/>
    <cellStyle name="Normal 5 2 3 6 2 2 2" xfId="16218" xr:uid="{C230926C-C39B-406E-86C2-D3D8271698A3}"/>
    <cellStyle name="Normal 5 2 3 6 2 3" xfId="12000" xr:uid="{0C7CE4CB-21C4-49B7-B77D-1CA49DD4F5A6}"/>
    <cellStyle name="Normal 5 2 3 6 3" xfId="5623" xr:uid="{00000000-0005-0000-0000-0000C7180000}"/>
    <cellStyle name="Normal 5 2 3 6 3 2" xfId="14073" xr:uid="{11C06D68-70C7-4C0E-8199-C38C47496B19}"/>
    <cellStyle name="Normal 5 2 3 6 4" xfId="9855" xr:uid="{799C10A8-6237-4BEA-8210-A0FA5E51C204}"/>
    <cellStyle name="Normal 5 2 3 7" xfId="1729" xr:uid="{00000000-0005-0000-0000-0000C8180000}"/>
    <cellStyle name="Normal 5 2 3 7 2" xfId="3959" xr:uid="{00000000-0005-0000-0000-0000C9180000}"/>
    <cellStyle name="Normal 5 2 3 7 2 2" xfId="8181" xr:uid="{00000000-0005-0000-0000-0000CA180000}"/>
    <cellStyle name="Normal 5 2 3 7 2 2 2" xfId="16631" xr:uid="{A6D04AE9-F269-4525-9DA1-FC8742E077BB}"/>
    <cellStyle name="Normal 5 2 3 7 2 3" xfId="12413" xr:uid="{84CECC9D-F57D-4C96-8539-E4A28C9F7D00}"/>
    <cellStyle name="Normal 5 2 3 7 3" xfId="6036" xr:uid="{00000000-0005-0000-0000-0000CB180000}"/>
    <cellStyle name="Normal 5 2 3 7 3 2" xfId="14486" xr:uid="{0491A45D-C725-45EE-B502-75F41F11CC1B}"/>
    <cellStyle name="Normal 5 2 3 7 4" xfId="10268" xr:uid="{31A1164C-209C-433B-AABA-3485CA95F5E0}"/>
    <cellStyle name="Normal 5 2 3 8" xfId="2143" xr:uid="{00000000-0005-0000-0000-0000CC180000}"/>
    <cellStyle name="Normal 5 2 3 8 2" xfId="4372" xr:uid="{00000000-0005-0000-0000-0000CD180000}"/>
    <cellStyle name="Normal 5 2 3 8 2 2" xfId="8594" xr:uid="{00000000-0005-0000-0000-0000CE180000}"/>
    <cellStyle name="Normal 5 2 3 8 2 2 2" xfId="17044" xr:uid="{AEC7721B-A5D1-4467-B233-FBFD83C45428}"/>
    <cellStyle name="Normal 5 2 3 8 2 3" xfId="12826" xr:uid="{0D159A7E-326C-47A1-87FF-B1EA6D6863B9}"/>
    <cellStyle name="Normal 5 2 3 8 3" xfId="6449" xr:uid="{00000000-0005-0000-0000-0000CF180000}"/>
    <cellStyle name="Normal 5 2 3 8 3 2" xfId="14899" xr:uid="{45878255-25FB-4335-8396-14F8A1DF0F7F}"/>
    <cellStyle name="Normal 5 2 3 8 4" xfId="10681" xr:uid="{59DDBCEE-850C-4D6B-BF67-4D9894DEF770}"/>
    <cellStyle name="Normal 5 2 3 9" xfId="2579" xr:uid="{00000000-0005-0000-0000-0000D0180000}"/>
    <cellStyle name="Normal 5 2 3 9 2" xfId="6862" xr:uid="{00000000-0005-0000-0000-0000D1180000}"/>
    <cellStyle name="Normal 5 2 3 9 2 2" xfId="15312" xr:uid="{11FFA2C6-58D4-4CC7-9F9D-9C0EB8FF86F4}"/>
    <cellStyle name="Normal 5 2 3 9 3" xfId="11094" xr:uid="{7266CD43-E936-4798-A44A-26615EEF6958}"/>
    <cellStyle name="Normal 5 2 4" xfId="432" xr:uid="{00000000-0005-0000-0000-0000D2180000}"/>
    <cellStyle name="Normal 5 2 4 10" xfId="9037" xr:uid="{2CF2023E-7CF1-4DF2-88CE-88D331122842}"/>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2 2 2" xfId="15815" xr:uid="{241D9300-2D72-41F7-96B3-42AE06DB6243}"/>
    <cellStyle name="Normal 5 2 4 2 2 2 2 3" xfId="11597" xr:uid="{79AFAE0A-C48B-4CB8-A1BB-E2402C65C712}"/>
    <cellStyle name="Normal 5 2 4 2 2 2 3" xfId="5220" xr:uid="{00000000-0005-0000-0000-0000D8180000}"/>
    <cellStyle name="Normal 5 2 4 2 2 2 3 2" xfId="13670" xr:uid="{526CB09A-0FD4-4E32-82BA-4AB512C00D67}"/>
    <cellStyle name="Normal 5 2 4 2 2 2 4" xfId="9452" xr:uid="{16B8DD92-B2FA-4DDD-AE14-5D566576A8A5}"/>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2 2 2" xfId="16228" xr:uid="{CAEAE6C1-8D52-4327-87A8-52981CAD8F3F}"/>
    <cellStyle name="Normal 5 2 4 2 2 3 2 3" xfId="12010" xr:uid="{BB232EB5-5F4E-4040-AED2-2883E81855D8}"/>
    <cellStyle name="Normal 5 2 4 2 2 3 3" xfId="5633" xr:uid="{00000000-0005-0000-0000-0000DC180000}"/>
    <cellStyle name="Normal 5 2 4 2 2 3 3 2" xfId="14083" xr:uid="{5DF1437E-3EAC-46F0-A0C7-50E739ABE7A0}"/>
    <cellStyle name="Normal 5 2 4 2 2 3 4" xfId="9865" xr:uid="{88712468-E7D7-4A2C-986D-BF802306945A}"/>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2 2 2" xfId="16641" xr:uid="{7BF81083-9646-40D8-AF5F-BBA0159182E8}"/>
    <cellStyle name="Normal 5 2 4 2 2 4 2 3" xfId="12423" xr:uid="{75C08EF1-C93E-4374-AD01-64BE9E1BE06B}"/>
    <cellStyle name="Normal 5 2 4 2 2 4 3" xfId="6046" xr:uid="{00000000-0005-0000-0000-0000E0180000}"/>
    <cellStyle name="Normal 5 2 4 2 2 4 3 2" xfId="14496" xr:uid="{BE69B00C-DFB9-47B4-84FF-D6EE23103DD0}"/>
    <cellStyle name="Normal 5 2 4 2 2 4 4" xfId="10278" xr:uid="{BF159BFA-B8D7-48AB-805A-8121E6EA977E}"/>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2 2 2" xfId="17054" xr:uid="{09594D16-B841-412A-AA3E-D04E5DD16753}"/>
    <cellStyle name="Normal 5 2 4 2 2 5 2 3" xfId="12836" xr:uid="{798ECE5A-BFA2-464D-A7F4-80D835ABFF7E}"/>
    <cellStyle name="Normal 5 2 4 2 2 5 3" xfId="6459" xr:uid="{00000000-0005-0000-0000-0000E4180000}"/>
    <cellStyle name="Normal 5 2 4 2 2 5 3 2" xfId="14909" xr:uid="{3C0BC816-4CD9-4534-A77C-1CBBFBB121CF}"/>
    <cellStyle name="Normal 5 2 4 2 2 5 4" xfId="10691" xr:uid="{E6F6F50B-D9A1-420A-9C59-E41A67D5C557}"/>
    <cellStyle name="Normal 5 2 4 2 2 6" xfId="2589" xr:uid="{00000000-0005-0000-0000-0000E5180000}"/>
    <cellStyle name="Normal 5 2 4 2 2 6 2" xfId="6872" xr:uid="{00000000-0005-0000-0000-0000E6180000}"/>
    <cellStyle name="Normal 5 2 4 2 2 6 2 2" xfId="15322" xr:uid="{ECE70409-D7FD-46CA-9634-E5FD03FA1C0A}"/>
    <cellStyle name="Normal 5 2 4 2 2 6 3" xfId="11104" xr:uid="{30F02319-3F8F-453A-8E8D-EAF1F8AC5D87}"/>
    <cellStyle name="Normal 5 2 4 2 2 7" xfId="4807" xr:uid="{00000000-0005-0000-0000-0000E7180000}"/>
    <cellStyle name="Normal 5 2 4 2 2 7 2" xfId="13257" xr:uid="{D34D45AC-3EE5-46D5-A752-12D9352CEFE8}"/>
    <cellStyle name="Normal 5 2 4 2 2 8" xfId="9039" xr:uid="{1ED633F7-2A29-4BDE-831F-E0818716F723}"/>
    <cellStyle name="Normal 5 2 4 2 3" xfId="907" xr:uid="{00000000-0005-0000-0000-0000E8180000}"/>
    <cellStyle name="Normal 5 2 4 2 3 2" xfId="3142" xr:uid="{00000000-0005-0000-0000-0000E9180000}"/>
    <cellStyle name="Normal 5 2 4 2 3 2 2" xfId="7364" xr:uid="{00000000-0005-0000-0000-0000EA180000}"/>
    <cellStyle name="Normal 5 2 4 2 3 2 2 2" xfId="15814" xr:uid="{5177B1F8-8A61-4FEB-826C-9684C5BC2538}"/>
    <cellStyle name="Normal 5 2 4 2 3 2 3" xfId="11596" xr:uid="{498D5BCD-43B4-4901-8741-651B740180EC}"/>
    <cellStyle name="Normal 5 2 4 2 3 3" xfId="5219" xr:uid="{00000000-0005-0000-0000-0000EB180000}"/>
    <cellStyle name="Normal 5 2 4 2 3 3 2" xfId="13669" xr:uid="{C355B690-BAC5-4F97-AA3F-19F1782A28DA}"/>
    <cellStyle name="Normal 5 2 4 2 3 4" xfId="9451" xr:uid="{F133D8CA-F3AC-407D-A9FF-9659A4572BA4}"/>
    <cellStyle name="Normal 5 2 4 2 4" xfId="1325" xr:uid="{00000000-0005-0000-0000-0000EC180000}"/>
    <cellStyle name="Normal 5 2 4 2 4 2" xfId="3555" xr:uid="{00000000-0005-0000-0000-0000ED180000}"/>
    <cellStyle name="Normal 5 2 4 2 4 2 2" xfId="7777" xr:uid="{00000000-0005-0000-0000-0000EE180000}"/>
    <cellStyle name="Normal 5 2 4 2 4 2 2 2" xfId="16227" xr:uid="{E910B740-5A62-4055-822B-4BFCFAC30DB0}"/>
    <cellStyle name="Normal 5 2 4 2 4 2 3" xfId="12009" xr:uid="{529DC8B7-D719-4386-B513-92959A3F7E2C}"/>
    <cellStyle name="Normal 5 2 4 2 4 3" xfId="5632" xr:uid="{00000000-0005-0000-0000-0000EF180000}"/>
    <cellStyle name="Normal 5 2 4 2 4 3 2" xfId="14082" xr:uid="{252A893C-86AF-432B-B7DA-3BF975F432F7}"/>
    <cellStyle name="Normal 5 2 4 2 4 4" xfId="9864" xr:uid="{8B401353-6A4C-4379-BEB3-2E06EC992BA1}"/>
    <cellStyle name="Normal 5 2 4 2 5" xfId="1738" xr:uid="{00000000-0005-0000-0000-0000F0180000}"/>
    <cellStyle name="Normal 5 2 4 2 5 2" xfId="3968" xr:uid="{00000000-0005-0000-0000-0000F1180000}"/>
    <cellStyle name="Normal 5 2 4 2 5 2 2" xfId="8190" xr:uid="{00000000-0005-0000-0000-0000F2180000}"/>
    <cellStyle name="Normal 5 2 4 2 5 2 2 2" xfId="16640" xr:uid="{28F360A9-EFC4-4B73-876E-4164D61746CD}"/>
    <cellStyle name="Normal 5 2 4 2 5 2 3" xfId="12422" xr:uid="{2E2A4469-4E9F-43D9-8ABE-2161CC1EF371}"/>
    <cellStyle name="Normal 5 2 4 2 5 3" xfId="6045" xr:uid="{00000000-0005-0000-0000-0000F3180000}"/>
    <cellStyle name="Normal 5 2 4 2 5 3 2" xfId="14495" xr:uid="{97F68DA4-7A77-4FD5-9550-EE80F3FFDF0D}"/>
    <cellStyle name="Normal 5 2 4 2 5 4" xfId="10277" xr:uid="{0623AFC6-E92E-4C63-84C4-844F4E719171}"/>
    <cellStyle name="Normal 5 2 4 2 6" xfId="2152" xr:uid="{00000000-0005-0000-0000-0000F4180000}"/>
    <cellStyle name="Normal 5 2 4 2 6 2" xfId="4381" xr:uid="{00000000-0005-0000-0000-0000F5180000}"/>
    <cellStyle name="Normal 5 2 4 2 6 2 2" xfId="8603" xr:uid="{00000000-0005-0000-0000-0000F6180000}"/>
    <cellStyle name="Normal 5 2 4 2 6 2 2 2" xfId="17053" xr:uid="{13ED4446-5161-4129-BA8B-14AB1FB35079}"/>
    <cellStyle name="Normal 5 2 4 2 6 2 3" xfId="12835" xr:uid="{F6037E6F-B4BD-41ED-BB39-45DF8EF4FB1E}"/>
    <cellStyle name="Normal 5 2 4 2 6 3" xfId="6458" xr:uid="{00000000-0005-0000-0000-0000F7180000}"/>
    <cellStyle name="Normal 5 2 4 2 6 3 2" xfId="14908" xr:uid="{7A25860B-CA26-4A09-8E3A-25E7F4925974}"/>
    <cellStyle name="Normal 5 2 4 2 6 4" xfId="10690" xr:uid="{ADB2F841-FE43-4516-9101-DD9BF19133C3}"/>
    <cellStyle name="Normal 5 2 4 2 7" xfId="2588" xr:uid="{00000000-0005-0000-0000-0000F8180000}"/>
    <cellStyle name="Normal 5 2 4 2 7 2" xfId="6871" xr:uid="{00000000-0005-0000-0000-0000F9180000}"/>
    <cellStyle name="Normal 5 2 4 2 7 2 2" xfId="15321" xr:uid="{CD034FC6-4C04-4F25-B592-00616EEF5A00}"/>
    <cellStyle name="Normal 5 2 4 2 7 3" xfId="11103" xr:uid="{338532E0-8E91-44C8-8422-D7C64A0A8CF4}"/>
    <cellStyle name="Normal 5 2 4 2 8" xfId="4806" xr:uid="{00000000-0005-0000-0000-0000FA180000}"/>
    <cellStyle name="Normal 5 2 4 2 8 2" xfId="13256" xr:uid="{54D19A52-C070-4FCE-884E-5F23DEB71BFB}"/>
    <cellStyle name="Normal 5 2 4 2 9" xfId="9038" xr:uid="{3F5E7F81-62F7-46DF-9682-C20D6CCD8878}"/>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2 2 2" xfId="15816" xr:uid="{002E22F2-4527-4804-B1E6-7771C2F1992B}"/>
    <cellStyle name="Normal 5 2 4 3 2 2 3" xfId="11598" xr:uid="{3406919A-F00E-4216-BD94-B29FA5D85FD8}"/>
    <cellStyle name="Normal 5 2 4 3 2 3" xfId="5221" xr:uid="{00000000-0005-0000-0000-0000FF180000}"/>
    <cellStyle name="Normal 5 2 4 3 2 3 2" xfId="13671" xr:uid="{2E6AD403-2930-4860-A192-6CD5B02AA1E2}"/>
    <cellStyle name="Normal 5 2 4 3 2 4" xfId="9453" xr:uid="{9BC4D4BC-3D07-429D-8A0A-63F40C441BC0}"/>
    <cellStyle name="Normal 5 2 4 3 3" xfId="1327" xr:uid="{00000000-0005-0000-0000-000000190000}"/>
    <cellStyle name="Normal 5 2 4 3 3 2" xfId="3557" xr:uid="{00000000-0005-0000-0000-000001190000}"/>
    <cellStyle name="Normal 5 2 4 3 3 2 2" xfId="7779" xr:uid="{00000000-0005-0000-0000-000002190000}"/>
    <cellStyle name="Normal 5 2 4 3 3 2 2 2" xfId="16229" xr:uid="{02CCC5F9-566B-4449-9202-1AECF9FE0775}"/>
    <cellStyle name="Normal 5 2 4 3 3 2 3" xfId="12011" xr:uid="{938CA478-9E1E-4DE1-92DD-26177FCF3D2B}"/>
    <cellStyle name="Normal 5 2 4 3 3 3" xfId="5634" xr:uid="{00000000-0005-0000-0000-000003190000}"/>
    <cellStyle name="Normal 5 2 4 3 3 3 2" xfId="14084" xr:uid="{E691C3F9-460B-43EC-8F93-50ADFF06AF42}"/>
    <cellStyle name="Normal 5 2 4 3 3 4" xfId="9866" xr:uid="{18E9FFA3-BF59-44A7-9CAF-D5A7A09DBEEE}"/>
    <cellStyle name="Normal 5 2 4 3 4" xfId="1740" xr:uid="{00000000-0005-0000-0000-000004190000}"/>
    <cellStyle name="Normal 5 2 4 3 4 2" xfId="3970" xr:uid="{00000000-0005-0000-0000-000005190000}"/>
    <cellStyle name="Normal 5 2 4 3 4 2 2" xfId="8192" xr:uid="{00000000-0005-0000-0000-000006190000}"/>
    <cellStyle name="Normal 5 2 4 3 4 2 2 2" xfId="16642" xr:uid="{629F0079-251F-4822-A8F8-0DEAE987E380}"/>
    <cellStyle name="Normal 5 2 4 3 4 2 3" xfId="12424" xr:uid="{E853DF6A-D145-4ADE-B304-60BE53852568}"/>
    <cellStyle name="Normal 5 2 4 3 4 3" xfId="6047" xr:uid="{00000000-0005-0000-0000-000007190000}"/>
    <cellStyle name="Normal 5 2 4 3 4 3 2" xfId="14497" xr:uid="{582ACF28-F742-4BAF-ACC4-6D750270E099}"/>
    <cellStyle name="Normal 5 2 4 3 4 4" xfId="10279" xr:uid="{4C6D9B38-CA5A-424B-84FD-B35D140B9CF1}"/>
    <cellStyle name="Normal 5 2 4 3 5" xfId="2154" xr:uid="{00000000-0005-0000-0000-000008190000}"/>
    <cellStyle name="Normal 5 2 4 3 5 2" xfId="4383" xr:uid="{00000000-0005-0000-0000-000009190000}"/>
    <cellStyle name="Normal 5 2 4 3 5 2 2" xfId="8605" xr:uid="{00000000-0005-0000-0000-00000A190000}"/>
    <cellStyle name="Normal 5 2 4 3 5 2 2 2" xfId="17055" xr:uid="{A3AC058E-00B4-47B8-8CAB-52FDDEF4BCEC}"/>
    <cellStyle name="Normal 5 2 4 3 5 2 3" xfId="12837" xr:uid="{6417298C-31D2-4BF1-9F6C-B7489EC21FE6}"/>
    <cellStyle name="Normal 5 2 4 3 5 3" xfId="6460" xr:uid="{00000000-0005-0000-0000-00000B190000}"/>
    <cellStyle name="Normal 5 2 4 3 5 3 2" xfId="14910" xr:uid="{DA56DA68-CB56-42E1-ADB0-5F582EF0FA64}"/>
    <cellStyle name="Normal 5 2 4 3 5 4" xfId="10692" xr:uid="{4518AB43-1D05-4487-9FC3-50AB0FBF723D}"/>
    <cellStyle name="Normal 5 2 4 3 6" xfId="2590" xr:uid="{00000000-0005-0000-0000-00000C190000}"/>
    <cellStyle name="Normal 5 2 4 3 6 2" xfId="6873" xr:uid="{00000000-0005-0000-0000-00000D190000}"/>
    <cellStyle name="Normal 5 2 4 3 6 2 2" xfId="15323" xr:uid="{208B3717-4E68-497D-A069-F79479E680A9}"/>
    <cellStyle name="Normal 5 2 4 3 6 3" xfId="11105" xr:uid="{9C2FF1A7-9FE8-45E5-B746-0C48A804D12F}"/>
    <cellStyle name="Normal 5 2 4 3 7" xfId="4808" xr:uid="{00000000-0005-0000-0000-00000E190000}"/>
    <cellStyle name="Normal 5 2 4 3 7 2" xfId="13258" xr:uid="{C019B0F5-E242-4A59-85C4-8C5E08C9C1FD}"/>
    <cellStyle name="Normal 5 2 4 3 8" xfId="9040" xr:uid="{A4AB809F-A8DE-46C3-AFD0-BD2C30B16CE3}"/>
    <cellStyle name="Normal 5 2 4 4" xfId="906" xr:uid="{00000000-0005-0000-0000-00000F190000}"/>
    <cellStyle name="Normal 5 2 4 4 2" xfId="3141" xr:uid="{00000000-0005-0000-0000-000010190000}"/>
    <cellStyle name="Normal 5 2 4 4 2 2" xfId="7363" xr:uid="{00000000-0005-0000-0000-000011190000}"/>
    <cellStyle name="Normal 5 2 4 4 2 2 2" xfId="15813" xr:uid="{63B00123-4756-4834-9E91-E27321D64B27}"/>
    <cellStyle name="Normal 5 2 4 4 2 3" xfId="11595" xr:uid="{A5655849-FE8D-467E-8EB4-9165B6F93B02}"/>
    <cellStyle name="Normal 5 2 4 4 3" xfId="5218" xr:uid="{00000000-0005-0000-0000-000012190000}"/>
    <cellStyle name="Normal 5 2 4 4 3 2" xfId="13668" xr:uid="{1C727167-090E-4386-8745-94D37F90D44F}"/>
    <cellStyle name="Normal 5 2 4 4 4" xfId="9450" xr:uid="{5D8E56DE-E812-4128-B078-B1BD77095DC0}"/>
    <cellStyle name="Normal 5 2 4 5" xfId="1324" xr:uid="{00000000-0005-0000-0000-000013190000}"/>
    <cellStyle name="Normal 5 2 4 5 2" xfId="3554" xr:uid="{00000000-0005-0000-0000-000014190000}"/>
    <cellStyle name="Normal 5 2 4 5 2 2" xfId="7776" xr:uid="{00000000-0005-0000-0000-000015190000}"/>
    <cellStyle name="Normal 5 2 4 5 2 2 2" xfId="16226" xr:uid="{358A9ED1-52DB-47EC-BDBE-6DFD96A1A42B}"/>
    <cellStyle name="Normal 5 2 4 5 2 3" xfId="12008" xr:uid="{35F3C169-CB91-4624-952E-C3F1A29155A6}"/>
    <cellStyle name="Normal 5 2 4 5 3" xfId="5631" xr:uid="{00000000-0005-0000-0000-000016190000}"/>
    <cellStyle name="Normal 5 2 4 5 3 2" xfId="14081" xr:uid="{29419547-700C-4E7A-947E-C165BF5FB0A6}"/>
    <cellStyle name="Normal 5 2 4 5 4" xfId="9863" xr:uid="{D30BBA64-C28D-4900-82F2-E708A6D16F8B}"/>
    <cellStyle name="Normal 5 2 4 6" xfId="1737" xr:uid="{00000000-0005-0000-0000-000017190000}"/>
    <cellStyle name="Normal 5 2 4 6 2" xfId="3967" xr:uid="{00000000-0005-0000-0000-000018190000}"/>
    <cellStyle name="Normal 5 2 4 6 2 2" xfId="8189" xr:uid="{00000000-0005-0000-0000-000019190000}"/>
    <cellStyle name="Normal 5 2 4 6 2 2 2" xfId="16639" xr:uid="{D0090523-6A12-41BF-95FC-8682EC370D94}"/>
    <cellStyle name="Normal 5 2 4 6 2 3" xfId="12421" xr:uid="{368B4AA6-99A7-4742-8646-1724C25F41A3}"/>
    <cellStyle name="Normal 5 2 4 6 3" xfId="6044" xr:uid="{00000000-0005-0000-0000-00001A190000}"/>
    <cellStyle name="Normal 5 2 4 6 3 2" xfId="14494" xr:uid="{64E775B8-9312-472D-B94F-BA9B62D97B22}"/>
    <cellStyle name="Normal 5 2 4 6 4" xfId="10276" xr:uid="{80790D6D-DDE6-4D1A-8907-57E01F0A00B8}"/>
    <cellStyle name="Normal 5 2 4 7" xfId="2151" xr:uid="{00000000-0005-0000-0000-00001B190000}"/>
    <cellStyle name="Normal 5 2 4 7 2" xfId="4380" xr:uid="{00000000-0005-0000-0000-00001C190000}"/>
    <cellStyle name="Normal 5 2 4 7 2 2" xfId="8602" xr:uid="{00000000-0005-0000-0000-00001D190000}"/>
    <cellStyle name="Normal 5 2 4 7 2 2 2" xfId="17052" xr:uid="{638A6EE7-8EC6-451C-A3E1-7098AA705D21}"/>
    <cellStyle name="Normal 5 2 4 7 2 3" xfId="12834" xr:uid="{E85B50E9-F74D-417C-AABB-729EC90B5D6E}"/>
    <cellStyle name="Normal 5 2 4 7 3" xfId="6457" xr:uid="{00000000-0005-0000-0000-00001E190000}"/>
    <cellStyle name="Normal 5 2 4 7 3 2" xfId="14907" xr:uid="{DB88247E-F80C-4A44-A63F-C264C3243A7F}"/>
    <cellStyle name="Normal 5 2 4 7 4" xfId="10689" xr:uid="{3DA33208-02B3-45D8-9D17-8688EDFD7257}"/>
    <cellStyle name="Normal 5 2 4 8" xfId="2587" xr:uid="{00000000-0005-0000-0000-00001F190000}"/>
    <cellStyle name="Normal 5 2 4 8 2" xfId="6870" xr:uid="{00000000-0005-0000-0000-000020190000}"/>
    <cellStyle name="Normal 5 2 4 8 2 2" xfId="15320" xr:uid="{C2F5D547-28E2-4FBE-AB7C-181F8978264C}"/>
    <cellStyle name="Normal 5 2 4 8 3" xfId="11102" xr:uid="{E53614CF-9FD8-4D60-89F2-46E39BC73EF5}"/>
    <cellStyle name="Normal 5 2 4 9" xfId="4805" xr:uid="{00000000-0005-0000-0000-000021190000}"/>
    <cellStyle name="Normal 5 2 4 9 2" xfId="13255" xr:uid="{B188F337-9F6C-42EE-B264-D4D139F210EC}"/>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2 2 2" xfId="15818" xr:uid="{BD322281-2E02-4B2D-BA88-85617B2E536E}"/>
    <cellStyle name="Normal 5 2 5 2 2 2 3" xfId="11600" xr:uid="{200D581B-25C1-4EE1-ADB1-4C65FFFA7F5F}"/>
    <cellStyle name="Normal 5 2 5 2 2 3" xfId="5223" xr:uid="{00000000-0005-0000-0000-000027190000}"/>
    <cellStyle name="Normal 5 2 5 2 2 3 2" xfId="13673" xr:uid="{F3BE926D-7BD4-466A-948B-0D7D96B217A5}"/>
    <cellStyle name="Normal 5 2 5 2 2 4" xfId="9455" xr:uid="{09BCF7DD-2D52-44D1-AB6B-EFE2B746ED79}"/>
    <cellStyle name="Normal 5 2 5 2 3" xfId="1329" xr:uid="{00000000-0005-0000-0000-000028190000}"/>
    <cellStyle name="Normal 5 2 5 2 3 2" xfId="3559" xr:uid="{00000000-0005-0000-0000-000029190000}"/>
    <cellStyle name="Normal 5 2 5 2 3 2 2" xfId="7781" xr:uid="{00000000-0005-0000-0000-00002A190000}"/>
    <cellStyle name="Normal 5 2 5 2 3 2 2 2" xfId="16231" xr:uid="{30DA3196-A226-403E-A18B-C7DE3D88EDD0}"/>
    <cellStyle name="Normal 5 2 5 2 3 2 3" xfId="12013" xr:uid="{4A8F0FC4-8CFC-462A-B920-A64651376911}"/>
    <cellStyle name="Normal 5 2 5 2 3 3" xfId="5636" xr:uid="{00000000-0005-0000-0000-00002B190000}"/>
    <cellStyle name="Normal 5 2 5 2 3 3 2" xfId="14086" xr:uid="{462C8C26-6B39-4A67-B2D8-3FB2CB05CEA9}"/>
    <cellStyle name="Normal 5 2 5 2 3 4" xfId="9868" xr:uid="{0D3110EA-2822-44C1-92B5-FBD745117416}"/>
    <cellStyle name="Normal 5 2 5 2 4" xfId="1742" xr:uid="{00000000-0005-0000-0000-00002C190000}"/>
    <cellStyle name="Normal 5 2 5 2 4 2" xfId="3972" xr:uid="{00000000-0005-0000-0000-00002D190000}"/>
    <cellStyle name="Normal 5 2 5 2 4 2 2" xfId="8194" xr:uid="{00000000-0005-0000-0000-00002E190000}"/>
    <cellStyle name="Normal 5 2 5 2 4 2 2 2" xfId="16644" xr:uid="{FAE9F46F-E768-4D39-B503-13C48AC7970C}"/>
    <cellStyle name="Normal 5 2 5 2 4 2 3" xfId="12426" xr:uid="{5046932F-6548-4C89-8810-F0E58AC8D953}"/>
    <cellStyle name="Normal 5 2 5 2 4 3" xfId="6049" xr:uid="{00000000-0005-0000-0000-00002F190000}"/>
    <cellStyle name="Normal 5 2 5 2 4 3 2" xfId="14499" xr:uid="{98D10B09-54CF-4258-AFEA-0CCC3FE3B05C}"/>
    <cellStyle name="Normal 5 2 5 2 4 4" xfId="10281" xr:uid="{FA8FEE59-6081-4411-810F-EE087C72CDAD}"/>
    <cellStyle name="Normal 5 2 5 2 5" xfId="2156" xr:uid="{00000000-0005-0000-0000-000030190000}"/>
    <cellStyle name="Normal 5 2 5 2 5 2" xfId="4385" xr:uid="{00000000-0005-0000-0000-000031190000}"/>
    <cellStyle name="Normal 5 2 5 2 5 2 2" xfId="8607" xr:uid="{00000000-0005-0000-0000-000032190000}"/>
    <cellStyle name="Normal 5 2 5 2 5 2 2 2" xfId="17057" xr:uid="{E8B191A7-5271-4AF6-97FC-B59B7C45E4D2}"/>
    <cellStyle name="Normal 5 2 5 2 5 2 3" xfId="12839" xr:uid="{017DA227-5404-4515-B7D2-C9BE3B7C16BA}"/>
    <cellStyle name="Normal 5 2 5 2 5 3" xfId="6462" xr:uid="{00000000-0005-0000-0000-000033190000}"/>
    <cellStyle name="Normal 5 2 5 2 5 3 2" xfId="14912" xr:uid="{E50B3DE2-7110-4FFA-82E9-E783A0837AA9}"/>
    <cellStyle name="Normal 5 2 5 2 5 4" xfId="10694" xr:uid="{E2263612-CC53-48D6-990D-1FBF89D2EC74}"/>
    <cellStyle name="Normal 5 2 5 2 6" xfId="2592" xr:uid="{00000000-0005-0000-0000-000034190000}"/>
    <cellStyle name="Normal 5 2 5 2 6 2" xfId="6875" xr:uid="{00000000-0005-0000-0000-000035190000}"/>
    <cellStyle name="Normal 5 2 5 2 6 2 2" xfId="15325" xr:uid="{87532215-ECDF-463D-8099-51FE0AC0831A}"/>
    <cellStyle name="Normal 5 2 5 2 6 3" xfId="11107" xr:uid="{E6A4669F-EA9A-46E9-B462-7A2F1D284809}"/>
    <cellStyle name="Normal 5 2 5 2 7" xfId="4810" xr:uid="{00000000-0005-0000-0000-000036190000}"/>
    <cellStyle name="Normal 5 2 5 2 7 2" xfId="13260" xr:uid="{693C9C27-2064-4C81-A612-62F35CD76898}"/>
    <cellStyle name="Normal 5 2 5 2 8" xfId="9042" xr:uid="{06B786C8-B402-4818-846C-1432D12069FF}"/>
    <cellStyle name="Normal 5 2 5 3" xfId="910" xr:uid="{00000000-0005-0000-0000-000037190000}"/>
    <cellStyle name="Normal 5 2 5 3 2" xfId="3145" xr:uid="{00000000-0005-0000-0000-000038190000}"/>
    <cellStyle name="Normal 5 2 5 3 2 2" xfId="7367" xr:uid="{00000000-0005-0000-0000-000039190000}"/>
    <cellStyle name="Normal 5 2 5 3 2 2 2" xfId="15817" xr:uid="{37446C59-BC60-4E80-874D-3E76AEB28B67}"/>
    <cellStyle name="Normal 5 2 5 3 2 3" xfId="11599" xr:uid="{A50A7077-E157-4756-8C4C-4B675E0829C7}"/>
    <cellStyle name="Normal 5 2 5 3 3" xfId="5222" xr:uid="{00000000-0005-0000-0000-00003A190000}"/>
    <cellStyle name="Normal 5 2 5 3 3 2" xfId="13672" xr:uid="{24D74CB0-D49C-499C-BFF9-C199E5B0D26B}"/>
    <cellStyle name="Normal 5 2 5 3 4" xfId="9454" xr:uid="{648F0841-FBAD-4DFF-9281-C5E7F7998239}"/>
    <cellStyle name="Normal 5 2 5 4" xfId="1328" xr:uid="{00000000-0005-0000-0000-00003B190000}"/>
    <cellStyle name="Normal 5 2 5 4 2" xfId="3558" xr:uid="{00000000-0005-0000-0000-00003C190000}"/>
    <cellStyle name="Normal 5 2 5 4 2 2" xfId="7780" xr:uid="{00000000-0005-0000-0000-00003D190000}"/>
    <cellStyle name="Normal 5 2 5 4 2 2 2" xfId="16230" xr:uid="{3000AA41-D0A2-4E4E-B501-6761216E8D49}"/>
    <cellStyle name="Normal 5 2 5 4 2 3" xfId="12012" xr:uid="{15557ACE-05F6-4FC1-8808-E48E5045A844}"/>
    <cellStyle name="Normal 5 2 5 4 3" xfId="5635" xr:uid="{00000000-0005-0000-0000-00003E190000}"/>
    <cellStyle name="Normal 5 2 5 4 3 2" xfId="14085" xr:uid="{0BC3E3DE-BA6D-4739-B9EA-1FEC44B560FF}"/>
    <cellStyle name="Normal 5 2 5 4 4" xfId="9867" xr:uid="{6FE4C7AB-5C26-49D0-9084-168F2C79E3AC}"/>
    <cellStyle name="Normal 5 2 5 5" xfId="1741" xr:uid="{00000000-0005-0000-0000-00003F190000}"/>
    <cellStyle name="Normal 5 2 5 5 2" xfId="3971" xr:uid="{00000000-0005-0000-0000-000040190000}"/>
    <cellStyle name="Normal 5 2 5 5 2 2" xfId="8193" xr:uid="{00000000-0005-0000-0000-000041190000}"/>
    <cellStyle name="Normal 5 2 5 5 2 2 2" xfId="16643" xr:uid="{8687FB00-0A1F-4E40-95FE-42DEDA88E19B}"/>
    <cellStyle name="Normal 5 2 5 5 2 3" xfId="12425" xr:uid="{1393712E-2AB5-487F-BA6C-9C93FEB7B60A}"/>
    <cellStyle name="Normal 5 2 5 5 3" xfId="6048" xr:uid="{00000000-0005-0000-0000-000042190000}"/>
    <cellStyle name="Normal 5 2 5 5 3 2" xfId="14498" xr:uid="{7AD9CCA2-69B6-47F2-9ACA-878A293C6B1B}"/>
    <cellStyle name="Normal 5 2 5 5 4" xfId="10280" xr:uid="{C3462D3A-06C8-44CC-8CE9-1DC366A9F991}"/>
    <cellStyle name="Normal 5 2 5 6" xfId="2155" xr:uid="{00000000-0005-0000-0000-000043190000}"/>
    <cellStyle name="Normal 5 2 5 6 2" xfId="4384" xr:uid="{00000000-0005-0000-0000-000044190000}"/>
    <cellStyle name="Normal 5 2 5 6 2 2" xfId="8606" xr:uid="{00000000-0005-0000-0000-000045190000}"/>
    <cellStyle name="Normal 5 2 5 6 2 2 2" xfId="17056" xr:uid="{2DFFB4BB-B98D-4D4D-92D4-2675A0E886DF}"/>
    <cellStyle name="Normal 5 2 5 6 2 3" xfId="12838" xr:uid="{7F41DE92-5AD1-4BB2-9C52-56717A70D8E7}"/>
    <cellStyle name="Normal 5 2 5 6 3" xfId="6461" xr:uid="{00000000-0005-0000-0000-000046190000}"/>
    <cellStyle name="Normal 5 2 5 6 3 2" xfId="14911" xr:uid="{75ACC277-003F-48B7-B22E-C39A6C0398C2}"/>
    <cellStyle name="Normal 5 2 5 6 4" xfId="10693" xr:uid="{5F40BC74-5343-4261-8DDE-A840A4521887}"/>
    <cellStyle name="Normal 5 2 5 7" xfId="2591" xr:uid="{00000000-0005-0000-0000-000047190000}"/>
    <cellStyle name="Normal 5 2 5 7 2" xfId="6874" xr:uid="{00000000-0005-0000-0000-000048190000}"/>
    <cellStyle name="Normal 5 2 5 7 2 2" xfId="15324" xr:uid="{7058EB45-D0E4-4682-99D9-8FC6B1C2B7BD}"/>
    <cellStyle name="Normal 5 2 5 7 3" xfId="11106" xr:uid="{24B79025-07A1-469A-80DA-7616C5ED4394}"/>
    <cellStyle name="Normal 5 2 5 8" xfId="4809" xr:uid="{00000000-0005-0000-0000-000049190000}"/>
    <cellStyle name="Normal 5 2 5 8 2" xfId="13259" xr:uid="{7B56BCA6-5658-4E44-9BBF-56809D2CEAE4}"/>
    <cellStyle name="Normal 5 2 5 9" xfId="9041" xr:uid="{15BB6A80-E813-4B8A-9EF4-943F42DF6255}"/>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2 2 2" xfId="15819" xr:uid="{04B371E3-63EE-49BD-B428-37EBCEA29533}"/>
    <cellStyle name="Normal 5 2 6 2 2 3" xfId="11601" xr:uid="{9C48AEDE-79D0-46C9-B103-228C41DD645C}"/>
    <cellStyle name="Normal 5 2 6 2 3" xfId="5224" xr:uid="{00000000-0005-0000-0000-00004E190000}"/>
    <cellStyle name="Normal 5 2 6 2 3 2" xfId="13674" xr:uid="{23F83DE0-495D-4046-B6FF-DBF5EC53A6BF}"/>
    <cellStyle name="Normal 5 2 6 2 4" xfId="9456" xr:uid="{4A55C132-2B2C-4C0D-9447-9C55AB004FA6}"/>
    <cellStyle name="Normal 5 2 6 3" xfId="1330" xr:uid="{00000000-0005-0000-0000-00004F190000}"/>
    <cellStyle name="Normal 5 2 6 3 2" xfId="3560" xr:uid="{00000000-0005-0000-0000-000050190000}"/>
    <cellStyle name="Normal 5 2 6 3 2 2" xfId="7782" xr:uid="{00000000-0005-0000-0000-000051190000}"/>
    <cellStyle name="Normal 5 2 6 3 2 2 2" xfId="16232" xr:uid="{D44A5379-08A6-4119-8528-EE15340ED13F}"/>
    <cellStyle name="Normal 5 2 6 3 2 3" xfId="12014" xr:uid="{EC592D3D-9140-491D-A827-AADC9CBBE322}"/>
    <cellStyle name="Normal 5 2 6 3 3" xfId="5637" xr:uid="{00000000-0005-0000-0000-000052190000}"/>
    <cellStyle name="Normal 5 2 6 3 3 2" xfId="14087" xr:uid="{A811DCC8-BEB6-4AA9-8A9F-22D2316E7738}"/>
    <cellStyle name="Normal 5 2 6 3 4" xfId="9869" xr:uid="{1DE9FF13-4597-4905-BEDC-BCAE69C6220D}"/>
    <cellStyle name="Normal 5 2 6 4" xfId="1743" xr:uid="{00000000-0005-0000-0000-000053190000}"/>
    <cellStyle name="Normal 5 2 6 4 2" xfId="3973" xr:uid="{00000000-0005-0000-0000-000054190000}"/>
    <cellStyle name="Normal 5 2 6 4 2 2" xfId="8195" xr:uid="{00000000-0005-0000-0000-000055190000}"/>
    <cellStyle name="Normal 5 2 6 4 2 2 2" xfId="16645" xr:uid="{743A388D-5F9F-49A7-A5AF-AF327632BEC6}"/>
    <cellStyle name="Normal 5 2 6 4 2 3" xfId="12427" xr:uid="{D7BC89E2-FDFE-4F4D-A130-9B53009B85EB}"/>
    <cellStyle name="Normal 5 2 6 4 3" xfId="6050" xr:uid="{00000000-0005-0000-0000-000056190000}"/>
    <cellStyle name="Normal 5 2 6 4 3 2" xfId="14500" xr:uid="{286A70D3-6DD7-420D-A701-9F7A4973FCFD}"/>
    <cellStyle name="Normal 5 2 6 4 4" xfId="10282" xr:uid="{F4AD6ED8-D6D1-48A3-A06E-BE78DF130579}"/>
    <cellStyle name="Normal 5 2 6 5" xfId="2157" xr:uid="{00000000-0005-0000-0000-000057190000}"/>
    <cellStyle name="Normal 5 2 6 5 2" xfId="4386" xr:uid="{00000000-0005-0000-0000-000058190000}"/>
    <cellStyle name="Normal 5 2 6 5 2 2" xfId="8608" xr:uid="{00000000-0005-0000-0000-000059190000}"/>
    <cellStyle name="Normal 5 2 6 5 2 2 2" xfId="17058" xr:uid="{793AE7BF-00A5-4A32-9289-E98174037C78}"/>
    <cellStyle name="Normal 5 2 6 5 2 3" xfId="12840" xr:uid="{79E85AEB-7932-49F7-BF73-76849863A137}"/>
    <cellStyle name="Normal 5 2 6 5 3" xfId="6463" xr:uid="{00000000-0005-0000-0000-00005A190000}"/>
    <cellStyle name="Normal 5 2 6 5 3 2" xfId="14913" xr:uid="{885C9A6B-8EF9-4C6E-9B00-F18E74F16143}"/>
    <cellStyle name="Normal 5 2 6 5 4" xfId="10695" xr:uid="{2501884B-C92A-4644-898D-A8ED7D571320}"/>
    <cellStyle name="Normal 5 2 6 6" xfId="2593" xr:uid="{00000000-0005-0000-0000-00005B190000}"/>
    <cellStyle name="Normal 5 2 6 6 2" xfId="6876" xr:uid="{00000000-0005-0000-0000-00005C190000}"/>
    <cellStyle name="Normal 5 2 6 6 2 2" xfId="15326" xr:uid="{AE361370-8995-4025-A34C-9932F13159F9}"/>
    <cellStyle name="Normal 5 2 6 6 3" xfId="11108" xr:uid="{AF8CDA4B-53ED-46B6-923D-37A2DBDFF3AE}"/>
    <cellStyle name="Normal 5 2 6 7" xfId="4811" xr:uid="{00000000-0005-0000-0000-00005D190000}"/>
    <cellStyle name="Normal 5 2 6 7 2" xfId="13261" xr:uid="{ED36B573-238D-4740-8E35-887976F4EDEF}"/>
    <cellStyle name="Normal 5 2 6 8" xfId="9043" xr:uid="{531363DA-BA06-46CE-92F3-5EA7EC90A821}"/>
    <cellStyle name="Normal 5 2 7" xfId="881" xr:uid="{00000000-0005-0000-0000-00005E190000}"/>
    <cellStyle name="Normal 5 2 7 2" xfId="3116" xr:uid="{00000000-0005-0000-0000-00005F190000}"/>
    <cellStyle name="Normal 5 2 7 2 2" xfId="7338" xr:uid="{00000000-0005-0000-0000-000060190000}"/>
    <cellStyle name="Normal 5 2 7 2 2 2" xfId="15788" xr:uid="{4927EA2B-DD3A-49E9-A8CC-4AD3A3D8A56F}"/>
    <cellStyle name="Normal 5 2 7 2 3" xfId="11570" xr:uid="{21C02063-156A-4BE0-AD7E-E272401B49BE}"/>
    <cellStyle name="Normal 5 2 7 3" xfId="5193" xr:uid="{00000000-0005-0000-0000-000061190000}"/>
    <cellStyle name="Normal 5 2 7 3 2" xfId="13643" xr:uid="{89DA6F8F-61C9-4095-9446-EB55D08FB46E}"/>
    <cellStyle name="Normal 5 2 7 4" xfId="9425" xr:uid="{CC8CF320-2D4C-440A-82FA-194F7AB24B44}"/>
    <cellStyle name="Normal 5 2 8" xfId="1299" xr:uid="{00000000-0005-0000-0000-000062190000}"/>
    <cellStyle name="Normal 5 2 8 2" xfId="3529" xr:uid="{00000000-0005-0000-0000-000063190000}"/>
    <cellStyle name="Normal 5 2 8 2 2" xfId="7751" xr:uid="{00000000-0005-0000-0000-000064190000}"/>
    <cellStyle name="Normal 5 2 8 2 2 2" xfId="16201" xr:uid="{BDFFA2F1-9B4E-4687-AB53-8D4096C87DD4}"/>
    <cellStyle name="Normal 5 2 8 2 3" xfId="11983" xr:uid="{E0E75528-03DC-4AD4-B63A-E90F1C35EF55}"/>
    <cellStyle name="Normal 5 2 8 3" xfId="5606" xr:uid="{00000000-0005-0000-0000-000065190000}"/>
    <cellStyle name="Normal 5 2 8 3 2" xfId="14056" xr:uid="{A88BBF64-B267-42B1-93AD-FACA9D75B696}"/>
    <cellStyle name="Normal 5 2 8 4" xfId="9838" xr:uid="{34BC198C-9F6F-48EB-9E0C-B0C9E5B848E9}"/>
    <cellStyle name="Normal 5 2 9" xfId="1712" xr:uid="{00000000-0005-0000-0000-000066190000}"/>
    <cellStyle name="Normal 5 2 9 2" xfId="3942" xr:uid="{00000000-0005-0000-0000-000067190000}"/>
    <cellStyle name="Normal 5 2 9 2 2" xfId="8164" xr:uid="{00000000-0005-0000-0000-000068190000}"/>
    <cellStyle name="Normal 5 2 9 2 2 2" xfId="16614" xr:uid="{2BDFC56C-6053-43A7-A59C-CE8417D7740F}"/>
    <cellStyle name="Normal 5 2 9 2 3" xfId="12396" xr:uid="{F7FD8C39-913A-4F78-9C5D-9FEFEA1360E0}"/>
    <cellStyle name="Normal 5 2 9 3" xfId="6019" xr:uid="{00000000-0005-0000-0000-000069190000}"/>
    <cellStyle name="Normal 5 2 9 3 2" xfId="14469" xr:uid="{A522116F-90C4-4573-9A01-270227FE18DB}"/>
    <cellStyle name="Normal 5 2 9 4" xfId="10251" xr:uid="{460F728E-0B5A-46EA-A3BD-08BE071A6E57}"/>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2 2 2" xfId="17059" xr:uid="{4179893B-AF90-4DA5-937B-084E92BC743F}"/>
    <cellStyle name="Normal 5 3 10 2 3" xfId="12841" xr:uid="{3D32F3F6-BEB1-4F6C-AE63-6A17F2CE0BA1}"/>
    <cellStyle name="Normal 5 3 10 3" xfId="6464" xr:uid="{00000000-0005-0000-0000-00006E190000}"/>
    <cellStyle name="Normal 5 3 10 3 2" xfId="14914" xr:uid="{DE1A6A0A-E7A8-4483-9277-5EA6D72C4AD2}"/>
    <cellStyle name="Normal 5 3 10 4" xfId="10696" xr:uid="{8382DC9B-CB11-469A-B243-54A74943E766}"/>
    <cellStyle name="Normal 5 3 11" xfId="2594" xr:uid="{00000000-0005-0000-0000-00006F190000}"/>
    <cellStyle name="Normal 5 3 11 2" xfId="6877" xr:uid="{00000000-0005-0000-0000-000070190000}"/>
    <cellStyle name="Normal 5 3 11 2 2" xfId="15327" xr:uid="{76AFC22C-9F6E-42DD-9153-97DD2218E4B4}"/>
    <cellStyle name="Normal 5 3 11 3" xfId="11109" xr:uid="{FF0F2F62-0654-4AB6-8C0C-DD4E930529CC}"/>
    <cellStyle name="Normal 5 3 12" xfId="4812" xr:uid="{00000000-0005-0000-0000-000071190000}"/>
    <cellStyle name="Normal 5 3 12 2" xfId="13262" xr:uid="{100CA5CA-E4DD-495B-B5DF-633BFB1BADAA}"/>
    <cellStyle name="Normal 5 3 13" xfId="9044" xr:uid="{53257365-77C6-4B6D-ABC1-DC34E75E1AEF}"/>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10 2" xfId="13263" xr:uid="{F8BD59BE-799D-4D18-987D-154A9F06C869}"/>
    <cellStyle name="Normal 5 3 3 11" xfId="9045" xr:uid="{6BF8B37C-4B93-4795-8438-9406A5F4E0A9}"/>
    <cellStyle name="Normal 5 3 3 2" xfId="442" xr:uid="{00000000-0005-0000-0000-000076190000}"/>
    <cellStyle name="Normal 5 3 3 2 10" xfId="9046" xr:uid="{D7865190-418F-46BB-ADF6-B4279D216D0E}"/>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2 2 2" xfId="15824" xr:uid="{6C1A3C63-5821-43AE-B59C-14C8C8332746}"/>
    <cellStyle name="Normal 5 3 3 2 2 2 2 2 3" xfId="11606" xr:uid="{C7F9E8E9-C1EC-4EBC-B771-3F3FCDD77EE4}"/>
    <cellStyle name="Normal 5 3 3 2 2 2 2 3" xfId="5229" xr:uid="{00000000-0005-0000-0000-00007C190000}"/>
    <cellStyle name="Normal 5 3 3 2 2 2 2 3 2" xfId="13679" xr:uid="{73BB76D3-D8B7-4DDC-A991-51B57FEE63A0}"/>
    <cellStyle name="Normal 5 3 3 2 2 2 2 4" xfId="9461" xr:uid="{06101E05-1FD0-41C6-B890-F7DB517C4686}"/>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2 2 2" xfId="16237" xr:uid="{BA4125D7-FF81-4D4F-9B7A-D716422497C5}"/>
    <cellStyle name="Normal 5 3 3 2 2 2 3 2 3" xfId="12019" xr:uid="{6D92820A-BA57-4581-9F45-C24578389CB9}"/>
    <cellStyle name="Normal 5 3 3 2 2 2 3 3" xfId="5642" xr:uid="{00000000-0005-0000-0000-000080190000}"/>
    <cellStyle name="Normal 5 3 3 2 2 2 3 3 2" xfId="14092" xr:uid="{984C6D93-8FA0-47C9-B284-9E554B1A96E3}"/>
    <cellStyle name="Normal 5 3 3 2 2 2 3 4" xfId="9874" xr:uid="{D9BC7606-C39B-46FB-AD86-E7DAD737EE7A}"/>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2 2 2" xfId="16650" xr:uid="{06D30D3C-9F14-4A78-9576-99192E4C4931}"/>
    <cellStyle name="Normal 5 3 3 2 2 2 4 2 3" xfId="12432" xr:uid="{FE845A3F-4AE1-4006-9856-EB8FDD4399C4}"/>
    <cellStyle name="Normal 5 3 3 2 2 2 4 3" xfId="6055" xr:uid="{00000000-0005-0000-0000-000084190000}"/>
    <cellStyle name="Normal 5 3 3 2 2 2 4 3 2" xfId="14505" xr:uid="{A1A25F63-462A-4F03-BEE8-F673F628F4C5}"/>
    <cellStyle name="Normal 5 3 3 2 2 2 4 4" xfId="10287" xr:uid="{693CA64B-973D-4C0A-AC37-499BE471A352}"/>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2 2 2" xfId="17063" xr:uid="{A0862394-1C0D-4FAA-9ABB-0A47639862B9}"/>
    <cellStyle name="Normal 5 3 3 2 2 2 5 2 3" xfId="12845" xr:uid="{9C499541-B8F4-4BFF-A034-5BFB4BC98D0B}"/>
    <cellStyle name="Normal 5 3 3 2 2 2 5 3" xfId="6468" xr:uid="{00000000-0005-0000-0000-000088190000}"/>
    <cellStyle name="Normal 5 3 3 2 2 2 5 3 2" xfId="14918" xr:uid="{D78840B7-5B1A-4C28-A8AD-DFDE42975710}"/>
    <cellStyle name="Normal 5 3 3 2 2 2 5 4" xfId="10700" xr:uid="{FEC7028D-B540-4BD9-B79E-46C6233E0880}"/>
    <cellStyle name="Normal 5 3 3 2 2 2 6" xfId="2598" xr:uid="{00000000-0005-0000-0000-000089190000}"/>
    <cellStyle name="Normal 5 3 3 2 2 2 6 2" xfId="6881" xr:uid="{00000000-0005-0000-0000-00008A190000}"/>
    <cellStyle name="Normal 5 3 3 2 2 2 6 2 2" xfId="15331" xr:uid="{C23904D2-1E7D-42D7-8F6E-B4EECFA4C09F}"/>
    <cellStyle name="Normal 5 3 3 2 2 2 6 3" xfId="11113" xr:uid="{7851FECC-E6AD-42F7-A075-FA3EFC416B8F}"/>
    <cellStyle name="Normal 5 3 3 2 2 2 7" xfId="4816" xr:uid="{00000000-0005-0000-0000-00008B190000}"/>
    <cellStyle name="Normal 5 3 3 2 2 2 7 2" xfId="13266" xr:uid="{2D19EE51-C83A-4648-92EA-1857EEE3253F}"/>
    <cellStyle name="Normal 5 3 3 2 2 2 8" xfId="9048" xr:uid="{90613310-0320-41CD-BAA5-20BB16F51DB3}"/>
    <cellStyle name="Normal 5 3 3 2 2 3" xfId="917" xr:uid="{00000000-0005-0000-0000-00008C190000}"/>
    <cellStyle name="Normal 5 3 3 2 2 3 2" xfId="3151" xr:uid="{00000000-0005-0000-0000-00008D190000}"/>
    <cellStyle name="Normal 5 3 3 2 2 3 2 2" xfId="7373" xr:uid="{00000000-0005-0000-0000-00008E190000}"/>
    <cellStyle name="Normal 5 3 3 2 2 3 2 2 2" xfId="15823" xr:uid="{D53E0A17-ECED-4D9B-8CCD-ACDB691DC864}"/>
    <cellStyle name="Normal 5 3 3 2 2 3 2 3" xfId="11605" xr:uid="{AF9D01CE-3722-4447-B4FE-B406D18958A5}"/>
    <cellStyle name="Normal 5 3 3 2 2 3 3" xfId="5228" xr:uid="{00000000-0005-0000-0000-00008F190000}"/>
    <cellStyle name="Normal 5 3 3 2 2 3 3 2" xfId="13678" xr:uid="{26F2C164-C9AC-4B6D-8DC1-A021BC43FA90}"/>
    <cellStyle name="Normal 5 3 3 2 2 3 4" xfId="9460" xr:uid="{79FE6672-60AB-4A80-951D-342C6B6CF8E8}"/>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2 2 2" xfId="16236" xr:uid="{21703614-60F6-482C-88AC-483FA5497682}"/>
    <cellStyle name="Normal 5 3 3 2 2 4 2 3" xfId="12018" xr:uid="{CC46EFA6-6A18-48A8-8D13-8D2C5D712D5F}"/>
    <cellStyle name="Normal 5 3 3 2 2 4 3" xfId="5641" xr:uid="{00000000-0005-0000-0000-000093190000}"/>
    <cellStyle name="Normal 5 3 3 2 2 4 3 2" xfId="14091" xr:uid="{36CA5870-1CB1-4D25-BE4C-E41DF8668F0C}"/>
    <cellStyle name="Normal 5 3 3 2 2 4 4" xfId="9873" xr:uid="{56C95BC5-AB04-4D31-A860-7DEACEEE7971}"/>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2 2 2" xfId="16649" xr:uid="{65D3EA13-C0B4-45CF-BCDB-890149F0AC1B}"/>
    <cellStyle name="Normal 5 3 3 2 2 5 2 3" xfId="12431" xr:uid="{1F056218-277D-456D-82D4-56CBCE5830DF}"/>
    <cellStyle name="Normal 5 3 3 2 2 5 3" xfId="6054" xr:uid="{00000000-0005-0000-0000-000097190000}"/>
    <cellStyle name="Normal 5 3 3 2 2 5 3 2" xfId="14504" xr:uid="{8D61D95F-84B9-4CFC-8587-FD128F80863D}"/>
    <cellStyle name="Normal 5 3 3 2 2 5 4" xfId="10286" xr:uid="{F98FB2A9-1F76-4635-93BD-BBE21D3BE547}"/>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2 2 2" xfId="17062" xr:uid="{5EB38186-1FA1-468A-B4AE-3347458CC577}"/>
    <cellStyle name="Normal 5 3 3 2 2 6 2 3" xfId="12844" xr:uid="{C840ABBC-2470-40C7-A52C-8F65EC0E8716}"/>
    <cellStyle name="Normal 5 3 3 2 2 6 3" xfId="6467" xr:uid="{00000000-0005-0000-0000-00009B190000}"/>
    <cellStyle name="Normal 5 3 3 2 2 6 3 2" xfId="14917" xr:uid="{BE37DECF-86DD-4B56-B838-37768761670C}"/>
    <cellStyle name="Normal 5 3 3 2 2 6 4" xfId="10699" xr:uid="{4C87C461-5E2B-4516-AD26-E88B88C976B1}"/>
    <cellStyle name="Normal 5 3 3 2 2 7" xfId="2597" xr:uid="{00000000-0005-0000-0000-00009C190000}"/>
    <cellStyle name="Normal 5 3 3 2 2 7 2" xfId="6880" xr:uid="{00000000-0005-0000-0000-00009D190000}"/>
    <cellStyle name="Normal 5 3 3 2 2 7 2 2" xfId="15330" xr:uid="{A78524A4-F75A-42EA-90BD-FEA1625F4533}"/>
    <cellStyle name="Normal 5 3 3 2 2 7 3" xfId="11112" xr:uid="{E0717447-0079-42EF-9147-F78D4E44F07B}"/>
    <cellStyle name="Normal 5 3 3 2 2 8" xfId="4815" xr:uid="{00000000-0005-0000-0000-00009E190000}"/>
    <cellStyle name="Normal 5 3 3 2 2 8 2" xfId="13265" xr:uid="{35A9D162-1C46-430C-82DB-F3EB27273EB9}"/>
    <cellStyle name="Normal 5 3 3 2 2 9" xfId="9047" xr:uid="{6A8A3DED-7426-443C-A690-701237790BED}"/>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2 2 2" xfId="15825" xr:uid="{7A581680-C862-40CE-BF6C-C60D03490795}"/>
    <cellStyle name="Normal 5 3 3 2 3 2 2 3" xfId="11607" xr:uid="{E845E3B7-0105-44FC-B088-40708583AE27}"/>
    <cellStyle name="Normal 5 3 3 2 3 2 3" xfId="5230" xr:uid="{00000000-0005-0000-0000-0000A3190000}"/>
    <cellStyle name="Normal 5 3 3 2 3 2 3 2" xfId="13680" xr:uid="{EF6495E6-E77D-42CC-913E-6DB82FBF3798}"/>
    <cellStyle name="Normal 5 3 3 2 3 2 4" xfId="9462" xr:uid="{6B7A7940-B631-47AD-9422-CAA7464B0E55}"/>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2 2 2" xfId="16238" xr:uid="{0A98DA98-2B9D-4ADE-8D76-5EE143934540}"/>
    <cellStyle name="Normal 5 3 3 2 3 3 2 3" xfId="12020" xr:uid="{90DD5DD1-2C2C-426E-9F91-FA21BD118F0D}"/>
    <cellStyle name="Normal 5 3 3 2 3 3 3" xfId="5643" xr:uid="{00000000-0005-0000-0000-0000A7190000}"/>
    <cellStyle name="Normal 5 3 3 2 3 3 3 2" xfId="14093" xr:uid="{A9F15065-B2E1-4FF7-913C-66AA9B91F68D}"/>
    <cellStyle name="Normal 5 3 3 2 3 3 4" xfId="9875" xr:uid="{4101C33E-6FF2-4101-8B0F-C7BAC874E272}"/>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2 2 2" xfId="16651" xr:uid="{A552E518-104A-4A8E-936F-6441ED34D7C6}"/>
    <cellStyle name="Normal 5 3 3 2 3 4 2 3" xfId="12433" xr:uid="{454A425E-E907-4CA7-8F28-7B080989B3E3}"/>
    <cellStyle name="Normal 5 3 3 2 3 4 3" xfId="6056" xr:uid="{00000000-0005-0000-0000-0000AB190000}"/>
    <cellStyle name="Normal 5 3 3 2 3 4 3 2" xfId="14506" xr:uid="{DC75EA68-E2A7-4CF1-B3B2-C24F94B3B302}"/>
    <cellStyle name="Normal 5 3 3 2 3 4 4" xfId="10288" xr:uid="{F2067171-2920-4C8C-AB20-D98D37A20838}"/>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2 2 2" xfId="17064" xr:uid="{FAFCF782-3C72-4B62-BD8A-AF1F763487F0}"/>
    <cellStyle name="Normal 5 3 3 2 3 5 2 3" xfId="12846" xr:uid="{EEBD6AA9-D9CF-4535-993A-3A128BCB6550}"/>
    <cellStyle name="Normal 5 3 3 2 3 5 3" xfId="6469" xr:uid="{00000000-0005-0000-0000-0000AF190000}"/>
    <cellStyle name="Normal 5 3 3 2 3 5 3 2" xfId="14919" xr:uid="{0598ECBB-C85C-4A11-8554-FFC0585FBF43}"/>
    <cellStyle name="Normal 5 3 3 2 3 5 4" xfId="10701" xr:uid="{754066FA-E763-4BD3-A035-2E416DE62804}"/>
    <cellStyle name="Normal 5 3 3 2 3 6" xfId="2599" xr:uid="{00000000-0005-0000-0000-0000B0190000}"/>
    <cellStyle name="Normal 5 3 3 2 3 6 2" xfId="6882" xr:uid="{00000000-0005-0000-0000-0000B1190000}"/>
    <cellStyle name="Normal 5 3 3 2 3 6 2 2" xfId="15332" xr:uid="{37735C88-D71D-4002-8BB2-62264D0CF268}"/>
    <cellStyle name="Normal 5 3 3 2 3 6 3" xfId="11114" xr:uid="{ED3E3E39-D71D-406A-8C7A-C2A2FA38DB6E}"/>
    <cellStyle name="Normal 5 3 3 2 3 7" xfId="4817" xr:uid="{00000000-0005-0000-0000-0000B2190000}"/>
    <cellStyle name="Normal 5 3 3 2 3 7 2" xfId="13267" xr:uid="{154909C1-A3D5-424A-82AF-9FE5CD511AD0}"/>
    <cellStyle name="Normal 5 3 3 2 3 8" xfId="9049" xr:uid="{883C9A0A-1E50-4F21-B070-5872CC58E80B}"/>
    <cellStyle name="Normal 5 3 3 2 4" xfId="916" xr:uid="{00000000-0005-0000-0000-0000B3190000}"/>
    <cellStyle name="Normal 5 3 3 2 4 2" xfId="3150" xr:uid="{00000000-0005-0000-0000-0000B4190000}"/>
    <cellStyle name="Normal 5 3 3 2 4 2 2" xfId="7372" xr:uid="{00000000-0005-0000-0000-0000B5190000}"/>
    <cellStyle name="Normal 5 3 3 2 4 2 2 2" xfId="15822" xr:uid="{B42BCA9E-208D-41BB-ACA2-5103951D16B3}"/>
    <cellStyle name="Normal 5 3 3 2 4 2 3" xfId="11604" xr:uid="{43900D8F-5289-4EA7-825C-6E9B516E4D3E}"/>
    <cellStyle name="Normal 5 3 3 2 4 3" xfId="5227" xr:uid="{00000000-0005-0000-0000-0000B6190000}"/>
    <cellStyle name="Normal 5 3 3 2 4 3 2" xfId="13677" xr:uid="{6B47E244-C853-4F3B-B7BE-BA4ADB85B7D9}"/>
    <cellStyle name="Normal 5 3 3 2 4 4" xfId="9459" xr:uid="{C21C1970-CC85-4555-8F6E-967A55F415A1}"/>
    <cellStyle name="Normal 5 3 3 2 5" xfId="1333" xr:uid="{00000000-0005-0000-0000-0000B7190000}"/>
    <cellStyle name="Normal 5 3 3 2 5 2" xfId="3563" xr:uid="{00000000-0005-0000-0000-0000B8190000}"/>
    <cellStyle name="Normal 5 3 3 2 5 2 2" xfId="7785" xr:uid="{00000000-0005-0000-0000-0000B9190000}"/>
    <cellStyle name="Normal 5 3 3 2 5 2 2 2" xfId="16235" xr:uid="{72CF4705-0480-4391-8D39-49D774127E23}"/>
    <cellStyle name="Normal 5 3 3 2 5 2 3" xfId="12017" xr:uid="{0E2F983D-D839-4156-8D9B-CB4E2F576D1C}"/>
    <cellStyle name="Normal 5 3 3 2 5 3" xfId="5640" xr:uid="{00000000-0005-0000-0000-0000BA190000}"/>
    <cellStyle name="Normal 5 3 3 2 5 3 2" xfId="14090" xr:uid="{8E8A6873-B473-474F-ADD9-BC825211143E}"/>
    <cellStyle name="Normal 5 3 3 2 5 4" xfId="9872" xr:uid="{BE76B6EC-A6CA-4015-9345-EBC5F52E0286}"/>
    <cellStyle name="Normal 5 3 3 2 6" xfId="1746" xr:uid="{00000000-0005-0000-0000-0000BB190000}"/>
    <cellStyle name="Normal 5 3 3 2 6 2" xfId="3976" xr:uid="{00000000-0005-0000-0000-0000BC190000}"/>
    <cellStyle name="Normal 5 3 3 2 6 2 2" xfId="8198" xr:uid="{00000000-0005-0000-0000-0000BD190000}"/>
    <cellStyle name="Normal 5 3 3 2 6 2 2 2" xfId="16648" xr:uid="{408CADFE-1F4A-47C7-9813-4EF11341FC57}"/>
    <cellStyle name="Normal 5 3 3 2 6 2 3" xfId="12430" xr:uid="{97609DC1-0B7A-497D-8A65-40A6DC8055E5}"/>
    <cellStyle name="Normal 5 3 3 2 6 3" xfId="6053" xr:uid="{00000000-0005-0000-0000-0000BE190000}"/>
    <cellStyle name="Normal 5 3 3 2 6 3 2" xfId="14503" xr:uid="{A0C42228-42B3-44EF-852C-1C691D539116}"/>
    <cellStyle name="Normal 5 3 3 2 6 4" xfId="10285" xr:uid="{CE8CCD46-D541-4D9C-A24C-D319D5EA716E}"/>
    <cellStyle name="Normal 5 3 3 2 7" xfId="2160" xr:uid="{00000000-0005-0000-0000-0000BF190000}"/>
    <cellStyle name="Normal 5 3 3 2 7 2" xfId="4389" xr:uid="{00000000-0005-0000-0000-0000C0190000}"/>
    <cellStyle name="Normal 5 3 3 2 7 2 2" xfId="8611" xr:uid="{00000000-0005-0000-0000-0000C1190000}"/>
    <cellStyle name="Normal 5 3 3 2 7 2 2 2" xfId="17061" xr:uid="{652575BD-94DE-4C9F-B262-817D281169DC}"/>
    <cellStyle name="Normal 5 3 3 2 7 2 3" xfId="12843" xr:uid="{5508901C-B448-44BB-A5AA-E19C2240E6A9}"/>
    <cellStyle name="Normal 5 3 3 2 7 3" xfId="6466" xr:uid="{00000000-0005-0000-0000-0000C2190000}"/>
    <cellStyle name="Normal 5 3 3 2 7 3 2" xfId="14916" xr:uid="{921A34F9-25C3-4DEB-A3E6-76FA18428D5E}"/>
    <cellStyle name="Normal 5 3 3 2 7 4" xfId="10698" xr:uid="{A732EE01-4830-4B6D-82AC-55E09FCDDA7B}"/>
    <cellStyle name="Normal 5 3 3 2 8" xfId="2596" xr:uid="{00000000-0005-0000-0000-0000C3190000}"/>
    <cellStyle name="Normal 5 3 3 2 8 2" xfId="6879" xr:uid="{00000000-0005-0000-0000-0000C4190000}"/>
    <cellStyle name="Normal 5 3 3 2 8 2 2" xfId="15329" xr:uid="{7DA609F3-E2F3-4D10-ACCE-54E0D8A6EDA4}"/>
    <cellStyle name="Normal 5 3 3 2 8 3" xfId="11111" xr:uid="{EBBD0C21-E06B-4A94-94FE-FD2D24F3B877}"/>
    <cellStyle name="Normal 5 3 3 2 9" xfId="4814" xr:uid="{00000000-0005-0000-0000-0000C5190000}"/>
    <cellStyle name="Normal 5 3 3 2 9 2" xfId="13264" xr:uid="{E0E670A0-15E5-4935-8615-1A0EA426D6C2}"/>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2 2 2" xfId="15827" xr:uid="{8E968B47-17DB-4EA2-820C-17A57C91B9E4}"/>
    <cellStyle name="Normal 5 3 3 3 2 2 2 3" xfId="11609" xr:uid="{106E2E5D-52ED-4235-B622-72969806EAB6}"/>
    <cellStyle name="Normal 5 3 3 3 2 2 3" xfId="5232" xr:uid="{00000000-0005-0000-0000-0000CB190000}"/>
    <cellStyle name="Normal 5 3 3 3 2 2 3 2" xfId="13682" xr:uid="{AA190E32-F677-456D-9416-C020B8A4CE74}"/>
    <cellStyle name="Normal 5 3 3 3 2 2 4" xfId="9464" xr:uid="{290C921D-8077-44DB-8540-8FE055D9881C}"/>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2 2 2" xfId="16240" xr:uid="{D83CA3F0-A247-4EFD-A694-C71CFB4D6B41}"/>
    <cellStyle name="Normal 5 3 3 3 2 3 2 3" xfId="12022" xr:uid="{A26603EC-3623-4BBA-861C-6FF7388F41DD}"/>
    <cellStyle name="Normal 5 3 3 3 2 3 3" xfId="5645" xr:uid="{00000000-0005-0000-0000-0000CF190000}"/>
    <cellStyle name="Normal 5 3 3 3 2 3 3 2" xfId="14095" xr:uid="{C2BEA337-0F1F-46BC-82A0-B50FEDDB4962}"/>
    <cellStyle name="Normal 5 3 3 3 2 3 4" xfId="9877" xr:uid="{CFC8B5B4-0D4A-4126-B70E-C32542BB4465}"/>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2 2 2" xfId="16653" xr:uid="{7ADC8E14-A735-4575-A548-BC2BDB52EDD5}"/>
    <cellStyle name="Normal 5 3 3 3 2 4 2 3" xfId="12435" xr:uid="{FB34473C-3CC2-48AD-9B81-1D1FCD288614}"/>
    <cellStyle name="Normal 5 3 3 3 2 4 3" xfId="6058" xr:uid="{00000000-0005-0000-0000-0000D3190000}"/>
    <cellStyle name="Normal 5 3 3 3 2 4 3 2" xfId="14508" xr:uid="{7AF3FDFC-31BD-4553-A39D-AB65D9B9F4F6}"/>
    <cellStyle name="Normal 5 3 3 3 2 4 4" xfId="10290" xr:uid="{F179DAD5-7307-4E61-B23D-377BA7D42A99}"/>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2 2 2" xfId="17066" xr:uid="{2AC7192A-C7AB-4F78-BC5D-70DDC3EDA97E}"/>
    <cellStyle name="Normal 5 3 3 3 2 5 2 3" xfId="12848" xr:uid="{1CEA9E09-1A74-484F-9238-F922DC3FBBAE}"/>
    <cellStyle name="Normal 5 3 3 3 2 5 3" xfId="6471" xr:uid="{00000000-0005-0000-0000-0000D7190000}"/>
    <cellStyle name="Normal 5 3 3 3 2 5 3 2" xfId="14921" xr:uid="{A81D1C33-6E3D-4147-BCF6-D641DF715893}"/>
    <cellStyle name="Normal 5 3 3 3 2 5 4" xfId="10703" xr:uid="{6C15D10B-6641-4B5B-BA8E-CD2CA05F7BC0}"/>
    <cellStyle name="Normal 5 3 3 3 2 6" xfId="2601" xr:uid="{00000000-0005-0000-0000-0000D8190000}"/>
    <cellStyle name="Normal 5 3 3 3 2 6 2" xfId="6884" xr:uid="{00000000-0005-0000-0000-0000D9190000}"/>
    <cellStyle name="Normal 5 3 3 3 2 6 2 2" xfId="15334" xr:uid="{89197FB1-69F9-4581-9A76-A4EF8C516575}"/>
    <cellStyle name="Normal 5 3 3 3 2 6 3" xfId="11116" xr:uid="{1E764B56-2149-447C-A7B2-38FBD73A26D4}"/>
    <cellStyle name="Normal 5 3 3 3 2 7" xfId="4819" xr:uid="{00000000-0005-0000-0000-0000DA190000}"/>
    <cellStyle name="Normal 5 3 3 3 2 7 2" xfId="13269" xr:uid="{45BD2E15-3B3F-4AD9-B61F-D01703FE6DCB}"/>
    <cellStyle name="Normal 5 3 3 3 2 8" xfId="9051" xr:uid="{58BE6DDF-5F2E-4FC1-8B10-17588DEB5185}"/>
    <cellStyle name="Normal 5 3 3 3 3" xfId="920" xr:uid="{00000000-0005-0000-0000-0000DB190000}"/>
    <cellStyle name="Normal 5 3 3 3 3 2" xfId="3154" xr:uid="{00000000-0005-0000-0000-0000DC190000}"/>
    <cellStyle name="Normal 5 3 3 3 3 2 2" xfId="7376" xr:uid="{00000000-0005-0000-0000-0000DD190000}"/>
    <cellStyle name="Normal 5 3 3 3 3 2 2 2" xfId="15826" xr:uid="{CA77DF48-99AB-4A19-A34B-752B76864846}"/>
    <cellStyle name="Normal 5 3 3 3 3 2 3" xfId="11608" xr:uid="{6A25E235-1644-4FB7-8DB4-29F34C468D45}"/>
    <cellStyle name="Normal 5 3 3 3 3 3" xfId="5231" xr:uid="{00000000-0005-0000-0000-0000DE190000}"/>
    <cellStyle name="Normal 5 3 3 3 3 3 2" xfId="13681" xr:uid="{BB16AC9F-490B-4533-9664-76C4BF2947FB}"/>
    <cellStyle name="Normal 5 3 3 3 3 4" xfId="9463" xr:uid="{3A5365F3-7660-43D3-AB46-D5B8BCD846DD}"/>
    <cellStyle name="Normal 5 3 3 3 4" xfId="1337" xr:uid="{00000000-0005-0000-0000-0000DF190000}"/>
    <cellStyle name="Normal 5 3 3 3 4 2" xfId="3567" xr:uid="{00000000-0005-0000-0000-0000E0190000}"/>
    <cellStyle name="Normal 5 3 3 3 4 2 2" xfId="7789" xr:uid="{00000000-0005-0000-0000-0000E1190000}"/>
    <cellStyle name="Normal 5 3 3 3 4 2 2 2" xfId="16239" xr:uid="{68889579-84B3-47B8-997D-68A296D33CFE}"/>
    <cellStyle name="Normal 5 3 3 3 4 2 3" xfId="12021" xr:uid="{BA7E2EB1-2A00-4198-821C-31F86851B4CF}"/>
    <cellStyle name="Normal 5 3 3 3 4 3" xfId="5644" xr:uid="{00000000-0005-0000-0000-0000E2190000}"/>
    <cellStyle name="Normal 5 3 3 3 4 3 2" xfId="14094" xr:uid="{74FCCB1E-526C-4F7E-B5E2-44B978DCCB78}"/>
    <cellStyle name="Normal 5 3 3 3 4 4" xfId="9876" xr:uid="{812DC0C2-98BB-46D0-8A43-BC911FE2B9C8}"/>
    <cellStyle name="Normal 5 3 3 3 5" xfId="1750" xr:uid="{00000000-0005-0000-0000-0000E3190000}"/>
    <cellStyle name="Normal 5 3 3 3 5 2" xfId="3980" xr:uid="{00000000-0005-0000-0000-0000E4190000}"/>
    <cellStyle name="Normal 5 3 3 3 5 2 2" xfId="8202" xr:uid="{00000000-0005-0000-0000-0000E5190000}"/>
    <cellStyle name="Normal 5 3 3 3 5 2 2 2" xfId="16652" xr:uid="{1968A165-D6B6-4FA0-8C20-6737C84F7DB0}"/>
    <cellStyle name="Normal 5 3 3 3 5 2 3" xfId="12434" xr:uid="{E1760F40-2C99-427B-8CB0-F5AB2F944DF1}"/>
    <cellStyle name="Normal 5 3 3 3 5 3" xfId="6057" xr:uid="{00000000-0005-0000-0000-0000E6190000}"/>
    <cellStyle name="Normal 5 3 3 3 5 3 2" xfId="14507" xr:uid="{C78C3305-0E7B-414E-9D11-2E055C90518C}"/>
    <cellStyle name="Normal 5 3 3 3 5 4" xfId="10289" xr:uid="{78F6DA85-4B78-4DB3-A2B0-430FA8C42B08}"/>
    <cellStyle name="Normal 5 3 3 3 6" xfId="2164" xr:uid="{00000000-0005-0000-0000-0000E7190000}"/>
    <cellStyle name="Normal 5 3 3 3 6 2" xfId="4393" xr:uid="{00000000-0005-0000-0000-0000E8190000}"/>
    <cellStyle name="Normal 5 3 3 3 6 2 2" xfId="8615" xr:uid="{00000000-0005-0000-0000-0000E9190000}"/>
    <cellStyle name="Normal 5 3 3 3 6 2 2 2" xfId="17065" xr:uid="{AC5A7882-4F51-4A64-957A-3D458CD9EB34}"/>
    <cellStyle name="Normal 5 3 3 3 6 2 3" xfId="12847" xr:uid="{E364BDA4-D1FE-4A47-B11B-035312DD027E}"/>
    <cellStyle name="Normal 5 3 3 3 6 3" xfId="6470" xr:uid="{00000000-0005-0000-0000-0000EA190000}"/>
    <cellStyle name="Normal 5 3 3 3 6 3 2" xfId="14920" xr:uid="{7F4BEC70-8687-4926-A8DD-E29DBDE37C26}"/>
    <cellStyle name="Normal 5 3 3 3 6 4" xfId="10702" xr:uid="{EEA7EF16-02C1-4D7E-BFBC-C3F6BCECF34A}"/>
    <cellStyle name="Normal 5 3 3 3 7" xfId="2600" xr:uid="{00000000-0005-0000-0000-0000EB190000}"/>
    <cellStyle name="Normal 5 3 3 3 7 2" xfId="6883" xr:uid="{00000000-0005-0000-0000-0000EC190000}"/>
    <cellStyle name="Normal 5 3 3 3 7 2 2" xfId="15333" xr:uid="{A01E59B3-A512-45A8-9538-2B295A4293DF}"/>
    <cellStyle name="Normal 5 3 3 3 7 3" xfId="11115" xr:uid="{EF1ED32B-71A7-4B08-916A-9B49B3782A51}"/>
    <cellStyle name="Normal 5 3 3 3 8" xfId="4818" xr:uid="{00000000-0005-0000-0000-0000ED190000}"/>
    <cellStyle name="Normal 5 3 3 3 8 2" xfId="13268" xr:uid="{F22DC276-1258-425D-B77E-8441BB8698C4}"/>
    <cellStyle name="Normal 5 3 3 3 9" xfId="9050" xr:uid="{7A628DCE-49E7-42A2-A798-C1F044F244A7}"/>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2 2 2" xfId="15828" xr:uid="{0DF4829C-D41F-4FF6-A5EC-5260E0EA4215}"/>
    <cellStyle name="Normal 5 3 3 4 2 2 3" xfId="11610" xr:uid="{55B1DFA2-9F70-4213-9E16-A3A89F9D2677}"/>
    <cellStyle name="Normal 5 3 3 4 2 3" xfId="5233" xr:uid="{00000000-0005-0000-0000-0000F2190000}"/>
    <cellStyle name="Normal 5 3 3 4 2 3 2" xfId="13683" xr:uid="{A6EFC278-D9B5-46B8-8A8C-7BDF5D80F928}"/>
    <cellStyle name="Normal 5 3 3 4 2 4" xfId="9465" xr:uid="{82B2197A-FB4C-45AB-8085-ACAA2C644815}"/>
    <cellStyle name="Normal 5 3 3 4 3" xfId="1339" xr:uid="{00000000-0005-0000-0000-0000F3190000}"/>
    <cellStyle name="Normal 5 3 3 4 3 2" xfId="3569" xr:uid="{00000000-0005-0000-0000-0000F4190000}"/>
    <cellStyle name="Normal 5 3 3 4 3 2 2" xfId="7791" xr:uid="{00000000-0005-0000-0000-0000F5190000}"/>
    <cellStyle name="Normal 5 3 3 4 3 2 2 2" xfId="16241" xr:uid="{D516C82F-33B4-46DE-9431-9DDAA75766C3}"/>
    <cellStyle name="Normal 5 3 3 4 3 2 3" xfId="12023" xr:uid="{0800BE53-1850-4A68-B569-4E987F608DF9}"/>
    <cellStyle name="Normal 5 3 3 4 3 3" xfId="5646" xr:uid="{00000000-0005-0000-0000-0000F6190000}"/>
    <cellStyle name="Normal 5 3 3 4 3 3 2" xfId="14096" xr:uid="{4CAEEA96-1B71-4FCA-8171-181DD657D300}"/>
    <cellStyle name="Normal 5 3 3 4 3 4" xfId="9878" xr:uid="{66D32855-064D-4E21-8F16-6E32673E7982}"/>
    <cellStyle name="Normal 5 3 3 4 4" xfId="1752" xr:uid="{00000000-0005-0000-0000-0000F7190000}"/>
    <cellStyle name="Normal 5 3 3 4 4 2" xfId="3982" xr:uid="{00000000-0005-0000-0000-0000F8190000}"/>
    <cellStyle name="Normal 5 3 3 4 4 2 2" xfId="8204" xr:uid="{00000000-0005-0000-0000-0000F9190000}"/>
    <cellStyle name="Normal 5 3 3 4 4 2 2 2" xfId="16654" xr:uid="{87A28333-87D6-461E-B020-DB9C3F68B151}"/>
    <cellStyle name="Normal 5 3 3 4 4 2 3" xfId="12436" xr:uid="{2B188AFA-0280-405E-A312-3AE9EE4B9767}"/>
    <cellStyle name="Normal 5 3 3 4 4 3" xfId="6059" xr:uid="{00000000-0005-0000-0000-0000FA190000}"/>
    <cellStyle name="Normal 5 3 3 4 4 3 2" xfId="14509" xr:uid="{DBF6E293-7627-47E8-9A0C-D29C6DCBA131}"/>
    <cellStyle name="Normal 5 3 3 4 4 4" xfId="10291" xr:uid="{BCE5191B-D455-429C-8FD6-6F8C6D311D37}"/>
    <cellStyle name="Normal 5 3 3 4 5" xfId="2166" xr:uid="{00000000-0005-0000-0000-0000FB190000}"/>
    <cellStyle name="Normal 5 3 3 4 5 2" xfId="4395" xr:uid="{00000000-0005-0000-0000-0000FC190000}"/>
    <cellStyle name="Normal 5 3 3 4 5 2 2" xfId="8617" xr:uid="{00000000-0005-0000-0000-0000FD190000}"/>
    <cellStyle name="Normal 5 3 3 4 5 2 2 2" xfId="17067" xr:uid="{5709D2AE-B4CE-4345-ACCE-9399AF2F8929}"/>
    <cellStyle name="Normal 5 3 3 4 5 2 3" xfId="12849" xr:uid="{5DD01A45-4716-488F-80F0-55F8E2D92EEC}"/>
    <cellStyle name="Normal 5 3 3 4 5 3" xfId="6472" xr:uid="{00000000-0005-0000-0000-0000FE190000}"/>
    <cellStyle name="Normal 5 3 3 4 5 3 2" xfId="14922" xr:uid="{2D9B5F49-573D-4AFF-B33A-186199D06B7D}"/>
    <cellStyle name="Normal 5 3 3 4 5 4" xfId="10704" xr:uid="{8A810B9C-BDC7-4BFE-8C5D-81763D2544B5}"/>
    <cellStyle name="Normal 5 3 3 4 6" xfId="2602" xr:uid="{00000000-0005-0000-0000-0000FF190000}"/>
    <cellStyle name="Normal 5 3 3 4 6 2" xfId="6885" xr:uid="{00000000-0005-0000-0000-0000001A0000}"/>
    <cellStyle name="Normal 5 3 3 4 6 2 2" xfId="15335" xr:uid="{DEFFFA74-3C9D-4793-B588-8B824A5A2B3E}"/>
    <cellStyle name="Normal 5 3 3 4 6 3" xfId="11117" xr:uid="{456EF065-773A-4842-A44A-FDC057229A08}"/>
    <cellStyle name="Normal 5 3 3 4 7" xfId="4820" xr:uid="{00000000-0005-0000-0000-0000011A0000}"/>
    <cellStyle name="Normal 5 3 3 4 7 2" xfId="13270" xr:uid="{6FB885ED-C493-40CD-A603-DDA2FEFB9181}"/>
    <cellStyle name="Normal 5 3 3 4 8" xfId="9052" xr:uid="{812F387E-85B6-4C21-B26C-1371BFF2DE0C}"/>
    <cellStyle name="Normal 5 3 3 5" xfId="915" xr:uid="{00000000-0005-0000-0000-0000021A0000}"/>
    <cellStyle name="Normal 5 3 3 5 2" xfId="3149" xr:uid="{00000000-0005-0000-0000-0000031A0000}"/>
    <cellStyle name="Normal 5 3 3 5 2 2" xfId="7371" xr:uid="{00000000-0005-0000-0000-0000041A0000}"/>
    <cellStyle name="Normal 5 3 3 5 2 2 2" xfId="15821" xr:uid="{E9C2FB34-CECF-4716-B566-ACD4FB1B35FE}"/>
    <cellStyle name="Normal 5 3 3 5 2 3" xfId="11603" xr:uid="{F9C48E73-489D-4224-80AD-A6982E2C3035}"/>
    <cellStyle name="Normal 5 3 3 5 3" xfId="5226" xr:uid="{00000000-0005-0000-0000-0000051A0000}"/>
    <cellStyle name="Normal 5 3 3 5 3 2" xfId="13676" xr:uid="{1A51579C-E56F-4B84-9943-FD2C4AFD03B2}"/>
    <cellStyle name="Normal 5 3 3 5 4" xfId="9458" xr:uid="{31D65B2B-DCCA-44AD-98A0-438FE9143830}"/>
    <cellStyle name="Normal 5 3 3 6" xfId="1332" xr:uid="{00000000-0005-0000-0000-0000061A0000}"/>
    <cellStyle name="Normal 5 3 3 6 2" xfId="3562" xr:uid="{00000000-0005-0000-0000-0000071A0000}"/>
    <cellStyle name="Normal 5 3 3 6 2 2" xfId="7784" xr:uid="{00000000-0005-0000-0000-0000081A0000}"/>
    <cellStyle name="Normal 5 3 3 6 2 2 2" xfId="16234" xr:uid="{E4E63335-787B-498A-9866-C12C77259BC8}"/>
    <cellStyle name="Normal 5 3 3 6 2 3" xfId="12016" xr:uid="{68CE1B07-EB81-4E36-9279-C86CC0DA5F2D}"/>
    <cellStyle name="Normal 5 3 3 6 3" xfId="5639" xr:uid="{00000000-0005-0000-0000-0000091A0000}"/>
    <cellStyle name="Normal 5 3 3 6 3 2" xfId="14089" xr:uid="{D0ECA16E-22FD-4D31-A6BE-AEF4DA3E29E8}"/>
    <cellStyle name="Normal 5 3 3 6 4" xfId="9871" xr:uid="{058568CE-6655-47F8-949B-51E401CE3335}"/>
    <cellStyle name="Normal 5 3 3 7" xfId="1745" xr:uid="{00000000-0005-0000-0000-00000A1A0000}"/>
    <cellStyle name="Normal 5 3 3 7 2" xfId="3975" xr:uid="{00000000-0005-0000-0000-00000B1A0000}"/>
    <cellStyle name="Normal 5 3 3 7 2 2" xfId="8197" xr:uid="{00000000-0005-0000-0000-00000C1A0000}"/>
    <cellStyle name="Normal 5 3 3 7 2 2 2" xfId="16647" xr:uid="{342A6FFA-28DA-4ED8-BD90-75560AD77761}"/>
    <cellStyle name="Normal 5 3 3 7 2 3" xfId="12429" xr:uid="{EDD7D3EA-CDDD-4937-A386-661FD4AC32E7}"/>
    <cellStyle name="Normal 5 3 3 7 3" xfId="6052" xr:uid="{00000000-0005-0000-0000-00000D1A0000}"/>
    <cellStyle name="Normal 5 3 3 7 3 2" xfId="14502" xr:uid="{7147C17A-2A9E-4BB2-A326-3CF333C4DE61}"/>
    <cellStyle name="Normal 5 3 3 7 4" xfId="10284" xr:uid="{09C48C2D-E959-4726-BB7C-D0D48B8E4819}"/>
    <cellStyle name="Normal 5 3 3 8" xfId="2159" xr:uid="{00000000-0005-0000-0000-00000E1A0000}"/>
    <cellStyle name="Normal 5 3 3 8 2" xfId="4388" xr:uid="{00000000-0005-0000-0000-00000F1A0000}"/>
    <cellStyle name="Normal 5 3 3 8 2 2" xfId="8610" xr:uid="{00000000-0005-0000-0000-0000101A0000}"/>
    <cellStyle name="Normal 5 3 3 8 2 2 2" xfId="17060" xr:uid="{ED62BA9C-99C9-46B6-B05F-D153C28E8DAD}"/>
    <cellStyle name="Normal 5 3 3 8 2 3" xfId="12842" xr:uid="{4397EF05-4D78-482B-B33C-64C96359CEE7}"/>
    <cellStyle name="Normal 5 3 3 8 3" xfId="6465" xr:uid="{00000000-0005-0000-0000-0000111A0000}"/>
    <cellStyle name="Normal 5 3 3 8 3 2" xfId="14915" xr:uid="{0328F52D-E1B1-4153-867B-AC89A56C4F80}"/>
    <cellStyle name="Normal 5 3 3 8 4" xfId="10697" xr:uid="{B7FBCF1D-091A-4584-B2C2-7636B0A181D1}"/>
    <cellStyle name="Normal 5 3 3 9" xfId="2595" xr:uid="{00000000-0005-0000-0000-0000121A0000}"/>
    <cellStyle name="Normal 5 3 3 9 2" xfId="6878" xr:uid="{00000000-0005-0000-0000-0000131A0000}"/>
    <cellStyle name="Normal 5 3 3 9 2 2" xfId="15328" xr:uid="{AD65FB93-CD5E-4C42-9698-A26788C2E3C0}"/>
    <cellStyle name="Normal 5 3 3 9 3" xfId="11110" xr:uid="{83FC68BC-4407-4D62-B4B3-79FBEC6DD49B}"/>
    <cellStyle name="Normal 5 3 4" xfId="449" xr:uid="{00000000-0005-0000-0000-0000141A0000}"/>
    <cellStyle name="Normal 5 3 4 10" xfId="9053" xr:uid="{E40E5607-1D2E-4B16-B906-84561D7AA0A2}"/>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2 2 2" xfId="15831" xr:uid="{58ED9B8F-77B8-4FE5-AD0C-96A4A3D8FEEE}"/>
    <cellStyle name="Normal 5 3 4 2 2 2 2 3" xfId="11613" xr:uid="{3D1C6047-1B0A-4794-8554-11E2AE6E7715}"/>
    <cellStyle name="Normal 5 3 4 2 2 2 3" xfId="5236" xr:uid="{00000000-0005-0000-0000-00001A1A0000}"/>
    <cellStyle name="Normal 5 3 4 2 2 2 3 2" xfId="13686" xr:uid="{1354876E-F878-460D-A566-77A9DDBA55DA}"/>
    <cellStyle name="Normal 5 3 4 2 2 2 4" xfId="9468" xr:uid="{71D253A5-4CE5-4A35-8DA6-0BFBA3E0F4B8}"/>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2 2 2" xfId="16244" xr:uid="{158D333E-0132-4CE5-AD01-152748D3AE01}"/>
    <cellStyle name="Normal 5 3 4 2 2 3 2 3" xfId="12026" xr:uid="{6C1B4AA1-EC72-41A8-A844-B3D8BBEACBC2}"/>
    <cellStyle name="Normal 5 3 4 2 2 3 3" xfId="5649" xr:uid="{00000000-0005-0000-0000-00001E1A0000}"/>
    <cellStyle name="Normal 5 3 4 2 2 3 3 2" xfId="14099" xr:uid="{FE27F7C8-C006-4E83-8642-AA9DA86B1CA1}"/>
    <cellStyle name="Normal 5 3 4 2 2 3 4" xfId="9881" xr:uid="{E52D0628-F979-4622-B796-EC395421A70D}"/>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2 2 2" xfId="16657" xr:uid="{9C408BB1-F4E0-439E-A4B2-185290032142}"/>
    <cellStyle name="Normal 5 3 4 2 2 4 2 3" xfId="12439" xr:uid="{E6B7BD30-EFB0-403C-B929-0B4ACA9DD74B}"/>
    <cellStyle name="Normal 5 3 4 2 2 4 3" xfId="6062" xr:uid="{00000000-0005-0000-0000-0000221A0000}"/>
    <cellStyle name="Normal 5 3 4 2 2 4 3 2" xfId="14512" xr:uid="{35050732-5E87-41CC-AE56-C50376F0AC80}"/>
    <cellStyle name="Normal 5 3 4 2 2 4 4" xfId="10294" xr:uid="{562D311C-2409-4A87-8661-62F17E74BEBF}"/>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2 2 2" xfId="17070" xr:uid="{7744975C-4C64-416C-822A-D5131E94C370}"/>
    <cellStyle name="Normal 5 3 4 2 2 5 2 3" xfId="12852" xr:uid="{E934B48C-F103-4772-9B81-7A70D25E8997}"/>
    <cellStyle name="Normal 5 3 4 2 2 5 3" xfId="6475" xr:uid="{00000000-0005-0000-0000-0000261A0000}"/>
    <cellStyle name="Normal 5 3 4 2 2 5 3 2" xfId="14925" xr:uid="{646C4387-8D78-4384-BABD-C229AC06C2B6}"/>
    <cellStyle name="Normal 5 3 4 2 2 5 4" xfId="10707" xr:uid="{196A8800-980C-44E1-BDD0-19CF251359CC}"/>
    <cellStyle name="Normal 5 3 4 2 2 6" xfId="2605" xr:uid="{00000000-0005-0000-0000-0000271A0000}"/>
    <cellStyle name="Normal 5 3 4 2 2 6 2" xfId="6888" xr:uid="{00000000-0005-0000-0000-0000281A0000}"/>
    <cellStyle name="Normal 5 3 4 2 2 6 2 2" xfId="15338" xr:uid="{8E20067D-E0A7-431C-8F53-D1D2F5780DD5}"/>
    <cellStyle name="Normal 5 3 4 2 2 6 3" xfId="11120" xr:uid="{D3267845-2CA0-4946-B58D-50822B219F51}"/>
    <cellStyle name="Normal 5 3 4 2 2 7" xfId="4823" xr:uid="{00000000-0005-0000-0000-0000291A0000}"/>
    <cellStyle name="Normal 5 3 4 2 2 7 2" xfId="13273" xr:uid="{FCA6C76E-B4E9-4B4A-8039-7540AA50FDBD}"/>
    <cellStyle name="Normal 5 3 4 2 2 8" xfId="9055" xr:uid="{68291828-BA44-41A8-A23E-7C61895175D5}"/>
    <cellStyle name="Normal 5 3 4 2 3" xfId="924" xr:uid="{00000000-0005-0000-0000-00002A1A0000}"/>
    <cellStyle name="Normal 5 3 4 2 3 2" xfId="3158" xr:uid="{00000000-0005-0000-0000-00002B1A0000}"/>
    <cellStyle name="Normal 5 3 4 2 3 2 2" xfId="7380" xr:uid="{00000000-0005-0000-0000-00002C1A0000}"/>
    <cellStyle name="Normal 5 3 4 2 3 2 2 2" xfId="15830" xr:uid="{E2C8E778-0704-4BF2-A5BA-DBE4662F1285}"/>
    <cellStyle name="Normal 5 3 4 2 3 2 3" xfId="11612" xr:uid="{E9C2C371-1EE4-4326-B86F-683CE107BA03}"/>
    <cellStyle name="Normal 5 3 4 2 3 3" xfId="5235" xr:uid="{00000000-0005-0000-0000-00002D1A0000}"/>
    <cellStyle name="Normal 5 3 4 2 3 3 2" xfId="13685" xr:uid="{8302C113-A7E1-4203-A890-2EDD94AD51CF}"/>
    <cellStyle name="Normal 5 3 4 2 3 4" xfId="9467" xr:uid="{FA4A0144-4A46-42AF-89BF-7C617BE8CE52}"/>
    <cellStyle name="Normal 5 3 4 2 4" xfId="1341" xr:uid="{00000000-0005-0000-0000-00002E1A0000}"/>
    <cellStyle name="Normal 5 3 4 2 4 2" xfId="3571" xr:uid="{00000000-0005-0000-0000-00002F1A0000}"/>
    <cellStyle name="Normal 5 3 4 2 4 2 2" xfId="7793" xr:uid="{00000000-0005-0000-0000-0000301A0000}"/>
    <cellStyle name="Normal 5 3 4 2 4 2 2 2" xfId="16243" xr:uid="{6DD46EA3-4A1F-4F4F-901A-47965418A15B}"/>
    <cellStyle name="Normal 5 3 4 2 4 2 3" xfId="12025" xr:uid="{47F4CB62-0273-42DF-A602-C5CC5A757ACB}"/>
    <cellStyle name="Normal 5 3 4 2 4 3" xfId="5648" xr:uid="{00000000-0005-0000-0000-0000311A0000}"/>
    <cellStyle name="Normal 5 3 4 2 4 3 2" xfId="14098" xr:uid="{9A7E1FDF-C8D4-4392-8B2D-90C2728FFB6B}"/>
    <cellStyle name="Normal 5 3 4 2 4 4" xfId="9880" xr:uid="{726DF17C-764E-4F85-A84D-440C26C01AE0}"/>
    <cellStyle name="Normal 5 3 4 2 5" xfId="1754" xr:uid="{00000000-0005-0000-0000-0000321A0000}"/>
    <cellStyle name="Normal 5 3 4 2 5 2" xfId="3984" xr:uid="{00000000-0005-0000-0000-0000331A0000}"/>
    <cellStyle name="Normal 5 3 4 2 5 2 2" xfId="8206" xr:uid="{00000000-0005-0000-0000-0000341A0000}"/>
    <cellStyle name="Normal 5 3 4 2 5 2 2 2" xfId="16656" xr:uid="{01B40576-EDEC-46D9-AA08-8D082FA5CCD2}"/>
    <cellStyle name="Normal 5 3 4 2 5 2 3" xfId="12438" xr:uid="{4B3345A9-321A-44A3-9285-F2649A3B75A5}"/>
    <cellStyle name="Normal 5 3 4 2 5 3" xfId="6061" xr:uid="{00000000-0005-0000-0000-0000351A0000}"/>
    <cellStyle name="Normal 5 3 4 2 5 3 2" xfId="14511" xr:uid="{4C8086DF-27AF-43CC-8B53-AB8F2C06835B}"/>
    <cellStyle name="Normal 5 3 4 2 5 4" xfId="10293" xr:uid="{7B5E1FAE-867F-4452-9826-71A3827ADB4C}"/>
    <cellStyle name="Normal 5 3 4 2 6" xfId="2168" xr:uid="{00000000-0005-0000-0000-0000361A0000}"/>
    <cellStyle name="Normal 5 3 4 2 6 2" xfId="4397" xr:uid="{00000000-0005-0000-0000-0000371A0000}"/>
    <cellStyle name="Normal 5 3 4 2 6 2 2" xfId="8619" xr:uid="{00000000-0005-0000-0000-0000381A0000}"/>
    <cellStyle name="Normal 5 3 4 2 6 2 2 2" xfId="17069" xr:uid="{4B668E0D-E775-4440-95CB-248D14CB0D72}"/>
    <cellStyle name="Normal 5 3 4 2 6 2 3" xfId="12851" xr:uid="{5E51ABA3-B23F-4798-9BF9-985D1A5C4286}"/>
    <cellStyle name="Normal 5 3 4 2 6 3" xfId="6474" xr:uid="{00000000-0005-0000-0000-0000391A0000}"/>
    <cellStyle name="Normal 5 3 4 2 6 3 2" xfId="14924" xr:uid="{C2E03132-2642-4A69-9EBF-38C0544DE34F}"/>
    <cellStyle name="Normal 5 3 4 2 6 4" xfId="10706" xr:uid="{44E6D853-5FE0-4FDD-A63C-E07BF005F036}"/>
    <cellStyle name="Normal 5 3 4 2 7" xfId="2604" xr:uid="{00000000-0005-0000-0000-00003A1A0000}"/>
    <cellStyle name="Normal 5 3 4 2 7 2" xfId="6887" xr:uid="{00000000-0005-0000-0000-00003B1A0000}"/>
    <cellStyle name="Normal 5 3 4 2 7 2 2" xfId="15337" xr:uid="{9100C949-FA2B-4360-A898-BEA3AFC783D0}"/>
    <cellStyle name="Normal 5 3 4 2 7 3" xfId="11119" xr:uid="{CA68FCB9-70E6-4322-91FD-E363F3BB3BC1}"/>
    <cellStyle name="Normal 5 3 4 2 8" xfId="4822" xr:uid="{00000000-0005-0000-0000-00003C1A0000}"/>
    <cellStyle name="Normal 5 3 4 2 8 2" xfId="13272" xr:uid="{ADD830A0-D17D-4C45-AA35-C9B18350B099}"/>
    <cellStyle name="Normal 5 3 4 2 9" xfId="9054" xr:uid="{47CBAED6-118C-4961-942C-803F3DC79F21}"/>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2 2 2" xfId="15832" xr:uid="{E06F951D-1F11-4C26-9326-761B6ED74A93}"/>
    <cellStyle name="Normal 5 3 4 3 2 2 3" xfId="11614" xr:uid="{3B22845A-C00F-48C2-98B5-14653AB7C2DE}"/>
    <cellStyle name="Normal 5 3 4 3 2 3" xfId="5237" xr:uid="{00000000-0005-0000-0000-0000411A0000}"/>
    <cellStyle name="Normal 5 3 4 3 2 3 2" xfId="13687" xr:uid="{6E91B295-56F4-43A8-B232-7250EED7B199}"/>
    <cellStyle name="Normal 5 3 4 3 2 4" xfId="9469" xr:uid="{B6DB85ED-F4A1-4581-9EA7-960C21D4787A}"/>
    <cellStyle name="Normal 5 3 4 3 3" xfId="1343" xr:uid="{00000000-0005-0000-0000-0000421A0000}"/>
    <cellStyle name="Normal 5 3 4 3 3 2" xfId="3573" xr:uid="{00000000-0005-0000-0000-0000431A0000}"/>
    <cellStyle name="Normal 5 3 4 3 3 2 2" xfId="7795" xr:uid="{00000000-0005-0000-0000-0000441A0000}"/>
    <cellStyle name="Normal 5 3 4 3 3 2 2 2" xfId="16245" xr:uid="{93E96D17-78A9-4632-985C-B14478A47F57}"/>
    <cellStyle name="Normal 5 3 4 3 3 2 3" xfId="12027" xr:uid="{C3DEEA9C-3492-44DB-B80F-342477FE69A7}"/>
    <cellStyle name="Normal 5 3 4 3 3 3" xfId="5650" xr:uid="{00000000-0005-0000-0000-0000451A0000}"/>
    <cellStyle name="Normal 5 3 4 3 3 3 2" xfId="14100" xr:uid="{CBDD0AFD-37C5-4D20-8C0D-8AE32F393C7C}"/>
    <cellStyle name="Normal 5 3 4 3 3 4" xfId="9882" xr:uid="{FC815BCE-F67B-4BCB-9E67-1A037339AB5C}"/>
    <cellStyle name="Normal 5 3 4 3 4" xfId="1756" xr:uid="{00000000-0005-0000-0000-0000461A0000}"/>
    <cellStyle name="Normal 5 3 4 3 4 2" xfId="3986" xr:uid="{00000000-0005-0000-0000-0000471A0000}"/>
    <cellStyle name="Normal 5 3 4 3 4 2 2" xfId="8208" xr:uid="{00000000-0005-0000-0000-0000481A0000}"/>
    <cellStyle name="Normal 5 3 4 3 4 2 2 2" xfId="16658" xr:uid="{3CD2F715-9D9C-4449-B146-3974D346D3A0}"/>
    <cellStyle name="Normal 5 3 4 3 4 2 3" xfId="12440" xr:uid="{8A33461F-6982-4802-BF32-396656500D23}"/>
    <cellStyle name="Normal 5 3 4 3 4 3" xfId="6063" xr:uid="{00000000-0005-0000-0000-0000491A0000}"/>
    <cellStyle name="Normal 5 3 4 3 4 3 2" xfId="14513" xr:uid="{4EAB9B8C-FBA6-45F9-9556-CF79FD1D41DD}"/>
    <cellStyle name="Normal 5 3 4 3 4 4" xfId="10295" xr:uid="{76E96BAE-DD33-43FC-BE23-42A1FA688B38}"/>
    <cellStyle name="Normal 5 3 4 3 5" xfId="2170" xr:uid="{00000000-0005-0000-0000-00004A1A0000}"/>
    <cellStyle name="Normal 5 3 4 3 5 2" xfId="4399" xr:uid="{00000000-0005-0000-0000-00004B1A0000}"/>
    <cellStyle name="Normal 5 3 4 3 5 2 2" xfId="8621" xr:uid="{00000000-0005-0000-0000-00004C1A0000}"/>
    <cellStyle name="Normal 5 3 4 3 5 2 2 2" xfId="17071" xr:uid="{FB59F48A-98AE-4913-BEA5-7ED1A305A56A}"/>
    <cellStyle name="Normal 5 3 4 3 5 2 3" xfId="12853" xr:uid="{38320353-E93C-4F0B-ACFE-8B39171094A2}"/>
    <cellStyle name="Normal 5 3 4 3 5 3" xfId="6476" xr:uid="{00000000-0005-0000-0000-00004D1A0000}"/>
    <cellStyle name="Normal 5 3 4 3 5 3 2" xfId="14926" xr:uid="{49BFBAB8-9678-4A9E-A986-BEDF6C09B5A5}"/>
    <cellStyle name="Normal 5 3 4 3 5 4" xfId="10708" xr:uid="{DA81F865-64E9-48F8-A163-E681DFFD81A1}"/>
    <cellStyle name="Normal 5 3 4 3 6" xfId="2606" xr:uid="{00000000-0005-0000-0000-00004E1A0000}"/>
    <cellStyle name="Normal 5 3 4 3 6 2" xfId="6889" xr:uid="{00000000-0005-0000-0000-00004F1A0000}"/>
    <cellStyle name="Normal 5 3 4 3 6 2 2" xfId="15339" xr:uid="{6F3E4AFB-B1CA-47AB-9DA5-937A3B7EC8E8}"/>
    <cellStyle name="Normal 5 3 4 3 6 3" xfId="11121" xr:uid="{D6AA423C-DBC3-4678-854C-90DC8EDB1DBB}"/>
    <cellStyle name="Normal 5 3 4 3 7" xfId="4824" xr:uid="{00000000-0005-0000-0000-0000501A0000}"/>
    <cellStyle name="Normal 5 3 4 3 7 2" xfId="13274" xr:uid="{791E83ED-E0A7-4778-916C-8EC7FE312FC2}"/>
    <cellStyle name="Normal 5 3 4 3 8" xfId="9056" xr:uid="{EA8BCE6A-9B39-41A7-AC6F-6266CBB65405}"/>
    <cellStyle name="Normal 5 3 4 4" xfId="923" xr:uid="{00000000-0005-0000-0000-0000511A0000}"/>
    <cellStyle name="Normal 5 3 4 4 2" xfId="3157" xr:uid="{00000000-0005-0000-0000-0000521A0000}"/>
    <cellStyle name="Normal 5 3 4 4 2 2" xfId="7379" xr:uid="{00000000-0005-0000-0000-0000531A0000}"/>
    <cellStyle name="Normal 5 3 4 4 2 2 2" xfId="15829" xr:uid="{CA77BEEF-644F-491D-95BD-826E9F3E422D}"/>
    <cellStyle name="Normal 5 3 4 4 2 3" xfId="11611" xr:uid="{7AFE2EC2-BD61-479D-80D7-A46EAA8AB474}"/>
    <cellStyle name="Normal 5 3 4 4 3" xfId="5234" xr:uid="{00000000-0005-0000-0000-0000541A0000}"/>
    <cellStyle name="Normal 5 3 4 4 3 2" xfId="13684" xr:uid="{A1917EC7-580C-4175-A811-873C49FADF59}"/>
    <cellStyle name="Normal 5 3 4 4 4" xfId="9466" xr:uid="{952D3EFD-A9C7-44D9-AB6B-9DDB71AF8E32}"/>
    <cellStyle name="Normal 5 3 4 5" xfId="1340" xr:uid="{00000000-0005-0000-0000-0000551A0000}"/>
    <cellStyle name="Normal 5 3 4 5 2" xfId="3570" xr:uid="{00000000-0005-0000-0000-0000561A0000}"/>
    <cellStyle name="Normal 5 3 4 5 2 2" xfId="7792" xr:uid="{00000000-0005-0000-0000-0000571A0000}"/>
    <cellStyle name="Normal 5 3 4 5 2 2 2" xfId="16242" xr:uid="{96396174-5542-435B-93B7-3796B9CA32BC}"/>
    <cellStyle name="Normal 5 3 4 5 2 3" xfId="12024" xr:uid="{9E77ED0A-6D53-4CEE-BA03-6AE108090CAE}"/>
    <cellStyle name="Normal 5 3 4 5 3" xfId="5647" xr:uid="{00000000-0005-0000-0000-0000581A0000}"/>
    <cellStyle name="Normal 5 3 4 5 3 2" xfId="14097" xr:uid="{509D5880-6875-4EAE-A93B-58A49505E0EB}"/>
    <cellStyle name="Normal 5 3 4 5 4" xfId="9879" xr:uid="{B5882341-43E2-4246-AEC8-F5BFE7954162}"/>
    <cellStyle name="Normal 5 3 4 6" xfId="1753" xr:uid="{00000000-0005-0000-0000-0000591A0000}"/>
    <cellStyle name="Normal 5 3 4 6 2" xfId="3983" xr:uid="{00000000-0005-0000-0000-00005A1A0000}"/>
    <cellStyle name="Normal 5 3 4 6 2 2" xfId="8205" xr:uid="{00000000-0005-0000-0000-00005B1A0000}"/>
    <cellStyle name="Normal 5 3 4 6 2 2 2" xfId="16655" xr:uid="{B79A667C-F824-42ED-B9AC-C13ACD3BB238}"/>
    <cellStyle name="Normal 5 3 4 6 2 3" xfId="12437" xr:uid="{404D861B-750B-46EE-9F75-C7A2184909E7}"/>
    <cellStyle name="Normal 5 3 4 6 3" xfId="6060" xr:uid="{00000000-0005-0000-0000-00005C1A0000}"/>
    <cellStyle name="Normal 5 3 4 6 3 2" xfId="14510" xr:uid="{31A0035C-10C6-4BE8-B436-67012E74FEB5}"/>
    <cellStyle name="Normal 5 3 4 6 4" xfId="10292" xr:uid="{DDE0C303-2932-4BBF-84F8-6B81568A44E7}"/>
    <cellStyle name="Normal 5 3 4 7" xfId="2167" xr:uid="{00000000-0005-0000-0000-00005D1A0000}"/>
    <cellStyle name="Normal 5 3 4 7 2" xfId="4396" xr:uid="{00000000-0005-0000-0000-00005E1A0000}"/>
    <cellStyle name="Normal 5 3 4 7 2 2" xfId="8618" xr:uid="{00000000-0005-0000-0000-00005F1A0000}"/>
    <cellStyle name="Normal 5 3 4 7 2 2 2" xfId="17068" xr:uid="{EE91D152-050B-48AF-9098-FC6C71471250}"/>
    <cellStyle name="Normal 5 3 4 7 2 3" xfId="12850" xr:uid="{A7E271C1-A396-4636-9BA2-2F6F193D93CD}"/>
    <cellStyle name="Normal 5 3 4 7 3" xfId="6473" xr:uid="{00000000-0005-0000-0000-0000601A0000}"/>
    <cellStyle name="Normal 5 3 4 7 3 2" xfId="14923" xr:uid="{5BBC534F-5144-434C-BBE6-2536CB2CA898}"/>
    <cellStyle name="Normal 5 3 4 7 4" xfId="10705" xr:uid="{E508E947-5D28-4F1F-8A21-17CA7BB84151}"/>
    <cellStyle name="Normal 5 3 4 8" xfId="2603" xr:uid="{00000000-0005-0000-0000-0000611A0000}"/>
    <cellStyle name="Normal 5 3 4 8 2" xfId="6886" xr:uid="{00000000-0005-0000-0000-0000621A0000}"/>
    <cellStyle name="Normal 5 3 4 8 2 2" xfId="15336" xr:uid="{0BC1C37B-C7A8-4FE6-8AAF-9511F8D5D20D}"/>
    <cellStyle name="Normal 5 3 4 8 3" xfId="11118" xr:uid="{CAA604F7-621D-4825-B5AC-3338503DD307}"/>
    <cellStyle name="Normal 5 3 4 9" xfId="4821" xr:uid="{00000000-0005-0000-0000-0000631A0000}"/>
    <cellStyle name="Normal 5 3 4 9 2" xfId="13271" xr:uid="{43CCFA8E-F6A9-467D-A5CE-6C39C2F1DC3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2 2 2" xfId="15834" xr:uid="{B4AC1342-FA05-45B7-88D8-03A886EF5318}"/>
    <cellStyle name="Normal 5 3 5 2 2 2 3" xfId="11616" xr:uid="{502FD7E3-109D-4119-A1F8-5B5A3EAD9661}"/>
    <cellStyle name="Normal 5 3 5 2 2 3" xfId="5239" xr:uid="{00000000-0005-0000-0000-0000691A0000}"/>
    <cellStyle name="Normal 5 3 5 2 2 3 2" xfId="13689" xr:uid="{EBE2B01A-01B5-4CE1-88DD-C00CC669D3AA}"/>
    <cellStyle name="Normal 5 3 5 2 2 4" xfId="9471" xr:uid="{E419EF28-33A9-49F7-83ED-ED67AAB7E196}"/>
    <cellStyle name="Normal 5 3 5 2 3" xfId="1345" xr:uid="{00000000-0005-0000-0000-00006A1A0000}"/>
    <cellStyle name="Normal 5 3 5 2 3 2" xfId="3575" xr:uid="{00000000-0005-0000-0000-00006B1A0000}"/>
    <cellStyle name="Normal 5 3 5 2 3 2 2" xfId="7797" xr:uid="{00000000-0005-0000-0000-00006C1A0000}"/>
    <cellStyle name="Normal 5 3 5 2 3 2 2 2" xfId="16247" xr:uid="{975E5A7E-3F42-40C7-8BB5-21AB0F4A6EE3}"/>
    <cellStyle name="Normal 5 3 5 2 3 2 3" xfId="12029" xr:uid="{2A754AA7-EADA-4D4B-8FF6-EC8EF6A17A82}"/>
    <cellStyle name="Normal 5 3 5 2 3 3" xfId="5652" xr:uid="{00000000-0005-0000-0000-00006D1A0000}"/>
    <cellStyle name="Normal 5 3 5 2 3 3 2" xfId="14102" xr:uid="{40C82165-E562-47E8-B218-4B7EA6305022}"/>
    <cellStyle name="Normal 5 3 5 2 3 4" xfId="9884" xr:uid="{74782DBF-09AD-4883-A62D-35735A3F9433}"/>
    <cellStyle name="Normal 5 3 5 2 4" xfId="1758" xr:uid="{00000000-0005-0000-0000-00006E1A0000}"/>
    <cellStyle name="Normal 5 3 5 2 4 2" xfId="3988" xr:uid="{00000000-0005-0000-0000-00006F1A0000}"/>
    <cellStyle name="Normal 5 3 5 2 4 2 2" xfId="8210" xr:uid="{00000000-0005-0000-0000-0000701A0000}"/>
    <cellStyle name="Normal 5 3 5 2 4 2 2 2" xfId="16660" xr:uid="{7193A5B5-C3C2-4AC9-82DA-4558A654F72C}"/>
    <cellStyle name="Normal 5 3 5 2 4 2 3" xfId="12442" xr:uid="{0C67A7ED-6795-44CB-84AB-FB62F32F6FDF}"/>
    <cellStyle name="Normal 5 3 5 2 4 3" xfId="6065" xr:uid="{00000000-0005-0000-0000-0000711A0000}"/>
    <cellStyle name="Normal 5 3 5 2 4 3 2" xfId="14515" xr:uid="{0C98A4E0-617E-4126-882D-2F4B65A9F341}"/>
    <cellStyle name="Normal 5 3 5 2 4 4" xfId="10297" xr:uid="{467F971F-3FB8-47DF-9254-A070184966AF}"/>
    <cellStyle name="Normal 5 3 5 2 5" xfId="2172" xr:uid="{00000000-0005-0000-0000-0000721A0000}"/>
    <cellStyle name="Normal 5 3 5 2 5 2" xfId="4401" xr:uid="{00000000-0005-0000-0000-0000731A0000}"/>
    <cellStyle name="Normal 5 3 5 2 5 2 2" xfId="8623" xr:uid="{00000000-0005-0000-0000-0000741A0000}"/>
    <cellStyle name="Normal 5 3 5 2 5 2 2 2" xfId="17073" xr:uid="{E94ECC8F-F913-4305-A5A4-E614333D905F}"/>
    <cellStyle name="Normal 5 3 5 2 5 2 3" xfId="12855" xr:uid="{DDA79F9C-8773-4AD5-89D0-8AD6CFB6490F}"/>
    <cellStyle name="Normal 5 3 5 2 5 3" xfId="6478" xr:uid="{00000000-0005-0000-0000-0000751A0000}"/>
    <cellStyle name="Normal 5 3 5 2 5 3 2" xfId="14928" xr:uid="{DEF68494-1D79-4171-B192-BD0869F372F0}"/>
    <cellStyle name="Normal 5 3 5 2 5 4" xfId="10710" xr:uid="{981C60F9-7982-4AFD-8E59-0DF3125DB684}"/>
    <cellStyle name="Normal 5 3 5 2 6" xfId="2608" xr:uid="{00000000-0005-0000-0000-0000761A0000}"/>
    <cellStyle name="Normal 5 3 5 2 6 2" xfId="6891" xr:uid="{00000000-0005-0000-0000-0000771A0000}"/>
    <cellStyle name="Normal 5 3 5 2 6 2 2" xfId="15341" xr:uid="{9A9232B8-2F09-4E7C-A3A4-588F93D7ECB7}"/>
    <cellStyle name="Normal 5 3 5 2 6 3" xfId="11123" xr:uid="{1F495230-8202-4A4E-BC65-C1270AFDFB01}"/>
    <cellStyle name="Normal 5 3 5 2 7" xfId="4826" xr:uid="{00000000-0005-0000-0000-0000781A0000}"/>
    <cellStyle name="Normal 5 3 5 2 7 2" xfId="13276" xr:uid="{9A440AA7-2F69-412B-9D29-0B01A54CE108}"/>
    <cellStyle name="Normal 5 3 5 2 8" xfId="9058" xr:uid="{1F872581-E39A-4D6D-B061-4B1307101863}"/>
    <cellStyle name="Normal 5 3 5 3" xfId="927" xr:uid="{00000000-0005-0000-0000-0000791A0000}"/>
    <cellStyle name="Normal 5 3 5 3 2" xfId="3161" xr:uid="{00000000-0005-0000-0000-00007A1A0000}"/>
    <cellStyle name="Normal 5 3 5 3 2 2" xfId="7383" xr:uid="{00000000-0005-0000-0000-00007B1A0000}"/>
    <cellStyle name="Normal 5 3 5 3 2 2 2" xfId="15833" xr:uid="{5DB5EA66-14F6-461C-A556-F50863C93647}"/>
    <cellStyle name="Normal 5 3 5 3 2 3" xfId="11615" xr:uid="{C306EDA2-F53E-4E7D-9DCB-770934D67A26}"/>
    <cellStyle name="Normal 5 3 5 3 3" xfId="5238" xr:uid="{00000000-0005-0000-0000-00007C1A0000}"/>
    <cellStyle name="Normal 5 3 5 3 3 2" xfId="13688" xr:uid="{69C24D5B-D296-4688-B200-5E1BFDF4E84E}"/>
    <cellStyle name="Normal 5 3 5 3 4" xfId="9470" xr:uid="{7885D4FC-CB4F-4589-AAD8-34D8A246A9A3}"/>
    <cellStyle name="Normal 5 3 5 4" xfId="1344" xr:uid="{00000000-0005-0000-0000-00007D1A0000}"/>
    <cellStyle name="Normal 5 3 5 4 2" xfId="3574" xr:uid="{00000000-0005-0000-0000-00007E1A0000}"/>
    <cellStyle name="Normal 5 3 5 4 2 2" xfId="7796" xr:uid="{00000000-0005-0000-0000-00007F1A0000}"/>
    <cellStyle name="Normal 5 3 5 4 2 2 2" xfId="16246" xr:uid="{CF6B8059-FBEA-475B-8A41-C1CEFEFB6243}"/>
    <cellStyle name="Normal 5 3 5 4 2 3" xfId="12028" xr:uid="{6E995C1F-289E-4AC7-8149-EACC284F02BD}"/>
    <cellStyle name="Normal 5 3 5 4 3" xfId="5651" xr:uid="{00000000-0005-0000-0000-0000801A0000}"/>
    <cellStyle name="Normal 5 3 5 4 3 2" xfId="14101" xr:uid="{98A0CB57-1230-4020-993B-A93A55F2C01F}"/>
    <cellStyle name="Normal 5 3 5 4 4" xfId="9883" xr:uid="{00AC2495-DF46-4E36-AD5A-94309D95D19D}"/>
    <cellStyle name="Normal 5 3 5 5" xfId="1757" xr:uid="{00000000-0005-0000-0000-0000811A0000}"/>
    <cellStyle name="Normal 5 3 5 5 2" xfId="3987" xr:uid="{00000000-0005-0000-0000-0000821A0000}"/>
    <cellStyle name="Normal 5 3 5 5 2 2" xfId="8209" xr:uid="{00000000-0005-0000-0000-0000831A0000}"/>
    <cellStyle name="Normal 5 3 5 5 2 2 2" xfId="16659" xr:uid="{A6955812-444B-4F7F-9962-C82A0ED3960C}"/>
    <cellStyle name="Normal 5 3 5 5 2 3" xfId="12441" xr:uid="{4DCFBAFB-7F79-4191-AEE3-548A39A36AA3}"/>
    <cellStyle name="Normal 5 3 5 5 3" xfId="6064" xr:uid="{00000000-0005-0000-0000-0000841A0000}"/>
    <cellStyle name="Normal 5 3 5 5 3 2" xfId="14514" xr:uid="{8DB20CFF-306B-4859-9E39-3B3FAC9CD3C8}"/>
    <cellStyle name="Normal 5 3 5 5 4" xfId="10296" xr:uid="{D2E7035E-AA5D-46C5-BEE9-0C97594F5C0D}"/>
    <cellStyle name="Normal 5 3 5 6" xfId="2171" xr:uid="{00000000-0005-0000-0000-0000851A0000}"/>
    <cellStyle name="Normal 5 3 5 6 2" xfId="4400" xr:uid="{00000000-0005-0000-0000-0000861A0000}"/>
    <cellStyle name="Normal 5 3 5 6 2 2" xfId="8622" xr:uid="{00000000-0005-0000-0000-0000871A0000}"/>
    <cellStyle name="Normal 5 3 5 6 2 2 2" xfId="17072" xr:uid="{04470995-7103-47AC-9DED-5AAC56D68F39}"/>
    <cellStyle name="Normal 5 3 5 6 2 3" xfId="12854" xr:uid="{39F107CA-71C2-43C3-8A41-48C0C46147F3}"/>
    <cellStyle name="Normal 5 3 5 6 3" xfId="6477" xr:uid="{00000000-0005-0000-0000-0000881A0000}"/>
    <cellStyle name="Normal 5 3 5 6 3 2" xfId="14927" xr:uid="{5C76B31B-D33C-44FD-91C5-E865C352D68B}"/>
    <cellStyle name="Normal 5 3 5 6 4" xfId="10709" xr:uid="{BDCFE425-B049-484C-993D-082FA732F369}"/>
    <cellStyle name="Normal 5 3 5 7" xfId="2607" xr:uid="{00000000-0005-0000-0000-0000891A0000}"/>
    <cellStyle name="Normal 5 3 5 7 2" xfId="6890" xr:uid="{00000000-0005-0000-0000-00008A1A0000}"/>
    <cellStyle name="Normal 5 3 5 7 2 2" xfId="15340" xr:uid="{1CC21F53-6BE7-4624-844C-CDBDBA62267A}"/>
    <cellStyle name="Normal 5 3 5 7 3" xfId="11122" xr:uid="{EA05FD8C-EDA8-45FE-B640-FAA7608599A1}"/>
    <cellStyle name="Normal 5 3 5 8" xfId="4825" xr:uid="{00000000-0005-0000-0000-00008B1A0000}"/>
    <cellStyle name="Normal 5 3 5 8 2" xfId="13275" xr:uid="{6F85AA14-F509-4734-842D-E97D7B87976E}"/>
    <cellStyle name="Normal 5 3 5 9" xfId="9057" xr:uid="{1E9502CE-7B1A-4FE6-9EA6-2081B0687652}"/>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2 2 2" xfId="15835" xr:uid="{6B7ED1FC-CF15-4AA1-BD30-2F53C61AEE51}"/>
    <cellStyle name="Normal 5 3 6 2 2 3" xfId="11617" xr:uid="{91B90A2D-1306-4E90-B60C-FF8F19B96B5A}"/>
    <cellStyle name="Normal 5 3 6 2 3" xfId="5240" xr:uid="{00000000-0005-0000-0000-0000901A0000}"/>
    <cellStyle name="Normal 5 3 6 2 3 2" xfId="13690" xr:uid="{63DB2BDC-D933-4E93-BF85-CA0598EA3112}"/>
    <cellStyle name="Normal 5 3 6 2 4" xfId="9472" xr:uid="{23EB3973-C870-4647-B686-9E672333E4AE}"/>
    <cellStyle name="Normal 5 3 6 3" xfId="1346" xr:uid="{00000000-0005-0000-0000-0000911A0000}"/>
    <cellStyle name="Normal 5 3 6 3 2" xfId="3576" xr:uid="{00000000-0005-0000-0000-0000921A0000}"/>
    <cellStyle name="Normal 5 3 6 3 2 2" xfId="7798" xr:uid="{00000000-0005-0000-0000-0000931A0000}"/>
    <cellStyle name="Normal 5 3 6 3 2 2 2" xfId="16248" xr:uid="{C9B4D12F-E44C-4085-A884-A07E2EDEA6AE}"/>
    <cellStyle name="Normal 5 3 6 3 2 3" xfId="12030" xr:uid="{A1C8B7AF-DC12-4890-95C0-6FBDDAE74A30}"/>
    <cellStyle name="Normal 5 3 6 3 3" xfId="5653" xr:uid="{00000000-0005-0000-0000-0000941A0000}"/>
    <cellStyle name="Normal 5 3 6 3 3 2" xfId="14103" xr:uid="{5CF0265A-022A-4657-92AE-33639B0728AD}"/>
    <cellStyle name="Normal 5 3 6 3 4" xfId="9885" xr:uid="{9A4BFC62-4AAF-49EC-B823-1CAD953F1343}"/>
    <cellStyle name="Normal 5 3 6 4" xfId="1759" xr:uid="{00000000-0005-0000-0000-0000951A0000}"/>
    <cellStyle name="Normal 5 3 6 4 2" xfId="3989" xr:uid="{00000000-0005-0000-0000-0000961A0000}"/>
    <cellStyle name="Normal 5 3 6 4 2 2" xfId="8211" xr:uid="{00000000-0005-0000-0000-0000971A0000}"/>
    <cellStyle name="Normal 5 3 6 4 2 2 2" xfId="16661" xr:uid="{5B29F177-3EEE-4F55-88C3-88111B40A768}"/>
    <cellStyle name="Normal 5 3 6 4 2 3" xfId="12443" xr:uid="{F00CBE2B-F44C-4D31-9263-C8714FBEF601}"/>
    <cellStyle name="Normal 5 3 6 4 3" xfId="6066" xr:uid="{00000000-0005-0000-0000-0000981A0000}"/>
    <cellStyle name="Normal 5 3 6 4 3 2" xfId="14516" xr:uid="{8A79CDA5-378A-41DF-B84D-222B1C0E2F17}"/>
    <cellStyle name="Normal 5 3 6 4 4" xfId="10298" xr:uid="{E06574F4-8C51-4EE9-A0C6-42CE4BB44051}"/>
    <cellStyle name="Normal 5 3 6 5" xfId="2173" xr:uid="{00000000-0005-0000-0000-0000991A0000}"/>
    <cellStyle name="Normal 5 3 6 5 2" xfId="4402" xr:uid="{00000000-0005-0000-0000-00009A1A0000}"/>
    <cellStyle name="Normal 5 3 6 5 2 2" xfId="8624" xr:uid="{00000000-0005-0000-0000-00009B1A0000}"/>
    <cellStyle name="Normal 5 3 6 5 2 2 2" xfId="17074" xr:uid="{50C1D433-43BD-4205-8422-B804927954C0}"/>
    <cellStyle name="Normal 5 3 6 5 2 3" xfId="12856" xr:uid="{45CF5036-89EF-4837-87BC-A21A20A68D2E}"/>
    <cellStyle name="Normal 5 3 6 5 3" xfId="6479" xr:uid="{00000000-0005-0000-0000-00009C1A0000}"/>
    <cellStyle name="Normal 5 3 6 5 3 2" xfId="14929" xr:uid="{A1AD2EF6-BBC7-4F61-945D-8220206F59EF}"/>
    <cellStyle name="Normal 5 3 6 5 4" xfId="10711" xr:uid="{F75DD712-E8C2-46B9-9603-7B0D51367D11}"/>
    <cellStyle name="Normal 5 3 6 6" xfId="2609" xr:uid="{00000000-0005-0000-0000-00009D1A0000}"/>
    <cellStyle name="Normal 5 3 6 6 2" xfId="6892" xr:uid="{00000000-0005-0000-0000-00009E1A0000}"/>
    <cellStyle name="Normal 5 3 6 6 2 2" xfId="15342" xr:uid="{264DFB32-1DE0-4B1F-973A-3AB266FD1E5D}"/>
    <cellStyle name="Normal 5 3 6 6 3" xfId="11124" xr:uid="{EEBDBB43-E03F-474B-8A98-21441B8F5223}"/>
    <cellStyle name="Normal 5 3 6 7" xfId="4827" xr:uid="{00000000-0005-0000-0000-00009F1A0000}"/>
    <cellStyle name="Normal 5 3 6 7 2" xfId="13277" xr:uid="{E40E4CAF-91E9-45BC-B7EA-BE14CB109FD1}"/>
    <cellStyle name="Normal 5 3 6 8" xfId="9059" xr:uid="{9A9FCBCA-46CD-4CCE-96AF-6F76C7E032D6}"/>
    <cellStyle name="Normal 5 3 7" xfId="913" xr:uid="{00000000-0005-0000-0000-0000A01A0000}"/>
    <cellStyle name="Normal 5 3 7 2" xfId="3148" xr:uid="{00000000-0005-0000-0000-0000A11A0000}"/>
    <cellStyle name="Normal 5 3 7 2 2" xfId="7370" xr:uid="{00000000-0005-0000-0000-0000A21A0000}"/>
    <cellStyle name="Normal 5 3 7 2 2 2" xfId="15820" xr:uid="{1B6C6936-57CC-49DD-95FF-0C062677FEDC}"/>
    <cellStyle name="Normal 5 3 7 2 3" xfId="11602" xr:uid="{4F6493A2-004B-4D5C-959F-14B628E1E5C2}"/>
    <cellStyle name="Normal 5 3 7 3" xfId="5225" xr:uid="{00000000-0005-0000-0000-0000A31A0000}"/>
    <cellStyle name="Normal 5 3 7 3 2" xfId="13675" xr:uid="{9EAA8A55-67A8-4DE2-8150-348F95295E98}"/>
    <cellStyle name="Normal 5 3 7 4" xfId="9457" xr:uid="{30EB10ED-A957-4BEB-B38C-B9F4468ED6C2}"/>
    <cellStyle name="Normal 5 3 8" xfId="1331" xr:uid="{00000000-0005-0000-0000-0000A41A0000}"/>
    <cellStyle name="Normal 5 3 8 2" xfId="3561" xr:uid="{00000000-0005-0000-0000-0000A51A0000}"/>
    <cellStyle name="Normal 5 3 8 2 2" xfId="7783" xr:uid="{00000000-0005-0000-0000-0000A61A0000}"/>
    <cellStyle name="Normal 5 3 8 2 2 2" xfId="16233" xr:uid="{5931A5FB-9C8C-40EB-949A-32E1F85AC935}"/>
    <cellStyle name="Normal 5 3 8 2 3" xfId="12015" xr:uid="{C9A95156-7BC5-4415-9B7B-C54CD84661BA}"/>
    <cellStyle name="Normal 5 3 8 3" xfId="5638" xr:uid="{00000000-0005-0000-0000-0000A71A0000}"/>
    <cellStyle name="Normal 5 3 8 3 2" xfId="14088" xr:uid="{BF69FCFC-7B79-488A-A32A-BB7A1A834548}"/>
    <cellStyle name="Normal 5 3 8 4" xfId="9870" xr:uid="{7A3164FC-262F-46E2-A4E1-927C7A2A3F6F}"/>
    <cellStyle name="Normal 5 3 9" xfId="1744" xr:uid="{00000000-0005-0000-0000-0000A81A0000}"/>
    <cellStyle name="Normal 5 3 9 2" xfId="3974" xr:uid="{00000000-0005-0000-0000-0000A91A0000}"/>
    <cellStyle name="Normal 5 3 9 2 2" xfId="8196" xr:uid="{00000000-0005-0000-0000-0000AA1A0000}"/>
    <cellStyle name="Normal 5 3 9 2 2 2" xfId="16646" xr:uid="{E2100D5A-4F0D-4CFC-970A-7C757A57E1BD}"/>
    <cellStyle name="Normal 5 3 9 2 3" xfId="12428" xr:uid="{C0B89DA4-E84A-4C35-9D6C-A066B3ED1628}"/>
    <cellStyle name="Normal 5 3 9 3" xfId="6051" xr:uid="{00000000-0005-0000-0000-0000AB1A0000}"/>
    <cellStyle name="Normal 5 3 9 3 2" xfId="14501" xr:uid="{D65D5B54-3EFF-4D52-B390-D38AE5A626E0}"/>
    <cellStyle name="Normal 5 3 9 4" xfId="10283" xr:uid="{DCF97122-B244-4BC4-9FD2-9DC7841046FC}"/>
    <cellStyle name="Normal 5 4" xfId="456" xr:uid="{00000000-0005-0000-0000-0000AC1A0000}"/>
    <cellStyle name="Normal 5 4 10" xfId="4828" xr:uid="{00000000-0005-0000-0000-0000AD1A0000}"/>
    <cellStyle name="Normal 5 4 10 2" xfId="13278" xr:uid="{17285FE9-9551-4F95-8B5C-B6A0CEFF4C73}"/>
    <cellStyle name="Normal 5 4 11" xfId="9060" xr:uid="{2A1F8302-8DD7-4243-9944-D10F9FAC35F0}"/>
    <cellStyle name="Normal 5 4 2" xfId="457" xr:uid="{00000000-0005-0000-0000-0000AE1A0000}"/>
    <cellStyle name="Normal 5 4 2 10" xfId="9061" xr:uid="{7D929D7C-7B69-4E35-89F7-EA41C9967062}"/>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2 2 2" xfId="15839" xr:uid="{27EF6868-100A-4FCA-8A68-2D2DF8D77A56}"/>
    <cellStyle name="Normal 5 4 2 2 2 2 2 3" xfId="11621" xr:uid="{95842E71-F8B9-44BF-A8DD-C18A059F0915}"/>
    <cellStyle name="Normal 5 4 2 2 2 2 3" xfId="5244" xr:uid="{00000000-0005-0000-0000-0000B41A0000}"/>
    <cellStyle name="Normal 5 4 2 2 2 2 3 2" xfId="13694" xr:uid="{FFBC359C-833A-4131-B10C-0A7EDA7A6103}"/>
    <cellStyle name="Normal 5 4 2 2 2 2 4" xfId="9476" xr:uid="{346E54D9-5762-46E5-BA33-D955FF61646E}"/>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2 2 2" xfId="16252" xr:uid="{4FE67019-8835-4D8E-8C14-E23160284DBE}"/>
    <cellStyle name="Normal 5 4 2 2 2 3 2 3" xfId="12034" xr:uid="{4BF3B8D2-7F1B-4F64-B260-A297551056A5}"/>
    <cellStyle name="Normal 5 4 2 2 2 3 3" xfId="5657" xr:uid="{00000000-0005-0000-0000-0000B81A0000}"/>
    <cellStyle name="Normal 5 4 2 2 2 3 3 2" xfId="14107" xr:uid="{AE86EA15-B25E-4B4C-8346-E321B7D2C118}"/>
    <cellStyle name="Normal 5 4 2 2 2 3 4" xfId="9889" xr:uid="{6183CA56-0AD8-4C74-95D2-E14C0259D2CD}"/>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2 2 2" xfId="16665" xr:uid="{D8D48A3A-F2CD-4891-B2BF-9E8DCBF99048}"/>
    <cellStyle name="Normal 5 4 2 2 2 4 2 3" xfId="12447" xr:uid="{55E6AE2E-B237-4351-8546-E2DA4E31AC68}"/>
    <cellStyle name="Normal 5 4 2 2 2 4 3" xfId="6070" xr:uid="{00000000-0005-0000-0000-0000BC1A0000}"/>
    <cellStyle name="Normal 5 4 2 2 2 4 3 2" xfId="14520" xr:uid="{88D244A4-1C29-4E8E-A5E7-678A70D2F9FE}"/>
    <cellStyle name="Normal 5 4 2 2 2 4 4" xfId="10302" xr:uid="{4BB40F63-7D47-426F-9A44-E902F788A68E}"/>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2 2 2" xfId="17078" xr:uid="{B2DB3B71-5C9D-4B16-8A0C-5A7CC2E3449E}"/>
    <cellStyle name="Normal 5 4 2 2 2 5 2 3" xfId="12860" xr:uid="{97E12237-D4F1-4EAC-8AD1-D74E3DB047BB}"/>
    <cellStyle name="Normal 5 4 2 2 2 5 3" xfId="6483" xr:uid="{00000000-0005-0000-0000-0000C01A0000}"/>
    <cellStyle name="Normal 5 4 2 2 2 5 3 2" xfId="14933" xr:uid="{6E027ED1-A325-4968-9A27-67FF452BE627}"/>
    <cellStyle name="Normal 5 4 2 2 2 5 4" xfId="10715" xr:uid="{3E4356B1-88A7-4063-A52C-C07BE0022EDF}"/>
    <cellStyle name="Normal 5 4 2 2 2 6" xfId="2613" xr:uid="{00000000-0005-0000-0000-0000C11A0000}"/>
    <cellStyle name="Normal 5 4 2 2 2 6 2" xfId="6896" xr:uid="{00000000-0005-0000-0000-0000C21A0000}"/>
    <cellStyle name="Normal 5 4 2 2 2 6 2 2" xfId="15346" xr:uid="{69B1AAFA-11F4-4CCC-8A1A-9DDED277249E}"/>
    <cellStyle name="Normal 5 4 2 2 2 6 3" xfId="11128" xr:uid="{30EFBAAB-60B8-4EBC-85D3-1AA6C4809E34}"/>
    <cellStyle name="Normal 5 4 2 2 2 7" xfId="4831" xr:uid="{00000000-0005-0000-0000-0000C31A0000}"/>
    <cellStyle name="Normal 5 4 2 2 2 7 2" xfId="13281" xr:uid="{758DAAAE-661E-40F7-8B81-61E4EDFDE5B0}"/>
    <cellStyle name="Normal 5 4 2 2 2 8" xfId="9063" xr:uid="{D1EADFE9-A49E-48AC-AEF4-789A65EAE187}"/>
    <cellStyle name="Normal 5 4 2 2 3" xfId="932" xr:uid="{00000000-0005-0000-0000-0000C41A0000}"/>
    <cellStyle name="Normal 5 4 2 2 3 2" xfId="3166" xr:uid="{00000000-0005-0000-0000-0000C51A0000}"/>
    <cellStyle name="Normal 5 4 2 2 3 2 2" xfId="7388" xr:uid="{00000000-0005-0000-0000-0000C61A0000}"/>
    <cellStyle name="Normal 5 4 2 2 3 2 2 2" xfId="15838" xr:uid="{A14F4FE6-8EBC-4C14-A260-9D2B7724406F}"/>
    <cellStyle name="Normal 5 4 2 2 3 2 3" xfId="11620" xr:uid="{C4F685A5-83C5-414D-BF9D-0E6B8FAFAD47}"/>
    <cellStyle name="Normal 5 4 2 2 3 3" xfId="5243" xr:uid="{00000000-0005-0000-0000-0000C71A0000}"/>
    <cellStyle name="Normal 5 4 2 2 3 3 2" xfId="13693" xr:uid="{EE19FED9-7311-4853-93B2-1DB7C54BB4D5}"/>
    <cellStyle name="Normal 5 4 2 2 3 4" xfId="9475" xr:uid="{566AC7D2-EA7E-4E9A-8847-447CC21D1B09}"/>
    <cellStyle name="Normal 5 4 2 2 4" xfId="1349" xr:uid="{00000000-0005-0000-0000-0000C81A0000}"/>
    <cellStyle name="Normal 5 4 2 2 4 2" xfId="3579" xr:uid="{00000000-0005-0000-0000-0000C91A0000}"/>
    <cellStyle name="Normal 5 4 2 2 4 2 2" xfId="7801" xr:uid="{00000000-0005-0000-0000-0000CA1A0000}"/>
    <cellStyle name="Normal 5 4 2 2 4 2 2 2" xfId="16251" xr:uid="{07FCC696-959D-431F-A60E-84D2BD866EE7}"/>
    <cellStyle name="Normal 5 4 2 2 4 2 3" xfId="12033" xr:uid="{5E295F7F-4BAE-4192-98C7-DC401B0FD620}"/>
    <cellStyle name="Normal 5 4 2 2 4 3" xfId="5656" xr:uid="{00000000-0005-0000-0000-0000CB1A0000}"/>
    <cellStyle name="Normal 5 4 2 2 4 3 2" xfId="14106" xr:uid="{DA7CD37D-1A5B-43C8-B169-97AD1CBCC8DD}"/>
    <cellStyle name="Normal 5 4 2 2 4 4" xfId="9888" xr:uid="{F612A77B-9AE9-4F1D-9D1E-5175728ACA6B}"/>
    <cellStyle name="Normal 5 4 2 2 5" xfId="1762" xr:uid="{00000000-0005-0000-0000-0000CC1A0000}"/>
    <cellStyle name="Normal 5 4 2 2 5 2" xfId="3992" xr:uid="{00000000-0005-0000-0000-0000CD1A0000}"/>
    <cellStyle name="Normal 5 4 2 2 5 2 2" xfId="8214" xr:uid="{00000000-0005-0000-0000-0000CE1A0000}"/>
    <cellStyle name="Normal 5 4 2 2 5 2 2 2" xfId="16664" xr:uid="{B60689E6-8D91-44B6-BE17-954048092456}"/>
    <cellStyle name="Normal 5 4 2 2 5 2 3" xfId="12446" xr:uid="{A6945E1F-FCE4-4B7C-A90D-8503BB66AD44}"/>
    <cellStyle name="Normal 5 4 2 2 5 3" xfId="6069" xr:uid="{00000000-0005-0000-0000-0000CF1A0000}"/>
    <cellStyle name="Normal 5 4 2 2 5 3 2" xfId="14519" xr:uid="{91739DDF-563E-4C35-A882-D4801EF9A91C}"/>
    <cellStyle name="Normal 5 4 2 2 5 4" xfId="10301" xr:uid="{139238D2-BACE-4335-8451-E5CD5390F96B}"/>
    <cellStyle name="Normal 5 4 2 2 6" xfId="2176" xr:uid="{00000000-0005-0000-0000-0000D01A0000}"/>
    <cellStyle name="Normal 5 4 2 2 6 2" xfId="4405" xr:uid="{00000000-0005-0000-0000-0000D11A0000}"/>
    <cellStyle name="Normal 5 4 2 2 6 2 2" xfId="8627" xr:uid="{00000000-0005-0000-0000-0000D21A0000}"/>
    <cellStyle name="Normal 5 4 2 2 6 2 2 2" xfId="17077" xr:uid="{3A0C6F38-11D7-4CD7-BE82-2139BACF667C}"/>
    <cellStyle name="Normal 5 4 2 2 6 2 3" xfId="12859" xr:uid="{95789AED-E211-4EE9-A730-0152790D10C5}"/>
    <cellStyle name="Normal 5 4 2 2 6 3" xfId="6482" xr:uid="{00000000-0005-0000-0000-0000D31A0000}"/>
    <cellStyle name="Normal 5 4 2 2 6 3 2" xfId="14932" xr:uid="{BD5897BF-E118-4B47-A4BA-66CE97027098}"/>
    <cellStyle name="Normal 5 4 2 2 6 4" xfId="10714" xr:uid="{8A437937-3F6A-40F6-9FD1-FE70314AA625}"/>
    <cellStyle name="Normal 5 4 2 2 7" xfId="2612" xr:uid="{00000000-0005-0000-0000-0000D41A0000}"/>
    <cellStyle name="Normal 5 4 2 2 7 2" xfId="6895" xr:uid="{00000000-0005-0000-0000-0000D51A0000}"/>
    <cellStyle name="Normal 5 4 2 2 7 2 2" xfId="15345" xr:uid="{55F3CF01-9D9A-40D8-BCAB-A4118E643E07}"/>
    <cellStyle name="Normal 5 4 2 2 7 3" xfId="11127" xr:uid="{9DED4EE2-3EF1-4FD0-B87F-E243202B0FFF}"/>
    <cellStyle name="Normal 5 4 2 2 8" xfId="4830" xr:uid="{00000000-0005-0000-0000-0000D61A0000}"/>
    <cellStyle name="Normal 5 4 2 2 8 2" xfId="13280" xr:uid="{A38C4234-707B-4815-AE07-7FDD640A02C3}"/>
    <cellStyle name="Normal 5 4 2 2 9" xfId="9062" xr:uid="{7EC5F734-7887-4597-A651-123E5D25D35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2 2 2" xfId="15840" xr:uid="{A1171B5E-A1E3-4735-A9E5-686EEB99E793}"/>
    <cellStyle name="Normal 5 4 2 3 2 2 3" xfId="11622" xr:uid="{98BCA03F-D9F0-4760-B4E4-7B0B7868D33B}"/>
    <cellStyle name="Normal 5 4 2 3 2 3" xfId="5245" xr:uid="{00000000-0005-0000-0000-0000DB1A0000}"/>
    <cellStyle name="Normal 5 4 2 3 2 3 2" xfId="13695" xr:uid="{C667AC51-0C74-4C44-89DC-ABB070BBCE9A}"/>
    <cellStyle name="Normal 5 4 2 3 2 4" xfId="9477" xr:uid="{1EFD60EB-7BB8-44C7-82E1-749357ED7CF7}"/>
    <cellStyle name="Normal 5 4 2 3 3" xfId="1351" xr:uid="{00000000-0005-0000-0000-0000DC1A0000}"/>
    <cellStyle name="Normal 5 4 2 3 3 2" xfId="3581" xr:uid="{00000000-0005-0000-0000-0000DD1A0000}"/>
    <cellStyle name="Normal 5 4 2 3 3 2 2" xfId="7803" xr:uid="{00000000-0005-0000-0000-0000DE1A0000}"/>
    <cellStyle name="Normal 5 4 2 3 3 2 2 2" xfId="16253" xr:uid="{133720A7-4AB7-45D6-9F77-6ECBE8E8BFAE}"/>
    <cellStyle name="Normal 5 4 2 3 3 2 3" xfId="12035" xr:uid="{C6AB9783-D0F8-45A1-A07D-4642A3834EB3}"/>
    <cellStyle name="Normal 5 4 2 3 3 3" xfId="5658" xr:uid="{00000000-0005-0000-0000-0000DF1A0000}"/>
    <cellStyle name="Normal 5 4 2 3 3 3 2" xfId="14108" xr:uid="{B7B8533D-9C48-4DEB-8B09-8548D1121087}"/>
    <cellStyle name="Normal 5 4 2 3 3 4" xfId="9890" xr:uid="{14D1DBA0-AB9E-4E59-8D8B-0DFB2178949B}"/>
    <cellStyle name="Normal 5 4 2 3 4" xfId="1764" xr:uid="{00000000-0005-0000-0000-0000E01A0000}"/>
    <cellStyle name="Normal 5 4 2 3 4 2" xfId="3994" xr:uid="{00000000-0005-0000-0000-0000E11A0000}"/>
    <cellStyle name="Normal 5 4 2 3 4 2 2" xfId="8216" xr:uid="{00000000-0005-0000-0000-0000E21A0000}"/>
    <cellStyle name="Normal 5 4 2 3 4 2 2 2" xfId="16666" xr:uid="{253CCD8F-A09F-4D6B-83E2-E0514C675D99}"/>
    <cellStyle name="Normal 5 4 2 3 4 2 3" xfId="12448" xr:uid="{7AC0535D-7363-47BA-8C59-D7D662D0A5C0}"/>
    <cellStyle name="Normal 5 4 2 3 4 3" xfId="6071" xr:uid="{00000000-0005-0000-0000-0000E31A0000}"/>
    <cellStyle name="Normal 5 4 2 3 4 3 2" xfId="14521" xr:uid="{1F7BC9EB-8199-4253-B0EF-F0BAED274A34}"/>
    <cellStyle name="Normal 5 4 2 3 4 4" xfId="10303" xr:uid="{A1B062F8-966A-4AEC-A905-0C391224BDE4}"/>
    <cellStyle name="Normal 5 4 2 3 5" xfId="2178" xr:uid="{00000000-0005-0000-0000-0000E41A0000}"/>
    <cellStyle name="Normal 5 4 2 3 5 2" xfId="4407" xr:uid="{00000000-0005-0000-0000-0000E51A0000}"/>
    <cellStyle name="Normal 5 4 2 3 5 2 2" xfId="8629" xr:uid="{00000000-0005-0000-0000-0000E61A0000}"/>
    <cellStyle name="Normal 5 4 2 3 5 2 2 2" xfId="17079" xr:uid="{D03D90C6-9126-440C-8467-80C3811D6EF8}"/>
    <cellStyle name="Normal 5 4 2 3 5 2 3" xfId="12861" xr:uid="{E075CE2C-A272-4110-9334-111E8D5649DA}"/>
    <cellStyle name="Normal 5 4 2 3 5 3" xfId="6484" xr:uid="{00000000-0005-0000-0000-0000E71A0000}"/>
    <cellStyle name="Normal 5 4 2 3 5 3 2" xfId="14934" xr:uid="{6BF217EE-336C-459C-B17D-F620C7B65FE6}"/>
    <cellStyle name="Normal 5 4 2 3 5 4" xfId="10716" xr:uid="{B067AD1E-46BD-4BF1-804F-E11EF0D403CF}"/>
    <cellStyle name="Normal 5 4 2 3 6" xfId="2614" xr:uid="{00000000-0005-0000-0000-0000E81A0000}"/>
    <cellStyle name="Normal 5 4 2 3 6 2" xfId="6897" xr:uid="{00000000-0005-0000-0000-0000E91A0000}"/>
    <cellStyle name="Normal 5 4 2 3 6 2 2" xfId="15347" xr:uid="{628DB60D-6293-40B3-9A33-531B4236242A}"/>
    <cellStyle name="Normal 5 4 2 3 6 3" xfId="11129" xr:uid="{C30CF985-B381-49E9-A28A-87632F803620}"/>
    <cellStyle name="Normal 5 4 2 3 7" xfId="4832" xr:uid="{00000000-0005-0000-0000-0000EA1A0000}"/>
    <cellStyle name="Normal 5 4 2 3 7 2" xfId="13282" xr:uid="{89BD3CB6-85F6-4B27-8A5E-188A27331582}"/>
    <cellStyle name="Normal 5 4 2 3 8" xfId="9064" xr:uid="{FCACCEC7-C95E-4DFA-9B0A-35447BE60A6F}"/>
    <cellStyle name="Normal 5 4 2 4" xfId="931" xr:uid="{00000000-0005-0000-0000-0000EB1A0000}"/>
    <cellStyle name="Normal 5 4 2 4 2" xfId="3165" xr:uid="{00000000-0005-0000-0000-0000EC1A0000}"/>
    <cellStyle name="Normal 5 4 2 4 2 2" xfId="7387" xr:uid="{00000000-0005-0000-0000-0000ED1A0000}"/>
    <cellStyle name="Normal 5 4 2 4 2 2 2" xfId="15837" xr:uid="{EE0A6C12-590F-4735-ACC0-D4FF3B3A3297}"/>
    <cellStyle name="Normal 5 4 2 4 2 3" xfId="11619" xr:uid="{0CA80342-2E59-4FDA-A6FC-23B692D1331B}"/>
    <cellStyle name="Normal 5 4 2 4 3" xfId="5242" xr:uid="{00000000-0005-0000-0000-0000EE1A0000}"/>
    <cellStyle name="Normal 5 4 2 4 3 2" xfId="13692" xr:uid="{7BCF625F-5F42-4200-9110-194B5221BFC4}"/>
    <cellStyle name="Normal 5 4 2 4 4" xfId="9474" xr:uid="{A4DD46FC-7636-4454-AF7C-D9D4DEB6D357}"/>
    <cellStyle name="Normal 5 4 2 5" xfId="1348" xr:uid="{00000000-0005-0000-0000-0000EF1A0000}"/>
    <cellStyle name="Normal 5 4 2 5 2" xfId="3578" xr:uid="{00000000-0005-0000-0000-0000F01A0000}"/>
    <cellStyle name="Normal 5 4 2 5 2 2" xfId="7800" xr:uid="{00000000-0005-0000-0000-0000F11A0000}"/>
    <cellStyle name="Normal 5 4 2 5 2 2 2" xfId="16250" xr:uid="{9583A613-376F-4665-BCCC-8B8F055DF1D8}"/>
    <cellStyle name="Normal 5 4 2 5 2 3" xfId="12032" xr:uid="{D5B8A6C4-5911-44DE-BBBC-4BBB9710ADF7}"/>
    <cellStyle name="Normal 5 4 2 5 3" xfId="5655" xr:uid="{00000000-0005-0000-0000-0000F21A0000}"/>
    <cellStyle name="Normal 5 4 2 5 3 2" xfId="14105" xr:uid="{7FD0CB38-8F06-4587-89B7-86685180A356}"/>
    <cellStyle name="Normal 5 4 2 5 4" xfId="9887" xr:uid="{4C53631B-6D9F-47E0-A54D-E9455F0DD554}"/>
    <cellStyle name="Normal 5 4 2 6" xfId="1761" xr:uid="{00000000-0005-0000-0000-0000F31A0000}"/>
    <cellStyle name="Normal 5 4 2 6 2" xfId="3991" xr:uid="{00000000-0005-0000-0000-0000F41A0000}"/>
    <cellStyle name="Normal 5 4 2 6 2 2" xfId="8213" xr:uid="{00000000-0005-0000-0000-0000F51A0000}"/>
    <cellStyle name="Normal 5 4 2 6 2 2 2" xfId="16663" xr:uid="{6CAF6536-7F56-466F-8390-0E443F39BEC3}"/>
    <cellStyle name="Normal 5 4 2 6 2 3" xfId="12445" xr:uid="{1D05D63B-CE06-473C-AA99-82EA087BE76A}"/>
    <cellStyle name="Normal 5 4 2 6 3" xfId="6068" xr:uid="{00000000-0005-0000-0000-0000F61A0000}"/>
    <cellStyle name="Normal 5 4 2 6 3 2" xfId="14518" xr:uid="{E11F9ED9-62B1-45DA-9894-9D45B8610231}"/>
    <cellStyle name="Normal 5 4 2 6 4" xfId="10300" xr:uid="{B7114ADE-6EFB-488C-AA27-05945BDEE243}"/>
    <cellStyle name="Normal 5 4 2 7" xfId="2175" xr:uid="{00000000-0005-0000-0000-0000F71A0000}"/>
    <cellStyle name="Normal 5 4 2 7 2" xfId="4404" xr:uid="{00000000-0005-0000-0000-0000F81A0000}"/>
    <cellStyle name="Normal 5 4 2 7 2 2" xfId="8626" xr:uid="{00000000-0005-0000-0000-0000F91A0000}"/>
    <cellStyle name="Normal 5 4 2 7 2 2 2" xfId="17076" xr:uid="{F19244E8-A3DF-414D-B8A4-44AC9886C20F}"/>
    <cellStyle name="Normal 5 4 2 7 2 3" xfId="12858" xr:uid="{62B638F0-6C71-4804-B613-658A96189C74}"/>
    <cellStyle name="Normal 5 4 2 7 3" xfId="6481" xr:uid="{00000000-0005-0000-0000-0000FA1A0000}"/>
    <cellStyle name="Normal 5 4 2 7 3 2" xfId="14931" xr:uid="{75F342CA-6E20-4067-973B-0767F98E3D8D}"/>
    <cellStyle name="Normal 5 4 2 7 4" xfId="10713" xr:uid="{91B601C7-0881-471C-AA09-DDBAA4C6241A}"/>
    <cellStyle name="Normal 5 4 2 8" xfId="2611" xr:uid="{00000000-0005-0000-0000-0000FB1A0000}"/>
    <cellStyle name="Normal 5 4 2 8 2" xfId="6894" xr:uid="{00000000-0005-0000-0000-0000FC1A0000}"/>
    <cellStyle name="Normal 5 4 2 8 2 2" xfId="15344" xr:uid="{1D4C960B-EADA-4904-B4B6-D364B7477FBD}"/>
    <cellStyle name="Normal 5 4 2 8 3" xfId="11126" xr:uid="{D26C5A37-5014-42BF-BCDE-958E378D6135}"/>
    <cellStyle name="Normal 5 4 2 9" xfId="4829" xr:uid="{00000000-0005-0000-0000-0000FD1A0000}"/>
    <cellStyle name="Normal 5 4 2 9 2" xfId="13279" xr:uid="{CCA8A6A3-E4A0-464B-8523-C4F005A6593A}"/>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2 2 2" xfId="15842" xr:uid="{714A9C0D-AEBE-418C-A115-FCB863A7A81B}"/>
    <cellStyle name="Normal 5 4 3 2 2 2 3" xfId="11624" xr:uid="{8626BD13-91FF-4F5C-8ABD-094EC69081F0}"/>
    <cellStyle name="Normal 5 4 3 2 2 3" xfId="5247" xr:uid="{00000000-0005-0000-0000-0000031B0000}"/>
    <cellStyle name="Normal 5 4 3 2 2 3 2" xfId="13697" xr:uid="{419CB93D-DFD2-4860-AEF4-C365268E6F77}"/>
    <cellStyle name="Normal 5 4 3 2 2 4" xfId="9479" xr:uid="{E184AA9D-EFB1-45C6-9EBD-DC33ABC3CB6E}"/>
    <cellStyle name="Normal 5 4 3 2 3" xfId="1353" xr:uid="{00000000-0005-0000-0000-0000041B0000}"/>
    <cellStyle name="Normal 5 4 3 2 3 2" xfId="3583" xr:uid="{00000000-0005-0000-0000-0000051B0000}"/>
    <cellStyle name="Normal 5 4 3 2 3 2 2" xfId="7805" xr:uid="{00000000-0005-0000-0000-0000061B0000}"/>
    <cellStyle name="Normal 5 4 3 2 3 2 2 2" xfId="16255" xr:uid="{81C67531-C3D0-4309-99AD-1F5FE51C943D}"/>
    <cellStyle name="Normal 5 4 3 2 3 2 3" xfId="12037" xr:uid="{563B6862-16B2-40ED-8960-BE004C4F5D32}"/>
    <cellStyle name="Normal 5 4 3 2 3 3" xfId="5660" xr:uid="{00000000-0005-0000-0000-0000071B0000}"/>
    <cellStyle name="Normal 5 4 3 2 3 3 2" xfId="14110" xr:uid="{FAD10763-4BB0-41B4-90D1-2880E930DE11}"/>
    <cellStyle name="Normal 5 4 3 2 3 4" xfId="9892" xr:uid="{1B9E0F99-3937-4B0A-B538-9BDBA4398B56}"/>
    <cellStyle name="Normal 5 4 3 2 4" xfId="1766" xr:uid="{00000000-0005-0000-0000-0000081B0000}"/>
    <cellStyle name="Normal 5 4 3 2 4 2" xfId="3996" xr:uid="{00000000-0005-0000-0000-0000091B0000}"/>
    <cellStyle name="Normal 5 4 3 2 4 2 2" xfId="8218" xr:uid="{00000000-0005-0000-0000-00000A1B0000}"/>
    <cellStyle name="Normal 5 4 3 2 4 2 2 2" xfId="16668" xr:uid="{75597F3C-FD54-450E-8431-17967D868DAB}"/>
    <cellStyle name="Normal 5 4 3 2 4 2 3" xfId="12450" xr:uid="{0C10F629-245B-4019-A499-48F7A833007F}"/>
    <cellStyle name="Normal 5 4 3 2 4 3" xfId="6073" xr:uid="{00000000-0005-0000-0000-00000B1B0000}"/>
    <cellStyle name="Normal 5 4 3 2 4 3 2" xfId="14523" xr:uid="{6EFA60EA-02EF-4606-8569-67D6CFA09AEE}"/>
    <cellStyle name="Normal 5 4 3 2 4 4" xfId="10305" xr:uid="{4A3E456B-927E-4573-8C67-D80295882679}"/>
    <cellStyle name="Normal 5 4 3 2 5" xfId="2180" xr:uid="{00000000-0005-0000-0000-00000C1B0000}"/>
    <cellStyle name="Normal 5 4 3 2 5 2" xfId="4409" xr:uid="{00000000-0005-0000-0000-00000D1B0000}"/>
    <cellStyle name="Normal 5 4 3 2 5 2 2" xfId="8631" xr:uid="{00000000-0005-0000-0000-00000E1B0000}"/>
    <cellStyle name="Normal 5 4 3 2 5 2 2 2" xfId="17081" xr:uid="{2EDC013B-BD30-4D08-8AA9-E0C025E2DDAE}"/>
    <cellStyle name="Normal 5 4 3 2 5 2 3" xfId="12863" xr:uid="{DEBEA8F9-2B29-483A-BD86-65DB264BB7EE}"/>
    <cellStyle name="Normal 5 4 3 2 5 3" xfId="6486" xr:uid="{00000000-0005-0000-0000-00000F1B0000}"/>
    <cellStyle name="Normal 5 4 3 2 5 3 2" xfId="14936" xr:uid="{F003C597-0BD8-4CED-AEC4-0C778778C961}"/>
    <cellStyle name="Normal 5 4 3 2 5 4" xfId="10718" xr:uid="{7F6F16C2-BF6A-47E3-8FAF-392C4D24493C}"/>
    <cellStyle name="Normal 5 4 3 2 6" xfId="2616" xr:uid="{00000000-0005-0000-0000-0000101B0000}"/>
    <cellStyle name="Normal 5 4 3 2 6 2" xfId="6899" xr:uid="{00000000-0005-0000-0000-0000111B0000}"/>
    <cellStyle name="Normal 5 4 3 2 6 2 2" xfId="15349" xr:uid="{CC1FA8F0-E36B-4B1D-9F61-819B452395E7}"/>
    <cellStyle name="Normal 5 4 3 2 6 3" xfId="11131" xr:uid="{617CFC04-ADCA-4416-BD3E-B7C206E6911B}"/>
    <cellStyle name="Normal 5 4 3 2 7" xfId="4834" xr:uid="{00000000-0005-0000-0000-0000121B0000}"/>
    <cellStyle name="Normal 5 4 3 2 7 2" xfId="13284" xr:uid="{DB83F377-5B16-42C6-BDC6-AD0F43A23EE9}"/>
    <cellStyle name="Normal 5 4 3 2 8" xfId="9066" xr:uid="{DECA11F9-6A41-4C89-89F7-58CDCE5E2283}"/>
    <cellStyle name="Normal 5 4 3 3" xfId="935" xr:uid="{00000000-0005-0000-0000-0000131B0000}"/>
    <cellStyle name="Normal 5 4 3 3 2" xfId="3169" xr:uid="{00000000-0005-0000-0000-0000141B0000}"/>
    <cellStyle name="Normal 5 4 3 3 2 2" xfId="7391" xr:uid="{00000000-0005-0000-0000-0000151B0000}"/>
    <cellStyle name="Normal 5 4 3 3 2 2 2" xfId="15841" xr:uid="{EDCFB8D5-5A6E-4E92-9260-62944082A9A5}"/>
    <cellStyle name="Normal 5 4 3 3 2 3" xfId="11623" xr:uid="{ED813B47-FBAC-47B8-8D56-B3E875248530}"/>
    <cellStyle name="Normal 5 4 3 3 3" xfId="5246" xr:uid="{00000000-0005-0000-0000-0000161B0000}"/>
    <cellStyle name="Normal 5 4 3 3 3 2" xfId="13696" xr:uid="{BA177E72-195F-4052-947C-6EE0DED402BC}"/>
    <cellStyle name="Normal 5 4 3 3 4" xfId="9478" xr:uid="{200B4FFE-09E6-42E4-9DAC-94E77948FFF8}"/>
    <cellStyle name="Normal 5 4 3 4" xfId="1352" xr:uid="{00000000-0005-0000-0000-0000171B0000}"/>
    <cellStyle name="Normal 5 4 3 4 2" xfId="3582" xr:uid="{00000000-0005-0000-0000-0000181B0000}"/>
    <cellStyle name="Normal 5 4 3 4 2 2" xfId="7804" xr:uid="{00000000-0005-0000-0000-0000191B0000}"/>
    <cellStyle name="Normal 5 4 3 4 2 2 2" xfId="16254" xr:uid="{DE92B72E-9C05-46CA-952F-CDD1085A29E5}"/>
    <cellStyle name="Normal 5 4 3 4 2 3" xfId="12036" xr:uid="{B9DDDB91-348B-4467-87BA-C94087F604AB}"/>
    <cellStyle name="Normal 5 4 3 4 3" xfId="5659" xr:uid="{00000000-0005-0000-0000-00001A1B0000}"/>
    <cellStyle name="Normal 5 4 3 4 3 2" xfId="14109" xr:uid="{D2925741-51A0-4C02-A0F3-4E3B534BBE5B}"/>
    <cellStyle name="Normal 5 4 3 4 4" xfId="9891" xr:uid="{BB076A3A-E588-42C1-BECA-296E45290E76}"/>
    <cellStyle name="Normal 5 4 3 5" xfId="1765" xr:uid="{00000000-0005-0000-0000-00001B1B0000}"/>
    <cellStyle name="Normal 5 4 3 5 2" xfId="3995" xr:uid="{00000000-0005-0000-0000-00001C1B0000}"/>
    <cellStyle name="Normal 5 4 3 5 2 2" xfId="8217" xr:uid="{00000000-0005-0000-0000-00001D1B0000}"/>
    <cellStyle name="Normal 5 4 3 5 2 2 2" xfId="16667" xr:uid="{B3A93285-386D-4565-BB9F-E0E69A24E444}"/>
    <cellStyle name="Normal 5 4 3 5 2 3" xfId="12449" xr:uid="{CBA2AF15-A186-43A9-B83F-9C36F05D232E}"/>
    <cellStyle name="Normal 5 4 3 5 3" xfId="6072" xr:uid="{00000000-0005-0000-0000-00001E1B0000}"/>
    <cellStyle name="Normal 5 4 3 5 3 2" xfId="14522" xr:uid="{8FCAE090-4662-4EBC-85AB-CD47163668D4}"/>
    <cellStyle name="Normal 5 4 3 5 4" xfId="10304" xr:uid="{B5D0326E-1135-4EA0-94D0-D615DDFEB896}"/>
    <cellStyle name="Normal 5 4 3 6" xfId="2179" xr:uid="{00000000-0005-0000-0000-00001F1B0000}"/>
    <cellStyle name="Normal 5 4 3 6 2" xfId="4408" xr:uid="{00000000-0005-0000-0000-0000201B0000}"/>
    <cellStyle name="Normal 5 4 3 6 2 2" xfId="8630" xr:uid="{00000000-0005-0000-0000-0000211B0000}"/>
    <cellStyle name="Normal 5 4 3 6 2 2 2" xfId="17080" xr:uid="{82C1D2B2-3AD9-46B5-8E7C-216425E2520B}"/>
    <cellStyle name="Normal 5 4 3 6 2 3" xfId="12862" xr:uid="{873C1E72-D76E-437C-8657-DA76357DEF1D}"/>
    <cellStyle name="Normal 5 4 3 6 3" xfId="6485" xr:uid="{00000000-0005-0000-0000-0000221B0000}"/>
    <cellStyle name="Normal 5 4 3 6 3 2" xfId="14935" xr:uid="{D36E3B7A-F460-426E-8AD4-E4682FD6FBFE}"/>
    <cellStyle name="Normal 5 4 3 6 4" xfId="10717" xr:uid="{CBC7A6E3-A8A2-446C-8C1B-95B14E868604}"/>
    <cellStyle name="Normal 5 4 3 7" xfId="2615" xr:uid="{00000000-0005-0000-0000-0000231B0000}"/>
    <cellStyle name="Normal 5 4 3 7 2" xfId="6898" xr:uid="{00000000-0005-0000-0000-0000241B0000}"/>
    <cellStyle name="Normal 5 4 3 7 2 2" xfId="15348" xr:uid="{ECBCB658-C863-44DC-A0F9-C0348A5C38BC}"/>
    <cellStyle name="Normal 5 4 3 7 3" xfId="11130" xr:uid="{D6C63F76-B606-4404-A411-6A5C5D703BAA}"/>
    <cellStyle name="Normal 5 4 3 8" xfId="4833" xr:uid="{00000000-0005-0000-0000-0000251B0000}"/>
    <cellStyle name="Normal 5 4 3 8 2" xfId="13283" xr:uid="{1952563F-715C-4C66-BBC2-1DD904DD3BCC}"/>
    <cellStyle name="Normal 5 4 3 9" xfId="9065" xr:uid="{4AAF1C82-3DB6-4B56-8579-32267370E14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2 2 2" xfId="15843" xr:uid="{4011C5CD-FF8D-41EF-94FB-7E3AB22C58B3}"/>
    <cellStyle name="Normal 5 4 4 2 2 3" xfId="11625" xr:uid="{CA48C596-F62B-4F33-9595-C3F96A7C8D1B}"/>
    <cellStyle name="Normal 5 4 4 2 3" xfId="5248" xr:uid="{00000000-0005-0000-0000-00002A1B0000}"/>
    <cellStyle name="Normal 5 4 4 2 3 2" xfId="13698" xr:uid="{73E24968-097D-4899-9D4D-86AFF86C1324}"/>
    <cellStyle name="Normal 5 4 4 2 4" xfId="9480" xr:uid="{1CBAA86B-09B9-4013-8825-C84DADAC5298}"/>
    <cellStyle name="Normal 5 4 4 3" xfId="1354" xr:uid="{00000000-0005-0000-0000-00002B1B0000}"/>
    <cellStyle name="Normal 5 4 4 3 2" xfId="3584" xr:uid="{00000000-0005-0000-0000-00002C1B0000}"/>
    <cellStyle name="Normal 5 4 4 3 2 2" xfId="7806" xr:uid="{00000000-0005-0000-0000-00002D1B0000}"/>
    <cellStyle name="Normal 5 4 4 3 2 2 2" xfId="16256" xr:uid="{8B0BD615-DB56-496A-BA1B-E0C58A297FAF}"/>
    <cellStyle name="Normal 5 4 4 3 2 3" xfId="12038" xr:uid="{29AF8104-469A-4E74-8D11-7D74C9B3992E}"/>
    <cellStyle name="Normal 5 4 4 3 3" xfId="5661" xr:uid="{00000000-0005-0000-0000-00002E1B0000}"/>
    <cellStyle name="Normal 5 4 4 3 3 2" xfId="14111" xr:uid="{EDDC9C4B-97BE-4C1A-A2C0-52D13E270542}"/>
    <cellStyle name="Normal 5 4 4 3 4" xfId="9893" xr:uid="{32ADBB68-8AA5-48A2-BFE9-505C037FB869}"/>
    <cellStyle name="Normal 5 4 4 4" xfId="1767" xr:uid="{00000000-0005-0000-0000-00002F1B0000}"/>
    <cellStyle name="Normal 5 4 4 4 2" xfId="3997" xr:uid="{00000000-0005-0000-0000-0000301B0000}"/>
    <cellStyle name="Normal 5 4 4 4 2 2" xfId="8219" xr:uid="{00000000-0005-0000-0000-0000311B0000}"/>
    <cellStyle name="Normal 5 4 4 4 2 2 2" xfId="16669" xr:uid="{44FB7514-3CEE-4467-848C-356D07F07D51}"/>
    <cellStyle name="Normal 5 4 4 4 2 3" xfId="12451" xr:uid="{4C288ABB-9B1B-45AB-A6ED-4A5363938624}"/>
    <cellStyle name="Normal 5 4 4 4 3" xfId="6074" xr:uid="{00000000-0005-0000-0000-0000321B0000}"/>
    <cellStyle name="Normal 5 4 4 4 3 2" xfId="14524" xr:uid="{B9BE745E-E97B-4EDF-A082-2BE18A71ED54}"/>
    <cellStyle name="Normal 5 4 4 4 4" xfId="10306" xr:uid="{320E5639-80E4-4C26-BDC6-686DD9E270E2}"/>
    <cellStyle name="Normal 5 4 4 5" xfId="2181" xr:uid="{00000000-0005-0000-0000-0000331B0000}"/>
    <cellStyle name="Normal 5 4 4 5 2" xfId="4410" xr:uid="{00000000-0005-0000-0000-0000341B0000}"/>
    <cellStyle name="Normal 5 4 4 5 2 2" xfId="8632" xr:uid="{00000000-0005-0000-0000-0000351B0000}"/>
    <cellStyle name="Normal 5 4 4 5 2 2 2" xfId="17082" xr:uid="{64697181-E105-4BFF-8747-ADE2A37E3F19}"/>
    <cellStyle name="Normal 5 4 4 5 2 3" xfId="12864" xr:uid="{68A913E3-C503-43FE-87DB-D08590CD7519}"/>
    <cellStyle name="Normal 5 4 4 5 3" xfId="6487" xr:uid="{00000000-0005-0000-0000-0000361B0000}"/>
    <cellStyle name="Normal 5 4 4 5 3 2" xfId="14937" xr:uid="{45429763-0D81-466E-BD73-247D6E9516C0}"/>
    <cellStyle name="Normal 5 4 4 5 4" xfId="10719" xr:uid="{DAA95E8C-7B5F-46CA-A12C-158D3E6604CE}"/>
    <cellStyle name="Normal 5 4 4 6" xfId="2617" xr:uid="{00000000-0005-0000-0000-0000371B0000}"/>
    <cellStyle name="Normal 5 4 4 6 2" xfId="6900" xr:uid="{00000000-0005-0000-0000-0000381B0000}"/>
    <cellStyle name="Normal 5 4 4 6 2 2" xfId="15350" xr:uid="{D8216BDF-92EC-40B9-87C5-060C387401DC}"/>
    <cellStyle name="Normal 5 4 4 6 3" xfId="11132" xr:uid="{36795D4A-1700-4764-9D00-4C83EA1CB5E2}"/>
    <cellStyle name="Normal 5 4 4 7" xfId="4835" xr:uid="{00000000-0005-0000-0000-0000391B0000}"/>
    <cellStyle name="Normal 5 4 4 7 2" xfId="13285" xr:uid="{AF70E513-6456-48F7-A92F-B1C0CB7C5ED6}"/>
    <cellStyle name="Normal 5 4 4 8" xfId="9067" xr:uid="{31ADEE2D-BC72-4D73-859A-0321FCE2D444}"/>
    <cellStyle name="Normal 5 4 5" xfId="930" xr:uid="{00000000-0005-0000-0000-00003A1B0000}"/>
    <cellStyle name="Normal 5 4 5 2" xfId="3164" xr:uid="{00000000-0005-0000-0000-00003B1B0000}"/>
    <cellStyle name="Normal 5 4 5 2 2" xfId="7386" xr:uid="{00000000-0005-0000-0000-00003C1B0000}"/>
    <cellStyle name="Normal 5 4 5 2 2 2" xfId="15836" xr:uid="{2F471357-76B5-4730-8FBB-922E596B46B5}"/>
    <cellStyle name="Normal 5 4 5 2 3" xfId="11618" xr:uid="{926E5CE2-C706-43D4-ABAD-4489D4870D56}"/>
    <cellStyle name="Normal 5 4 5 3" xfId="5241" xr:uid="{00000000-0005-0000-0000-00003D1B0000}"/>
    <cellStyle name="Normal 5 4 5 3 2" xfId="13691" xr:uid="{FEB2D9BA-85DC-47A3-86BD-EDD22DBE9462}"/>
    <cellStyle name="Normal 5 4 5 4" xfId="9473" xr:uid="{5AC8AC0C-1DAA-418D-BAC7-7EFC569B37F0}"/>
    <cellStyle name="Normal 5 4 6" xfId="1347" xr:uid="{00000000-0005-0000-0000-00003E1B0000}"/>
    <cellStyle name="Normal 5 4 6 2" xfId="3577" xr:uid="{00000000-0005-0000-0000-00003F1B0000}"/>
    <cellStyle name="Normal 5 4 6 2 2" xfId="7799" xr:uid="{00000000-0005-0000-0000-0000401B0000}"/>
    <cellStyle name="Normal 5 4 6 2 2 2" xfId="16249" xr:uid="{60D3F698-2F12-4344-BF5C-35ED76ABF2A8}"/>
    <cellStyle name="Normal 5 4 6 2 3" xfId="12031" xr:uid="{FE88FE4B-4BA6-4ECA-92D8-3A9F4733B274}"/>
    <cellStyle name="Normal 5 4 6 3" xfId="5654" xr:uid="{00000000-0005-0000-0000-0000411B0000}"/>
    <cellStyle name="Normal 5 4 6 3 2" xfId="14104" xr:uid="{DC9D70C2-542B-424A-AFED-7C7E2BA58A1B}"/>
    <cellStyle name="Normal 5 4 6 4" xfId="9886" xr:uid="{BB183B56-9E36-43E1-A742-085348A4850A}"/>
    <cellStyle name="Normal 5 4 7" xfId="1760" xr:uid="{00000000-0005-0000-0000-0000421B0000}"/>
    <cellStyle name="Normal 5 4 7 2" xfId="3990" xr:uid="{00000000-0005-0000-0000-0000431B0000}"/>
    <cellStyle name="Normal 5 4 7 2 2" xfId="8212" xr:uid="{00000000-0005-0000-0000-0000441B0000}"/>
    <cellStyle name="Normal 5 4 7 2 2 2" xfId="16662" xr:uid="{2F14F292-61F2-4753-A5E3-9F83037555C0}"/>
    <cellStyle name="Normal 5 4 7 2 3" xfId="12444" xr:uid="{D15A6C71-5B91-45DD-9275-10CA67216CFB}"/>
    <cellStyle name="Normal 5 4 7 3" xfId="6067" xr:uid="{00000000-0005-0000-0000-0000451B0000}"/>
    <cellStyle name="Normal 5 4 7 3 2" xfId="14517" xr:uid="{2DE1C31B-5C07-4576-ABB1-485D87B3142D}"/>
    <cellStyle name="Normal 5 4 7 4" xfId="10299" xr:uid="{C19AC6BC-4E54-41D7-A9BA-C2F29581B95F}"/>
    <cellStyle name="Normal 5 4 8" xfId="2174" xr:uid="{00000000-0005-0000-0000-0000461B0000}"/>
    <cellStyle name="Normal 5 4 8 2" xfId="4403" xr:uid="{00000000-0005-0000-0000-0000471B0000}"/>
    <cellStyle name="Normal 5 4 8 2 2" xfId="8625" xr:uid="{00000000-0005-0000-0000-0000481B0000}"/>
    <cellStyle name="Normal 5 4 8 2 2 2" xfId="17075" xr:uid="{638B0568-A21E-449A-9581-648CC3569460}"/>
    <cellStyle name="Normal 5 4 8 2 3" xfId="12857" xr:uid="{9310878E-A53C-4B9F-AEF2-797EF7AF4833}"/>
    <cellStyle name="Normal 5 4 8 3" xfId="6480" xr:uid="{00000000-0005-0000-0000-0000491B0000}"/>
    <cellStyle name="Normal 5 4 8 3 2" xfId="14930" xr:uid="{21120399-C97D-4E78-85D8-0CAAD3F303B4}"/>
    <cellStyle name="Normal 5 4 8 4" xfId="10712" xr:uid="{27C3A792-D520-4C87-94A1-BB554481AA49}"/>
    <cellStyle name="Normal 5 4 9" xfId="2610" xr:uid="{00000000-0005-0000-0000-00004A1B0000}"/>
    <cellStyle name="Normal 5 4 9 2" xfId="6893" xr:uid="{00000000-0005-0000-0000-00004B1B0000}"/>
    <cellStyle name="Normal 5 4 9 2 2" xfId="15343" xr:uid="{CABC76AF-7F75-4F31-A6C7-ECE65EE83024}"/>
    <cellStyle name="Normal 5 4 9 3" xfId="11125" xr:uid="{F83D1C8C-1C9D-4512-8A11-33732BFE7E5A}"/>
    <cellStyle name="Normal 5 5" xfId="464" xr:uid="{00000000-0005-0000-0000-00004C1B0000}"/>
    <cellStyle name="Normal 5 5 10" xfId="9068" xr:uid="{2126777F-B3BB-4B94-A2C1-CC0BB532EF8A}"/>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2 2 2" xfId="15846" xr:uid="{5448C0D8-0927-425A-B0B5-A9705834EDF4}"/>
    <cellStyle name="Normal 5 5 2 2 2 2 3" xfId="11628" xr:uid="{2AAFFB57-119E-4352-98F5-060C6B9B2D35}"/>
    <cellStyle name="Normal 5 5 2 2 2 3" xfId="5251" xr:uid="{00000000-0005-0000-0000-0000521B0000}"/>
    <cellStyle name="Normal 5 5 2 2 2 3 2" xfId="13701" xr:uid="{2436BF6D-A85E-43B9-AF33-AD0729F99891}"/>
    <cellStyle name="Normal 5 5 2 2 2 4" xfId="9483" xr:uid="{1B3B1909-426E-4325-88B4-3E5B62C8AA46}"/>
    <cellStyle name="Normal 5 5 2 2 3" xfId="1357" xr:uid="{00000000-0005-0000-0000-0000531B0000}"/>
    <cellStyle name="Normal 5 5 2 2 3 2" xfId="3587" xr:uid="{00000000-0005-0000-0000-0000541B0000}"/>
    <cellStyle name="Normal 5 5 2 2 3 2 2" xfId="7809" xr:uid="{00000000-0005-0000-0000-0000551B0000}"/>
    <cellStyle name="Normal 5 5 2 2 3 2 2 2" xfId="16259" xr:uid="{BBA92576-FEFF-4B9F-8514-E7F19418716D}"/>
    <cellStyle name="Normal 5 5 2 2 3 2 3" xfId="12041" xr:uid="{9AB31158-B835-4738-8D04-D22EFF7C4E9F}"/>
    <cellStyle name="Normal 5 5 2 2 3 3" xfId="5664" xr:uid="{00000000-0005-0000-0000-0000561B0000}"/>
    <cellStyle name="Normal 5 5 2 2 3 3 2" xfId="14114" xr:uid="{170B19D6-0211-4ACA-B9C6-9240F48AA1FC}"/>
    <cellStyle name="Normal 5 5 2 2 3 4" xfId="9896" xr:uid="{68C8D622-0375-4BDE-A077-DFCFECC22E7A}"/>
    <cellStyle name="Normal 5 5 2 2 4" xfId="1770" xr:uid="{00000000-0005-0000-0000-0000571B0000}"/>
    <cellStyle name="Normal 5 5 2 2 4 2" xfId="4000" xr:uid="{00000000-0005-0000-0000-0000581B0000}"/>
    <cellStyle name="Normal 5 5 2 2 4 2 2" xfId="8222" xr:uid="{00000000-0005-0000-0000-0000591B0000}"/>
    <cellStyle name="Normal 5 5 2 2 4 2 2 2" xfId="16672" xr:uid="{6BE4B554-B43C-418C-A8FC-9EEC09C8583C}"/>
    <cellStyle name="Normal 5 5 2 2 4 2 3" xfId="12454" xr:uid="{C5671D1D-86D0-4AE0-9264-5AF16FD773DC}"/>
    <cellStyle name="Normal 5 5 2 2 4 3" xfId="6077" xr:uid="{00000000-0005-0000-0000-00005A1B0000}"/>
    <cellStyle name="Normal 5 5 2 2 4 3 2" xfId="14527" xr:uid="{904467A3-3914-41D5-8674-7D733B4CB4F7}"/>
    <cellStyle name="Normal 5 5 2 2 4 4" xfId="10309" xr:uid="{04A5C9C3-FD23-4E41-88C8-19E6D1E4D400}"/>
    <cellStyle name="Normal 5 5 2 2 5" xfId="2184" xr:uid="{00000000-0005-0000-0000-00005B1B0000}"/>
    <cellStyle name="Normal 5 5 2 2 5 2" xfId="4413" xr:uid="{00000000-0005-0000-0000-00005C1B0000}"/>
    <cellStyle name="Normal 5 5 2 2 5 2 2" xfId="8635" xr:uid="{00000000-0005-0000-0000-00005D1B0000}"/>
    <cellStyle name="Normal 5 5 2 2 5 2 2 2" xfId="17085" xr:uid="{694CB061-AA39-437F-98E4-8F2CCE8B1D0F}"/>
    <cellStyle name="Normal 5 5 2 2 5 2 3" xfId="12867" xr:uid="{DED4457A-6078-480A-BFB2-AB879F5B0043}"/>
    <cellStyle name="Normal 5 5 2 2 5 3" xfId="6490" xr:uid="{00000000-0005-0000-0000-00005E1B0000}"/>
    <cellStyle name="Normal 5 5 2 2 5 3 2" xfId="14940" xr:uid="{43CB69C0-CECC-4470-AA15-23726C0A3A94}"/>
    <cellStyle name="Normal 5 5 2 2 5 4" xfId="10722" xr:uid="{5E3F208C-A072-4DBC-9F3B-5DCCB393E5B9}"/>
    <cellStyle name="Normal 5 5 2 2 6" xfId="2620" xr:uid="{00000000-0005-0000-0000-00005F1B0000}"/>
    <cellStyle name="Normal 5 5 2 2 6 2" xfId="6903" xr:uid="{00000000-0005-0000-0000-0000601B0000}"/>
    <cellStyle name="Normal 5 5 2 2 6 2 2" xfId="15353" xr:uid="{AFAA26D8-32BB-43AB-A262-2CC95B6E9C19}"/>
    <cellStyle name="Normal 5 5 2 2 6 3" xfId="11135" xr:uid="{4DA8C9F6-81A0-4D7C-ADCD-BEBF81C82215}"/>
    <cellStyle name="Normal 5 5 2 2 7" xfId="4838" xr:uid="{00000000-0005-0000-0000-0000611B0000}"/>
    <cellStyle name="Normal 5 5 2 2 7 2" xfId="13288" xr:uid="{9392F5EA-4006-4954-9FC2-728E96B2947A}"/>
    <cellStyle name="Normal 5 5 2 2 8" xfId="9070" xr:uid="{A3C62E68-DE96-4CCB-BA86-AF2F0E51974C}"/>
    <cellStyle name="Normal 5 5 2 3" xfId="939" xr:uid="{00000000-0005-0000-0000-0000621B0000}"/>
    <cellStyle name="Normal 5 5 2 3 2" xfId="3173" xr:uid="{00000000-0005-0000-0000-0000631B0000}"/>
    <cellStyle name="Normal 5 5 2 3 2 2" xfId="7395" xr:uid="{00000000-0005-0000-0000-0000641B0000}"/>
    <cellStyle name="Normal 5 5 2 3 2 2 2" xfId="15845" xr:uid="{31486D92-B978-443F-88A7-11B077EE7402}"/>
    <cellStyle name="Normal 5 5 2 3 2 3" xfId="11627" xr:uid="{BE97B50A-6873-406B-A044-2B435AEC19C0}"/>
    <cellStyle name="Normal 5 5 2 3 3" xfId="5250" xr:uid="{00000000-0005-0000-0000-0000651B0000}"/>
    <cellStyle name="Normal 5 5 2 3 3 2" xfId="13700" xr:uid="{C6E65CE4-213C-4BC4-9985-223ED404690A}"/>
    <cellStyle name="Normal 5 5 2 3 4" xfId="9482" xr:uid="{3E049EED-98C7-4B0A-BFDA-F54EE8660D9E}"/>
    <cellStyle name="Normal 5 5 2 4" xfId="1356" xr:uid="{00000000-0005-0000-0000-0000661B0000}"/>
    <cellStyle name="Normal 5 5 2 4 2" xfId="3586" xr:uid="{00000000-0005-0000-0000-0000671B0000}"/>
    <cellStyle name="Normal 5 5 2 4 2 2" xfId="7808" xr:uid="{00000000-0005-0000-0000-0000681B0000}"/>
    <cellStyle name="Normal 5 5 2 4 2 2 2" xfId="16258" xr:uid="{FBAB92B4-9DDE-46FE-A017-1601AB86C913}"/>
    <cellStyle name="Normal 5 5 2 4 2 3" xfId="12040" xr:uid="{A8040D51-3B0B-4074-8F6C-38CE0A62CAB2}"/>
    <cellStyle name="Normal 5 5 2 4 3" xfId="5663" xr:uid="{00000000-0005-0000-0000-0000691B0000}"/>
    <cellStyle name="Normal 5 5 2 4 3 2" xfId="14113" xr:uid="{243CB9C6-3AE9-412B-A88B-D507DCA37159}"/>
    <cellStyle name="Normal 5 5 2 4 4" xfId="9895" xr:uid="{732DC034-5E13-49FC-9C67-B42D2C8CA51C}"/>
    <cellStyle name="Normal 5 5 2 5" xfId="1769" xr:uid="{00000000-0005-0000-0000-00006A1B0000}"/>
    <cellStyle name="Normal 5 5 2 5 2" xfId="3999" xr:uid="{00000000-0005-0000-0000-00006B1B0000}"/>
    <cellStyle name="Normal 5 5 2 5 2 2" xfId="8221" xr:uid="{00000000-0005-0000-0000-00006C1B0000}"/>
    <cellStyle name="Normal 5 5 2 5 2 2 2" xfId="16671" xr:uid="{9AC2C8C0-DA35-4EA7-924B-260377BF2C53}"/>
    <cellStyle name="Normal 5 5 2 5 2 3" xfId="12453" xr:uid="{3BB2448E-01F4-428B-8166-45CF74C48AE2}"/>
    <cellStyle name="Normal 5 5 2 5 3" xfId="6076" xr:uid="{00000000-0005-0000-0000-00006D1B0000}"/>
    <cellStyle name="Normal 5 5 2 5 3 2" xfId="14526" xr:uid="{6C1FE0E4-017A-44AA-B6F9-E09AB45EA99A}"/>
    <cellStyle name="Normal 5 5 2 5 4" xfId="10308" xr:uid="{3A0A5F58-1F16-4896-9A28-EA8449D6CD72}"/>
    <cellStyle name="Normal 5 5 2 6" xfId="2183" xr:uid="{00000000-0005-0000-0000-00006E1B0000}"/>
    <cellStyle name="Normal 5 5 2 6 2" xfId="4412" xr:uid="{00000000-0005-0000-0000-00006F1B0000}"/>
    <cellStyle name="Normal 5 5 2 6 2 2" xfId="8634" xr:uid="{00000000-0005-0000-0000-0000701B0000}"/>
    <cellStyle name="Normal 5 5 2 6 2 2 2" xfId="17084" xr:uid="{3EDAE9F8-9114-4A38-96ED-ECD68CEB2915}"/>
    <cellStyle name="Normal 5 5 2 6 2 3" xfId="12866" xr:uid="{E585D525-99DB-47AC-B1F0-97030CF3E425}"/>
    <cellStyle name="Normal 5 5 2 6 3" xfId="6489" xr:uid="{00000000-0005-0000-0000-0000711B0000}"/>
    <cellStyle name="Normal 5 5 2 6 3 2" xfId="14939" xr:uid="{6EC2C1B3-4423-4735-934D-C2D727148756}"/>
    <cellStyle name="Normal 5 5 2 6 4" xfId="10721" xr:uid="{68B3E1F3-6146-48A7-87C4-6D1A7B5DD60E}"/>
    <cellStyle name="Normal 5 5 2 7" xfId="2619" xr:uid="{00000000-0005-0000-0000-0000721B0000}"/>
    <cellStyle name="Normal 5 5 2 7 2" xfId="6902" xr:uid="{00000000-0005-0000-0000-0000731B0000}"/>
    <cellStyle name="Normal 5 5 2 7 2 2" xfId="15352" xr:uid="{F89FCBF1-12EB-4C7F-B906-6D6964852198}"/>
    <cellStyle name="Normal 5 5 2 7 3" xfId="11134" xr:uid="{171EF394-CFF8-4F3F-9A55-CE0B6A56B298}"/>
    <cellStyle name="Normal 5 5 2 8" xfId="4837" xr:uid="{00000000-0005-0000-0000-0000741B0000}"/>
    <cellStyle name="Normal 5 5 2 8 2" xfId="13287" xr:uid="{DAC75AAF-C93E-41E9-94E0-42E133724782}"/>
    <cellStyle name="Normal 5 5 2 9" xfId="9069" xr:uid="{41E6379A-1C9B-4D64-9879-1F8060582084}"/>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2 2 2" xfId="15847" xr:uid="{19034A24-856E-423C-ACAE-730DF868A38D}"/>
    <cellStyle name="Normal 5 5 3 2 2 3" xfId="11629" xr:uid="{16B0899F-E0B8-4AEF-BB24-3298A4DFA2E9}"/>
    <cellStyle name="Normal 5 5 3 2 3" xfId="5252" xr:uid="{00000000-0005-0000-0000-0000791B0000}"/>
    <cellStyle name="Normal 5 5 3 2 3 2" xfId="13702" xr:uid="{E1559200-2B24-4CB9-8048-1AAB9E7BF1D0}"/>
    <cellStyle name="Normal 5 5 3 2 4" xfId="9484" xr:uid="{64F2F576-8472-410B-93F5-3FB0150E4837}"/>
    <cellStyle name="Normal 5 5 3 3" xfId="1358" xr:uid="{00000000-0005-0000-0000-00007A1B0000}"/>
    <cellStyle name="Normal 5 5 3 3 2" xfId="3588" xr:uid="{00000000-0005-0000-0000-00007B1B0000}"/>
    <cellStyle name="Normal 5 5 3 3 2 2" xfId="7810" xr:uid="{00000000-0005-0000-0000-00007C1B0000}"/>
    <cellStyle name="Normal 5 5 3 3 2 2 2" xfId="16260" xr:uid="{5FDDCC90-6123-455E-84E7-43198337F59A}"/>
    <cellStyle name="Normal 5 5 3 3 2 3" xfId="12042" xr:uid="{B1F57399-FBBA-4D7B-92E5-0965329F71C9}"/>
    <cellStyle name="Normal 5 5 3 3 3" xfId="5665" xr:uid="{00000000-0005-0000-0000-00007D1B0000}"/>
    <cellStyle name="Normal 5 5 3 3 3 2" xfId="14115" xr:uid="{091B3C57-5491-4628-B046-942A4EA5D15B}"/>
    <cellStyle name="Normal 5 5 3 3 4" xfId="9897" xr:uid="{5CCE7561-A45D-4C49-A45C-4F41DF601124}"/>
    <cellStyle name="Normal 5 5 3 4" xfId="1771" xr:uid="{00000000-0005-0000-0000-00007E1B0000}"/>
    <cellStyle name="Normal 5 5 3 4 2" xfId="4001" xr:uid="{00000000-0005-0000-0000-00007F1B0000}"/>
    <cellStyle name="Normal 5 5 3 4 2 2" xfId="8223" xr:uid="{00000000-0005-0000-0000-0000801B0000}"/>
    <cellStyle name="Normal 5 5 3 4 2 2 2" xfId="16673" xr:uid="{0B9E27FE-DEC1-4572-89A3-F0CED0DA1F55}"/>
    <cellStyle name="Normal 5 5 3 4 2 3" xfId="12455" xr:uid="{5F46642A-33B7-4F25-BD20-3FABCCC5AF80}"/>
    <cellStyle name="Normal 5 5 3 4 3" xfId="6078" xr:uid="{00000000-0005-0000-0000-0000811B0000}"/>
    <cellStyle name="Normal 5 5 3 4 3 2" xfId="14528" xr:uid="{25282E2A-B094-48C8-B665-2B8F5E05E4A8}"/>
    <cellStyle name="Normal 5 5 3 4 4" xfId="10310" xr:uid="{547A0775-7C98-439D-A6F6-3D387015D08E}"/>
    <cellStyle name="Normal 5 5 3 5" xfId="2185" xr:uid="{00000000-0005-0000-0000-0000821B0000}"/>
    <cellStyle name="Normal 5 5 3 5 2" xfId="4414" xr:uid="{00000000-0005-0000-0000-0000831B0000}"/>
    <cellStyle name="Normal 5 5 3 5 2 2" xfId="8636" xr:uid="{00000000-0005-0000-0000-0000841B0000}"/>
    <cellStyle name="Normal 5 5 3 5 2 2 2" xfId="17086" xr:uid="{632385D1-5A2A-46EA-A391-A430DDA7BEF5}"/>
    <cellStyle name="Normal 5 5 3 5 2 3" xfId="12868" xr:uid="{A81C30F7-1EE0-467A-B519-2690E2CEA0EC}"/>
    <cellStyle name="Normal 5 5 3 5 3" xfId="6491" xr:uid="{00000000-0005-0000-0000-0000851B0000}"/>
    <cellStyle name="Normal 5 5 3 5 3 2" xfId="14941" xr:uid="{B0E2A315-B813-4F58-BE05-941635AD3497}"/>
    <cellStyle name="Normal 5 5 3 5 4" xfId="10723" xr:uid="{74908BB7-A820-4309-B6F1-923BC1F7A9BD}"/>
    <cellStyle name="Normal 5 5 3 6" xfId="2621" xr:uid="{00000000-0005-0000-0000-0000861B0000}"/>
    <cellStyle name="Normal 5 5 3 6 2" xfId="6904" xr:uid="{00000000-0005-0000-0000-0000871B0000}"/>
    <cellStyle name="Normal 5 5 3 6 2 2" xfId="15354" xr:uid="{A3A61CE9-D777-4245-9590-17AFD6EB4747}"/>
    <cellStyle name="Normal 5 5 3 6 3" xfId="11136" xr:uid="{25013599-80BB-45D5-AAB8-7C590D9586F9}"/>
    <cellStyle name="Normal 5 5 3 7" xfId="4839" xr:uid="{00000000-0005-0000-0000-0000881B0000}"/>
    <cellStyle name="Normal 5 5 3 7 2" xfId="13289" xr:uid="{AEDFC41A-593E-4EDD-9321-EFA5F659C0C3}"/>
    <cellStyle name="Normal 5 5 3 8" xfId="9071" xr:uid="{1605C623-B9CC-4799-9CDA-D84815FE42C6}"/>
    <cellStyle name="Normal 5 5 4" xfId="938" xr:uid="{00000000-0005-0000-0000-0000891B0000}"/>
    <cellStyle name="Normal 5 5 4 2" xfId="3172" xr:uid="{00000000-0005-0000-0000-00008A1B0000}"/>
    <cellStyle name="Normal 5 5 4 2 2" xfId="7394" xr:uid="{00000000-0005-0000-0000-00008B1B0000}"/>
    <cellStyle name="Normal 5 5 4 2 2 2" xfId="15844" xr:uid="{E3E213E0-B6FB-47A6-9ACD-2C1B014E1E31}"/>
    <cellStyle name="Normal 5 5 4 2 3" xfId="11626" xr:uid="{3B779360-2B5E-4A73-9294-F6C8A1D1E5B1}"/>
    <cellStyle name="Normal 5 5 4 3" xfId="5249" xr:uid="{00000000-0005-0000-0000-00008C1B0000}"/>
    <cellStyle name="Normal 5 5 4 3 2" xfId="13699" xr:uid="{6286064F-3B80-4A56-A92D-AB5A671E7098}"/>
    <cellStyle name="Normal 5 5 4 4" xfId="9481" xr:uid="{152DA02D-B737-4E83-A106-F3309FE1BE80}"/>
    <cellStyle name="Normal 5 5 5" xfId="1355" xr:uid="{00000000-0005-0000-0000-00008D1B0000}"/>
    <cellStyle name="Normal 5 5 5 2" xfId="3585" xr:uid="{00000000-0005-0000-0000-00008E1B0000}"/>
    <cellStyle name="Normal 5 5 5 2 2" xfId="7807" xr:uid="{00000000-0005-0000-0000-00008F1B0000}"/>
    <cellStyle name="Normal 5 5 5 2 2 2" xfId="16257" xr:uid="{6F08325B-327A-4C04-80A4-4B3BCE2ABCF5}"/>
    <cellStyle name="Normal 5 5 5 2 3" xfId="12039" xr:uid="{8299B41E-B2E8-427C-9416-691E8A20CDBF}"/>
    <cellStyle name="Normal 5 5 5 3" xfId="5662" xr:uid="{00000000-0005-0000-0000-0000901B0000}"/>
    <cellStyle name="Normal 5 5 5 3 2" xfId="14112" xr:uid="{2DE3EE95-393D-48A9-8053-486E4F918C40}"/>
    <cellStyle name="Normal 5 5 5 4" xfId="9894" xr:uid="{016202F5-9B29-476E-88BD-95222071896F}"/>
    <cellStyle name="Normal 5 5 6" xfId="1768" xr:uid="{00000000-0005-0000-0000-0000911B0000}"/>
    <cellStyle name="Normal 5 5 6 2" xfId="3998" xr:uid="{00000000-0005-0000-0000-0000921B0000}"/>
    <cellStyle name="Normal 5 5 6 2 2" xfId="8220" xr:uid="{00000000-0005-0000-0000-0000931B0000}"/>
    <cellStyle name="Normal 5 5 6 2 2 2" xfId="16670" xr:uid="{5CCC0A70-0B91-434B-A179-A893868A4264}"/>
    <cellStyle name="Normal 5 5 6 2 3" xfId="12452" xr:uid="{C41CB0A4-FF4B-447B-9421-03D1588E79DB}"/>
    <cellStyle name="Normal 5 5 6 3" xfId="6075" xr:uid="{00000000-0005-0000-0000-0000941B0000}"/>
    <cellStyle name="Normal 5 5 6 3 2" xfId="14525" xr:uid="{ADA1B316-3773-4B1F-9A65-B73D9729C35B}"/>
    <cellStyle name="Normal 5 5 6 4" xfId="10307" xr:uid="{B8534DF1-193D-4D13-ACBC-7E01FAA70F6C}"/>
    <cellStyle name="Normal 5 5 7" xfId="2182" xr:uid="{00000000-0005-0000-0000-0000951B0000}"/>
    <cellStyle name="Normal 5 5 7 2" xfId="4411" xr:uid="{00000000-0005-0000-0000-0000961B0000}"/>
    <cellStyle name="Normal 5 5 7 2 2" xfId="8633" xr:uid="{00000000-0005-0000-0000-0000971B0000}"/>
    <cellStyle name="Normal 5 5 7 2 2 2" xfId="17083" xr:uid="{5A6364F0-CB27-4986-92DA-E9864F4700FE}"/>
    <cellStyle name="Normal 5 5 7 2 3" xfId="12865" xr:uid="{8EFDF18F-F2A5-4783-95F4-3FCB81399A38}"/>
    <cellStyle name="Normal 5 5 7 3" xfId="6488" xr:uid="{00000000-0005-0000-0000-0000981B0000}"/>
    <cellStyle name="Normal 5 5 7 3 2" xfId="14938" xr:uid="{2DD105AA-A7B5-4216-AB15-319F76C943D4}"/>
    <cellStyle name="Normal 5 5 7 4" xfId="10720" xr:uid="{30B2F5F8-6A14-4408-868B-2571B1C2F5F8}"/>
    <cellStyle name="Normal 5 5 8" xfId="2618" xr:uid="{00000000-0005-0000-0000-0000991B0000}"/>
    <cellStyle name="Normal 5 5 8 2" xfId="6901" xr:uid="{00000000-0005-0000-0000-00009A1B0000}"/>
    <cellStyle name="Normal 5 5 8 2 2" xfId="15351" xr:uid="{137FAF97-CF4F-4BA7-BADF-60D4226C0AE7}"/>
    <cellStyle name="Normal 5 5 8 3" xfId="11133" xr:uid="{E7C835D7-E514-40EF-8439-EBAAEAF5C653}"/>
    <cellStyle name="Normal 5 5 9" xfId="4836" xr:uid="{00000000-0005-0000-0000-00009B1B0000}"/>
    <cellStyle name="Normal 5 5 9 2" xfId="13286" xr:uid="{58A46AD8-DDB2-4DE0-A5DF-8961BD5E9252}"/>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2 2 2" xfId="15849" xr:uid="{B74BE9D2-3695-4127-952B-2636F30AD7A2}"/>
    <cellStyle name="Normal 5 6 2 2 2 3" xfId="11631" xr:uid="{439C082B-412A-4BF9-A3C7-574034791BFB}"/>
    <cellStyle name="Normal 5 6 2 2 3" xfId="5254" xr:uid="{00000000-0005-0000-0000-0000A11B0000}"/>
    <cellStyle name="Normal 5 6 2 2 3 2" xfId="13704" xr:uid="{816E2BBC-C9A1-4FB9-BB60-3D84B7459CA6}"/>
    <cellStyle name="Normal 5 6 2 2 4" xfId="9486" xr:uid="{C886C3CF-AF4E-4A13-A24F-FE3ED64452A4}"/>
    <cellStyle name="Normal 5 6 2 3" xfId="1360" xr:uid="{00000000-0005-0000-0000-0000A21B0000}"/>
    <cellStyle name="Normal 5 6 2 3 2" xfId="3590" xr:uid="{00000000-0005-0000-0000-0000A31B0000}"/>
    <cellStyle name="Normal 5 6 2 3 2 2" xfId="7812" xr:uid="{00000000-0005-0000-0000-0000A41B0000}"/>
    <cellStyle name="Normal 5 6 2 3 2 2 2" xfId="16262" xr:uid="{B82136F6-1D28-478F-8D5E-71E3FA21922A}"/>
    <cellStyle name="Normal 5 6 2 3 2 3" xfId="12044" xr:uid="{180552F9-81FF-4DEC-8022-B9A06D3F0F9A}"/>
    <cellStyle name="Normal 5 6 2 3 3" xfId="5667" xr:uid="{00000000-0005-0000-0000-0000A51B0000}"/>
    <cellStyle name="Normal 5 6 2 3 3 2" xfId="14117" xr:uid="{29DF22B7-04BC-48B7-BE05-EA2E1FCAA3C7}"/>
    <cellStyle name="Normal 5 6 2 3 4" xfId="9899" xr:uid="{8EC3733F-3EFE-43F0-A83F-8159852F7DBA}"/>
    <cellStyle name="Normal 5 6 2 4" xfId="1773" xr:uid="{00000000-0005-0000-0000-0000A61B0000}"/>
    <cellStyle name="Normal 5 6 2 4 2" xfId="4003" xr:uid="{00000000-0005-0000-0000-0000A71B0000}"/>
    <cellStyle name="Normal 5 6 2 4 2 2" xfId="8225" xr:uid="{00000000-0005-0000-0000-0000A81B0000}"/>
    <cellStyle name="Normal 5 6 2 4 2 2 2" xfId="16675" xr:uid="{284C756E-6DA9-4F85-A52C-981BEA522E1A}"/>
    <cellStyle name="Normal 5 6 2 4 2 3" xfId="12457" xr:uid="{9CEBFDD5-FC38-4298-9E8B-7A7D1EBCCC6C}"/>
    <cellStyle name="Normal 5 6 2 4 3" xfId="6080" xr:uid="{00000000-0005-0000-0000-0000A91B0000}"/>
    <cellStyle name="Normal 5 6 2 4 3 2" xfId="14530" xr:uid="{B0E512AA-FDA8-4CC9-89D1-38A2D44A6653}"/>
    <cellStyle name="Normal 5 6 2 4 4" xfId="10312" xr:uid="{C0F16191-54BC-4ACE-BFA5-E8B200E994B7}"/>
    <cellStyle name="Normal 5 6 2 5" xfId="2187" xr:uid="{00000000-0005-0000-0000-0000AA1B0000}"/>
    <cellStyle name="Normal 5 6 2 5 2" xfId="4416" xr:uid="{00000000-0005-0000-0000-0000AB1B0000}"/>
    <cellStyle name="Normal 5 6 2 5 2 2" xfId="8638" xr:uid="{00000000-0005-0000-0000-0000AC1B0000}"/>
    <cellStyle name="Normal 5 6 2 5 2 2 2" xfId="17088" xr:uid="{72A4217D-C12B-48EA-BAFB-43672E1178DB}"/>
    <cellStyle name="Normal 5 6 2 5 2 3" xfId="12870" xr:uid="{3D1E3E78-8439-4EE7-8F26-A0031F781F0E}"/>
    <cellStyle name="Normal 5 6 2 5 3" xfId="6493" xr:uid="{00000000-0005-0000-0000-0000AD1B0000}"/>
    <cellStyle name="Normal 5 6 2 5 3 2" xfId="14943" xr:uid="{D094D44F-852D-4DCF-9911-BFDAD20D9195}"/>
    <cellStyle name="Normal 5 6 2 5 4" xfId="10725" xr:uid="{B32CE139-8675-4F1C-91D2-55991C6C99EB}"/>
    <cellStyle name="Normal 5 6 2 6" xfId="2623" xr:uid="{00000000-0005-0000-0000-0000AE1B0000}"/>
    <cellStyle name="Normal 5 6 2 6 2" xfId="6906" xr:uid="{00000000-0005-0000-0000-0000AF1B0000}"/>
    <cellStyle name="Normal 5 6 2 6 2 2" xfId="15356" xr:uid="{F3BE6BBB-EF1F-432B-ACF4-7C0B208FB586}"/>
    <cellStyle name="Normal 5 6 2 6 3" xfId="11138" xr:uid="{FC7A8ABA-97F0-4C3A-BD22-8D2D01EB1284}"/>
    <cellStyle name="Normal 5 6 2 7" xfId="4841" xr:uid="{00000000-0005-0000-0000-0000B01B0000}"/>
    <cellStyle name="Normal 5 6 2 7 2" xfId="13291" xr:uid="{1C51B07D-8F65-4290-937E-9ED84034DBAB}"/>
    <cellStyle name="Normal 5 6 2 8" xfId="9073" xr:uid="{369294D0-9007-49C2-A6A1-9245F3B4AEB0}"/>
    <cellStyle name="Normal 5 6 3" xfId="942" xr:uid="{00000000-0005-0000-0000-0000B11B0000}"/>
    <cellStyle name="Normal 5 6 3 2" xfId="3176" xr:uid="{00000000-0005-0000-0000-0000B21B0000}"/>
    <cellStyle name="Normal 5 6 3 2 2" xfId="7398" xr:uid="{00000000-0005-0000-0000-0000B31B0000}"/>
    <cellStyle name="Normal 5 6 3 2 2 2" xfId="15848" xr:uid="{C4B966BB-2756-46B8-98E5-D3E56EA1AB1D}"/>
    <cellStyle name="Normal 5 6 3 2 3" xfId="11630" xr:uid="{1546FAE2-E585-4980-AF6E-485EE3706B4B}"/>
    <cellStyle name="Normal 5 6 3 3" xfId="5253" xr:uid="{00000000-0005-0000-0000-0000B41B0000}"/>
    <cellStyle name="Normal 5 6 3 3 2" xfId="13703" xr:uid="{D2E2A3CF-8403-4A4C-AB95-5C5955AD56D1}"/>
    <cellStyle name="Normal 5 6 3 4" xfId="9485" xr:uid="{2C3AB4B9-36A4-4ABD-93EE-7AD84D5A8D93}"/>
    <cellStyle name="Normal 5 6 4" xfId="1359" xr:uid="{00000000-0005-0000-0000-0000B51B0000}"/>
    <cellStyle name="Normal 5 6 4 2" xfId="3589" xr:uid="{00000000-0005-0000-0000-0000B61B0000}"/>
    <cellStyle name="Normal 5 6 4 2 2" xfId="7811" xr:uid="{00000000-0005-0000-0000-0000B71B0000}"/>
    <cellStyle name="Normal 5 6 4 2 2 2" xfId="16261" xr:uid="{436D8719-FDCA-4AFD-B1FF-C7FB2A569F49}"/>
    <cellStyle name="Normal 5 6 4 2 3" xfId="12043" xr:uid="{90B40E20-30C9-4980-BABB-C4C5604E7563}"/>
    <cellStyle name="Normal 5 6 4 3" xfId="5666" xr:uid="{00000000-0005-0000-0000-0000B81B0000}"/>
    <cellStyle name="Normal 5 6 4 3 2" xfId="14116" xr:uid="{D6C7736F-68A4-4B8F-8688-2179759566A2}"/>
    <cellStyle name="Normal 5 6 4 4" xfId="9898" xr:uid="{7B39EE1A-82AC-4AF2-8BB0-F2CCC7CAAB9C}"/>
    <cellStyle name="Normal 5 6 5" xfId="1772" xr:uid="{00000000-0005-0000-0000-0000B91B0000}"/>
    <cellStyle name="Normal 5 6 5 2" xfId="4002" xr:uid="{00000000-0005-0000-0000-0000BA1B0000}"/>
    <cellStyle name="Normal 5 6 5 2 2" xfId="8224" xr:uid="{00000000-0005-0000-0000-0000BB1B0000}"/>
    <cellStyle name="Normal 5 6 5 2 2 2" xfId="16674" xr:uid="{8D165BBE-DCC6-43EE-ACFD-DC92DD063A32}"/>
    <cellStyle name="Normal 5 6 5 2 3" xfId="12456" xr:uid="{6C4386EF-FBB0-4566-B162-6AD6526E67F0}"/>
    <cellStyle name="Normal 5 6 5 3" xfId="6079" xr:uid="{00000000-0005-0000-0000-0000BC1B0000}"/>
    <cellStyle name="Normal 5 6 5 3 2" xfId="14529" xr:uid="{7275F092-9123-4870-B0C9-88EC0054A16C}"/>
    <cellStyle name="Normal 5 6 5 4" xfId="10311" xr:uid="{0DA9BA98-2184-4803-B594-DA2259918995}"/>
    <cellStyle name="Normal 5 6 6" xfId="2186" xr:uid="{00000000-0005-0000-0000-0000BD1B0000}"/>
    <cellStyle name="Normal 5 6 6 2" xfId="4415" xr:uid="{00000000-0005-0000-0000-0000BE1B0000}"/>
    <cellStyle name="Normal 5 6 6 2 2" xfId="8637" xr:uid="{00000000-0005-0000-0000-0000BF1B0000}"/>
    <cellStyle name="Normal 5 6 6 2 2 2" xfId="17087" xr:uid="{42FBA8D8-9322-4813-95C1-F8DE51259787}"/>
    <cellStyle name="Normal 5 6 6 2 3" xfId="12869" xr:uid="{11843110-86FB-4BB7-831C-5C70A022BAF9}"/>
    <cellStyle name="Normal 5 6 6 3" xfId="6492" xr:uid="{00000000-0005-0000-0000-0000C01B0000}"/>
    <cellStyle name="Normal 5 6 6 3 2" xfId="14942" xr:uid="{FFEDFA8C-84EB-45BC-BCD9-25DF924AC891}"/>
    <cellStyle name="Normal 5 6 6 4" xfId="10724" xr:uid="{A43E1EB8-D6A7-4CBD-878F-5E9C4E1CA529}"/>
    <cellStyle name="Normal 5 6 7" xfId="2622" xr:uid="{00000000-0005-0000-0000-0000C11B0000}"/>
    <cellStyle name="Normal 5 6 7 2" xfId="6905" xr:uid="{00000000-0005-0000-0000-0000C21B0000}"/>
    <cellStyle name="Normal 5 6 7 2 2" xfId="15355" xr:uid="{F60ECED6-A698-4DDC-9283-5A4064CCA13B}"/>
    <cellStyle name="Normal 5 6 7 3" xfId="11137" xr:uid="{C8D66BE5-37D4-4BD2-B495-340013E57C5F}"/>
    <cellStyle name="Normal 5 6 8" xfId="4840" xr:uid="{00000000-0005-0000-0000-0000C31B0000}"/>
    <cellStyle name="Normal 5 6 8 2" xfId="13290" xr:uid="{8276BBFA-49D3-4626-A727-C3C84084F735}"/>
    <cellStyle name="Normal 5 6 9" xfId="9072" xr:uid="{AF97E94E-BEC8-4A68-9EFF-F133E2AD2445}"/>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2 2 2" xfId="15850" xr:uid="{00D0CED3-7AE2-44F2-8A46-E60AE9868BCD}"/>
    <cellStyle name="Normal 5 7 2 2 3" xfId="11632" xr:uid="{88F161C1-9D21-4F71-9EAA-9F07C87F7D3B}"/>
    <cellStyle name="Normal 5 7 2 3" xfId="5255" xr:uid="{00000000-0005-0000-0000-0000C81B0000}"/>
    <cellStyle name="Normal 5 7 2 3 2" xfId="13705" xr:uid="{0F922026-EAA4-48E6-9CAE-88C9878DC30B}"/>
    <cellStyle name="Normal 5 7 2 4" xfId="9487" xr:uid="{6F01B740-DDA2-43B6-9FD9-8BCD4E451E68}"/>
    <cellStyle name="Normal 5 7 3" xfId="1361" xr:uid="{00000000-0005-0000-0000-0000C91B0000}"/>
    <cellStyle name="Normal 5 7 3 2" xfId="3591" xr:uid="{00000000-0005-0000-0000-0000CA1B0000}"/>
    <cellStyle name="Normal 5 7 3 2 2" xfId="7813" xr:uid="{00000000-0005-0000-0000-0000CB1B0000}"/>
    <cellStyle name="Normal 5 7 3 2 2 2" xfId="16263" xr:uid="{0FA6F453-D06E-46DC-89C8-2D4385FE536C}"/>
    <cellStyle name="Normal 5 7 3 2 3" xfId="12045" xr:uid="{844BB651-4D5D-46E7-837B-1AFE5B7671AC}"/>
    <cellStyle name="Normal 5 7 3 3" xfId="5668" xr:uid="{00000000-0005-0000-0000-0000CC1B0000}"/>
    <cellStyle name="Normal 5 7 3 3 2" xfId="14118" xr:uid="{AC8966C9-91F1-44AD-94A1-CF3B4441897E}"/>
    <cellStyle name="Normal 5 7 3 4" xfId="9900" xr:uid="{AF0A19CC-5D7F-4243-AE45-20BA2775D932}"/>
    <cellStyle name="Normal 5 7 4" xfId="1774" xr:uid="{00000000-0005-0000-0000-0000CD1B0000}"/>
    <cellStyle name="Normal 5 7 4 2" xfId="4004" xr:uid="{00000000-0005-0000-0000-0000CE1B0000}"/>
    <cellStyle name="Normal 5 7 4 2 2" xfId="8226" xr:uid="{00000000-0005-0000-0000-0000CF1B0000}"/>
    <cellStyle name="Normal 5 7 4 2 2 2" xfId="16676" xr:uid="{3BC2EBEB-D49F-4C1F-B894-83AF09DEDD05}"/>
    <cellStyle name="Normal 5 7 4 2 3" xfId="12458" xr:uid="{ACB4DE85-BBDC-413E-9C69-E1741C579FEF}"/>
    <cellStyle name="Normal 5 7 4 3" xfId="6081" xr:uid="{00000000-0005-0000-0000-0000D01B0000}"/>
    <cellStyle name="Normal 5 7 4 3 2" xfId="14531" xr:uid="{9E1657C8-D648-43B3-B83F-703F97E7E77C}"/>
    <cellStyle name="Normal 5 7 4 4" xfId="10313" xr:uid="{E6287F1F-6684-45DB-A03D-DF80C853E0C7}"/>
    <cellStyle name="Normal 5 7 5" xfId="2188" xr:uid="{00000000-0005-0000-0000-0000D11B0000}"/>
    <cellStyle name="Normal 5 7 5 2" xfId="4417" xr:uid="{00000000-0005-0000-0000-0000D21B0000}"/>
    <cellStyle name="Normal 5 7 5 2 2" xfId="8639" xr:uid="{00000000-0005-0000-0000-0000D31B0000}"/>
    <cellStyle name="Normal 5 7 5 2 2 2" xfId="17089" xr:uid="{1B678C2F-A6AC-490C-B950-16A5A6DB141C}"/>
    <cellStyle name="Normal 5 7 5 2 3" xfId="12871" xr:uid="{521F4A35-23B8-43C8-A82B-1AB979155482}"/>
    <cellStyle name="Normal 5 7 5 3" xfId="6494" xr:uid="{00000000-0005-0000-0000-0000D41B0000}"/>
    <cellStyle name="Normal 5 7 5 3 2" xfId="14944" xr:uid="{25B415B6-6778-4FAC-B568-8C5AE9FC661C}"/>
    <cellStyle name="Normal 5 7 5 4" xfId="10726" xr:uid="{76ADB361-1B9E-495F-9D83-14C09AAC42BB}"/>
    <cellStyle name="Normal 5 7 6" xfId="2624" xr:uid="{00000000-0005-0000-0000-0000D51B0000}"/>
    <cellStyle name="Normal 5 7 6 2" xfId="6907" xr:uid="{00000000-0005-0000-0000-0000D61B0000}"/>
    <cellStyle name="Normal 5 7 6 2 2" xfId="15357" xr:uid="{3E800C98-F1BD-405F-AF18-04756824CA1E}"/>
    <cellStyle name="Normal 5 7 6 3" xfId="11139" xr:uid="{0A8241C9-261B-4408-AA68-D5F830FB4B93}"/>
    <cellStyle name="Normal 5 7 7" xfId="4842" xr:uid="{00000000-0005-0000-0000-0000D71B0000}"/>
    <cellStyle name="Normal 5 7 7 2" xfId="13292" xr:uid="{233FBC0E-ABDA-4AA3-A3A2-3C59FA74454B}"/>
    <cellStyle name="Normal 5 7 8" xfId="9074" xr:uid="{8691E794-22A6-40FE-BA44-91E5735916A7}"/>
    <cellStyle name="Normal 5 8" xfId="880" xr:uid="{00000000-0005-0000-0000-0000D81B0000}"/>
    <cellStyle name="Normal 5 8 2" xfId="3115" xr:uid="{00000000-0005-0000-0000-0000D91B0000}"/>
    <cellStyle name="Normal 5 8 2 2" xfId="7337" xr:uid="{00000000-0005-0000-0000-0000DA1B0000}"/>
    <cellStyle name="Normal 5 8 2 2 2" xfId="15787" xr:uid="{401126D9-335F-42B6-A537-7E8BA44356D1}"/>
    <cellStyle name="Normal 5 8 2 3" xfId="11569" xr:uid="{34D5C9D4-A171-4B18-98BE-E27BE5FEC0D3}"/>
    <cellStyle name="Normal 5 8 3" xfId="5192" xr:uid="{00000000-0005-0000-0000-0000DB1B0000}"/>
    <cellStyle name="Normal 5 8 3 2" xfId="13642" xr:uid="{B2F0630F-7BD8-4210-9A3A-40A9E2833617}"/>
    <cellStyle name="Normal 5 8 4" xfId="9424" xr:uid="{DF3C7B6B-C28D-4C17-97BA-C02C626B352B}"/>
    <cellStyle name="Normal 5 9" xfId="1298" xr:uid="{00000000-0005-0000-0000-0000DC1B0000}"/>
    <cellStyle name="Normal 5 9 2" xfId="3528" xr:uid="{00000000-0005-0000-0000-0000DD1B0000}"/>
    <cellStyle name="Normal 5 9 2 2" xfId="7750" xr:uid="{00000000-0005-0000-0000-0000DE1B0000}"/>
    <cellStyle name="Normal 5 9 2 2 2" xfId="16200" xr:uid="{48414BD4-EFE4-463E-B96B-31208A93F7A3}"/>
    <cellStyle name="Normal 5 9 2 3" xfId="11982" xr:uid="{EBCA3243-BCEF-41F6-A43E-F096162FA57C}"/>
    <cellStyle name="Normal 5 9 3" xfId="5605" xr:uid="{00000000-0005-0000-0000-0000DF1B0000}"/>
    <cellStyle name="Normal 5 9 3 2" xfId="14055" xr:uid="{94B16B06-2500-4872-B92E-CA1880F7B544}"/>
    <cellStyle name="Normal 5 9 4" xfId="9837" xr:uid="{EB8C0D13-BC04-4245-A6D6-A97200471943}"/>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2 2 2" xfId="17090" xr:uid="{07E4DBAA-0D8F-4E14-867D-FBE34824F2C6}"/>
    <cellStyle name="Normal 8 10 2 3" xfId="12872" xr:uid="{197E2C46-AF33-447C-8317-01AC1E6F69A5}"/>
    <cellStyle name="Normal 8 10 3" xfId="6495" xr:uid="{00000000-0005-0000-0000-0000EB1B0000}"/>
    <cellStyle name="Normal 8 10 3 2" xfId="14945" xr:uid="{00EF0CF3-0790-4730-8DAE-A3286DD5CE60}"/>
    <cellStyle name="Normal 8 10 4" xfId="10727" xr:uid="{62776196-DB1F-49B0-9D6D-1DD24343174D}"/>
    <cellStyle name="Normal 8 11" xfId="2625" xr:uid="{00000000-0005-0000-0000-0000EC1B0000}"/>
    <cellStyle name="Normal 8 11 2" xfId="6908" xr:uid="{00000000-0005-0000-0000-0000ED1B0000}"/>
    <cellStyle name="Normal 8 11 2 2" xfId="15358" xr:uid="{FBF55AFB-7887-48DB-AC1B-22AD73B90293}"/>
    <cellStyle name="Normal 8 11 3" xfId="11140" xr:uid="{2D11EE22-C7AE-454A-9DA1-5C2E4A7F7135}"/>
    <cellStyle name="Normal 8 12" xfId="4843" xr:uid="{00000000-0005-0000-0000-0000EE1B0000}"/>
    <cellStyle name="Normal 8 12 2" xfId="13293" xr:uid="{6FF7FF4B-1A8D-44AE-8AC2-19C44B207FA8}"/>
    <cellStyle name="Normal 8 13" xfId="9075" xr:uid="{554EFFA6-784D-414F-8168-4BF3CA89C0F1}"/>
    <cellStyle name="Normal 8 2" xfId="479" xr:uid="{00000000-0005-0000-0000-0000EF1B0000}"/>
    <cellStyle name="Normal 8 2 10" xfId="2626" xr:uid="{00000000-0005-0000-0000-0000F01B0000}"/>
    <cellStyle name="Normal 8 2 10 2" xfId="6909" xr:uid="{00000000-0005-0000-0000-0000F11B0000}"/>
    <cellStyle name="Normal 8 2 10 2 2" xfId="15359" xr:uid="{2AF9CA78-2E0C-4C54-A1A7-5E74F4BE4799}"/>
    <cellStyle name="Normal 8 2 10 3" xfId="11141" xr:uid="{7BDC4817-940F-4192-ABDB-84EA6909A1AD}"/>
    <cellStyle name="Normal 8 2 11" xfId="4844" xr:uid="{00000000-0005-0000-0000-0000F21B0000}"/>
    <cellStyle name="Normal 8 2 11 2" xfId="13294" xr:uid="{AFD051AA-7A73-430B-96FB-7A49153522A8}"/>
    <cellStyle name="Normal 8 2 12" xfId="9076" xr:uid="{436BABCC-7B6A-452E-84F4-C07B6BAF4BAB}"/>
    <cellStyle name="Normal 8 2 2" xfId="480" xr:uid="{00000000-0005-0000-0000-0000F31B0000}"/>
    <cellStyle name="Normal 8 2 2 10" xfId="4845" xr:uid="{00000000-0005-0000-0000-0000F41B0000}"/>
    <cellStyle name="Normal 8 2 2 10 2" xfId="13295" xr:uid="{AD5940EC-6363-4D3A-9CC2-F90D6CDB0E42}"/>
    <cellStyle name="Normal 8 2 2 11" xfId="9077" xr:uid="{5936DE7E-1B14-4CC9-A5C3-C97A37C249FE}"/>
    <cellStyle name="Normal 8 2 2 2" xfId="481" xr:uid="{00000000-0005-0000-0000-0000F51B0000}"/>
    <cellStyle name="Normal 8 2 2 2 10" xfId="9078" xr:uid="{75DBD903-5E19-4B4C-B815-957BE7DBD707}"/>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2 2 2" xfId="15856" xr:uid="{CDF0CF18-A3ED-4C3D-B3F9-C9A7B37337C7}"/>
    <cellStyle name="Normal 8 2 2 2 2 2 2 2 3" xfId="11638" xr:uid="{30220196-52CE-4B25-B0FB-6F70FCAC9CF6}"/>
    <cellStyle name="Normal 8 2 2 2 2 2 2 3" xfId="5261" xr:uid="{00000000-0005-0000-0000-0000FB1B0000}"/>
    <cellStyle name="Normal 8 2 2 2 2 2 2 3 2" xfId="13711" xr:uid="{5C2B1ACA-22B8-4453-8FAB-3BBF81E62776}"/>
    <cellStyle name="Normal 8 2 2 2 2 2 2 4" xfId="9493" xr:uid="{885AB169-C3FB-43C0-B0AB-66B330AC923D}"/>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2 2 2" xfId="16269" xr:uid="{EAB9F86B-F558-4D5B-813D-B0F8631140C9}"/>
    <cellStyle name="Normal 8 2 2 2 2 2 3 2 3" xfId="12051" xr:uid="{1A2ED94C-86F4-4034-87F8-9479775E7660}"/>
    <cellStyle name="Normal 8 2 2 2 2 2 3 3" xfId="5674" xr:uid="{00000000-0005-0000-0000-0000FF1B0000}"/>
    <cellStyle name="Normal 8 2 2 2 2 2 3 3 2" xfId="14124" xr:uid="{863BB566-D1DC-4161-AC98-F73FBDBC55A1}"/>
    <cellStyle name="Normal 8 2 2 2 2 2 3 4" xfId="9906" xr:uid="{6B43C861-AD5C-47D0-A275-B13227E778D1}"/>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2 2 2" xfId="16682" xr:uid="{1850CBEC-295E-437D-B709-2DD4FD72E935}"/>
    <cellStyle name="Normal 8 2 2 2 2 2 4 2 3" xfId="12464" xr:uid="{4F979D1C-AA6B-4F86-9ED0-B88C0C0E7D85}"/>
    <cellStyle name="Normal 8 2 2 2 2 2 4 3" xfId="6087" xr:uid="{00000000-0005-0000-0000-0000031C0000}"/>
    <cellStyle name="Normal 8 2 2 2 2 2 4 3 2" xfId="14537" xr:uid="{1BF26F04-DF5A-4A39-A176-AC4A093A2CB3}"/>
    <cellStyle name="Normal 8 2 2 2 2 2 4 4" xfId="10319" xr:uid="{8F46E5DB-3AF7-4FBB-A066-C140B281777A}"/>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2 2 2" xfId="17095" xr:uid="{FD36F020-F6FD-4DA9-987B-0B8C36DAA606}"/>
    <cellStyle name="Normal 8 2 2 2 2 2 5 2 3" xfId="12877" xr:uid="{7BEF35A7-19CC-4B5D-AB35-F4A9C9DA273B}"/>
    <cellStyle name="Normal 8 2 2 2 2 2 5 3" xfId="6500" xr:uid="{00000000-0005-0000-0000-0000071C0000}"/>
    <cellStyle name="Normal 8 2 2 2 2 2 5 3 2" xfId="14950" xr:uid="{580BDF30-EF82-424E-84EE-2F2BDC423C48}"/>
    <cellStyle name="Normal 8 2 2 2 2 2 5 4" xfId="10732" xr:uid="{514D33F4-2F3D-4287-8A74-3EA9431DCD0D}"/>
    <cellStyle name="Normal 8 2 2 2 2 2 6" xfId="2630" xr:uid="{00000000-0005-0000-0000-0000081C0000}"/>
    <cellStyle name="Normal 8 2 2 2 2 2 6 2" xfId="6913" xr:uid="{00000000-0005-0000-0000-0000091C0000}"/>
    <cellStyle name="Normal 8 2 2 2 2 2 6 2 2" xfId="15363" xr:uid="{09916AAB-D91E-40E5-8E3E-B6FCBC061227}"/>
    <cellStyle name="Normal 8 2 2 2 2 2 6 3" xfId="11145" xr:uid="{953118FC-79BE-4141-B9B3-79ABA96D3206}"/>
    <cellStyle name="Normal 8 2 2 2 2 2 7" xfId="4848" xr:uid="{00000000-0005-0000-0000-00000A1C0000}"/>
    <cellStyle name="Normal 8 2 2 2 2 2 7 2" xfId="13298" xr:uid="{7E34A3D8-FEF6-4143-BCEB-824B8050F38D}"/>
    <cellStyle name="Normal 8 2 2 2 2 2 8" xfId="9080" xr:uid="{625F3445-EFE6-47F0-9505-3D0D57CE1381}"/>
    <cellStyle name="Normal 8 2 2 2 2 3" xfId="949" xr:uid="{00000000-0005-0000-0000-00000B1C0000}"/>
    <cellStyle name="Normal 8 2 2 2 2 3 2" xfId="3183" xr:uid="{00000000-0005-0000-0000-00000C1C0000}"/>
    <cellStyle name="Normal 8 2 2 2 2 3 2 2" xfId="7405" xr:uid="{00000000-0005-0000-0000-00000D1C0000}"/>
    <cellStyle name="Normal 8 2 2 2 2 3 2 2 2" xfId="15855" xr:uid="{7956B49D-D59B-4D15-86A7-7D67FAFAD8E1}"/>
    <cellStyle name="Normal 8 2 2 2 2 3 2 3" xfId="11637" xr:uid="{4195C3E3-5E33-48CC-AC1F-10B3D358C2D7}"/>
    <cellStyle name="Normal 8 2 2 2 2 3 3" xfId="5260" xr:uid="{00000000-0005-0000-0000-00000E1C0000}"/>
    <cellStyle name="Normal 8 2 2 2 2 3 3 2" xfId="13710" xr:uid="{B3191E06-25AC-4DA4-A0DA-46B2C68AA548}"/>
    <cellStyle name="Normal 8 2 2 2 2 3 4" xfId="9492" xr:uid="{1F7CCBD9-D51A-44E2-81AD-500581B96BD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2 2 2" xfId="16268" xr:uid="{C4EE2D61-11AD-4DCC-9EBA-E2BCBD7DD319}"/>
    <cellStyle name="Normal 8 2 2 2 2 4 2 3" xfId="12050" xr:uid="{CCB9377F-9D48-4773-B6CE-ED53E1334D78}"/>
    <cellStyle name="Normal 8 2 2 2 2 4 3" xfId="5673" xr:uid="{00000000-0005-0000-0000-0000121C0000}"/>
    <cellStyle name="Normal 8 2 2 2 2 4 3 2" xfId="14123" xr:uid="{DCEEB9C1-73B7-4D6A-9D32-06863E673843}"/>
    <cellStyle name="Normal 8 2 2 2 2 4 4" xfId="9905" xr:uid="{8D8F80E1-2465-4D84-99AB-7D9C0CA8B78A}"/>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2 2 2" xfId="16681" xr:uid="{26F8B901-087E-44A3-B832-328CC20B8DE3}"/>
    <cellStyle name="Normal 8 2 2 2 2 5 2 3" xfId="12463" xr:uid="{DD051AFE-BC52-4EC6-B7F7-4FC7C2A76C6F}"/>
    <cellStyle name="Normal 8 2 2 2 2 5 3" xfId="6086" xr:uid="{00000000-0005-0000-0000-0000161C0000}"/>
    <cellStyle name="Normal 8 2 2 2 2 5 3 2" xfId="14536" xr:uid="{0B9936CF-EDE9-473E-B7DB-F6FDC3E74A99}"/>
    <cellStyle name="Normal 8 2 2 2 2 5 4" xfId="10318" xr:uid="{969507DA-E431-4800-A549-AF13C30686FF}"/>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2 2 2" xfId="17094" xr:uid="{084589E6-A7B9-453D-B44D-EC8F55E618CA}"/>
    <cellStyle name="Normal 8 2 2 2 2 6 2 3" xfId="12876" xr:uid="{461F93D5-4D14-4EAD-B3CD-445899684E70}"/>
    <cellStyle name="Normal 8 2 2 2 2 6 3" xfId="6499" xr:uid="{00000000-0005-0000-0000-00001A1C0000}"/>
    <cellStyle name="Normal 8 2 2 2 2 6 3 2" xfId="14949" xr:uid="{7400E3E0-45F6-4669-80CD-74836D95F785}"/>
    <cellStyle name="Normal 8 2 2 2 2 6 4" xfId="10731" xr:uid="{B2FA44BA-DDE1-4E0F-B3BC-00822BE5E2DC}"/>
    <cellStyle name="Normal 8 2 2 2 2 7" xfId="2629" xr:uid="{00000000-0005-0000-0000-00001B1C0000}"/>
    <cellStyle name="Normal 8 2 2 2 2 7 2" xfId="6912" xr:uid="{00000000-0005-0000-0000-00001C1C0000}"/>
    <cellStyle name="Normal 8 2 2 2 2 7 2 2" xfId="15362" xr:uid="{0610DB6F-CE76-49B9-9F3B-32187208B476}"/>
    <cellStyle name="Normal 8 2 2 2 2 7 3" xfId="11144" xr:uid="{3E589990-F027-4E06-B88E-7DF219C729E6}"/>
    <cellStyle name="Normal 8 2 2 2 2 8" xfId="4847" xr:uid="{00000000-0005-0000-0000-00001D1C0000}"/>
    <cellStyle name="Normal 8 2 2 2 2 8 2" xfId="13297" xr:uid="{7EB22671-D7B4-411E-AD61-B29840DA9470}"/>
    <cellStyle name="Normal 8 2 2 2 2 9" xfId="9079" xr:uid="{658E9AE9-83AE-43DE-B447-F557D69514C7}"/>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2 2 2" xfId="15857" xr:uid="{AF142657-4E34-4498-B262-DBC03B5F2EA0}"/>
    <cellStyle name="Normal 8 2 2 2 3 2 2 3" xfId="11639" xr:uid="{F4D09492-B999-482F-A192-570C5DE4B1D2}"/>
    <cellStyle name="Normal 8 2 2 2 3 2 3" xfId="5262" xr:uid="{00000000-0005-0000-0000-0000221C0000}"/>
    <cellStyle name="Normal 8 2 2 2 3 2 3 2" xfId="13712" xr:uid="{ADB268E2-5ED7-4B74-8C59-E75D53F332EB}"/>
    <cellStyle name="Normal 8 2 2 2 3 2 4" xfId="9494" xr:uid="{F977F329-8C0D-4144-8048-99027BD8236B}"/>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2 2 2" xfId="16270" xr:uid="{FFAA75B5-6F96-47A5-8620-BCB602327D52}"/>
    <cellStyle name="Normal 8 2 2 2 3 3 2 3" xfId="12052" xr:uid="{5A5A4D41-4EF2-4DCF-A960-07D9AC5C98C7}"/>
    <cellStyle name="Normal 8 2 2 2 3 3 3" xfId="5675" xr:uid="{00000000-0005-0000-0000-0000261C0000}"/>
    <cellStyle name="Normal 8 2 2 2 3 3 3 2" xfId="14125" xr:uid="{1DE1AE6D-09BC-4311-8877-5B64B2F45F92}"/>
    <cellStyle name="Normal 8 2 2 2 3 3 4" xfId="9907" xr:uid="{06B3C870-9DC6-4CB5-83B4-093FF281344F}"/>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2 2 2" xfId="16683" xr:uid="{600FE862-6C31-497B-BEDF-6AC839239DF3}"/>
    <cellStyle name="Normal 8 2 2 2 3 4 2 3" xfId="12465" xr:uid="{40A5C86D-5BCC-43AB-9D6F-CA37F6E01419}"/>
    <cellStyle name="Normal 8 2 2 2 3 4 3" xfId="6088" xr:uid="{00000000-0005-0000-0000-00002A1C0000}"/>
    <cellStyle name="Normal 8 2 2 2 3 4 3 2" xfId="14538" xr:uid="{00417BB3-C2BA-47D3-9519-73BC0ACD436D}"/>
    <cellStyle name="Normal 8 2 2 2 3 4 4" xfId="10320" xr:uid="{F81CCF2F-F5E6-4309-AF73-A27084AD2236}"/>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2 2 2" xfId="17096" xr:uid="{EA2B1491-36EC-46CD-A657-1D346A57BB67}"/>
    <cellStyle name="Normal 8 2 2 2 3 5 2 3" xfId="12878" xr:uid="{F4D9360C-69FD-443D-9B7F-536D3F57FB9E}"/>
    <cellStyle name="Normal 8 2 2 2 3 5 3" xfId="6501" xr:uid="{00000000-0005-0000-0000-00002E1C0000}"/>
    <cellStyle name="Normal 8 2 2 2 3 5 3 2" xfId="14951" xr:uid="{57C8E2CF-11A2-42C5-B4D9-4595175D59CB}"/>
    <cellStyle name="Normal 8 2 2 2 3 5 4" xfId="10733" xr:uid="{9C9E83A7-7FCE-438D-A05A-74BA617CA447}"/>
    <cellStyle name="Normal 8 2 2 2 3 6" xfId="2631" xr:uid="{00000000-0005-0000-0000-00002F1C0000}"/>
    <cellStyle name="Normal 8 2 2 2 3 6 2" xfId="6914" xr:uid="{00000000-0005-0000-0000-0000301C0000}"/>
    <cellStyle name="Normal 8 2 2 2 3 6 2 2" xfId="15364" xr:uid="{68E4307F-7640-4FFF-A451-3C9017C0DFD0}"/>
    <cellStyle name="Normal 8 2 2 2 3 6 3" xfId="11146" xr:uid="{4E1E514F-20BE-4F10-95A3-CCC074A86B28}"/>
    <cellStyle name="Normal 8 2 2 2 3 7" xfId="4849" xr:uid="{00000000-0005-0000-0000-0000311C0000}"/>
    <cellStyle name="Normal 8 2 2 2 3 7 2" xfId="13299" xr:uid="{131821FD-59AF-4847-B732-63CCD492B004}"/>
    <cellStyle name="Normal 8 2 2 2 3 8" xfId="9081" xr:uid="{10DF95DB-EF76-4C22-B53F-99EE8CAA1A7F}"/>
    <cellStyle name="Normal 8 2 2 2 4" xfId="948" xr:uid="{00000000-0005-0000-0000-0000321C0000}"/>
    <cellStyle name="Normal 8 2 2 2 4 2" xfId="3182" xr:uid="{00000000-0005-0000-0000-0000331C0000}"/>
    <cellStyle name="Normal 8 2 2 2 4 2 2" xfId="7404" xr:uid="{00000000-0005-0000-0000-0000341C0000}"/>
    <cellStyle name="Normal 8 2 2 2 4 2 2 2" xfId="15854" xr:uid="{F2C7F62F-86C1-45E8-AAE8-053594CD931E}"/>
    <cellStyle name="Normal 8 2 2 2 4 2 3" xfId="11636" xr:uid="{E497075D-1435-4F76-894C-CF57C24F7ADE}"/>
    <cellStyle name="Normal 8 2 2 2 4 3" xfId="5259" xr:uid="{00000000-0005-0000-0000-0000351C0000}"/>
    <cellStyle name="Normal 8 2 2 2 4 3 2" xfId="13709" xr:uid="{5DA5DDE4-4063-4904-A4C7-D9C49E3964A9}"/>
    <cellStyle name="Normal 8 2 2 2 4 4" xfId="9491" xr:uid="{EEE91812-446E-45C7-B05E-0225927BBA45}"/>
    <cellStyle name="Normal 8 2 2 2 5" xfId="1365" xr:uid="{00000000-0005-0000-0000-0000361C0000}"/>
    <cellStyle name="Normal 8 2 2 2 5 2" xfId="3595" xr:uid="{00000000-0005-0000-0000-0000371C0000}"/>
    <cellStyle name="Normal 8 2 2 2 5 2 2" xfId="7817" xr:uid="{00000000-0005-0000-0000-0000381C0000}"/>
    <cellStyle name="Normal 8 2 2 2 5 2 2 2" xfId="16267" xr:uid="{AF9EDF4B-3102-4175-87C1-7063C176EF4E}"/>
    <cellStyle name="Normal 8 2 2 2 5 2 3" xfId="12049" xr:uid="{642AE061-C579-49C5-87D2-EF72F90740FD}"/>
    <cellStyle name="Normal 8 2 2 2 5 3" xfId="5672" xr:uid="{00000000-0005-0000-0000-0000391C0000}"/>
    <cellStyle name="Normal 8 2 2 2 5 3 2" xfId="14122" xr:uid="{BF768A8B-79FD-466D-BBAC-27D4381078C0}"/>
    <cellStyle name="Normal 8 2 2 2 5 4" xfId="9904" xr:uid="{89738741-AE10-4E0C-9F7F-3D602E2BE7BE}"/>
    <cellStyle name="Normal 8 2 2 2 6" xfId="1778" xr:uid="{00000000-0005-0000-0000-00003A1C0000}"/>
    <cellStyle name="Normal 8 2 2 2 6 2" xfId="4008" xr:uid="{00000000-0005-0000-0000-00003B1C0000}"/>
    <cellStyle name="Normal 8 2 2 2 6 2 2" xfId="8230" xr:uid="{00000000-0005-0000-0000-00003C1C0000}"/>
    <cellStyle name="Normal 8 2 2 2 6 2 2 2" xfId="16680" xr:uid="{D5CC3C24-A244-4D9E-AD85-807C86469431}"/>
    <cellStyle name="Normal 8 2 2 2 6 2 3" xfId="12462" xr:uid="{1DE3B0FE-2B4E-4098-9D73-06A8977C8D8F}"/>
    <cellStyle name="Normal 8 2 2 2 6 3" xfId="6085" xr:uid="{00000000-0005-0000-0000-00003D1C0000}"/>
    <cellStyle name="Normal 8 2 2 2 6 3 2" xfId="14535" xr:uid="{995FEA13-CBFD-45E2-887E-9B8B432C9D11}"/>
    <cellStyle name="Normal 8 2 2 2 6 4" xfId="10317" xr:uid="{2B57B54F-C703-4BED-89E0-928132A687AA}"/>
    <cellStyle name="Normal 8 2 2 2 7" xfId="2192" xr:uid="{00000000-0005-0000-0000-00003E1C0000}"/>
    <cellStyle name="Normal 8 2 2 2 7 2" xfId="4421" xr:uid="{00000000-0005-0000-0000-00003F1C0000}"/>
    <cellStyle name="Normal 8 2 2 2 7 2 2" xfId="8643" xr:uid="{00000000-0005-0000-0000-0000401C0000}"/>
    <cellStyle name="Normal 8 2 2 2 7 2 2 2" xfId="17093" xr:uid="{E04EFE25-09D2-4DBA-8D0F-FDA4794C9EDF}"/>
    <cellStyle name="Normal 8 2 2 2 7 2 3" xfId="12875" xr:uid="{03EBA82A-DCBA-45A1-8CBA-F8B749E8F585}"/>
    <cellStyle name="Normal 8 2 2 2 7 3" xfId="6498" xr:uid="{00000000-0005-0000-0000-0000411C0000}"/>
    <cellStyle name="Normal 8 2 2 2 7 3 2" xfId="14948" xr:uid="{10C54D6F-E756-426B-A303-DDCCE703F5B1}"/>
    <cellStyle name="Normal 8 2 2 2 7 4" xfId="10730" xr:uid="{CCA104DC-D977-4DA4-ADAD-7F2E3F8850E9}"/>
    <cellStyle name="Normal 8 2 2 2 8" xfId="2628" xr:uid="{00000000-0005-0000-0000-0000421C0000}"/>
    <cellStyle name="Normal 8 2 2 2 8 2" xfId="6911" xr:uid="{00000000-0005-0000-0000-0000431C0000}"/>
    <cellStyle name="Normal 8 2 2 2 8 2 2" xfId="15361" xr:uid="{C03E4462-7BF4-4A50-9C1E-1B53050DC80B}"/>
    <cellStyle name="Normal 8 2 2 2 8 3" xfId="11143" xr:uid="{77236BFF-5817-430E-AB8C-10E9CCA0002E}"/>
    <cellStyle name="Normal 8 2 2 2 9" xfId="4846" xr:uid="{00000000-0005-0000-0000-0000441C0000}"/>
    <cellStyle name="Normal 8 2 2 2 9 2" xfId="13296" xr:uid="{DE32464E-212D-4A74-98DA-9399C2DA8AE4}"/>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2 2 2" xfId="15859" xr:uid="{2E3BB0DD-9808-4465-A9F0-3894912B48AB}"/>
    <cellStyle name="Normal 8 2 2 3 2 2 2 3" xfId="11641" xr:uid="{89D340F1-5E90-4AB4-9EB8-DFA74D0290E7}"/>
    <cellStyle name="Normal 8 2 2 3 2 2 3" xfId="5264" xr:uid="{00000000-0005-0000-0000-00004A1C0000}"/>
    <cellStyle name="Normal 8 2 2 3 2 2 3 2" xfId="13714" xr:uid="{65FF69BD-0435-4509-8A1D-094171FA3770}"/>
    <cellStyle name="Normal 8 2 2 3 2 2 4" xfId="9496" xr:uid="{A594865D-B751-4A62-8A86-0CFE752462D4}"/>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2 2 2" xfId="16272" xr:uid="{306E134E-87FB-4334-96D7-55B1C5377277}"/>
    <cellStyle name="Normal 8 2 2 3 2 3 2 3" xfId="12054" xr:uid="{96BA3636-0188-4BD7-BC99-BB1B8F899BBF}"/>
    <cellStyle name="Normal 8 2 2 3 2 3 3" xfId="5677" xr:uid="{00000000-0005-0000-0000-00004E1C0000}"/>
    <cellStyle name="Normal 8 2 2 3 2 3 3 2" xfId="14127" xr:uid="{74EC034A-F295-4441-BB38-85FD46785821}"/>
    <cellStyle name="Normal 8 2 2 3 2 3 4" xfId="9909" xr:uid="{9BB20F5B-FFF7-4EEC-A49D-FE9521C270FC}"/>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2 2 2" xfId="16685" xr:uid="{19090A32-CAB5-4CF0-8A11-C61488044484}"/>
    <cellStyle name="Normal 8 2 2 3 2 4 2 3" xfId="12467" xr:uid="{F783DB4B-EAB8-4B9C-A175-18FEE15C9765}"/>
    <cellStyle name="Normal 8 2 2 3 2 4 3" xfId="6090" xr:uid="{00000000-0005-0000-0000-0000521C0000}"/>
    <cellStyle name="Normal 8 2 2 3 2 4 3 2" xfId="14540" xr:uid="{68DDB60B-98C9-4499-B184-090BBDB0B45B}"/>
    <cellStyle name="Normal 8 2 2 3 2 4 4" xfId="10322" xr:uid="{FDD1D54E-25B3-455C-A2C0-DA24CA5413AA}"/>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2 2 2" xfId="17098" xr:uid="{C2514E4E-1363-4E26-946C-96A1740AF492}"/>
    <cellStyle name="Normal 8 2 2 3 2 5 2 3" xfId="12880" xr:uid="{319E81BF-5532-4CE8-9308-617AE3A2282F}"/>
    <cellStyle name="Normal 8 2 2 3 2 5 3" xfId="6503" xr:uid="{00000000-0005-0000-0000-0000561C0000}"/>
    <cellStyle name="Normal 8 2 2 3 2 5 3 2" xfId="14953" xr:uid="{6C959FF2-733B-43A5-B009-DBC9907A70BB}"/>
    <cellStyle name="Normal 8 2 2 3 2 5 4" xfId="10735" xr:uid="{5DE4321B-966E-4666-9FE9-82F499329315}"/>
    <cellStyle name="Normal 8 2 2 3 2 6" xfId="2633" xr:uid="{00000000-0005-0000-0000-0000571C0000}"/>
    <cellStyle name="Normal 8 2 2 3 2 6 2" xfId="6916" xr:uid="{00000000-0005-0000-0000-0000581C0000}"/>
    <cellStyle name="Normal 8 2 2 3 2 6 2 2" xfId="15366" xr:uid="{A9D5D874-DDC6-422E-B1A6-DEBDDD0C19F1}"/>
    <cellStyle name="Normal 8 2 2 3 2 6 3" xfId="11148" xr:uid="{3D77D769-4700-45B3-8F8F-7CF33C1C2EF2}"/>
    <cellStyle name="Normal 8 2 2 3 2 7" xfId="4851" xr:uid="{00000000-0005-0000-0000-0000591C0000}"/>
    <cellStyle name="Normal 8 2 2 3 2 7 2" xfId="13301" xr:uid="{161EBFD8-949D-4D9B-97D7-CE77B29B95F0}"/>
    <cellStyle name="Normal 8 2 2 3 2 8" xfId="9083" xr:uid="{898CEF3A-5D49-4BF4-9046-0B91A1530146}"/>
    <cellStyle name="Normal 8 2 2 3 3" xfId="952" xr:uid="{00000000-0005-0000-0000-00005A1C0000}"/>
    <cellStyle name="Normal 8 2 2 3 3 2" xfId="3186" xr:uid="{00000000-0005-0000-0000-00005B1C0000}"/>
    <cellStyle name="Normal 8 2 2 3 3 2 2" xfId="7408" xr:uid="{00000000-0005-0000-0000-00005C1C0000}"/>
    <cellStyle name="Normal 8 2 2 3 3 2 2 2" xfId="15858" xr:uid="{41CCEFD6-099B-47CC-BEFC-6CDDA6F138B6}"/>
    <cellStyle name="Normal 8 2 2 3 3 2 3" xfId="11640" xr:uid="{AF0DAC7D-6FAA-433B-A813-F2FF1156ECA2}"/>
    <cellStyle name="Normal 8 2 2 3 3 3" xfId="5263" xr:uid="{00000000-0005-0000-0000-00005D1C0000}"/>
    <cellStyle name="Normal 8 2 2 3 3 3 2" xfId="13713" xr:uid="{6C35998D-65DD-4A52-906E-599CB47F8A35}"/>
    <cellStyle name="Normal 8 2 2 3 3 4" xfId="9495" xr:uid="{2A321BAF-4DC9-439D-A413-690377CF4653}"/>
    <cellStyle name="Normal 8 2 2 3 4" xfId="1369" xr:uid="{00000000-0005-0000-0000-00005E1C0000}"/>
    <cellStyle name="Normal 8 2 2 3 4 2" xfId="3599" xr:uid="{00000000-0005-0000-0000-00005F1C0000}"/>
    <cellStyle name="Normal 8 2 2 3 4 2 2" xfId="7821" xr:uid="{00000000-0005-0000-0000-0000601C0000}"/>
    <cellStyle name="Normal 8 2 2 3 4 2 2 2" xfId="16271" xr:uid="{D669870A-962C-413B-A8B1-1052BA1CDCE1}"/>
    <cellStyle name="Normal 8 2 2 3 4 2 3" xfId="12053" xr:uid="{ECD4B415-4FA0-4CAC-A9A9-45E6EFDBD1FC}"/>
    <cellStyle name="Normal 8 2 2 3 4 3" xfId="5676" xr:uid="{00000000-0005-0000-0000-0000611C0000}"/>
    <cellStyle name="Normal 8 2 2 3 4 3 2" xfId="14126" xr:uid="{51972D78-A52A-4648-B4CC-BFD3B21E91B7}"/>
    <cellStyle name="Normal 8 2 2 3 4 4" xfId="9908" xr:uid="{85FDAC3B-7A8A-49B0-97C1-66EA7769D623}"/>
    <cellStyle name="Normal 8 2 2 3 5" xfId="1782" xr:uid="{00000000-0005-0000-0000-0000621C0000}"/>
    <cellStyle name="Normal 8 2 2 3 5 2" xfId="4012" xr:uid="{00000000-0005-0000-0000-0000631C0000}"/>
    <cellStyle name="Normal 8 2 2 3 5 2 2" xfId="8234" xr:uid="{00000000-0005-0000-0000-0000641C0000}"/>
    <cellStyle name="Normal 8 2 2 3 5 2 2 2" xfId="16684" xr:uid="{A8F341F9-81AC-4B23-B554-C8E31BE710B8}"/>
    <cellStyle name="Normal 8 2 2 3 5 2 3" xfId="12466" xr:uid="{227558EB-8356-43A7-A042-8DB54CA057E2}"/>
    <cellStyle name="Normal 8 2 2 3 5 3" xfId="6089" xr:uid="{00000000-0005-0000-0000-0000651C0000}"/>
    <cellStyle name="Normal 8 2 2 3 5 3 2" xfId="14539" xr:uid="{B6784D79-987B-4003-8A4C-4C74094ACACC}"/>
    <cellStyle name="Normal 8 2 2 3 5 4" xfId="10321" xr:uid="{F1B8ABF9-C7EC-4A2C-95A4-16F37ABC37FB}"/>
    <cellStyle name="Normal 8 2 2 3 6" xfId="2196" xr:uid="{00000000-0005-0000-0000-0000661C0000}"/>
    <cellStyle name="Normal 8 2 2 3 6 2" xfId="4425" xr:uid="{00000000-0005-0000-0000-0000671C0000}"/>
    <cellStyle name="Normal 8 2 2 3 6 2 2" xfId="8647" xr:uid="{00000000-0005-0000-0000-0000681C0000}"/>
    <cellStyle name="Normal 8 2 2 3 6 2 2 2" xfId="17097" xr:uid="{23A6B6A5-9D41-4419-A9ED-D0631624F330}"/>
    <cellStyle name="Normal 8 2 2 3 6 2 3" xfId="12879" xr:uid="{C7E623E2-5CC3-49BA-8613-5B100C2C0405}"/>
    <cellStyle name="Normal 8 2 2 3 6 3" xfId="6502" xr:uid="{00000000-0005-0000-0000-0000691C0000}"/>
    <cellStyle name="Normal 8 2 2 3 6 3 2" xfId="14952" xr:uid="{9D96DB26-E54A-48A2-97D8-6B448999F8A4}"/>
    <cellStyle name="Normal 8 2 2 3 6 4" xfId="10734" xr:uid="{656F5D99-33CA-4413-802C-EF78F6DE6025}"/>
    <cellStyle name="Normal 8 2 2 3 7" xfId="2632" xr:uid="{00000000-0005-0000-0000-00006A1C0000}"/>
    <cellStyle name="Normal 8 2 2 3 7 2" xfId="6915" xr:uid="{00000000-0005-0000-0000-00006B1C0000}"/>
    <cellStyle name="Normal 8 2 2 3 7 2 2" xfId="15365" xr:uid="{0586260D-D775-4C4E-8F8E-1F40F229E234}"/>
    <cellStyle name="Normal 8 2 2 3 7 3" xfId="11147" xr:uid="{344C5961-2A5A-4797-9C00-E96F4E648CEF}"/>
    <cellStyle name="Normal 8 2 2 3 8" xfId="4850" xr:uid="{00000000-0005-0000-0000-00006C1C0000}"/>
    <cellStyle name="Normal 8 2 2 3 8 2" xfId="13300" xr:uid="{5FC4995A-8605-4F9E-A75B-672050EA7218}"/>
    <cellStyle name="Normal 8 2 2 3 9" xfId="9082" xr:uid="{24657E67-8D5B-4A0D-A0FE-E60DCBEA230C}"/>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2 2 2" xfId="15860" xr:uid="{8B521EA9-E2BC-44A9-A247-ECEA721C54F5}"/>
    <cellStyle name="Normal 8 2 2 4 2 2 3" xfId="11642" xr:uid="{6CBF56FA-69B4-4458-9094-047705412313}"/>
    <cellStyle name="Normal 8 2 2 4 2 3" xfId="5265" xr:uid="{00000000-0005-0000-0000-0000711C0000}"/>
    <cellStyle name="Normal 8 2 2 4 2 3 2" xfId="13715" xr:uid="{64DC42B0-CDD6-421C-9BE9-E5CF5C202F07}"/>
    <cellStyle name="Normal 8 2 2 4 2 4" xfId="9497" xr:uid="{13B30DC0-9246-4192-82B0-F8EF16853A3B}"/>
    <cellStyle name="Normal 8 2 2 4 3" xfId="1371" xr:uid="{00000000-0005-0000-0000-0000721C0000}"/>
    <cellStyle name="Normal 8 2 2 4 3 2" xfId="3601" xr:uid="{00000000-0005-0000-0000-0000731C0000}"/>
    <cellStyle name="Normal 8 2 2 4 3 2 2" xfId="7823" xr:uid="{00000000-0005-0000-0000-0000741C0000}"/>
    <cellStyle name="Normal 8 2 2 4 3 2 2 2" xfId="16273" xr:uid="{68DCC517-F0BB-4307-AB57-DECE17027A62}"/>
    <cellStyle name="Normal 8 2 2 4 3 2 3" xfId="12055" xr:uid="{68481584-7351-478E-98DF-D54338EEC14D}"/>
    <cellStyle name="Normal 8 2 2 4 3 3" xfId="5678" xr:uid="{00000000-0005-0000-0000-0000751C0000}"/>
    <cellStyle name="Normal 8 2 2 4 3 3 2" xfId="14128" xr:uid="{E1B5DE19-6708-4C46-9FD2-E8CCCD2E9881}"/>
    <cellStyle name="Normal 8 2 2 4 3 4" xfId="9910" xr:uid="{E91496CD-0E30-494D-BB4D-6D5BFAC7DFEB}"/>
    <cellStyle name="Normal 8 2 2 4 4" xfId="1784" xr:uid="{00000000-0005-0000-0000-0000761C0000}"/>
    <cellStyle name="Normal 8 2 2 4 4 2" xfId="4014" xr:uid="{00000000-0005-0000-0000-0000771C0000}"/>
    <cellStyle name="Normal 8 2 2 4 4 2 2" xfId="8236" xr:uid="{00000000-0005-0000-0000-0000781C0000}"/>
    <cellStyle name="Normal 8 2 2 4 4 2 2 2" xfId="16686" xr:uid="{C7983F90-D8E5-468D-8AB4-FFF9F63307F9}"/>
    <cellStyle name="Normal 8 2 2 4 4 2 3" xfId="12468" xr:uid="{90A55AF4-0813-4035-A6A2-B208A028EA87}"/>
    <cellStyle name="Normal 8 2 2 4 4 3" xfId="6091" xr:uid="{00000000-0005-0000-0000-0000791C0000}"/>
    <cellStyle name="Normal 8 2 2 4 4 3 2" xfId="14541" xr:uid="{0616B345-417C-410C-B27F-CDA50E0F61E5}"/>
    <cellStyle name="Normal 8 2 2 4 4 4" xfId="10323" xr:uid="{72EB573C-96C4-40BA-8E8E-3B85862AB988}"/>
    <cellStyle name="Normal 8 2 2 4 5" xfId="2198" xr:uid="{00000000-0005-0000-0000-00007A1C0000}"/>
    <cellStyle name="Normal 8 2 2 4 5 2" xfId="4427" xr:uid="{00000000-0005-0000-0000-00007B1C0000}"/>
    <cellStyle name="Normal 8 2 2 4 5 2 2" xfId="8649" xr:uid="{00000000-0005-0000-0000-00007C1C0000}"/>
    <cellStyle name="Normal 8 2 2 4 5 2 2 2" xfId="17099" xr:uid="{ED7A3D70-A574-49AF-9F81-F7792CB6BD38}"/>
    <cellStyle name="Normal 8 2 2 4 5 2 3" xfId="12881" xr:uid="{6E932B09-8D3D-4E2D-90D3-0C862728C632}"/>
    <cellStyle name="Normal 8 2 2 4 5 3" xfId="6504" xr:uid="{00000000-0005-0000-0000-00007D1C0000}"/>
    <cellStyle name="Normal 8 2 2 4 5 3 2" xfId="14954" xr:uid="{3B230DD7-6DB2-4E2F-9711-6819549C49E4}"/>
    <cellStyle name="Normal 8 2 2 4 5 4" xfId="10736" xr:uid="{62873728-3E3B-4D53-B2B8-21356DFBEFE2}"/>
    <cellStyle name="Normal 8 2 2 4 6" xfId="2634" xr:uid="{00000000-0005-0000-0000-00007E1C0000}"/>
    <cellStyle name="Normal 8 2 2 4 6 2" xfId="6917" xr:uid="{00000000-0005-0000-0000-00007F1C0000}"/>
    <cellStyle name="Normal 8 2 2 4 6 2 2" xfId="15367" xr:uid="{36AF5D71-946D-4F59-AA3A-0262DDC7AA69}"/>
    <cellStyle name="Normal 8 2 2 4 6 3" xfId="11149" xr:uid="{660E5449-7868-4A4C-AA9F-4CB5D972AA5B}"/>
    <cellStyle name="Normal 8 2 2 4 7" xfId="4852" xr:uid="{00000000-0005-0000-0000-0000801C0000}"/>
    <cellStyle name="Normal 8 2 2 4 7 2" xfId="13302" xr:uid="{3716C9AE-7561-4161-A74D-473E385864A5}"/>
    <cellStyle name="Normal 8 2 2 4 8" xfId="9084" xr:uid="{183AC74B-860C-44BE-8F6F-DAE7A923771F}"/>
    <cellStyle name="Normal 8 2 2 5" xfId="947" xr:uid="{00000000-0005-0000-0000-0000811C0000}"/>
    <cellStyle name="Normal 8 2 2 5 2" xfId="3181" xr:uid="{00000000-0005-0000-0000-0000821C0000}"/>
    <cellStyle name="Normal 8 2 2 5 2 2" xfId="7403" xr:uid="{00000000-0005-0000-0000-0000831C0000}"/>
    <cellStyle name="Normal 8 2 2 5 2 2 2" xfId="15853" xr:uid="{78DEB3D1-6343-4021-B8F0-83155816D610}"/>
    <cellStyle name="Normal 8 2 2 5 2 3" xfId="11635" xr:uid="{45C9DA34-7AE5-4465-BF97-CA6AF625817A}"/>
    <cellStyle name="Normal 8 2 2 5 3" xfId="5258" xr:uid="{00000000-0005-0000-0000-0000841C0000}"/>
    <cellStyle name="Normal 8 2 2 5 3 2" xfId="13708" xr:uid="{726BE56F-859C-448C-9B7F-85895CE8A028}"/>
    <cellStyle name="Normal 8 2 2 5 4" xfId="9490" xr:uid="{0BA5D9EA-2689-4B28-A3C5-755C6F72DBED}"/>
    <cellStyle name="Normal 8 2 2 6" xfId="1364" xr:uid="{00000000-0005-0000-0000-0000851C0000}"/>
    <cellStyle name="Normal 8 2 2 6 2" xfId="3594" xr:uid="{00000000-0005-0000-0000-0000861C0000}"/>
    <cellStyle name="Normal 8 2 2 6 2 2" xfId="7816" xr:uid="{00000000-0005-0000-0000-0000871C0000}"/>
    <cellStyle name="Normal 8 2 2 6 2 2 2" xfId="16266" xr:uid="{58351E88-6923-4CD0-9E03-052F0299AD26}"/>
    <cellStyle name="Normal 8 2 2 6 2 3" xfId="12048" xr:uid="{49E915F1-3C74-4B90-A477-D4BB4C3DF279}"/>
    <cellStyle name="Normal 8 2 2 6 3" xfId="5671" xr:uid="{00000000-0005-0000-0000-0000881C0000}"/>
    <cellStyle name="Normal 8 2 2 6 3 2" xfId="14121" xr:uid="{A2126087-C853-4575-8215-1A207DCF6051}"/>
    <cellStyle name="Normal 8 2 2 6 4" xfId="9903" xr:uid="{3AB625A2-937C-49E8-A470-938B038F9027}"/>
    <cellStyle name="Normal 8 2 2 7" xfId="1777" xr:uid="{00000000-0005-0000-0000-0000891C0000}"/>
    <cellStyle name="Normal 8 2 2 7 2" xfId="4007" xr:uid="{00000000-0005-0000-0000-00008A1C0000}"/>
    <cellStyle name="Normal 8 2 2 7 2 2" xfId="8229" xr:uid="{00000000-0005-0000-0000-00008B1C0000}"/>
    <cellStyle name="Normal 8 2 2 7 2 2 2" xfId="16679" xr:uid="{869920C2-B20B-40F6-BC67-89E0EC1598C5}"/>
    <cellStyle name="Normal 8 2 2 7 2 3" xfId="12461" xr:uid="{2A48FAF3-14E8-49DE-A017-36D1F0C48B10}"/>
    <cellStyle name="Normal 8 2 2 7 3" xfId="6084" xr:uid="{00000000-0005-0000-0000-00008C1C0000}"/>
    <cellStyle name="Normal 8 2 2 7 3 2" xfId="14534" xr:uid="{1F4E8B2E-85EF-4F86-872B-B25A7AD72174}"/>
    <cellStyle name="Normal 8 2 2 7 4" xfId="10316" xr:uid="{F608A252-AA39-44B2-8505-1C13B1382A18}"/>
    <cellStyle name="Normal 8 2 2 8" xfId="2191" xr:uid="{00000000-0005-0000-0000-00008D1C0000}"/>
    <cellStyle name="Normal 8 2 2 8 2" xfId="4420" xr:uid="{00000000-0005-0000-0000-00008E1C0000}"/>
    <cellStyle name="Normal 8 2 2 8 2 2" xfId="8642" xr:uid="{00000000-0005-0000-0000-00008F1C0000}"/>
    <cellStyle name="Normal 8 2 2 8 2 2 2" xfId="17092" xr:uid="{B3EBE8D9-0AFC-44AF-8C09-3B5CA7CC5604}"/>
    <cellStyle name="Normal 8 2 2 8 2 3" xfId="12874" xr:uid="{616C504A-7862-45F4-AB48-EF3653EF23D6}"/>
    <cellStyle name="Normal 8 2 2 8 3" xfId="6497" xr:uid="{00000000-0005-0000-0000-0000901C0000}"/>
    <cellStyle name="Normal 8 2 2 8 3 2" xfId="14947" xr:uid="{430B5245-0F01-4714-AA56-5753312E2E41}"/>
    <cellStyle name="Normal 8 2 2 8 4" xfId="10729" xr:uid="{50AB72B4-861A-43FE-B19B-8EEBA454ADE5}"/>
    <cellStyle name="Normal 8 2 2 9" xfId="2627" xr:uid="{00000000-0005-0000-0000-0000911C0000}"/>
    <cellStyle name="Normal 8 2 2 9 2" xfId="6910" xr:uid="{00000000-0005-0000-0000-0000921C0000}"/>
    <cellStyle name="Normal 8 2 2 9 2 2" xfId="15360" xr:uid="{19E4245A-8EE7-4F3F-907A-8C4ED5B94A33}"/>
    <cellStyle name="Normal 8 2 2 9 3" xfId="11142" xr:uid="{708BE0B0-AFBC-45D2-A974-CC1D7CA02902}"/>
    <cellStyle name="Normal 8 2 3" xfId="488" xr:uid="{00000000-0005-0000-0000-0000931C0000}"/>
    <cellStyle name="Normal 8 2 3 10" xfId="9085" xr:uid="{76693770-310F-4CA6-B86B-D4D7D0C051EA}"/>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2 2 2" xfId="15863" xr:uid="{84017B0D-6D03-4B7E-A20E-2C3DAF4D6010}"/>
    <cellStyle name="Normal 8 2 3 2 2 2 2 3" xfId="11645" xr:uid="{F5878AE4-BEEE-4927-975E-18C006571F76}"/>
    <cellStyle name="Normal 8 2 3 2 2 2 3" xfId="5268" xr:uid="{00000000-0005-0000-0000-0000991C0000}"/>
    <cellStyle name="Normal 8 2 3 2 2 2 3 2" xfId="13718" xr:uid="{D0881093-BA92-4859-9538-1CB0F16B168B}"/>
    <cellStyle name="Normal 8 2 3 2 2 2 4" xfId="9500" xr:uid="{12C47EBF-E807-4CBF-84E5-FAED8F0DC538}"/>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2 2 2" xfId="16276" xr:uid="{A96E062F-42D5-41CE-B602-4133507E66A0}"/>
    <cellStyle name="Normal 8 2 3 2 2 3 2 3" xfId="12058" xr:uid="{721C79DF-CAEF-4A59-8D42-EA6EC9669DD1}"/>
    <cellStyle name="Normal 8 2 3 2 2 3 3" xfId="5681" xr:uid="{00000000-0005-0000-0000-00009D1C0000}"/>
    <cellStyle name="Normal 8 2 3 2 2 3 3 2" xfId="14131" xr:uid="{EB079B4B-7800-4BEE-B9E6-C3A66CF2A8BF}"/>
    <cellStyle name="Normal 8 2 3 2 2 3 4" xfId="9913" xr:uid="{21280D9C-0E00-4AB0-997C-CCF15C26C70D}"/>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2 2 2" xfId="16689" xr:uid="{CBC2D808-600A-4D08-833C-D23D9F4B9797}"/>
    <cellStyle name="Normal 8 2 3 2 2 4 2 3" xfId="12471" xr:uid="{694A68C0-AFE7-43EE-881E-7621C6E9C9A3}"/>
    <cellStyle name="Normal 8 2 3 2 2 4 3" xfId="6094" xr:uid="{00000000-0005-0000-0000-0000A11C0000}"/>
    <cellStyle name="Normal 8 2 3 2 2 4 3 2" xfId="14544" xr:uid="{805C7C6E-7AE7-4849-A517-59940BCAD377}"/>
    <cellStyle name="Normal 8 2 3 2 2 4 4" xfId="10326" xr:uid="{F17E52C4-670E-40F1-B7B8-53A941E8B47E}"/>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2 2 2" xfId="17102" xr:uid="{610F4517-5FA4-4A21-B4E0-08F374C9102F}"/>
    <cellStyle name="Normal 8 2 3 2 2 5 2 3" xfId="12884" xr:uid="{276635CB-03A3-4AC5-A0C3-2DA25DAE7A66}"/>
    <cellStyle name="Normal 8 2 3 2 2 5 3" xfId="6507" xr:uid="{00000000-0005-0000-0000-0000A51C0000}"/>
    <cellStyle name="Normal 8 2 3 2 2 5 3 2" xfId="14957" xr:uid="{2F4294C5-67E4-4542-8B77-43DAFB1B06A3}"/>
    <cellStyle name="Normal 8 2 3 2 2 5 4" xfId="10739" xr:uid="{5B36ADF8-D938-4FF4-8CA9-3D16B56D72DF}"/>
    <cellStyle name="Normal 8 2 3 2 2 6" xfId="2637" xr:uid="{00000000-0005-0000-0000-0000A61C0000}"/>
    <cellStyle name="Normal 8 2 3 2 2 6 2" xfId="6920" xr:uid="{00000000-0005-0000-0000-0000A71C0000}"/>
    <cellStyle name="Normal 8 2 3 2 2 6 2 2" xfId="15370" xr:uid="{A14A5E13-9805-4DDE-B539-1242585857E9}"/>
    <cellStyle name="Normal 8 2 3 2 2 6 3" xfId="11152" xr:uid="{0197A711-26C6-4EB0-B424-3A635930E5DA}"/>
    <cellStyle name="Normal 8 2 3 2 2 7" xfId="4855" xr:uid="{00000000-0005-0000-0000-0000A81C0000}"/>
    <cellStyle name="Normal 8 2 3 2 2 7 2" xfId="13305" xr:uid="{AC04BF31-7FB6-4AC8-9402-6ED78BDD4F96}"/>
    <cellStyle name="Normal 8 2 3 2 2 8" xfId="9087" xr:uid="{ADA7FC42-67CF-4CFE-8B97-3729368A4697}"/>
    <cellStyle name="Normal 8 2 3 2 3" xfId="956" xr:uid="{00000000-0005-0000-0000-0000A91C0000}"/>
    <cellStyle name="Normal 8 2 3 2 3 2" xfId="3190" xr:uid="{00000000-0005-0000-0000-0000AA1C0000}"/>
    <cellStyle name="Normal 8 2 3 2 3 2 2" xfId="7412" xr:uid="{00000000-0005-0000-0000-0000AB1C0000}"/>
    <cellStyle name="Normal 8 2 3 2 3 2 2 2" xfId="15862" xr:uid="{C55C4C08-6747-4CF5-9016-C7D7BC214570}"/>
    <cellStyle name="Normal 8 2 3 2 3 2 3" xfId="11644" xr:uid="{EA3D75E3-54FF-4113-BA8D-300B70F736CE}"/>
    <cellStyle name="Normal 8 2 3 2 3 3" xfId="5267" xr:uid="{00000000-0005-0000-0000-0000AC1C0000}"/>
    <cellStyle name="Normal 8 2 3 2 3 3 2" xfId="13717" xr:uid="{3779A28E-43F0-4E54-9BAA-46A67A9F2415}"/>
    <cellStyle name="Normal 8 2 3 2 3 4" xfId="9499" xr:uid="{3F585A68-F46A-4FBD-9E5F-B76FB486BF29}"/>
    <cellStyle name="Normal 8 2 3 2 4" xfId="1373" xr:uid="{00000000-0005-0000-0000-0000AD1C0000}"/>
    <cellStyle name="Normal 8 2 3 2 4 2" xfId="3603" xr:uid="{00000000-0005-0000-0000-0000AE1C0000}"/>
    <cellStyle name="Normal 8 2 3 2 4 2 2" xfId="7825" xr:uid="{00000000-0005-0000-0000-0000AF1C0000}"/>
    <cellStyle name="Normal 8 2 3 2 4 2 2 2" xfId="16275" xr:uid="{44B83F21-C651-4A90-8CD1-5F67A3F1E181}"/>
    <cellStyle name="Normal 8 2 3 2 4 2 3" xfId="12057" xr:uid="{A4F7E0F8-E209-47DE-BCEC-ECD5D75A9E7B}"/>
    <cellStyle name="Normal 8 2 3 2 4 3" xfId="5680" xr:uid="{00000000-0005-0000-0000-0000B01C0000}"/>
    <cellStyle name="Normal 8 2 3 2 4 3 2" xfId="14130" xr:uid="{BD91BFA3-8896-43E8-A13C-B1C76E430AFA}"/>
    <cellStyle name="Normal 8 2 3 2 4 4" xfId="9912" xr:uid="{E9DD7877-9F18-49CA-93DB-06F05175E14F}"/>
    <cellStyle name="Normal 8 2 3 2 5" xfId="1786" xr:uid="{00000000-0005-0000-0000-0000B11C0000}"/>
    <cellStyle name="Normal 8 2 3 2 5 2" xfId="4016" xr:uid="{00000000-0005-0000-0000-0000B21C0000}"/>
    <cellStyle name="Normal 8 2 3 2 5 2 2" xfId="8238" xr:uid="{00000000-0005-0000-0000-0000B31C0000}"/>
    <cellStyle name="Normal 8 2 3 2 5 2 2 2" xfId="16688" xr:uid="{2B141AEE-9AFA-4C7E-BDC5-3D21F2AFEAF4}"/>
    <cellStyle name="Normal 8 2 3 2 5 2 3" xfId="12470" xr:uid="{E8A22664-F3D9-41F8-8DE1-A881EBD40452}"/>
    <cellStyle name="Normal 8 2 3 2 5 3" xfId="6093" xr:uid="{00000000-0005-0000-0000-0000B41C0000}"/>
    <cellStyle name="Normal 8 2 3 2 5 3 2" xfId="14543" xr:uid="{8C970A0B-4723-400F-8F93-517A7F50280C}"/>
    <cellStyle name="Normal 8 2 3 2 5 4" xfId="10325" xr:uid="{A425CAFD-B30A-4EEC-90F5-093C95C7853A}"/>
    <cellStyle name="Normal 8 2 3 2 6" xfId="2200" xr:uid="{00000000-0005-0000-0000-0000B51C0000}"/>
    <cellStyle name="Normal 8 2 3 2 6 2" xfId="4429" xr:uid="{00000000-0005-0000-0000-0000B61C0000}"/>
    <cellStyle name="Normal 8 2 3 2 6 2 2" xfId="8651" xr:uid="{00000000-0005-0000-0000-0000B71C0000}"/>
    <cellStyle name="Normal 8 2 3 2 6 2 2 2" xfId="17101" xr:uid="{4C5A885F-9D83-4657-A56B-E28FA9A970B6}"/>
    <cellStyle name="Normal 8 2 3 2 6 2 3" xfId="12883" xr:uid="{1267150D-A1E7-41AF-810E-16C41A3BD35E}"/>
    <cellStyle name="Normal 8 2 3 2 6 3" xfId="6506" xr:uid="{00000000-0005-0000-0000-0000B81C0000}"/>
    <cellStyle name="Normal 8 2 3 2 6 3 2" xfId="14956" xr:uid="{C9FFDFB2-EB95-4076-AB45-9602EC15AAFE}"/>
    <cellStyle name="Normal 8 2 3 2 6 4" xfId="10738" xr:uid="{6D914D3D-E360-4862-86BA-3A5C337FF4D0}"/>
    <cellStyle name="Normal 8 2 3 2 7" xfId="2636" xr:uid="{00000000-0005-0000-0000-0000B91C0000}"/>
    <cellStyle name="Normal 8 2 3 2 7 2" xfId="6919" xr:uid="{00000000-0005-0000-0000-0000BA1C0000}"/>
    <cellStyle name="Normal 8 2 3 2 7 2 2" xfId="15369" xr:uid="{EFABB5C7-CA3A-4D05-9EC9-86A4662517CA}"/>
    <cellStyle name="Normal 8 2 3 2 7 3" xfId="11151" xr:uid="{5486EFFF-17AB-4933-AAFB-888B01DAEE08}"/>
    <cellStyle name="Normal 8 2 3 2 8" xfId="4854" xr:uid="{00000000-0005-0000-0000-0000BB1C0000}"/>
    <cellStyle name="Normal 8 2 3 2 8 2" xfId="13304" xr:uid="{32057CD2-313E-4BF2-B01C-134A0215343F}"/>
    <cellStyle name="Normal 8 2 3 2 9" xfId="9086" xr:uid="{9BE9FEB5-2E7E-4D52-B6F2-A9AF2AE73216}"/>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2 2 2" xfId="15864" xr:uid="{8F8C9CA9-4BBF-4162-9B42-7F233278E183}"/>
    <cellStyle name="Normal 8 2 3 3 2 2 3" xfId="11646" xr:uid="{08F64EDB-0370-4C3F-B949-1723CD6F98C5}"/>
    <cellStyle name="Normal 8 2 3 3 2 3" xfId="5269" xr:uid="{00000000-0005-0000-0000-0000C01C0000}"/>
    <cellStyle name="Normal 8 2 3 3 2 3 2" xfId="13719" xr:uid="{2101FFF4-51B1-49BA-B66A-DA7A8513A6A1}"/>
    <cellStyle name="Normal 8 2 3 3 2 4" xfId="9501" xr:uid="{95B9BF51-B3C3-4AFB-B805-4935A1D3F511}"/>
    <cellStyle name="Normal 8 2 3 3 3" xfId="1375" xr:uid="{00000000-0005-0000-0000-0000C11C0000}"/>
    <cellStyle name="Normal 8 2 3 3 3 2" xfId="3605" xr:uid="{00000000-0005-0000-0000-0000C21C0000}"/>
    <cellStyle name="Normal 8 2 3 3 3 2 2" xfId="7827" xr:uid="{00000000-0005-0000-0000-0000C31C0000}"/>
    <cellStyle name="Normal 8 2 3 3 3 2 2 2" xfId="16277" xr:uid="{3FA40ED0-1585-43B5-8375-123C14F72B97}"/>
    <cellStyle name="Normal 8 2 3 3 3 2 3" xfId="12059" xr:uid="{732C9B4E-6790-47DF-8130-FC95E91ED0FE}"/>
    <cellStyle name="Normal 8 2 3 3 3 3" xfId="5682" xr:uid="{00000000-0005-0000-0000-0000C41C0000}"/>
    <cellStyle name="Normal 8 2 3 3 3 3 2" xfId="14132" xr:uid="{AC27A80B-9355-4B55-873F-79621A8DFC49}"/>
    <cellStyle name="Normal 8 2 3 3 3 4" xfId="9914" xr:uid="{683FB382-2CE7-48BA-9D7A-86F0B3479CFD}"/>
    <cellStyle name="Normal 8 2 3 3 4" xfId="1788" xr:uid="{00000000-0005-0000-0000-0000C51C0000}"/>
    <cellStyle name="Normal 8 2 3 3 4 2" xfId="4018" xr:uid="{00000000-0005-0000-0000-0000C61C0000}"/>
    <cellStyle name="Normal 8 2 3 3 4 2 2" xfId="8240" xr:uid="{00000000-0005-0000-0000-0000C71C0000}"/>
    <cellStyle name="Normal 8 2 3 3 4 2 2 2" xfId="16690" xr:uid="{45061AEE-DD8B-4164-98D6-0545F0E1FED4}"/>
    <cellStyle name="Normal 8 2 3 3 4 2 3" xfId="12472" xr:uid="{AAEABD24-EACF-4A92-9C90-3C66B17180E3}"/>
    <cellStyle name="Normal 8 2 3 3 4 3" xfId="6095" xr:uid="{00000000-0005-0000-0000-0000C81C0000}"/>
    <cellStyle name="Normal 8 2 3 3 4 3 2" xfId="14545" xr:uid="{FF44F058-7661-4647-BFAC-4524A19ACB0D}"/>
    <cellStyle name="Normal 8 2 3 3 4 4" xfId="10327" xr:uid="{4AF25F48-0234-4691-B828-AADFF08E26F6}"/>
    <cellStyle name="Normal 8 2 3 3 5" xfId="2202" xr:uid="{00000000-0005-0000-0000-0000C91C0000}"/>
    <cellStyle name="Normal 8 2 3 3 5 2" xfId="4431" xr:uid="{00000000-0005-0000-0000-0000CA1C0000}"/>
    <cellStyle name="Normal 8 2 3 3 5 2 2" xfId="8653" xr:uid="{00000000-0005-0000-0000-0000CB1C0000}"/>
    <cellStyle name="Normal 8 2 3 3 5 2 2 2" xfId="17103" xr:uid="{66BA1E6F-FFDF-4290-9C07-57273B9AC4FF}"/>
    <cellStyle name="Normal 8 2 3 3 5 2 3" xfId="12885" xr:uid="{E23CA871-7481-4B1F-B67B-09E151D55F5D}"/>
    <cellStyle name="Normal 8 2 3 3 5 3" xfId="6508" xr:uid="{00000000-0005-0000-0000-0000CC1C0000}"/>
    <cellStyle name="Normal 8 2 3 3 5 3 2" xfId="14958" xr:uid="{52D57309-186D-4CFD-8157-7226D9842CCB}"/>
    <cellStyle name="Normal 8 2 3 3 5 4" xfId="10740" xr:uid="{DF2EBDF4-EDD8-440C-B710-2945A98D1176}"/>
    <cellStyle name="Normal 8 2 3 3 6" xfId="2638" xr:uid="{00000000-0005-0000-0000-0000CD1C0000}"/>
    <cellStyle name="Normal 8 2 3 3 6 2" xfId="6921" xr:uid="{00000000-0005-0000-0000-0000CE1C0000}"/>
    <cellStyle name="Normal 8 2 3 3 6 2 2" xfId="15371" xr:uid="{B6F8FA6A-36D6-4FC2-A9F8-C247941848F4}"/>
    <cellStyle name="Normal 8 2 3 3 6 3" xfId="11153" xr:uid="{A2B8919F-D1FA-44C9-97F1-C575E224F050}"/>
    <cellStyle name="Normal 8 2 3 3 7" xfId="4856" xr:uid="{00000000-0005-0000-0000-0000CF1C0000}"/>
    <cellStyle name="Normal 8 2 3 3 7 2" xfId="13306" xr:uid="{CE2548E8-0949-42E0-90D6-D18AC8489B44}"/>
    <cellStyle name="Normal 8 2 3 3 8" xfId="9088" xr:uid="{3DD97EEA-0B5F-4C4E-9B83-3D1AC5CDCE03}"/>
    <cellStyle name="Normal 8 2 3 4" xfId="955" xr:uid="{00000000-0005-0000-0000-0000D01C0000}"/>
    <cellStyle name="Normal 8 2 3 4 2" xfId="3189" xr:uid="{00000000-0005-0000-0000-0000D11C0000}"/>
    <cellStyle name="Normal 8 2 3 4 2 2" xfId="7411" xr:uid="{00000000-0005-0000-0000-0000D21C0000}"/>
    <cellStyle name="Normal 8 2 3 4 2 2 2" xfId="15861" xr:uid="{EEB52027-CA4E-4480-86E6-089ED495A616}"/>
    <cellStyle name="Normal 8 2 3 4 2 3" xfId="11643" xr:uid="{676E5646-CF80-4038-AB14-A1B675FACA04}"/>
    <cellStyle name="Normal 8 2 3 4 3" xfId="5266" xr:uid="{00000000-0005-0000-0000-0000D31C0000}"/>
    <cellStyle name="Normal 8 2 3 4 3 2" xfId="13716" xr:uid="{4FBDA12D-E08A-4BA4-8AA0-0E48375F7EDC}"/>
    <cellStyle name="Normal 8 2 3 4 4" xfId="9498" xr:uid="{A9CAF5DD-3C5C-4938-A071-0C0B399441E0}"/>
    <cellStyle name="Normal 8 2 3 5" xfId="1372" xr:uid="{00000000-0005-0000-0000-0000D41C0000}"/>
    <cellStyle name="Normal 8 2 3 5 2" xfId="3602" xr:uid="{00000000-0005-0000-0000-0000D51C0000}"/>
    <cellStyle name="Normal 8 2 3 5 2 2" xfId="7824" xr:uid="{00000000-0005-0000-0000-0000D61C0000}"/>
    <cellStyle name="Normal 8 2 3 5 2 2 2" xfId="16274" xr:uid="{22A21B78-427D-4025-9680-6012D4429632}"/>
    <cellStyle name="Normal 8 2 3 5 2 3" xfId="12056" xr:uid="{ADD5C92C-1520-4FC4-91A1-BE8D36D96C7E}"/>
    <cellStyle name="Normal 8 2 3 5 3" xfId="5679" xr:uid="{00000000-0005-0000-0000-0000D71C0000}"/>
    <cellStyle name="Normal 8 2 3 5 3 2" xfId="14129" xr:uid="{D860181D-CB7C-4F04-9CA8-A80DF04E5A0D}"/>
    <cellStyle name="Normal 8 2 3 5 4" xfId="9911" xr:uid="{041AC54C-E884-4E87-9AF4-5D13940C903A}"/>
    <cellStyle name="Normal 8 2 3 6" xfId="1785" xr:uid="{00000000-0005-0000-0000-0000D81C0000}"/>
    <cellStyle name="Normal 8 2 3 6 2" xfId="4015" xr:uid="{00000000-0005-0000-0000-0000D91C0000}"/>
    <cellStyle name="Normal 8 2 3 6 2 2" xfId="8237" xr:uid="{00000000-0005-0000-0000-0000DA1C0000}"/>
    <cellStyle name="Normal 8 2 3 6 2 2 2" xfId="16687" xr:uid="{C4C85D98-B993-42A2-A231-A6D08AAAE600}"/>
    <cellStyle name="Normal 8 2 3 6 2 3" xfId="12469" xr:uid="{0851DAF7-79AD-45C5-BF43-4ACBFC26EF39}"/>
    <cellStyle name="Normal 8 2 3 6 3" xfId="6092" xr:uid="{00000000-0005-0000-0000-0000DB1C0000}"/>
    <cellStyle name="Normal 8 2 3 6 3 2" xfId="14542" xr:uid="{DA8A797A-DCED-4F8E-85EE-834DFDC0CF84}"/>
    <cellStyle name="Normal 8 2 3 6 4" xfId="10324" xr:uid="{917CD160-AFB0-446C-9347-7FF0197E9B2E}"/>
    <cellStyle name="Normal 8 2 3 7" xfId="2199" xr:uid="{00000000-0005-0000-0000-0000DC1C0000}"/>
    <cellStyle name="Normal 8 2 3 7 2" xfId="4428" xr:uid="{00000000-0005-0000-0000-0000DD1C0000}"/>
    <cellStyle name="Normal 8 2 3 7 2 2" xfId="8650" xr:uid="{00000000-0005-0000-0000-0000DE1C0000}"/>
    <cellStyle name="Normal 8 2 3 7 2 2 2" xfId="17100" xr:uid="{5E283B83-8465-4097-9F7D-E0FB34D56C1D}"/>
    <cellStyle name="Normal 8 2 3 7 2 3" xfId="12882" xr:uid="{762A7C64-B8A0-4106-98E8-9FEF9CEEB1B2}"/>
    <cellStyle name="Normal 8 2 3 7 3" xfId="6505" xr:uid="{00000000-0005-0000-0000-0000DF1C0000}"/>
    <cellStyle name="Normal 8 2 3 7 3 2" xfId="14955" xr:uid="{DFF6E1E5-DADA-4485-BAC2-05EE5039BF72}"/>
    <cellStyle name="Normal 8 2 3 7 4" xfId="10737" xr:uid="{F769DDDA-F5F4-4BE4-88CC-9FE259C70620}"/>
    <cellStyle name="Normal 8 2 3 8" xfId="2635" xr:uid="{00000000-0005-0000-0000-0000E01C0000}"/>
    <cellStyle name="Normal 8 2 3 8 2" xfId="6918" xr:uid="{00000000-0005-0000-0000-0000E11C0000}"/>
    <cellStyle name="Normal 8 2 3 8 2 2" xfId="15368" xr:uid="{D9DF605A-BA04-4955-B4A8-BD3FB83FBF8A}"/>
    <cellStyle name="Normal 8 2 3 8 3" xfId="11150" xr:uid="{AB0CC56C-8930-4887-9B8C-FF1708BD4863}"/>
    <cellStyle name="Normal 8 2 3 9" xfId="4853" xr:uid="{00000000-0005-0000-0000-0000E21C0000}"/>
    <cellStyle name="Normal 8 2 3 9 2" xfId="13303" xr:uid="{7FC6F7AF-650A-4D75-8701-B504F9453B3F}"/>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2 2 2" xfId="15866" xr:uid="{1DA6B38E-0D8E-4705-9B60-16776AB3A708}"/>
    <cellStyle name="Normal 8 2 4 2 2 2 3" xfId="11648" xr:uid="{136CDD3E-9997-45D2-B9F2-34B4554EC820}"/>
    <cellStyle name="Normal 8 2 4 2 2 3" xfId="5271" xr:uid="{00000000-0005-0000-0000-0000E81C0000}"/>
    <cellStyle name="Normal 8 2 4 2 2 3 2" xfId="13721" xr:uid="{9AF1B190-FE7E-4571-9A3A-C71F367C6BCF}"/>
    <cellStyle name="Normal 8 2 4 2 2 4" xfId="9503" xr:uid="{E7D3391F-0E6C-4F3A-B6ED-9576C1E79C0B}"/>
    <cellStyle name="Normal 8 2 4 2 3" xfId="1377" xr:uid="{00000000-0005-0000-0000-0000E91C0000}"/>
    <cellStyle name="Normal 8 2 4 2 3 2" xfId="3607" xr:uid="{00000000-0005-0000-0000-0000EA1C0000}"/>
    <cellStyle name="Normal 8 2 4 2 3 2 2" xfId="7829" xr:uid="{00000000-0005-0000-0000-0000EB1C0000}"/>
    <cellStyle name="Normal 8 2 4 2 3 2 2 2" xfId="16279" xr:uid="{FA31E948-7CA0-450F-AB6F-3E3960C0977B}"/>
    <cellStyle name="Normal 8 2 4 2 3 2 3" xfId="12061" xr:uid="{35C3027A-7684-40B9-88D9-61A3C3F9A760}"/>
    <cellStyle name="Normal 8 2 4 2 3 3" xfId="5684" xr:uid="{00000000-0005-0000-0000-0000EC1C0000}"/>
    <cellStyle name="Normal 8 2 4 2 3 3 2" xfId="14134" xr:uid="{E402B729-6202-43D0-8885-D6E071FE58A0}"/>
    <cellStyle name="Normal 8 2 4 2 3 4" xfId="9916" xr:uid="{E8E74845-B6C8-4E05-B854-A889096F6ECC}"/>
    <cellStyle name="Normal 8 2 4 2 4" xfId="1790" xr:uid="{00000000-0005-0000-0000-0000ED1C0000}"/>
    <cellStyle name="Normal 8 2 4 2 4 2" xfId="4020" xr:uid="{00000000-0005-0000-0000-0000EE1C0000}"/>
    <cellStyle name="Normal 8 2 4 2 4 2 2" xfId="8242" xr:uid="{00000000-0005-0000-0000-0000EF1C0000}"/>
    <cellStyle name="Normal 8 2 4 2 4 2 2 2" xfId="16692" xr:uid="{71C73D4C-FBE1-49AF-BD4B-53B1BF2BB57F}"/>
    <cellStyle name="Normal 8 2 4 2 4 2 3" xfId="12474" xr:uid="{F261BF4E-D0E1-47F4-8E8E-BF73C1666530}"/>
    <cellStyle name="Normal 8 2 4 2 4 3" xfId="6097" xr:uid="{00000000-0005-0000-0000-0000F01C0000}"/>
    <cellStyle name="Normal 8 2 4 2 4 3 2" xfId="14547" xr:uid="{24C3572B-5700-47E7-88CC-8D3EC27CFDAA}"/>
    <cellStyle name="Normal 8 2 4 2 4 4" xfId="10329" xr:uid="{6EF21EC1-9D28-465C-A1C4-473E4CB946E5}"/>
    <cellStyle name="Normal 8 2 4 2 5" xfId="2204" xr:uid="{00000000-0005-0000-0000-0000F11C0000}"/>
    <cellStyle name="Normal 8 2 4 2 5 2" xfId="4433" xr:uid="{00000000-0005-0000-0000-0000F21C0000}"/>
    <cellStyle name="Normal 8 2 4 2 5 2 2" xfId="8655" xr:uid="{00000000-0005-0000-0000-0000F31C0000}"/>
    <cellStyle name="Normal 8 2 4 2 5 2 2 2" xfId="17105" xr:uid="{B674C280-4B0C-4351-B57E-32D94AD0ADBA}"/>
    <cellStyle name="Normal 8 2 4 2 5 2 3" xfId="12887" xr:uid="{46FFA12A-5FD5-4B53-A67F-BC35B765A90C}"/>
    <cellStyle name="Normal 8 2 4 2 5 3" xfId="6510" xr:uid="{00000000-0005-0000-0000-0000F41C0000}"/>
    <cellStyle name="Normal 8 2 4 2 5 3 2" xfId="14960" xr:uid="{722DF54A-5319-4489-AD3C-139A66C3BAFD}"/>
    <cellStyle name="Normal 8 2 4 2 5 4" xfId="10742" xr:uid="{28D3F512-042D-4AAD-9F59-925F22A13FD8}"/>
    <cellStyle name="Normal 8 2 4 2 6" xfId="2640" xr:uid="{00000000-0005-0000-0000-0000F51C0000}"/>
    <cellStyle name="Normal 8 2 4 2 6 2" xfId="6923" xr:uid="{00000000-0005-0000-0000-0000F61C0000}"/>
    <cellStyle name="Normal 8 2 4 2 6 2 2" xfId="15373" xr:uid="{45D86239-303E-4D37-A074-AADF96EDE9B4}"/>
    <cellStyle name="Normal 8 2 4 2 6 3" xfId="11155" xr:uid="{90FFCD8C-613B-404B-8348-9B04BFDE8460}"/>
    <cellStyle name="Normal 8 2 4 2 7" xfId="4858" xr:uid="{00000000-0005-0000-0000-0000F71C0000}"/>
    <cellStyle name="Normal 8 2 4 2 7 2" xfId="13308" xr:uid="{6E533FCE-F875-4FE0-AD0A-7B558ACB7A44}"/>
    <cellStyle name="Normal 8 2 4 2 8" xfId="9090" xr:uid="{FC5E9FAD-0B91-4044-BF21-C71297B98840}"/>
    <cellStyle name="Normal 8 2 4 3" xfId="959" xr:uid="{00000000-0005-0000-0000-0000F81C0000}"/>
    <cellStyle name="Normal 8 2 4 3 2" xfId="3193" xr:uid="{00000000-0005-0000-0000-0000F91C0000}"/>
    <cellStyle name="Normal 8 2 4 3 2 2" xfId="7415" xr:uid="{00000000-0005-0000-0000-0000FA1C0000}"/>
    <cellStyle name="Normal 8 2 4 3 2 2 2" xfId="15865" xr:uid="{A99988A7-2987-4CBD-B10A-00D8C6B8B844}"/>
    <cellStyle name="Normal 8 2 4 3 2 3" xfId="11647" xr:uid="{720AEA67-77A3-4AFD-9443-8554F45642A6}"/>
    <cellStyle name="Normal 8 2 4 3 3" xfId="5270" xr:uid="{00000000-0005-0000-0000-0000FB1C0000}"/>
    <cellStyle name="Normal 8 2 4 3 3 2" xfId="13720" xr:uid="{ED8D03F7-CC79-4E12-AC6C-70C57F841831}"/>
    <cellStyle name="Normal 8 2 4 3 4" xfId="9502" xr:uid="{854666BB-3A43-4404-B633-39EA6F65315D}"/>
    <cellStyle name="Normal 8 2 4 4" xfId="1376" xr:uid="{00000000-0005-0000-0000-0000FC1C0000}"/>
    <cellStyle name="Normal 8 2 4 4 2" xfId="3606" xr:uid="{00000000-0005-0000-0000-0000FD1C0000}"/>
    <cellStyle name="Normal 8 2 4 4 2 2" xfId="7828" xr:uid="{00000000-0005-0000-0000-0000FE1C0000}"/>
    <cellStyle name="Normal 8 2 4 4 2 2 2" xfId="16278" xr:uid="{1A2DCA79-AE44-42FF-B12E-2AD921246A6F}"/>
    <cellStyle name="Normal 8 2 4 4 2 3" xfId="12060" xr:uid="{F2A989F8-8D88-4E05-8EE7-B61BB5873EA1}"/>
    <cellStyle name="Normal 8 2 4 4 3" xfId="5683" xr:uid="{00000000-0005-0000-0000-0000FF1C0000}"/>
    <cellStyle name="Normal 8 2 4 4 3 2" xfId="14133" xr:uid="{00FCDCBA-B2C2-4C66-BD56-3FF9D0DD4D14}"/>
    <cellStyle name="Normal 8 2 4 4 4" xfId="9915" xr:uid="{76665491-F0D3-4836-878C-187E74A84F7C}"/>
    <cellStyle name="Normal 8 2 4 5" xfId="1789" xr:uid="{00000000-0005-0000-0000-0000001D0000}"/>
    <cellStyle name="Normal 8 2 4 5 2" xfId="4019" xr:uid="{00000000-0005-0000-0000-0000011D0000}"/>
    <cellStyle name="Normal 8 2 4 5 2 2" xfId="8241" xr:uid="{00000000-0005-0000-0000-0000021D0000}"/>
    <cellStyle name="Normal 8 2 4 5 2 2 2" xfId="16691" xr:uid="{84DD9EEC-FC80-4C66-A8D5-93E1AB116609}"/>
    <cellStyle name="Normal 8 2 4 5 2 3" xfId="12473" xr:uid="{FD7E5393-86E8-454F-9CAB-5D862535C29C}"/>
    <cellStyle name="Normal 8 2 4 5 3" xfId="6096" xr:uid="{00000000-0005-0000-0000-0000031D0000}"/>
    <cellStyle name="Normal 8 2 4 5 3 2" xfId="14546" xr:uid="{493F34A3-ECED-4706-8E1C-A70B498E159B}"/>
    <cellStyle name="Normal 8 2 4 5 4" xfId="10328" xr:uid="{E37E2FB3-44E0-4F0F-ABFF-390258818058}"/>
    <cellStyle name="Normal 8 2 4 6" xfId="2203" xr:uid="{00000000-0005-0000-0000-0000041D0000}"/>
    <cellStyle name="Normal 8 2 4 6 2" xfId="4432" xr:uid="{00000000-0005-0000-0000-0000051D0000}"/>
    <cellStyle name="Normal 8 2 4 6 2 2" xfId="8654" xr:uid="{00000000-0005-0000-0000-0000061D0000}"/>
    <cellStyle name="Normal 8 2 4 6 2 2 2" xfId="17104" xr:uid="{BD69D920-A7F1-4E5B-AF75-847377B3D553}"/>
    <cellStyle name="Normal 8 2 4 6 2 3" xfId="12886" xr:uid="{03C92504-5462-4D66-BE33-3745EA9849C3}"/>
    <cellStyle name="Normal 8 2 4 6 3" xfId="6509" xr:uid="{00000000-0005-0000-0000-0000071D0000}"/>
    <cellStyle name="Normal 8 2 4 6 3 2" xfId="14959" xr:uid="{69226573-21BC-428E-840C-E8A9A46E57E8}"/>
    <cellStyle name="Normal 8 2 4 6 4" xfId="10741" xr:uid="{53FCA2EC-DBCA-42AF-8D7E-124D11A95EDA}"/>
    <cellStyle name="Normal 8 2 4 7" xfId="2639" xr:uid="{00000000-0005-0000-0000-0000081D0000}"/>
    <cellStyle name="Normal 8 2 4 7 2" xfId="6922" xr:uid="{00000000-0005-0000-0000-0000091D0000}"/>
    <cellStyle name="Normal 8 2 4 7 2 2" xfId="15372" xr:uid="{5CC089E0-421B-4F97-B21E-B6CD263BD582}"/>
    <cellStyle name="Normal 8 2 4 7 3" xfId="11154" xr:uid="{B11726BE-FE99-4F1B-A8D1-4D9C8C9A0817}"/>
    <cellStyle name="Normal 8 2 4 8" xfId="4857" xr:uid="{00000000-0005-0000-0000-00000A1D0000}"/>
    <cellStyle name="Normal 8 2 4 8 2" xfId="13307" xr:uid="{67F9F3A1-7CAB-41B0-91B8-FEE874BB5DF1}"/>
    <cellStyle name="Normal 8 2 4 9" xfId="9089" xr:uid="{D0C12929-A7A9-4F66-B026-F702F305A143}"/>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2 2 2" xfId="15867" xr:uid="{5595649D-0866-43BC-B1D8-48B9EBDF7E9A}"/>
    <cellStyle name="Normal 8 2 5 2 2 3" xfId="11649" xr:uid="{060CBDFA-3E5B-4F8B-9234-D21C44998ACF}"/>
    <cellStyle name="Normal 8 2 5 2 3" xfId="5272" xr:uid="{00000000-0005-0000-0000-00000F1D0000}"/>
    <cellStyle name="Normal 8 2 5 2 3 2" xfId="13722" xr:uid="{ADA5C45F-B2E3-400B-A50E-10165EBC514F}"/>
    <cellStyle name="Normal 8 2 5 2 4" xfId="9504" xr:uid="{400FB3E6-5B5D-44E2-800A-6D385CA61B11}"/>
    <cellStyle name="Normal 8 2 5 3" xfId="1378" xr:uid="{00000000-0005-0000-0000-0000101D0000}"/>
    <cellStyle name="Normal 8 2 5 3 2" xfId="3608" xr:uid="{00000000-0005-0000-0000-0000111D0000}"/>
    <cellStyle name="Normal 8 2 5 3 2 2" xfId="7830" xr:uid="{00000000-0005-0000-0000-0000121D0000}"/>
    <cellStyle name="Normal 8 2 5 3 2 2 2" xfId="16280" xr:uid="{1EBD31A0-3435-43FD-B66A-488AFAE0C5AB}"/>
    <cellStyle name="Normal 8 2 5 3 2 3" xfId="12062" xr:uid="{8B18E54B-0B52-4B4E-BAA5-D9180D4B66F9}"/>
    <cellStyle name="Normal 8 2 5 3 3" xfId="5685" xr:uid="{00000000-0005-0000-0000-0000131D0000}"/>
    <cellStyle name="Normal 8 2 5 3 3 2" xfId="14135" xr:uid="{C0883C64-E3BD-45C1-BF41-81C73FF97D21}"/>
    <cellStyle name="Normal 8 2 5 3 4" xfId="9917" xr:uid="{B79D5824-81BD-4B6B-93AD-FEE711901A35}"/>
    <cellStyle name="Normal 8 2 5 4" xfId="1791" xr:uid="{00000000-0005-0000-0000-0000141D0000}"/>
    <cellStyle name="Normal 8 2 5 4 2" xfId="4021" xr:uid="{00000000-0005-0000-0000-0000151D0000}"/>
    <cellStyle name="Normal 8 2 5 4 2 2" xfId="8243" xr:uid="{00000000-0005-0000-0000-0000161D0000}"/>
    <cellStyle name="Normal 8 2 5 4 2 2 2" xfId="16693" xr:uid="{488BEECA-47C0-4D03-94CF-D3530E16C173}"/>
    <cellStyle name="Normal 8 2 5 4 2 3" xfId="12475" xr:uid="{BEBDBC12-276C-463C-A6A1-902509E49D4C}"/>
    <cellStyle name="Normal 8 2 5 4 3" xfId="6098" xr:uid="{00000000-0005-0000-0000-0000171D0000}"/>
    <cellStyle name="Normal 8 2 5 4 3 2" xfId="14548" xr:uid="{C4203832-B12A-41E7-92D2-17274FF31086}"/>
    <cellStyle name="Normal 8 2 5 4 4" xfId="10330" xr:uid="{0782DBC0-2746-49AC-994C-4DEB55B50A28}"/>
    <cellStyle name="Normal 8 2 5 5" xfId="2205" xr:uid="{00000000-0005-0000-0000-0000181D0000}"/>
    <cellStyle name="Normal 8 2 5 5 2" xfId="4434" xr:uid="{00000000-0005-0000-0000-0000191D0000}"/>
    <cellStyle name="Normal 8 2 5 5 2 2" xfId="8656" xr:uid="{00000000-0005-0000-0000-00001A1D0000}"/>
    <cellStyle name="Normal 8 2 5 5 2 2 2" xfId="17106" xr:uid="{805D60B2-C158-4D73-9DC1-4789293D7A1F}"/>
    <cellStyle name="Normal 8 2 5 5 2 3" xfId="12888" xr:uid="{8D8635FC-C33B-4397-A226-578396A28049}"/>
    <cellStyle name="Normal 8 2 5 5 3" xfId="6511" xr:uid="{00000000-0005-0000-0000-00001B1D0000}"/>
    <cellStyle name="Normal 8 2 5 5 3 2" xfId="14961" xr:uid="{F884FD7C-C890-44E8-AF21-215AE2DE5D42}"/>
    <cellStyle name="Normal 8 2 5 5 4" xfId="10743" xr:uid="{800F8766-2D4E-4C0C-9BC8-9D3AFC8207B0}"/>
    <cellStyle name="Normal 8 2 5 6" xfId="2641" xr:uid="{00000000-0005-0000-0000-00001C1D0000}"/>
    <cellStyle name="Normal 8 2 5 6 2" xfId="6924" xr:uid="{00000000-0005-0000-0000-00001D1D0000}"/>
    <cellStyle name="Normal 8 2 5 6 2 2" xfId="15374" xr:uid="{BCAE62F4-F908-4119-B67A-F5DB2B3C766C}"/>
    <cellStyle name="Normal 8 2 5 6 3" xfId="11156" xr:uid="{19815715-60B8-4510-ACC3-EF0FDA6B53AC}"/>
    <cellStyle name="Normal 8 2 5 7" xfId="4859" xr:uid="{00000000-0005-0000-0000-00001E1D0000}"/>
    <cellStyle name="Normal 8 2 5 7 2" xfId="13309" xr:uid="{906A6F3E-FF8E-4093-99C8-E565AB904253}"/>
    <cellStyle name="Normal 8 2 5 8" xfId="9091" xr:uid="{E1FE9ACE-2EE2-43E3-8A05-EDCD26C86129}"/>
    <cellStyle name="Normal 8 2 6" xfId="946" xr:uid="{00000000-0005-0000-0000-00001F1D0000}"/>
    <cellStyle name="Normal 8 2 6 2" xfId="3180" xr:uid="{00000000-0005-0000-0000-0000201D0000}"/>
    <cellStyle name="Normal 8 2 6 2 2" xfId="7402" xr:uid="{00000000-0005-0000-0000-0000211D0000}"/>
    <cellStyle name="Normal 8 2 6 2 2 2" xfId="15852" xr:uid="{CA1D4F91-5676-41E6-85C2-E79A2E36AB1C}"/>
    <cellStyle name="Normal 8 2 6 2 3" xfId="11634" xr:uid="{E461A483-1921-4698-8321-BA5D9C5B03A9}"/>
    <cellStyle name="Normal 8 2 6 3" xfId="5257" xr:uid="{00000000-0005-0000-0000-0000221D0000}"/>
    <cellStyle name="Normal 8 2 6 3 2" xfId="13707" xr:uid="{16DA1F03-8EA1-43B8-972D-4BECA6570F41}"/>
    <cellStyle name="Normal 8 2 6 4" xfId="9489" xr:uid="{E01CC40F-88EE-4C3F-AD4E-61C7D990621F}"/>
    <cellStyle name="Normal 8 2 7" xfId="1363" xr:uid="{00000000-0005-0000-0000-0000231D0000}"/>
    <cellStyle name="Normal 8 2 7 2" xfId="3593" xr:uid="{00000000-0005-0000-0000-0000241D0000}"/>
    <cellStyle name="Normal 8 2 7 2 2" xfId="7815" xr:uid="{00000000-0005-0000-0000-0000251D0000}"/>
    <cellStyle name="Normal 8 2 7 2 2 2" xfId="16265" xr:uid="{1F12C0A8-4DC0-4B61-8030-4BD9EF001717}"/>
    <cellStyle name="Normal 8 2 7 2 3" xfId="12047" xr:uid="{8ACC8818-E513-4105-9A3F-43B017484B71}"/>
    <cellStyle name="Normal 8 2 7 3" xfId="5670" xr:uid="{00000000-0005-0000-0000-0000261D0000}"/>
    <cellStyle name="Normal 8 2 7 3 2" xfId="14120" xr:uid="{3AEA9B23-7C37-4113-A6D4-0188B0652EAF}"/>
    <cellStyle name="Normal 8 2 7 4" xfId="9902" xr:uid="{9BC84D5D-8CED-4A97-A36F-5491FD1E0F12}"/>
    <cellStyle name="Normal 8 2 8" xfId="1776" xr:uid="{00000000-0005-0000-0000-0000271D0000}"/>
    <cellStyle name="Normal 8 2 8 2" xfId="4006" xr:uid="{00000000-0005-0000-0000-0000281D0000}"/>
    <cellStyle name="Normal 8 2 8 2 2" xfId="8228" xr:uid="{00000000-0005-0000-0000-0000291D0000}"/>
    <cellStyle name="Normal 8 2 8 2 2 2" xfId="16678" xr:uid="{C6EC2DD4-60DA-4A1C-9B6D-540724F5B32E}"/>
    <cellStyle name="Normal 8 2 8 2 3" xfId="12460" xr:uid="{0364D284-85B4-452F-ABDC-7214C9F55F3B}"/>
    <cellStyle name="Normal 8 2 8 3" xfId="6083" xr:uid="{00000000-0005-0000-0000-00002A1D0000}"/>
    <cellStyle name="Normal 8 2 8 3 2" xfId="14533" xr:uid="{EF7F2B15-0847-4989-93A8-F0C8AD2C1DFD}"/>
    <cellStyle name="Normal 8 2 8 4" xfId="10315" xr:uid="{F51C3AC6-3D9B-4F2D-8C3C-49BE595A1E6F}"/>
    <cellStyle name="Normal 8 2 9" xfId="2190" xr:uid="{00000000-0005-0000-0000-00002B1D0000}"/>
    <cellStyle name="Normal 8 2 9 2" xfId="4419" xr:uid="{00000000-0005-0000-0000-00002C1D0000}"/>
    <cellStyle name="Normal 8 2 9 2 2" xfId="8641" xr:uid="{00000000-0005-0000-0000-00002D1D0000}"/>
    <cellStyle name="Normal 8 2 9 2 2 2" xfId="17091" xr:uid="{7FC4D99E-8EDE-435F-B215-42D277951FE0}"/>
    <cellStyle name="Normal 8 2 9 2 3" xfId="12873" xr:uid="{5E60DFA1-B874-41F6-9218-D4DA54619554}"/>
    <cellStyle name="Normal 8 2 9 3" xfId="6496" xr:uid="{00000000-0005-0000-0000-00002E1D0000}"/>
    <cellStyle name="Normal 8 2 9 3 2" xfId="14946" xr:uid="{DE739E93-2BF4-49DA-88D1-BCB0520EF0D5}"/>
    <cellStyle name="Normal 8 2 9 4" xfId="10728" xr:uid="{B459E790-A96E-47F7-B3C8-807132CD627A}"/>
    <cellStyle name="Normal 8 3" xfId="495" xr:uid="{00000000-0005-0000-0000-00002F1D0000}"/>
    <cellStyle name="Normal 8 3 10" xfId="4860" xr:uid="{00000000-0005-0000-0000-0000301D0000}"/>
    <cellStyle name="Normal 8 3 10 2" xfId="13310" xr:uid="{AAA3E63C-836E-45C9-AEAE-F210BD9AD8CF}"/>
    <cellStyle name="Normal 8 3 11" xfId="9092" xr:uid="{56A1EDD1-4913-484A-9DF9-4A2BFD10CE02}"/>
    <cellStyle name="Normal 8 3 2" xfId="496" xr:uid="{00000000-0005-0000-0000-0000311D0000}"/>
    <cellStyle name="Normal 8 3 2 10" xfId="9093" xr:uid="{A2059059-4ECA-486C-BA58-9E868605A9FD}"/>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2 2 2" xfId="15871" xr:uid="{9787BE4D-7FDE-461D-A0F0-97246155F4DE}"/>
    <cellStyle name="Normal 8 3 2 2 2 2 2 3" xfId="11653" xr:uid="{49F23CA1-C850-46D4-899F-FE2FAD6CD2E3}"/>
    <cellStyle name="Normal 8 3 2 2 2 2 3" xfId="5276" xr:uid="{00000000-0005-0000-0000-0000371D0000}"/>
    <cellStyle name="Normal 8 3 2 2 2 2 3 2" xfId="13726" xr:uid="{E6A85C80-6B96-453F-8976-544ED4D86D33}"/>
    <cellStyle name="Normal 8 3 2 2 2 2 4" xfId="9508" xr:uid="{7BB90D79-60A8-4FC5-8C27-35012DFE1483}"/>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2 2 2" xfId="16284" xr:uid="{8D1D8EBF-3E97-4911-8F86-FBE1A4139156}"/>
    <cellStyle name="Normal 8 3 2 2 2 3 2 3" xfId="12066" xr:uid="{A63C306B-004D-425B-AC01-146A9C862B94}"/>
    <cellStyle name="Normal 8 3 2 2 2 3 3" xfId="5689" xr:uid="{00000000-0005-0000-0000-00003B1D0000}"/>
    <cellStyle name="Normal 8 3 2 2 2 3 3 2" xfId="14139" xr:uid="{59DF8A8C-FB4C-4206-AA79-6A3671CDF0CB}"/>
    <cellStyle name="Normal 8 3 2 2 2 3 4" xfId="9921" xr:uid="{F9E88E80-5A74-431C-9D69-DC28066E558D}"/>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2 2 2" xfId="16697" xr:uid="{194F2957-AFF6-46E6-A0C0-215658FA7F7D}"/>
    <cellStyle name="Normal 8 3 2 2 2 4 2 3" xfId="12479" xr:uid="{5BEEDEF8-FAE0-4E19-8737-C414763474E1}"/>
    <cellStyle name="Normal 8 3 2 2 2 4 3" xfId="6102" xr:uid="{00000000-0005-0000-0000-00003F1D0000}"/>
    <cellStyle name="Normal 8 3 2 2 2 4 3 2" xfId="14552" xr:uid="{D2141DB6-AEB7-4C93-A9FA-E69A589C92FD}"/>
    <cellStyle name="Normal 8 3 2 2 2 4 4" xfId="10334" xr:uid="{36A6C9EA-15A9-4A2A-9BDE-F42343A69CB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2 2 2" xfId="17110" xr:uid="{F607674B-CD13-4960-BDFA-E37A08BB9C27}"/>
    <cellStyle name="Normal 8 3 2 2 2 5 2 3" xfId="12892" xr:uid="{7D312C70-EC15-4A8C-A74B-A25C4C49DAA2}"/>
    <cellStyle name="Normal 8 3 2 2 2 5 3" xfId="6515" xr:uid="{00000000-0005-0000-0000-0000431D0000}"/>
    <cellStyle name="Normal 8 3 2 2 2 5 3 2" xfId="14965" xr:uid="{55BDE362-7676-4349-AF31-02F69445771A}"/>
    <cellStyle name="Normal 8 3 2 2 2 5 4" xfId="10747" xr:uid="{4E368F99-EB15-4EFC-ADA2-52B8630FC65B}"/>
    <cellStyle name="Normal 8 3 2 2 2 6" xfId="2645" xr:uid="{00000000-0005-0000-0000-0000441D0000}"/>
    <cellStyle name="Normal 8 3 2 2 2 6 2" xfId="6928" xr:uid="{00000000-0005-0000-0000-0000451D0000}"/>
    <cellStyle name="Normal 8 3 2 2 2 6 2 2" xfId="15378" xr:uid="{233DC328-9C4A-4F56-8BFD-56AF40B00A30}"/>
    <cellStyle name="Normal 8 3 2 2 2 6 3" xfId="11160" xr:uid="{6C6E4A9E-6B72-4132-A226-37BD7D1A65C4}"/>
    <cellStyle name="Normal 8 3 2 2 2 7" xfId="4863" xr:uid="{00000000-0005-0000-0000-0000461D0000}"/>
    <cellStyle name="Normal 8 3 2 2 2 7 2" xfId="13313" xr:uid="{77CDB57A-6049-473C-9DFA-C28C5E812A19}"/>
    <cellStyle name="Normal 8 3 2 2 2 8" xfId="9095" xr:uid="{59D0915D-AA51-456A-AF12-78BAA454F71A}"/>
    <cellStyle name="Normal 8 3 2 2 3" xfId="964" xr:uid="{00000000-0005-0000-0000-0000471D0000}"/>
    <cellStyle name="Normal 8 3 2 2 3 2" xfId="3198" xr:uid="{00000000-0005-0000-0000-0000481D0000}"/>
    <cellStyle name="Normal 8 3 2 2 3 2 2" xfId="7420" xr:uid="{00000000-0005-0000-0000-0000491D0000}"/>
    <cellStyle name="Normal 8 3 2 2 3 2 2 2" xfId="15870" xr:uid="{881B761D-037E-46E4-9D0E-4EA5A03A730B}"/>
    <cellStyle name="Normal 8 3 2 2 3 2 3" xfId="11652" xr:uid="{E37CD962-2139-4E39-9CB0-CDDCCD034BF0}"/>
    <cellStyle name="Normal 8 3 2 2 3 3" xfId="5275" xr:uid="{00000000-0005-0000-0000-00004A1D0000}"/>
    <cellStyle name="Normal 8 3 2 2 3 3 2" xfId="13725" xr:uid="{1E64801F-8B5D-4595-99E8-39F28ACA53F7}"/>
    <cellStyle name="Normal 8 3 2 2 3 4" xfId="9507" xr:uid="{0D1327E3-6B9B-44EF-AADE-2DFB488DE564}"/>
    <cellStyle name="Normal 8 3 2 2 4" xfId="1381" xr:uid="{00000000-0005-0000-0000-00004B1D0000}"/>
    <cellStyle name="Normal 8 3 2 2 4 2" xfId="3611" xr:uid="{00000000-0005-0000-0000-00004C1D0000}"/>
    <cellStyle name="Normal 8 3 2 2 4 2 2" xfId="7833" xr:uid="{00000000-0005-0000-0000-00004D1D0000}"/>
    <cellStyle name="Normal 8 3 2 2 4 2 2 2" xfId="16283" xr:uid="{AB979679-781E-44BE-8B11-61C25E06535F}"/>
    <cellStyle name="Normal 8 3 2 2 4 2 3" xfId="12065" xr:uid="{FE4F0447-BAA0-41C4-BDE3-E8B18469FBFA}"/>
    <cellStyle name="Normal 8 3 2 2 4 3" xfId="5688" xr:uid="{00000000-0005-0000-0000-00004E1D0000}"/>
    <cellStyle name="Normal 8 3 2 2 4 3 2" xfId="14138" xr:uid="{92F55B6F-F66B-442C-82A0-9B498C24BF00}"/>
    <cellStyle name="Normal 8 3 2 2 4 4" xfId="9920" xr:uid="{80975A89-A9B9-4071-8529-F24149514FDE}"/>
    <cellStyle name="Normal 8 3 2 2 5" xfId="1794" xr:uid="{00000000-0005-0000-0000-00004F1D0000}"/>
    <cellStyle name="Normal 8 3 2 2 5 2" xfId="4024" xr:uid="{00000000-0005-0000-0000-0000501D0000}"/>
    <cellStyle name="Normal 8 3 2 2 5 2 2" xfId="8246" xr:uid="{00000000-0005-0000-0000-0000511D0000}"/>
    <cellStyle name="Normal 8 3 2 2 5 2 2 2" xfId="16696" xr:uid="{FF85E3BA-F487-438B-A3D8-BAC72377EAE0}"/>
    <cellStyle name="Normal 8 3 2 2 5 2 3" xfId="12478" xr:uid="{278F32DF-EB1B-4308-B759-283F68C577AA}"/>
    <cellStyle name="Normal 8 3 2 2 5 3" xfId="6101" xr:uid="{00000000-0005-0000-0000-0000521D0000}"/>
    <cellStyle name="Normal 8 3 2 2 5 3 2" xfId="14551" xr:uid="{3BB8141B-4DB8-426D-ADC5-79FFD2D6D06C}"/>
    <cellStyle name="Normal 8 3 2 2 5 4" xfId="10333" xr:uid="{D08A5268-C6DC-4DEE-81F7-84951ACE1DC2}"/>
    <cellStyle name="Normal 8 3 2 2 6" xfId="2208" xr:uid="{00000000-0005-0000-0000-0000531D0000}"/>
    <cellStyle name="Normal 8 3 2 2 6 2" xfId="4437" xr:uid="{00000000-0005-0000-0000-0000541D0000}"/>
    <cellStyle name="Normal 8 3 2 2 6 2 2" xfId="8659" xr:uid="{00000000-0005-0000-0000-0000551D0000}"/>
    <cellStyle name="Normal 8 3 2 2 6 2 2 2" xfId="17109" xr:uid="{9B8457AC-D349-4D13-BB93-CFAE45698860}"/>
    <cellStyle name="Normal 8 3 2 2 6 2 3" xfId="12891" xr:uid="{76456A7E-6344-471E-A094-98201C78557E}"/>
    <cellStyle name="Normal 8 3 2 2 6 3" xfId="6514" xr:uid="{00000000-0005-0000-0000-0000561D0000}"/>
    <cellStyle name="Normal 8 3 2 2 6 3 2" xfId="14964" xr:uid="{D7E53118-D577-40A8-87F4-77023EACF453}"/>
    <cellStyle name="Normal 8 3 2 2 6 4" xfId="10746" xr:uid="{49006186-F0F8-4452-8982-9B237A9B0981}"/>
    <cellStyle name="Normal 8 3 2 2 7" xfId="2644" xr:uid="{00000000-0005-0000-0000-0000571D0000}"/>
    <cellStyle name="Normal 8 3 2 2 7 2" xfId="6927" xr:uid="{00000000-0005-0000-0000-0000581D0000}"/>
    <cellStyle name="Normal 8 3 2 2 7 2 2" xfId="15377" xr:uid="{20569625-D4EB-483C-95E9-145616A0298C}"/>
    <cellStyle name="Normal 8 3 2 2 7 3" xfId="11159" xr:uid="{6991FFA5-7E63-4741-A4F5-34547FD620AE}"/>
    <cellStyle name="Normal 8 3 2 2 8" xfId="4862" xr:uid="{00000000-0005-0000-0000-0000591D0000}"/>
    <cellStyle name="Normal 8 3 2 2 8 2" xfId="13312" xr:uid="{536ED80D-DBC5-46D1-A3C0-F237DF423862}"/>
    <cellStyle name="Normal 8 3 2 2 9" xfId="9094" xr:uid="{80387132-D7BA-468D-995D-4830C861E469}"/>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2 2 2" xfId="15872" xr:uid="{2D076671-A62E-4515-9A98-9CAF5CB44D92}"/>
    <cellStyle name="Normal 8 3 2 3 2 2 3" xfId="11654" xr:uid="{730696A4-5DBB-467C-9393-B41914BDCCA1}"/>
    <cellStyle name="Normal 8 3 2 3 2 3" xfId="5277" xr:uid="{00000000-0005-0000-0000-00005E1D0000}"/>
    <cellStyle name="Normal 8 3 2 3 2 3 2" xfId="13727" xr:uid="{3DA04986-4DA3-4C00-AB15-32E32666732E}"/>
    <cellStyle name="Normal 8 3 2 3 2 4" xfId="9509" xr:uid="{4F39646B-A83C-4B6B-A28D-02CB3541ABA9}"/>
    <cellStyle name="Normal 8 3 2 3 3" xfId="1383" xr:uid="{00000000-0005-0000-0000-00005F1D0000}"/>
    <cellStyle name="Normal 8 3 2 3 3 2" xfId="3613" xr:uid="{00000000-0005-0000-0000-0000601D0000}"/>
    <cellStyle name="Normal 8 3 2 3 3 2 2" xfId="7835" xr:uid="{00000000-0005-0000-0000-0000611D0000}"/>
    <cellStyle name="Normal 8 3 2 3 3 2 2 2" xfId="16285" xr:uid="{0147023C-619F-4975-9D0D-699BFD86153C}"/>
    <cellStyle name="Normal 8 3 2 3 3 2 3" xfId="12067" xr:uid="{C243C0C9-0B62-4A97-846B-92C02F7A3336}"/>
    <cellStyle name="Normal 8 3 2 3 3 3" xfId="5690" xr:uid="{00000000-0005-0000-0000-0000621D0000}"/>
    <cellStyle name="Normal 8 3 2 3 3 3 2" xfId="14140" xr:uid="{6235FB9A-53BE-41ED-A1FA-1688BD0346B3}"/>
    <cellStyle name="Normal 8 3 2 3 3 4" xfId="9922" xr:uid="{4787A164-969A-4350-9D99-B2298DFA90D6}"/>
    <cellStyle name="Normal 8 3 2 3 4" xfId="1796" xr:uid="{00000000-0005-0000-0000-0000631D0000}"/>
    <cellStyle name="Normal 8 3 2 3 4 2" xfId="4026" xr:uid="{00000000-0005-0000-0000-0000641D0000}"/>
    <cellStyle name="Normal 8 3 2 3 4 2 2" xfId="8248" xr:uid="{00000000-0005-0000-0000-0000651D0000}"/>
    <cellStyle name="Normal 8 3 2 3 4 2 2 2" xfId="16698" xr:uid="{17A107FB-6F65-478F-A1CA-E1740D43839C}"/>
    <cellStyle name="Normal 8 3 2 3 4 2 3" xfId="12480" xr:uid="{A4B225A4-D9A8-4BE8-AF54-D17BD279D078}"/>
    <cellStyle name="Normal 8 3 2 3 4 3" xfId="6103" xr:uid="{00000000-0005-0000-0000-0000661D0000}"/>
    <cellStyle name="Normal 8 3 2 3 4 3 2" xfId="14553" xr:uid="{FF715A03-7781-4CDB-B224-EBD283AB60A7}"/>
    <cellStyle name="Normal 8 3 2 3 4 4" xfId="10335" xr:uid="{5F8E7E5E-4279-44DC-97F6-D267EECFC880}"/>
    <cellStyle name="Normal 8 3 2 3 5" xfId="2210" xr:uid="{00000000-0005-0000-0000-0000671D0000}"/>
    <cellStyle name="Normal 8 3 2 3 5 2" xfId="4439" xr:uid="{00000000-0005-0000-0000-0000681D0000}"/>
    <cellStyle name="Normal 8 3 2 3 5 2 2" xfId="8661" xr:uid="{00000000-0005-0000-0000-0000691D0000}"/>
    <cellStyle name="Normal 8 3 2 3 5 2 2 2" xfId="17111" xr:uid="{E6BE15EC-EA55-4914-A850-9C78861C1CC2}"/>
    <cellStyle name="Normal 8 3 2 3 5 2 3" xfId="12893" xr:uid="{DD8BF440-1B9B-49C8-A8A5-688868A44335}"/>
    <cellStyle name="Normal 8 3 2 3 5 3" xfId="6516" xr:uid="{00000000-0005-0000-0000-00006A1D0000}"/>
    <cellStyle name="Normal 8 3 2 3 5 3 2" xfId="14966" xr:uid="{4861F18B-53FB-4184-B10F-462978C7656A}"/>
    <cellStyle name="Normal 8 3 2 3 5 4" xfId="10748" xr:uid="{774F50A1-69B1-429E-AD79-3C5F9D5E3809}"/>
    <cellStyle name="Normal 8 3 2 3 6" xfId="2646" xr:uid="{00000000-0005-0000-0000-00006B1D0000}"/>
    <cellStyle name="Normal 8 3 2 3 6 2" xfId="6929" xr:uid="{00000000-0005-0000-0000-00006C1D0000}"/>
    <cellStyle name="Normal 8 3 2 3 6 2 2" xfId="15379" xr:uid="{D846919F-0EAD-4A9C-814C-598CB06BC144}"/>
    <cellStyle name="Normal 8 3 2 3 6 3" xfId="11161" xr:uid="{18E87560-4A23-4845-B694-3348EC986E2F}"/>
    <cellStyle name="Normal 8 3 2 3 7" xfId="4864" xr:uid="{00000000-0005-0000-0000-00006D1D0000}"/>
    <cellStyle name="Normal 8 3 2 3 7 2" xfId="13314" xr:uid="{09BA33F9-4F10-4426-872B-2763A9322365}"/>
    <cellStyle name="Normal 8 3 2 3 8" xfId="9096" xr:uid="{0A3B2645-DD3A-4DB4-B7B4-6CDB3A270289}"/>
    <cellStyle name="Normal 8 3 2 4" xfId="963" xr:uid="{00000000-0005-0000-0000-00006E1D0000}"/>
    <cellStyle name="Normal 8 3 2 4 2" xfId="3197" xr:uid="{00000000-0005-0000-0000-00006F1D0000}"/>
    <cellStyle name="Normal 8 3 2 4 2 2" xfId="7419" xr:uid="{00000000-0005-0000-0000-0000701D0000}"/>
    <cellStyle name="Normal 8 3 2 4 2 2 2" xfId="15869" xr:uid="{4DB8E278-AA3A-4EDA-9FDD-BBBE344FFC90}"/>
    <cellStyle name="Normal 8 3 2 4 2 3" xfId="11651" xr:uid="{061B2865-3869-434C-9D45-77E0B30E23F2}"/>
    <cellStyle name="Normal 8 3 2 4 3" xfId="5274" xr:uid="{00000000-0005-0000-0000-0000711D0000}"/>
    <cellStyle name="Normal 8 3 2 4 3 2" xfId="13724" xr:uid="{7567AB3E-21A8-4528-B0AD-D999C1FBC530}"/>
    <cellStyle name="Normal 8 3 2 4 4" xfId="9506" xr:uid="{A138D7EF-64AF-4FE5-809B-23E04AA8C251}"/>
    <cellStyle name="Normal 8 3 2 5" xfId="1380" xr:uid="{00000000-0005-0000-0000-0000721D0000}"/>
    <cellStyle name="Normal 8 3 2 5 2" xfId="3610" xr:uid="{00000000-0005-0000-0000-0000731D0000}"/>
    <cellStyle name="Normal 8 3 2 5 2 2" xfId="7832" xr:uid="{00000000-0005-0000-0000-0000741D0000}"/>
    <cellStyle name="Normal 8 3 2 5 2 2 2" xfId="16282" xr:uid="{D174A01A-C8B6-407D-973A-B37E45CFEF63}"/>
    <cellStyle name="Normal 8 3 2 5 2 3" xfId="12064" xr:uid="{48CF6ACF-4E44-4267-A539-F203AE215B46}"/>
    <cellStyle name="Normal 8 3 2 5 3" xfId="5687" xr:uid="{00000000-0005-0000-0000-0000751D0000}"/>
    <cellStyle name="Normal 8 3 2 5 3 2" xfId="14137" xr:uid="{E8D85937-F64E-49FA-9416-D80045B3E9C3}"/>
    <cellStyle name="Normal 8 3 2 5 4" xfId="9919" xr:uid="{CE0DEDD8-8188-476F-A370-153607CD185C}"/>
    <cellStyle name="Normal 8 3 2 6" xfId="1793" xr:uid="{00000000-0005-0000-0000-0000761D0000}"/>
    <cellStyle name="Normal 8 3 2 6 2" xfId="4023" xr:uid="{00000000-0005-0000-0000-0000771D0000}"/>
    <cellStyle name="Normal 8 3 2 6 2 2" xfId="8245" xr:uid="{00000000-0005-0000-0000-0000781D0000}"/>
    <cellStyle name="Normal 8 3 2 6 2 2 2" xfId="16695" xr:uid="{0AA6D9FF-1180-44A7-9677-9D4F295DA4DE}"/>
    <cellStyle name="Normal 8 3 2 6 2 3" xfId="12477" xr:uid="{E479076D-90E4-4945-9003-95AA88F59B3F}"/>
    <cellStyle name="Normal 8 3 2 6 3" xfId="6100" xr:uid="{00000000-0005-0000-0000-0000791D0000}"/>
    <cellStyle name="Normal 8 3 2 6 3 2" xfId="14550" xr:uid="{B60CCA10-5148-46EA-91EB-E4627464996D}"/>
    <cellStyle name="Normal 8 3 2 6 4" xfId="10332" xr:uid="{5D18325A-3776-4D98-A265-89B05391CCBF}"/>
    <cellStyle name="Normal 8 3 2 7" xfId="2207" xr:uid="{00000000-0005-0000-0000-00007A1D0000}"/>
    <cellStyle name="Normal 8 3 2 7 2" xfId="4436" xr:uid="{00000000-0005-0000-0000-00007B1D0000}"/>
    <cellStyle name="Normal 8 3 2 7 2 2" xfId="8658" xr:uid="{00000000-0005-0000-0000-00007C1D0000}"/>
    <cellStyle name="Normal 8 3 2 7 2 2 2" xfId="17108" xr:uid="{85C7C1EF-DCC9-4B08-A219-311F1F5F0A60}"/>
    <cellStyle name="Normal 8 3 2 7 2 3" xfId="12890" xr:uid="{73091BDE-B70F-4218-B055-587E5B450328}"/>
    <cellStyle name="Normal 8 3 2 7 3" xfId="6513" xr:uid="{00000000-0005-0000-0000-00007D1D0000}"/>
    <cellStyle name="Normal 8 3 2 7 3 2" xfId="14963" xr:uid="{E6DDCEE5-08CD-473D-A365-8A06E3F628CA}"/>
    <cellStyle name="Normal 8 3 2 7 4" xfId="10745" xr:uid="{B758925F-9645-4BFE-BE4C-F9FAD9FBA36E}"/>
    <cellStyle name="Normal 8 3 2 8" xfId="2643" xr:uid="{00000000-0005-0000-0000-00007E1D0000}"/>
    <cellStyle name="Normal 8 3 2 8 2" xfId="6926" xr:uid="{00000000-0005-0000-0000-00007F1D0000}"/>
    <cellStyle name="Normal 8 3 2 8 2 2" xfId="15376" xr:uid="{F0CA05E9-C657-4628-BC6E-E8E2CCF02DE6}"/>
    <cellStyle name="Normal 8 3 2 8 3" xfId="11158" xr:uid="{D6FF900F-3170-4673-B633-56D1F9DE0B5D}"/>
    <cellStyle name="Normal 8 3 2 9" xfId="4861" xr:uid="{00000000-0005-0000-0000-0000801D0000}"/>
    <cellStyle name="Normal 8 3 2 9 2" xfId="13311" xr:uid="{22A42B76-7907-4890-A213-8E5421C085BE}"/>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2 2 2" xfId="15874" xr:uid="{D8B51BE4-BC64-466E-A3FF-1F366264413C}"/>
    <cellStyle name="Normal 8 3 3 2 2 2 3" xfId="11656" xr:uid="{953AD736-F680-4723-89FF-11AD54A67BDA}"/>
    <cellStyle name="Normal 8 3 3 2 2 3" xfId="5279" xr:uid="{00000000-0005-0000-0000-0000861D0000}"/>
    <cellStyle name="Normal 8 3 3 2 2 3 2" xfId="13729" xr:uid="{02CB6E79-DFB3-4A9F-8F34-83A331735823}"/>
    <cellStyle name="Normal 8 3 3 2 2 4" xfId="9511" xr:uid="{0AB2A57B-4AB5-4DB9-9D1D-55023DF1E1AC}"/>
    <cellStyle name="Normal 8 3 3 2 3" xfId="1385" xr:uid="{00000000-0005-0000-0000-0000871D0000}"/>
    <cellStyle name="Normal 8 3 3 2 3 2" xfId="3615" xr:uid="{00000000-0005-0000-0000-0000881D0000}"/>
    <cellStyle name="Normal 8 3 3 2 3 2 2" xfId="7837" xr:uid="{00000000-0005-0000-0000-0000891D0000}"/>
    <cellStyle name="Normal 8 3 3 2 3 2 2 2" xfId="16287" xr:uid="{D37FEC15-FB1A-4B64-8872-2B7F06019944}"/>
    <cellStyle name="Normal 8 3 3 2 3 2 3" xfId="12069" xr:uid="{4EB848A3-900F-4E55-9D66-43C8A3B71F28}"/>
    <cellStyle name="Normal 8 3 3 2 3 3" xfId="5692" xr:uid="{00000000-0005-0000-0000-00008A1D0000}"/>
    <cellStyle name="Normal 8 3 3 2 3 3 2" xfId="14142" xr:uid="{EF092853-7CF5-4FBD-BF65-C366604C7293}"/>
    <cellStyle name="Normal 8 3 3 2 3 4" xfId="9924" xr:uid="{AD9CDA29-44F3-476A-ABD0-D4AF8049672B}"/>
    <cellStyle name="Normal 8 3 3 2 4" xfId="1798" xr:uid="{00000000-0005-0000-0000-00008B1D0000}"/>
    <cellStyle name="Normal 8 3 3 2 4 2" xfId="4028" xr:uid="{00000000-0005-0000-0000-00008C1D0000}"/>
    <cellStyle name="Normal 8 3 3 2 4 2 2" xfId="8250" xr:uid="{00000000-0005-0000-0000-00008D1D0000}"/>
    <cellStyle name="Normal 8 3 3 2 4 2 2 2" xfId="16700" xr:uid="{63A61B5E-FF74-4F2E-95AB-59287B74CC21}"/>
    <cellStyle name="Normal 8 3 3 2 4 2 3" xfId="12482" xr:uid="{8246D96B-25BA-426C-8A20-385B1A3869E7}"/>
    <cellStyle name="Normal 8 3 3 2 4 3" xfId="6105" xr:uid="{00000000-0005-0000-0000-00008E1D0000}"/>
    <cellStyle name="Normal 8 3 3 2 4 3 2" xfId="14555" xr:uid="{7EAC33EE-2D83-45EC-8FA1-F6A49111B782}"/>
    <cellStyle name="Normal 8 3 3 2 4 4" xfId="10337" xr:uid="{B45749D8-F6BA-4647-A77D-E85A19536A12}"/>
    <cellStyle name="Normal 8 3 3 2 5" xfId="2212" xr:uid="{00000000-0005-0000-0000-00008F1D0000}"/>
    <cellStyle name="Normal 8 3 3 2 5 2" xfId="4441" xr:uid="{00000000-0005-0000-0000-0000901D0000}"/>
    <cellStyle name="Normal 8 3 3 2 5 2 2" xfId="8663" xr:uid="{00000000-0005-0000-0000-0000911D0000}"/>
    <cellStyle name="Normal 8 3 3 2 5 2 2 2" xfId="17113" xr:uid="{4D1EFE8B-7E84-4433-AB46-CA29627A7290}"/>
    <cellStyle name="Normal 8 3 3 2 5 2 3" xfId="12895" xr:uid="{041D5238-E349-4D21-8A40-27D50E7975AD}"/>
    <cellStyle name="Normal 8 3 3 2 5 3" xfId="6518" xr:uid="{00000000-0005-0000-0000-0000921D0000}"/>
    <cellStyle name="Normal 8 3 3 2 5 3 2" xfId="14968" xr:uid="{F04E4B17-75FA-4B94-B3D0-FB8CFF4019CA}"/>
    <cellStyle name="Normal 8 3 3 2 5 4" xfId="10750" xr:uid="{9F283A25-6F2E-4694-813C-04FB0818223E}"/>
    <cellStyle name="Normal 8 3 3 2 6" xfId="2648" xr:uid="{00000000-0005-0000-0000-0000931D0000}"/>
    <cellStyle name="Normal 8 3 3 2 6 2" xfId="6931" xr:uid="{00000000-0005-0000-0000-0000941D0000}"/>
    <cellStyle name="Normal 8 3 3 2 6 2 2" xfId="15381" xr:uid="{03760580-B6F5-47BF-9EC2-9CE3F13D03DE}"/>
    <cellStyle name="Normal 8 3 3 2 6 3" xfId="11163" xr:uid="{7309BC62-CA8E-4AEE-BE34-A20D785AF19E}"/>
    <cellStyle name="Normal 8 3 3 2 7" xfId="4866" xr:uid="{00000000-0005-0000-0000-0000951D0000}"/>
    <cellStyle name="Normal 8 3 3 2 7 2" xfId="13316" xr:uid="{4309BEC7-6343-4ACF-9B7E-CBCFF3A85552}"/>
    <cellStyle name="Normal 8 3 3 2 8" xfId="9098" xr:uid="{DD267F06-7467-4BA7-97AC-E4C00EFD0AD3}"/>
    <cellStyle name="Normal 8 3 3 3" xfId="967" xr:uid="{00000000-0005-0000-0000-0000961D0000}"/>
    <cellStyle name="Normal 8 3 3 3 2" xfId="3201" xr:uid="{00000000-0005-0000-0000-0000971D0000}"/>
    <cellStyle name="Normal 8 3 3 3 2 2" xfId="7423" xr:uid="{00000000-0005-0000-0000-0000981D0000}"/>
    <cellStyle name="Normal 8 3 3 3 2 2 2" xfId="15873" xr:uid="{3D719359-0EE0-4466-9BBB-117ED04D1144}"/>
    <cellStyle name="Normal 8 3 3 3 2 3" xfId="11655" xr:uid="{914E607E-DAAB-4E82-AFD6-DC267E0E1E47}"/>
    <cellStyle name="Normal 8 3 3 3 3" xfId="5278" xr:uid="{00000000-0005-0000-0000-0000991D0000}"/>
    <cellStyle name="Normal 8 3 3 3 3 2" xfId="13728" xr:uid="{9B005B51-C1F6-4121-9413-908ECE6D8BF1}"/>
    <cellStyle name="Normal 8 3 3 3 4" xfId="9510" xr:uid="{760EC6A0-FDAB-448A-BE40-5585FC89562E}"/>
    <cellStyle name="Normal 8 3 3 4" xfId="1384" xr:uid="{00000000-0005-0000-0000-00009A1D0000}"/>
    <cellStyle name="Normal 8 3 3 4 2" xfId="3614" xr:uid="{00000000-0005-0000-0000-00009B1D0000}"/>
    <cellStyle name="Normal 8 3 3 4 2 2" xfId="7836" xr:uid="{00000000-0005-0000-0000-00009C1D0000}"/>
    <cellStyle name="Normal 8 3 3 4 2 2 2" xfId="16286" xr:uid="{9E8D5484-C30C-49AA-BEA4-B6E6A95F7B8A}"/>
    <cellStyle name="Normal 8 3 3 4 2 3" xfId="12068" xr:uid="{22897C38-D753-4E9B-8AC5-507420ADE3C9}"/>
    <cellStyle name="Normal 8 3 3 4 3" xfId="5691" xr:uid="{00000000-0005-0000-0000-00009D1D0000}"/>
    <cellStyle name="Normal 8 3 3 4 3 2" xfId="14141" xr:uid="{4D43B4F1-77D4-4760-BCDE-1359FEB88D88}"/>
    <cellStyle name="Normal 8 3 3 4 4" xfId="9923" xr:uid="{BA66820D-5E99-4793-BD65-22C825FC71B4}"/>
    <cellStyle name="Normal 8 3 3 5" xfId="1797" xr:uid="{00000000-0005-0000-0000-00009E1D0000}"/>
    <cellStyle name="Normal 8 3 3 5 2" xfId="4027" xr:uid="{00000000-0005-0000-0000-00009F1D0000}"/>
    <cellStyle name="Normal 8 3 3 5 2 2" xfId="8249" xr:uid="{00000000-0005-0000-0000-0000A01D0000}"/>
    <cellStyle name="Normal 8 3 3 5 2 2 2" xfId="16699" xr:uid="{0A369CC6-FF1C-4165-8D68-DE5397E07ADF}"/>
    <cellStyle name="Normal 8 3 3 5 2 3" xfId="12481" xr:uid="{6042E344-7A0F-41CC-B2E0-DB3C5948B99C}"/>
    <cellStyle name="Normal 8 3 3 5 3" xfId="6104" xr:uid="{00000000-0005-0000-0000-0000A11D0000}"/>
    <cellStyle name="Normal 8 3 3 5 3 2" xfId="14554" xr:uid="{501E5395-D1F5-48D2-93D3-1DEE0F217B04}"/>
    <cellStyle name="Normal 8 3 3 5 4" xfId="10336" xr:uid="{25BDAE51-5E74-4D6E-A5D4-75B969D93EDE}"/>
    <cellStyle name="Normal 8 3 3 6" xfId="2211" xr:uid="{00000000-0005-0000-0000-0000A21D0000}"/>
    <cellStyle name="Normal 8 3 3 6 2" xfId="4440" xr:uid="{00000000-0005-0000-0000-0000A31D0000}"/>
    <cellStyle name="Normal 8 3 3 6 2 2" xfId="8662" xr:uid="{00000000-0005-0000-0000-0000A41D0000}"/>
    <cellStyle name="Normal 8 3 3 6 2 2 2" xfId="17112" xr:uid="{7C81E678-56B1-4519-922D-8293B6F94423}"/>
    <cellStyle name="Normal 8 3 3 6 2 3" xfId="12894" xr:uid="{B308FA86-B5FE-44CC-9626-712396E3006A}"/>
    <cellStyle name="Normal 8 3 3 6 3" xfId="6517" xr:uid="{00000000-0005-0000-0000-0000A51D0000}"/>
    <cellStyle name="Normal 8 3 3 6 3 2" xfId="14967" xr:uid="{46F63429-DBF1-4225-88AF-D23961A40A69}"/>
    <cellStyle name="Normal 8 3 3 6 4" xfId="10749" xr:uid="{C0EBD721-0D78-430D-9C98-911BAFABAA1A}"/>
    <cellStyle name="Normal 8 3 3 7" xfId="2647" xr:uid="{00000000-0005-0000-0000-0000A61D0000}"/>
    <cellStyle name="Normal 8 3 3 7 2" xfId="6930" xr:uid="{00000000-0005-0000-0000-0000A71D0000}"/>
    <cellStyle name="Normal 8 3 3 7 2 2" xfId="15380" xr:uid="{3C0C61F0-2381-4391-8910-B5320C7D6A9E}"/>
    <cellStyle name="Normal 8 3 3 7 3" xfId="11162" xr:uid="{1BD1A697-5E1D-460E-8DA8-B3F4ABBA5475}"/>
    <cellStyle name="Normal 8 3 3 8" xfId="4865" xr:uid="{00000000-0005-0000-0000-0000A81D0000}"/>
    <cellStyle name="Normal 8 3 3 8 2" xfId="13315" xr:uid="{23F41A48-ADE5-407F-BBEC-FB963ED73979}"/>
    <cellStyle name="Normal 8 3 3 9" xfId="9097" xr:uid="{8D4C1C00-1B06-496C-AFEF-2BF9A2985872}"/>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2 2 2" xfId="15875" xr:uid="{8ED87CCA-09E4-4D6A-BB36-5E4736792987}"/>
    <cellStyle name="Normal 8 3 4 2 2 3" xfId="11657" xr:uid="{5100EA51-A97A-44E9-9D06-A78D54B2A0C5}"/>
    <cellStyle name="Normal 8 3 4 2 3" xfId="5280" xr:uid="{00000000-0005-0000-0000-0000AD1D0000}"/>
    <cellStyle name="Normal 8 3 4 2 3 2" xfId="13730" xr:uid="{CD2A71FF-CB84-439F-A8F4-D695DFFEE1EE}"/>
    <cellStyle name="Normal 8 3 4 2 4" xfId="9512" xr:uid="{EA0F748F-C3E5-4D0E-8BD2-30CE2241EF10}"/>
    <cellStyle name="Normal 8 3 4 3" xfId="1386" xr:uid="{00000000-0005-0000-0000-0000AE1D0000}"/>
    <cellStyle name="Normal 8 3 4 3 2" xfId="3616" xr:uid="{00000000-0005-0000-0000-0000AF1D0000}"/>
    <cellStyle name="Normal 8 3 4 3 2 2" xfId="7838" xr:uid="{00000000-0005-0000-0000-0000B01D0000}"/>
    <cellStyle name="Normal 8 3 4 3 2 2 2" xfId="16288" xr:uid="{3D3382F5-A466-40A7-90B2-53F58EE65CFB}"/>
    <cellStyle name="Normal 8 3 4 3 2 3" xfId="12070" xr:uid="{1FEC2789-9D2B-46F0-9C4A-1F880A57503F}"/>
    <cellStyle name="Normal 8 3 4 3 3" xfId="5693" xr:uid="{00000000-0005-0000-0000-0000B11D0000}"/>
    <cellStyle name="Normal 8 3 4 3 3 2" xfId="14143" xr:uid="{989F4FD5-7EC8-4584-938D-557B96C95E8B}"/>
    <cellStyle name="Normal 8 3 4 3 4" xfId="9925" xr:uid="{37564E47-142E-4A66-B3D5-FF9676824072}"/>
    <cellStyle name="Normal 8 3 4 4" xfId="1799" xr:uid="{00000000-0005-0000-0000-0000B21D0000}"/>
    <cellStyle name="Normal 8 3 4 4 2" xfId="4029" xr:uid="{00000000-0005-0000-0000-0000B31D0000}"/>
    <cellStyle name="Normal 8 3 4 4 2 2" xfId="8251" xr:uid="{00000000-0005-0000-0000-0000B41D0000}"/>
    <cellStyle name="Normal 8 3 4 4 2 2 2" xfId="16701" xr:uid="{7A41CE27-B98A-46D3-81F5-40DB7658FB65}"/>
    <cellStyle name="Normal 8 3 4 4 2 3" xfId="12483" xr:uid="{73206CA8-F6DE-41CB-8842-945AC042EDB2}"/>
    <cellStyle name="Normal 8 3 4 4 3" xfId="6106" xr:uid="{00000000-0005-0000-0000-0000B51D0000}"/>
    <cellStyle name="Normal 8 3 4 4 3 2" xfId="14556" xr:uid="{92ECED2E-FCE9-4137-9894-FE83A94AC8BD}"/>
    <cellStyle name="Normal 8 3 4 4 4" xfId="10338" xr:uid="{D4C6919B-A777-403F-BBCC-0A1BF46403C9}"/>
    <cellStyle name="Normal 8 3 4 5" xfId="2213" xr:uid="{00000000-0005-0000-0000-0000B61D0000}"/>
    <cellStyle name="Normal 8 3 4 5 2" xfId="4442" xr:uid="{00000000-0005-0000-0000-0000B71D0000}"/>
    <cellStyle name="Normal 8 3 4 5 2 2" xfId="8664" xr:uid="{00000000-0005-0000-0000-0000B81D0000}"/>
    <cellStyle name="Normal 8 3 4 5 2 2 2" xfId="17114" xr:uid="{23681A5B-8A26-4521-BEE7-079341A22432}"/>
    <cellStyle name="Normal 8 3 4 5 2 3" xfId="12896" xr:uid="{B55AC2C4-1D8B-4DEB-8069-AB26FFAA0BAE}"/>
    <cellStyle name="Normal 8 3 4 5 3" xfId="6519" xr:uid="{00000000-0005-0000-0000-0000B91D0000}"/>
    <cellStyle name="Normal 8 3 4 5 3 2" xfId="14969" xr:uid="{60617E99-0FF0-4BE6-8BB3-9181F70B1A3D}"/>
    <cellStyle name="Normal 8 3 4 5 4" xfId="10751" xr:uid="{3C513809-D4DF-4096-990E-AD324E5C8570}"/>
    <cellStyle name="Normal 8 3 4 6" xfId="2649" xr:uid="{00000000-0005-0000-0000-0000BA1D0000}"/>
    <cellStyle name="Normal 8 3 4 6 2" xfId="6932" xr:uid="{00000000-0005-0000-0000-0000BB1D0000}"/>
    <cellStyle name="Normal 8 3 4 6 2 2" xfId="15382" xr:uid="{4736D70E-2E96-430B-8CEA-E5BF40C67316}"/>
    <cellStyle name="Normal 8 3 4 6 3" xfId="11164" xr:uid="{0FD3842B-21E4-4951-A0D1-EA860A5DD969}"/>
    <cellStyle name="Normal 8 3 4 7" xfId="4867" xr:uid="{00000000-0005-0000-0000-0000BC1D0000}"/>
    <cellStyle name="Normal 8 3 4 7 2" xfId="13317" xr:uid="{ED9153A5-0F56-4F8E-877C-1BB21B1E373F}"/>
    <cellStyle name="Normal 8 3 4 8" xfId="9099" xr:uid="{BEBC9EAF-5BD5-4E40-8BCC-F8CDB06C46C4}"/>
    <cellStyle name="Normal 8 3 5" xfId="962" xr:uid="{00000000-0005-0000-0000-0000BD1D0000}"/>
    <cellStyle name="Normal 8 3 5 2" xfId="3196" xr:uid="{00000000-0005-0000-0000-0000BE1D0000}"/>
    <cellStyle name="Normal 8 3 5 2 2" xfId="7418" xr:uid="{00000000-0005-0000-0000-0000BF1D0000}"/>
    <cellStyle name="Normal 8 3 5 2 2 2" xfId="15868" xr:uid="{EDEB9E24-8941-4161-B0A8-F01584DC4002}"/>
    <cellStyle name="Normal 8 3 5 2 3" xfId="11650" xr:uid="{F699FA60-E4D8-4106-BF49-CF62B60D82D8}"/>
    <cellStyle name="Normal 8 3 5 3" xfId="5273" xr:uid="{00000000-0005-0000-0000-0000C01D0000}"/>
    <cellStyle name="Normal 8 3 5 3 2" xfId="13723" xr:uid="{27CF64EF-5C73-45AA-BB68-FECC22AEB664}"/>
    <cellStyle name="Normal 8 3 5 4" xfId="9505" xr:uid="{0B3F262F-5DDB-4B7B-B11A-B00C9620D93D}"/>
    <cellStyle name="Normal 8 3 6" xfId="1379" xr:uid="{00000000-0005-0000-0000-0000C11D0000}"/>
    <cellStyle name="Normal 8 3 6 2" xfId="3609" xr:uid="{00000000-0005-0000-0000-0000C21D0000}"/>
    <cellStyle name="Normal 8 3 6 2 2" xfId="7831" xr:uid="{00000000-0005-0000-0000-0000C31D0000}"/>
    <cellStyle name="Normal 8 3 6 2 2 2" xfId="16281" xr:uid="{48E2BC9E-DBB4-4262-A8D8-2190679B9960}"/>
    <cellStyle name="Normal 8 3 6 2 3" xfId="12063" xr:uid="{6C5D7394-D954-4630-B912-42C8B969DE20}"/>
    <cellStyle name="Normal 8 3 6 3" xfId="5686" xr:uid="{00000000-0005-0000-0000-0000C41D0000}"/>
    <cellStyle name="Normal 8 3 6 3 2" xfId="14136" xr:uid="{1A77A26E-56D3-41ED-A999-359D969AFCBC}"/>
    <cellStyle name="Normal 8 3 6 4" xfId="9918" xr:uid="{8223F1EB-39AA-46FA-AC85-6C42D97C0525}"/>
    <cellStyle name="Normal 8 3 7" xfId="1792" xr:uid="{00000000-0005-0000-0000-0000C51D0000}"/>
    <cellStyle name="Normal 8 3 7 2" xfId="4022" xr:uid="{00000000-0005-0000-0000-0000C61D0000}"/>
    <cellStyle name="Normal 8 3 7 2 2" xfId="8244" xr:uid="{00000000-0005-0000-0000-0000C71D0000}"/>
    <cellStyle name="Normal 8 3 7 2 2 2" xfId="16694" xr:uid="{40751A0E-2950-45BE-918B-7CF711060D77}"/>
    <cellStyle name="Normal 8 3 7 2 3" xfId="12476" xr:uid="{A4E9236A-1E44-4670-8811-E9C7F0C19930}"/>
    <cellStyle name="Normal 8 3 7 3" xfId="6099" xr:uid="{00000000-0005-0000-0000-0000C81D0000}"/>
    <cellStyle name="Normal 8 3 7 3 2" xfId="14549" xr:uid="{B5EE9A5D-9A10-4F07-A62A-7EB9AD740056}"/>
    <cellStyle name="Normal 8 3 7 4" xfId="10331" xr:uid="{5EBAA404-C3D2-4A92-B793-FA415608FC96}"/>
    <cellStyle name="Normal 8 3 8" xfId="2206" xr:uid="{00000000-0005-0000-0000-0000C91D0000}"/>
    <cellStyle name="Normal 8 3 8 2" xfId="4435" xr:uid="{00000000-0005-0000-0000-0000CA1D0000}"/>
    <cellStyle name="Normal 8 3 8 2 2" xfId="8657" xr:uid="{00000000-0005-0000-0000-0000CB1D0000}"/>
    <cellStyle name="Normal 8 3 8 2 2 2" xfId="17107" xr:uid="{ED3EB7DF-419A-4F53-A964-C59F0645FAA4}"/>
    <cellStyle name="Normal 8 3 8 2 3" xfId="12889" xr:uid="{E18925E5-0E39-437B-8F91-955062EE23F2}"/>
    <cellStyle name="Normal 8 3 8 3" xfId="6512" xr:uid="{00000000-0005-0000-0000-0000CC1D0000}"/>
    <cellStyle name="Normal 8 3 8 3 2" xfId="14962" xr:uid="{F36FD355-E9FC-4900-BA97-D1423205CD4F}"/>
    <cellStyle name="Normal 8 3 8 4" xfId="10744" xr:uid="{8337BA1C-88C4-4764-8337-AB9E9CD79E1D}"/>
    <cellStyle name="Normal 8 3 9" xfId="2642" xr:uid="{00000000-0005-0000-0000-0000CD1D0000}"/>
    <cellStyle name="Normal 8 3 9 2" xfId="6925" xr:uid="{00000000-0005-0000-0000-0000CE1D0000}"/>
    <cellStyle name="Normal 8 3 9 2 2" xfId="15375" xr:uid="{EA205839-165F-4AA5-8091-D6CCB84ECB94}"/>
    <cellStyle name="Normal 8 3 9 3" xfId="11157" xr:uid="{8781C147-7E10-4AEB-9756-7187959D9D10}"/>
    <cellStyle name="Normal 8 4" xfId="503" xr:uid="{00000000-0005-0000-0000-0000CF1D0000}"/>
    <cellStyle name="Normal 8 4 10" xfId="9100" xr:uid="{3CD3AF07-5DA6-49DF-B64F-CB431F2E34BE}"/>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2 2 2" xfId="15878" xr:uid="{28A93FF6-7DD4-4681-829E-E4FCE46A9F14}"/>
    <cellStyle name="Normal 8 4 2 2 2 2 3" xfId="11660" xr:uid="{12F136B9-AA6B-47C6-9E08-A3B1A77DAD04}"/>
    <cellStyle name="Normal 8 4 2 2 2 3" xfId="5283" xr:uid="{00000000-0005-0000-0000-0000D51D0000}"/>
    <cellStyle name="Normal 8 4 2 2 2 3 2" xfId="13733" xr:uid="{49D4D6F2-F771-452B-97B7-E6BAC51EC997}"/>
    <cellStyle name="Normal 8 4 2 2 2 4" xfId="9515" xr:uid="{15D8A7FB-2F1B-44A8-8562-00B33C4E6EFE}"/>
    <cellStyle name="Normal 8 4 2 2 3" xfId="1389" xr:uid="{00000000-0005-0000-0000-0000D61D0000}"/>
    <cellStyle name="Normal 8 4 2 2 3 2" xfId="3619" xr:uid="{00000000-0005-0000-0000-0000D71D0000}"/>
    <cellStyle name="Normal 8 4 2 2 3 2 2" xfId="7841" xr:uid="{00000000-0005-0000-0000-0000D81D0000}"/>
    <cellStyle name="Normal 8 4 2 2 3 2 2 2" xfId="16291" xr:uid="{8AC831FF-51B6-484A-BFA6-7CCDD520B0B8}"/>
    <cellStyle name="Normal 8 4 2 2 3 2 3" xfId="12073" xr:uid="{173D68EC-5BA6-4057-A9E3-CC731C4AF4A1}"/>
    <cellStyle name="Normal 8 4 2 2 3 3" xfId="5696" xr:uid="{00000000-0005-0000-0000-0000D91D0000}"/>
    <cellStyle name="Normal 8 4 2 2 3 3 2" xfId="14146" xr:uid="{57AE5FB2-68A4-44C8-9B07-24DB8D98C4D1}"/>
    <cellStyle name="Normal 8 4 2 2 3 4" xfId="9928" xr:uid="{C0F5FC76-86EB-4EAD-93CD-F87F6B29C385}"/>
    <cellStyle name="Normal 8 4 2 2 4" xfId="1802" xr:uid="{00000000-0005-0000-0000-0000DA1D0000}"/>
    <cellStyle name="Normal 8 4 2 2 4 2" xfId="4032" xr:uid="{00000000-0005-0000-0000-0000DB1D0000}"/>
    <cellStyle name="Normal 8 4 2 2 4 2 2" xfId="8254" xr:uid="{00000000-0005-0000-0000-0000DC1D0000}"/>
    <cellStyle name="Normal 8 4 2 2 4 2 2 2" xfId="16704" xr:uid="{CF29AC48-F948-4E83-BAA2-18B04F49D1DC}"/>
    <cellStyle name="Normal 8 4 2 2 4 2 3" xfId="12486" xr:uid="{F021BD17-F3F7-4F58-9211-8FF13925B8BA}"/>
    <cellStyle name="Normal 8 4 2 2 4 3" xfId="6109" xr:uid="{00000000-0005-0000-0000-0000DD1D0000}"/>
    <cellStyle name="Normal 8 4 2 2 4 3 2" xfId="14559" xr:uid="{343CF33B-0623-4A0C-A0B3-7AA159567CF0}"/>
    <cellStyle name="Normal 8 4 2 2 4 4" xfId="10341" xr:uid="{8C868FAB-2586-429A-B9B0-87F042CDFEEB}"/>
    <cellStyle name="Normal 8 4 2 2 5" xfId="2216" xr:uid="{00000000-0005-0000-0000-0000DE1D0000}"/>
    <cellStyle name="Normal 8 4 2 2 5 2" xfId="4445" xr:uid="{00000000-0005-0000-0000-0000DF1D0000}"/>
    <cellStyle name="Normal 8 4 2 2 5 2 2" xfId="8667" xr:uid="{00000000-0005-0000-0000-0000E01D0000}"/>
    <cellStyle name="Normal 8 4 2 2 5 2 2 2" xfId="17117" xr:uid="{B7E9251A-C0C1-4D5C-9DD4-4B1A97493AE6}"/>
    <cellStyle name="Normal 8 4 2 2 5 2 3" xfId="12899" xr:uid="{EB7A3F31-F02B-46C6-B5DA-F7F278DE680C}"/>
    <cellStyle name="Normal 8 4 2 2 5 3" xfId="6522" xr:uid="{00000000-0005-0000-0000-0000E11D0000}"/>
    <cellStyle name="Normal 8 4 2 2 5 3 2" xfId="14972" xr:uid="{E15F7996-22DE-4862-9400-BC7D1C96D31F}"/>
    <cellStyle name="Normal 8 4 2 2 5 4" xfId="10754" xr:uid="{0084B109-CA71-4D4B-8A37-C53FFD738D99}"/>
    <cellStyle name="Normal 8 4 2 2 6" xfId="2652" xr:uid="{00000000-0005-0000-0000-0000E21D0000}"/>
    <cellStyle name="Normal 8 4 2 2 6 2" xfId="6935" xr:uid="{00000000-0005-0000-0000-0000E31D0000}"/>
    <cellStyle name="Normal 8 4 2 2 6 2 2" xfId="15385" xr:uid="{5D51D9F3-3C7B-4B73-AD2F-E331FFE5081D}"/>
    <cellStyle name="Normal 8 4 2 2 6 3" xfId="11167" xr:uid="{F69768E8-1C49-4F02-9A79-449C0F771425}"/>
    <cellStyle name="Normal 8 4 2 2 7" xfId="4870" xr:uid="{00000000-0005-0000-0000-0000E41D0000}"/>
    <cellStyle name="Normal 8 4 2 2 7 2" xfId="13320" xr:uid="{39701E8C-C923-4468-8543-8613EF644212}"/>
    <cellStyle name="Normal 8 4 2 2 8" xfId="9102" xr:uid="{9D3C285B-3DE8-4581-971D-E65057CB037C}"/>
    <cellStyle name="Normal 8 4 2 3" xfId="971" xr:uid="{00000000-0005-0000-0000-0000E51D0000}"/>
    <cellStyle name="Normal 8 4 2 3 2" xfId="3205" xr:uid="{00000000-0005-0000-0000-0000E61D0000}"/>
    <cellStyle name="Normal 8 4 2 3 2 2" xfId="7427" xr:uid="{00000000-0005-0000-0000-0000E71D0000}"/>
    <cellStyle name="Normal 8 4 2 3 2 2 2" xfId="15877" xr:uid="{715C3B6A-14E9-43E1-87FA-FBC69DAC686D}"/>
    <cellStyle name="Normal 8 4 2 3 2 3" xfId="11659" xr:uid="{D1D6D393-FEAB-4D0D-867B-4256D6C639D1}"/>
    <cellStyle name="Normal 8 4 2 3 3" xfId="5282" xr:uid="{00000000-0005-0000-0000-0000E81D0000}"/>
    <cellStyle name="Normal 8 4 2 3 3 2" xfId="13732" xr:uid="{C7375B5B-6875-4384-AB05-74DFCA3804AF}"/>
    <cellStyle name="Normal 8 4 2 3 4" xfId="9514" xr:uid="{1D75A2BC-45CD-49BF-ACD7-F7D125036CBE}"/>
    <cellStyle name="Normal 8 4 2 4" xfId="1388" xr:uid="{00000000-0005-0000-0000-0000E91D0000}"/>
    <cellStyle name="Normal 8 4 2 4 2" xfId="3618" xr:uid="{00000000-0005-0000-0000-0000EA1D0000}"/>
    <cellStyle name="Normal 8 4 2 4 2 2" xfId="7840" xr:uid="{00000000-0005-0000-0000-0000EB1D0000}"/>
    <cellStyle name="Normal 8 4 2 4 2 2 2" xfId="16290" xr:uid="{D7729646-E7BF-4F3D-8E3D-ED02955D9F1A}"/>
    <cellStyle name="Normal 8 4 2 4 2 3" xfId="12072" xr:uid="{50B81547-58AC-4004-9951-C9AB49008470}"/>
    <cellStyle name="Normal 8 4 2 4 3" xfId="5695" xr:uid="{00000000-0005-0000-0000-0000EC1D0000}"/>
    <cellStyle name="Normal 8 4 2 4 3 2" xfId="14145" xr:uid="{C4E6540D-7D4D-45A1-A6A7-3DDA78A84018}"/>
    <cellStyle name="Normal 8 4 2 4 4" xfId="9927" xr:uid="{F30D0CAF-FF76-468E-A4B8-066F55C7F405}"/>
    <cellStyle name="Normal 8 4 2 5" xfId="1801" xr:uid="{00000000-0005-0000-0000-0000ED1D0000}"/>
    <cellStyle name="Normal 8 4 2 5 2" xfId="4031" xr:uid="{00000000-0005-0000-0000-0000EE1D0000}"/>
    <cellStyle name="Normal 8 4 2 5 2 2" xfId="8253" xr:uid="{00000000-0005-0000-0000-0000EF1D0000}"/>
    <cellStyle name="Normal 8 4 2 5 2 2 2" xfId="16703" xr:uid="{ED0563D7-BE05-486A-8F07-414B1996D6C6}"/>
    <cellStyle name="Normal 8 4 2 5 2 3" xfId="12485" xr:uid="{7AACE972-4DD4-4CD8-A477-83FA1407A001}"/>
    <cellStyle name="Normal 8 4 2 5 3" xfId="6108" xr:uid="{00000000-0005-0000-0000-0000F01D0000}"/>
    <cellStyle name="Normal 8 4 2 5 3 2" xfId="14558" xr:uid="{C9DD6B9F-3C74-4F6D-8B5D-50AB28AD9D38}"/>
    <cellStyle name="Normal 8 4 2 5 4" xfId="10340" xr:uid="{39310C75-F130-4CD5-A135-0669B5C105A2}"/>
    <cellStyle name="Normal 8 4 2 6" xfId="2215" xr:uid="{00000000-0005-0000-0000-0000F11D0000}"/>
    <cellStyle name="Normal 8 4 2 6 2" xfId="4444" xr:uid="{00000000-0005-0000-0000-0000F21D0000}"/>
    <cellStyle name="Normal 8 4 2 6 2 2" xfId="8666" xr:uid="{00000000-0005-0000-0000-0000F31D0000}"/>
    <cellStyle name="Normal 8 4 2 6 2 2 2" xfId="17116" xr:uid="{F6D09A07-B535-4868-B576-68674C367065}"/>
    <cellStyle name="Normal 8 4 2 6 2 3" xfId="12898" xr:uid="{6B4BFA73-83E8-4AA4-8754-79A94C9E9F6C}"/>
    <cellStyle name="Normal 8 4 2 6 3" xfId="6521" xr:uid="{00000000-0005-0000-0000-0000F41D0000}"/>
    <cellStyle name="Normal 8 4 2 6 3 2" xfId="14971" xr:uid="{9901638A-9F4E-45AF-9795-C5FFE47D4DB7}"/>
    <cellStyle name="Normal 8 4 2 6 4" xfId="10753" xr:uid="{6F72D705-9BAD-411D-A899-C1A51BD892FD}"/>
    <cellStyle name="Normal 8 4 2 7" xfId="2651" xr:uid="{00000000-0005-0000-0000-0000F51D0000}"/>
    <cellStyle name="Normal 8 4 2 7 2" xfId="6934" xr:uid="{00000000-0005-0000-0000-0000F61D0000}"/>
    <cellStyle name="Normal 8 4 2 7 2 2" xfId="15384" xr:uid="{C76B1BE5-8174-4EF1-9C31-C0ABADFBAA6F}"/>
    <cellStyle name="Normal 8 4 2 7 3" xfId="11166" xr:uid="{5B4D611D-50CC-4DE6-BE6A-A438D38458A4}"/>
    <cellStyle name="Normal 8 4 2 8" xfId="4869" xr:uid="{00000000-0005-0000-0000-0000F71D0000}"/>
    <cellStyle name="Normal 8 4 2 8 2" xfId="13319" xr:uid="{3A2B9096-F20E-4937-AB68-9800A12A0F87}"/>
    <cellStyle name="Normal 8 4 2 9" xfId="9101" xr:uid="{EC4B2A5C-D73E-49FC-AA4D-1BCFC9299296}"/>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2 2 2" xfId="15879" xr:uid="{771C3786-8E67-4EE9-8D32-609F79BFEBA7}"/>
    <cellStyle name="Normal 8 4 3 2 2 3" xfId="11661" xr:uid="{31545A9D-B07C-49C3-A9D4-C9BFE9C85AB6}"/>
    <cellStyle name="Normal 8 4 3 2 3" xfId="5284" xr:uid="{00000000-0005-0000-0000-0000FC1D0000}"/>
    <cellStyle name="Normal 8 4 3 2 3 2" xfId="13734" xr:uid="{2A72694A-69CD-4158-9582-9117955B2FF5}"/>
    <cellStyle name="Normal 8 4 3 2 4" xfId="9516" xr:uid="{2D34E100-7375-439B-B3D4-D39455B8F921}"/>
    <cellStyle name="Normal 8 4 3 3" xfId="1390" xr:uid="{00000000-0005-0000-0000-0000FD1D0000}"/>
    <cellStyle name="Normal 8 4 3 3 2" xfId="3620" xr:uid="{00000000-0005-0000-0000-0000FE1D0000}"/>
    <cellStyle name="Normal 8 4 3 3 2 2" xfId="7842" xr:uid="{00000000-0005-0000-0000-0000FF1D0000}"/>
    <cellStyle name="Normal 8 4 3 3 2 2 2" xfId="16292" xr:uid="{7B4B37B3-709D-4F35-9C77-A463E4C80055}"/>
    <cellStyle name="Normal 8 4 3 3 2 3" xfId="12074" xr:uid="{DAE4C7CB-E7ED-4500-B942-44EF389CD120}"/>
    <cellStyle name="Normal 8 4 3 3 3" xfId="5697" xr:uid="{00000000-0005-0000-0000-0000001E0000}"/>
    <cellStyle name="Normal 8 4 3 3 3 2" xfId="14147" xr:uid="{A79215D0-8E8C-4954-9408-D953D8FEAF79}"/>
    <cellStyle name="Normal 8 4 3 3 4" xfId="9929" xr:uid="{8F59DBD2-4528-492A-950F-17B98334DCDD}"/>
    <cellStyle name="Normal 8 4 3 4" xfId="1803" xr:uid="{00000000-0005-0000-0000-0000011E0000}"/>
    <cellStyle name="Normal 8 4 3 4 2" xfId="4033" xr:uid="{00000000-0005-0000-0000-0000021E0000}"/>
    <cellStyle name="Normal 8 4 3 4 2 2" xfId="8255" xr:uid="{00000000-0005-0000-0000-0000031E0000}"/>
    <cellStyle name="Normal 8 4 3 4 2 2 2" xfId="16705" xr:uid="{BEBF7D7A-56A0-43E2-B6E1-C1A060F02C95}"/>
    <cellStyle name="Normal 8 4 3 4 2 3" xfId="12487" xr:uid="{DE5650DB-9BE0-4086-9D82-1BB3EC740252}"/>
    <cellStyle name="Normal 8 4 3 4 3" xfId="6110" xr:uid="{00000000-0005-0000-0000-0000041E0000}"/>
    <cellStyle name="Normal 8 4 3 4 3 2" xfId="14560" xr:uid="{467528CC-E154-4DCD-930D-D7EBBA04FCEB}"/>
    <cellStyle name="Normal 8 4 3 4 4" xfId="10342" xr:uid="{0D26E835-FDBC-40FB-AE8E-84693451A3C2}"/>
    <cellStyle name="Normal 8 4 3 5" xfId="2217" xr:uid="{00000000-0005-0000-0000-0000051E0000}"/>
    <cellStyle name="Normal 8 4 3 5 2" xfId="4446" xr:uid="{00000000-0005-0000-0000-0000061E0000}"/>
    <cellStyle name="Normal 8 4 3 5 2 2" xfId="8668" xr:uid="{00000000-0005-0000-0000-0000071E0000}"/>
    <cellStyle name="Normal 8 4 3 5 2 2 2" xfId="17118" xr:uid="{7E69532A-89F2-4C05-83EA-6D8CE8B6819C}"/>
    <cellStyle name="Normal 8 4 3 5 2 3" xfId="12900" xr:uid="{97E746C8-990F-4CB4-98A6-3E6DE090F8C0}"/>
    <cellStyle name="Normal 8 4 3 5 3" xfId="6523" xr:uid="{00000000-0005-0000-0000-0000081E0000}"/>
    <cellStyle name="Normal 8 4 3 5 3 2" xfId="14973" xr:uid="{11E2016E-2D4B-4058-8AB4-E72FFEB84AE8}"/>
    <cellStyle name="Normal 8 4 3 5 4" xfId="10755" xr:uid="{270DA935-9D2A-4019-9CAD-4DB49E9CFE41}"/>
    <cellStyle name="Normal 8 4 3 6" xfId="2653" xr:uid="{00000000-0005-0000-0000-0000091E0000}"/>
    <cellStyle name="Normal 8 4 3 6 2" xfId="6936" xr:uid="{00000000-0005-0000-0000-00000A1E0000}"/>
    <cellStyle name="Normal 8 4 3 6 2 2" xfId="15386" xr:uid="{F1AFBE0C-FCF3-4E82-BB99-F0EDFC4583BE}"/>
    <cellStyle name="Normal 8 4 3 6 3" xfId="11168" xr:uid="{A72F2641-793F-4FFE-89D1-5D2C380C4BFA}"/>
    <cellStyle name="Normal 8 4 3 7" xfId="4871" xr:uid="{00000000-0005-0000-0000-00000B1E0000}"/>
    <cellStyle name="Normal 8 4 3 7 2" xfId="13321" xr:uid="{DB415312-1766-4EE1-9285-938F6C714C10}"/>
    <cellStyle name="Normal 8 4 3 8" xfId="9103" xr:uid="{61D51427-AEFA-448A-87A7-7263B12A869B}"/>
    <cellStyle name="Normal 8 4 4" xfId="970" xr:uid="{00000000-0005-0000-0000-00000C1E0000}"/>
    <cellStyle name="Normal 8 4 4 2" xfId="3204" xr:uid="{00000000-0005-0000-0000-00000D1E0000}"/>
    <cellStyle name="Normal 8 4 4 2 2" xfId="7426" xr:uid="{00000000-0005-0000-0000-00000E1E0000}"/>
    <cellStyle name="Normal 8 4 4 2 2 2" xfId="15876" xr:uid="{5FE2F938-370E-40A6-93CC-C1AC47A83706}"/>
    <cellStyle name="Normal 8 4 4 2 3" xfId="11658" xr:uid="{8D826765-034F-472C-BDE1-FC1D7D163067}"/>
    <cellStyle name="Normal 8 4 4 3" xfId="5281" xr:uid="{00000000-0005-0000-0000-00000F1E0000}"/>
    <cellStyle name="Normal 8 4 4 3 2" xfId="13731" xr:uid="{94574FFD-CE57-4A4F-A335-0CCAC01E115E}"/>
    <cellStyle name="Normal 8 4 4 4" xfId="9513" xr:uid="{FC25D8B8-439B-459B-A72E-75F14B7A62F2}"/>
    <cellStyle name="Normal 8 4 5" xfId="1387" xr:uid="{00000000-0005-0000-0000-0000101E0000}"/>
    <cellStyle name="Normal 8 4 5 2" xfId="3617" xr:uid="{00000000-0005-0000-0000-0000111E0000}"/>
    <cellStyle name="Normal 8 4 5 2 2" xfId="7839" xr:uid="{00000000-0005-0000-0000-0000121E0000}"/>
    <cellStyle name="Normal 8 4 5 2 2 2" xfId="16289" xr:uid="{BEB6F9C2-9436-4843-AA0C-95AEC26AB167}"/>
    <cellStyle name="Normal 8 4 5 2 3" xfId="12071" xr:uid="{144A677D-B734-4BE1-B74E-8537DFC7C23C}"/>
    <cellStyle name="Normal 8 4 5 3" xfId="5694" xr:uid="{00000000-0005-0000-0000-0000131E0000}"/>
    <cellStyle name="Normal 8 4 5 3 2" xfId="14144" xr:uid="{BF13BEB8-CAF4-404B-B2E2-4562F5AF2DDE}"/>
    <cellStyle name="Normal 8 4 5 4" xfId="9926" xr:uid="{6B1F32F1-4121-4EC0-AC18-88A05F4D6442}"/>
    <cellStyle name="Normal 8 4 6" xfId="1800" xr:uid="{00000000-0005-0000-0000-0000141E0000}"/>
    <cellStyle name="Normal 8 4 6 2" xfId="4030" xr:uid="{00000000-0005-0000-0000-0000151E0000}"/>
    <cellStyle name="Normal 8 4 6 2 2" xfId="8252" xr:uid="{00000000-0005-0000-0000-0000161E0000}"/>
    <cellStyle name="Normal 8 4 6 2 2 2" xfId="16702" xr:uid="{B416252B-0448-4578-81C5-A8CE05C3AF45}"/>
    <cellStyle name="Normal 8 4 6 2 3" xfId="12484" xr:uid="{132F1666-9895-44F9-9225-F03780281620}"/>
    <cellStyle name="Normal 8 4 6 3" xfId="6107" xr:uid="{00000000-0005-0000-0000-0000171E0000}"/>
    <cellStyle name="Normal 8 4 6 3 2" xfId="14557" xr:uid="{D1F233A8-6EB8-4531-BF60-A58D6DF1333A}"/>
    <cellStyle name="Normal 8 4 6 4" xfId="10339" xr:uid="{EE383BD7-C352-4B54-98EF-B30C571F30AF}"/>
    <cellStyle name="Normal 8 4 7" xfId="2214" xr:uid="{00000000-0005-0000-0000-0000181E0000}"/>
    <cellStyle name="Normal 8 4 7 2" xfId="4443" xr:uid="{00000000-0005-0000-0000-0000191E0000}"/>
    <cellStyle name="Normal 8 4 7 2 2" xfId="8665" xr:uid="{00000000-0005-0000-0000-00001A1E0000}"/>
    <cellStyle name="Normal 8 4 7 2 2 2" xfId="17115" xr:uid="{4F8F7A84-3D51-4268-9F9F-FC8A43BDA87A}"/>
    <cellStyle name="Normal 8 4 7 2 3" xfId="12897" xr:uid="{4194A6FE-6C73-411F-8818-C08390442E20}"/>
    <cellStyle name="Normal 8 4 7 3" xfId="6520" xr:uid="{00000000-0005-0000-0000-00001B1E0000}"/>
    <cellStyle name="Normal 8 4 7 3 2" xfId="14970" xr:uid="{980FC9FE-95DE-4ADD-A3C7-586097210637}"/>
    <cellStyle name="Normal 8 4 7 4" xfId="10752" xr:uid="{6DFBF1A9-F61F-4A7F-B98E-3D3EFE88A954}"/>
    <cellStyle name="Normal 8 4 8" xfId="2650" xr:uid="{00000000-0005-0000-0000-00001C1E0000}"/>
    <cellStyle name="Normal 8 4 8 2" xfId="6933" xr:uid="{00000000-0005-0000-0000-00001D1E0000}"/>
    <cellStyle name="Normal 8 4 8 2 2" xfId="15383" xr:uid="{41B80EE0-45C8-420E-AEB4-48404CAB6F01}"/>
    <cellStyle name="Normal 8 4 8 3" xfId="11165" xr:uid="{283962AA-5973-44D7-8973-A0A0A7E99011}"/>
    <cellStyle name="Normal 8 4 9" xfId="4868" xr:uid="{00000000-0005-0000-0000-00001E1E0000}"/>
    <cellStyle name="Normal 8 4 9 2" xfId="13318" xr:uid="{E4F1EBB0-0768-4BCA-8EBD-F0D1B0F76BE8}"/>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2 2 2" xfId="15881" xr:uid="{D983D0D2-8112-4016-B2EA-80F59F9319F2}"/>
    <cellStyle name="Normal 8 5 2 2 2 3" xfId="11663" xr:uid="{30E76039-A7AC-4235-97CD-EFF907C3FB13}"/>
    <cellStyle name="Normal 8 5 2 2 3" xfId="5286" xr:uid="{00000000-0005-0000-0000-0000241E0000}"/>
    <cellStyle name="Normal 8 5 2 2 3 2" xfId="13736" xr:uid="{4C4C62B7-B3A5-427F-A376-1036C30F21D3}"/>
    <cellStyle name="Normal 8 5 2 2 4" xfId="9518" xr:uid="{0609D668-8EE3-4FC8-9152-B7A921003090}"/>
    <cellStyle name="Normal 8 5 2 3" xfId="1392" xr:uid="{00000000-0005-0000-0000-0000251E0000}"/>
    <cellStyle name="Normal 8 5 2 3 2" xfId="3622" xr:uid="{00000000-0005-0000-0000-0000261E0000}"/>
    <cellStyle name="Normal 8 5 2 3 2 2" xfId="7844" xr:uid="{00000000-0005-0000-0000-0000271E0000}"/>
    <cellStyle name="Normal 8 5 2 3 2 2 2" xfId="16294" xr:uid="{CC2E4270-7F45-468A-9FF1-5697D570F40F}"/>
    <cellStyle name="Normal 8 5 2 3 2 3" xfId="12076" xr:uid="{A53A7CB9-8615-4853-9CD4-7BFBDAC67DF1}"/>
    <cellStyle name="Normal 8 5 2 3 3" xfId="5699" xr:uid="{00000000-0005-0000-0000-0000281E0000}"/>
    <cellStyle name="Normal 8 5 2 3 3 2" xfId="14149" xr:uid="{19B83AB2-8572-4392-9467-E2BEB78B820E}"/>
    <cellStyle name="Normal 8 5 2 3 4" xfId="9931" xr:uid="{74E12240-BAB4-45BF-9479-4DF8744AAEE7}"/>
    <cellStyle name="Normal 8 5 2 4" xfId="1805" xr:uid="{00000000-0005-0000-0000-0000291E0000}"/>
    <cellStyle name="Normal 8 5 2 4 2" xfId="4035" xr:uid="{00000000-0005-0000-0000-00002A1E0000}"/>
    <cellStyle name="Normal 8 5 2 4 2 2" xfId="8257" xr:uid="{00000000-0005-0000-0000-00002B1E0000}"/>
    <cellStyle name="Normal 8 5 2 4 2 2 2" xfId="16707" xr:uid="{68F91201-151F-4356-AC39-286AF7120D6F}"/>
    <cellStyle name="Normal 8 5 2 4 2 3" xfId="12489" xr:uid="{441169DE-FE72-4202-9997-FDD904533ABD}"/>
    <cellStyle name="Normal 8 5 2 4 3" xfId="6112" xr:uid="{00000000-0005-0000-0000-00002C1E0000}"/>
    <cellStyle name="Normal 8 5 2 4 3 2" xfId="14562" xr:uid="{623225E6-F1A8-4611-8A95-28498A83673B}"/>
    <cellStyle name="Normal 8 5 2 4 4" xfId="10344" xr:uid="{8797FC02-DB4E-49B2-A159-C27C56A50B90}"/>
    <cellStyle name="Normal 8 5 2 5" xfId="2219" xr:uid="{00000000-0005-0000-0000-00002D1E0000}"/>
    <cellStyle name="Normal 8 5 2 5 2" xfId="4448" xr:uid="{00000000-0005-0000-0000-00002E1E0000}"/>
    <cellStyle name="Normal 8 5 2 5 2 2" xfId="8670" xr:uid="{00000000-0005-0000-0000-00002F1E0000}"/>
    <cellStyle name="Normal 8 5 2 5 2 2 2" xfId="17120" xr:uid="{3E9D54E3-A991-4465-ADD2-C619864D5BE6}"/>
    <cellStyle name="Normal 8 5 2 5 2 3" xfId="12902" xr:uid="{92ABF9C6-7295-436E-9F6C-BEA01694A263}"/>
    <cellStyle name="Normal 8 5 2 5 3" xfId="6525" xr:uid="{00000000-0005-0000-0000-0000301E0000}"/>
    <cellStyle name="Normal 8 5 2 5 3 2" xfId="14975" xr:uid="{FFC98B9E-0708-4495-809A-554E02826D31}"/>
    <cellStyle name="Normal 8 5 2 5 4" xfId="10757" xr:uid="{E344901B-E6DF-4502-B076-868D04BC873D}"/>
    <cellStyle name="Normal 8 5 2 6" xfId="2655" xr:uid="{00000000-0005-0000-0000-0000311E0000}"/>
    <cellStyle name="Normal 8 5 2 6 2" xfId="6938" xr:uid="{00000000-0005-0000-0000-0000321E0000}"/>
    <cellStyle name="Normal 8 5 2 6 2 2" xfId="15388" xr:uid="{E856FAE6-CB26-49C9-8BE6-8098EDEF53D6}"/>
    <cellStyle name="Normal 8 5 2 6 3" xfId="11170" xr:uid="{7376D114-620A-480A-A679-66B40B37D8F0}"/>
    <cellStyle name="Normal 8 5 2 7" xfId="4873" xr:uid="{00000000-0005-0000-0000-0000331E0000}"/>
    <cellStyle name="Normal 8 5 2 7 2" xfId="13323" xr:uid="{755CF559-FAEA-4390-9563-6814B5D7291B}"/>
    <cellStyle name="Normal 8 5 2 8" xfId="9105" xr:uid="{3E7D6C6E-2EDE-40F7-9C02-DB26B80AD5A7}"/>
    <cellStyle name="Normal 8 5 3" xfId="974" xr:uid="{00000000-0005-0000-0000-0000341E0000}"/>
    <cellStyle name="Normal 8 5 3 2" xfId="3208" xr:uid="{00000000-0005-0000-0000-0000351E0000}"/>
    <cellStyle name="Normal 8 5 3 2 2" xfId="7430" xr:uid="{00000000-0005-0000-0000-0000361E0000}"/>
    <cellStyle name="Normal 8 5 3 2 2 2" xfId="15880" xr:uid="{CEA4A05E-8EFA-46CD-A65C-526E0D595CC8}"/>
    <cellStyle name="Normal 8 5 3 2 3" xfId="11662" xr:uid="{1CCACA24-E43B-4F57-B657-A128FA8FA56B}"/>
    <cellStyle name="Normal 8 5 3 3" xfId="5285" xr:uid="{00000000-0005-0000-0000-0000371E0000}"/>
    <cellStyle name="Normal 8 5 3 3 2" xfId="13735" xr:uid="{837113EB-33B4-46A9-9152-40547F8654F1}"/>
    <cellStyle name="Normal 8 5 3 4" xfId="9517" xr:uid="{87A8D519-2132-493A-B9B4-D976211C65BB}"/>
    <cellStyle name="Normal 8 5 4" xfId="1391" xr:uid="{00000000-0005-0000-0000-0000381E0000}"/>
    <cellStyle name="Normal 8 5 4 2" xfId="3621" xr:uid="{00000000-0005-0000-0000-0000391E0000}"/>
    <cellStyle name="Normal 8 5 4 2 2" xfId="7843" xr:uid="{00000000-0005-0000-0000-00003A1E0000}"/>
    <cellStyle name="Normal 8 5 4 2 2 2" xfId="16293" xr:uid="{F47FB2B0-5AC1-494C-ABF9-D6C10E8B623C}"/>
    <cellStyle name="Normal 8 5 4 2 3" xfId="12075" xr:uid="{A0C08990-52DB-4B08-A8C1-5EA6A8E43235}"/>
    <cellStyle name="Normal 8 5 4 3" xfId="5698" xr:uid="{00000000-0005-0000-0000-00003B1E0000}"/>
    <cellStyle name="Normal 8 5 4 3 2" xfId="14148" xr:uid="{9A2C4432-5108-4E18-8DB7-DD466BEECF50}"/>
    <cellStyle name="Normal 8 5 4 4" xfId="9930" xr:uid="{C8026C6E-E909-42B2-8213-17D00F147787}"/>
    <cellStyle name="Normal 8 5 5" xfId="1804" xr:uid="{00000000-0005-0000-0000-00003C1E0000}"/>
    <cellStyle name="Normal 8 5 5 2" xfId="4034" xr:uid="{00000000-0005-0000-0000-00003D1E0000}"/>
    <cellStyle name="Normal 8 5 5 2 2" xfId="8256" xr:uid="{00000000-0005-0000-0000-00003E1E0000}"/>
    <cellStyle name="Normal 8 5 5 2 2 2" xfId="16706" xr:uid="{87C98C37-E3AA-44E7-AA0B-8609120DDB6F}"/>
    <cellStyle name="Normal 8 5 5 2 3" xfId="12488" xr:uid="{B465EA27-89E9-414E-B4D4-9E5676002A9E}"/>
    <cellStyle name="Normal 8 5 5 3" xfId="6111" xr:uid="{00000000-0005-0000-0000-00003F1E0000}"/>
    <cellStyle name="Normal 8 5 5 3 2" xfId="14561" xr:uid="{89172A05-F168-4B5A-A3BB-47E01F68326A}"/>
    <cellStyle name="Normal 8 5 5 4" xfId="10343" xr:uid="{0F70BC22-B1E4-4BE3-B383-D58781691C0B}"/>
    <cellStyle name="Normal 8 5 6" xfId="2218" xr:uid="{00000000-0005-0000-0000-0000401E0000}"/>
    <cellStyle name="Normal 8 5 6 2" xfId="4447" xr:uid="{00000000-0005-0000-0000-0000411E0000}"/>
    <cellStyle name="Normal 8 5 6 2 2" xfId="8669" xr:uid="{00000000-0005-0000-0000-0000421E0000}"/>
    <cellStyle name="Normal 8 5 6 2 2 2" xfId="17119" xr:uid="{780F350D-7CF1-46BD-B55B-54D7478A3B65}"/>
    <cellStyle name="Normal 8 5 6 2 3" xfId="12901" xr:uid="{9B0151CB-718E-4F42-9464-41D3FFA62BD7}"/>
    <cellStyle name="Normal 8 5 6 3" xfId="6524" xr:uid="{00000000-0005-0000-0000-0000431E0000}"/>
    <cellStyle name="Normal 8 5 6 3 2" xfId="14974" xr:uid="{9CC79BC2-707F-464B-A7F8-D622A304426E}"/>
    <cellStyle name="Normal 8 5 6 4" xfId="10756" xr:uid="{992E402D-C9A2-4AA6-B28F-F25197DF2F13}"/>
    <cellStyle name="Normal 8 5 7" xfId="2654" xr:uid="{00000000-0005-0000-0000-0000441E0000}"/>
    <cellStyle name="Normal 8 5 7 2" xfId="6937" xr:uid="{00000000-0005-0000-0000-0000451E0000}"/>
    <cellStyle name="Normal 8 5 7 2 2" xfId="15387" xr:uid="{81AF251E-DBAF-42B4-9038-461093E06283}"/>
    <cellStyle name="Normal 8 5 7 3" xfId="11169" xr:uid="{77B698B2-4076-4178-90CF-07FD30909F62}"/>
    <cellStyle name="Normal 8 5 8" xfId="4872" xr:uid="{00000000-0005-0000-0000-0000461E0000}"/>
    <cellStyle name="Normal 8 5 8 2" xfId="13322" xr:uid="{75AB3E3F-0FB8-49FA-9184-136B81DFC8C2}"/>
    <cellStyle name="Normal 8 5 9" xfId="9104" xr:uid="{30313BC8-2B59-4193-9AD4-977754A0D4F4}"/>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2 2 2" xfId="15882" xr:uid="{5F029589-4A1B-40A5-8361-373A901EB348}"/>
    <cellStyle name="Normal 8 6 2 2 3" xfId="11664" xr:uid="{F9CEE2B3-EE53-4965-AEB6-D01815B33A6D}"/>
    <cellStyle name="Normal 8 6 2 3" xfId="5287" xr:uid="{00000000-0005-0000-0000-00004B1E0000}"/>
    <cellStyle name="Normal 8 6 2 3 2" xfId="13737" xr:uid="{D37622E3-E5E8-4472-818A-B008D7274141}"/>
    <cellStyle name="Normal 8 6 2 4" xfId="9519" xr:uid="{08970FC1-DD59-4BF8-A920-21319F9C957E}"/>
    <cellStyle name="Normal 8 6 3" xfId="1393" xr:uid="{00000000-0005-0000-0000-00004C1E0000}"/>
    <cellStyle name="Normal 8 6 3 2" xfId="3623" xr:uid="{00000000-0005-0000-0000-00004D1E0000}"/>
    <cellStyle name="Normal 8 6 3 2 2" xfId="7845" xr:uid="{00000000-0005-0000-0000-00004E1E0000}"/>
    <cellStyle name="Normal 8 6 3 2 2 2" xfId="16295" xr:uid="{9DCF99B2-67E5-41C1-9E46-8B5D987DE2D7}"/>
    <cellStyle name="Normal 8 6 3 2 3" xfId="12077" xr:uid="{859CB434-B851-4464-B75F-BD37632CF784}"/>
    <cellStyle name="Normal 8 6 3 3" xfId="5700" xr:uid="{00000000-0005-0000-0000-00004F1E0000}"/>
    <cellStyle name="Normal 8 6 3 3 2" xfId="14150" xr:uid="{AB2A4F44-66C4-47FA-A8E3-BBEBCFFA2A4B}"/>
    <cellStyle name="Normal 8 6 3 4" xfId="9932" xr:uid="{792939BE-2FA8-4403-95A9-EF746268B852}"/>
    <cellStyle name="Normal 8 6 4" xfId="1806" xr:uid="{00000000-0005-0000-0000-0000501E0000}"/>
    <cellStyle name="Normal 8 6 4 2" xfId="4036" xr:uid="{00000000-0005-0000-0000-0000511E0000}"/>
    <cellStyle name="Normal 8 6 4 2 2" xfId="8258" xr:uid="{00000000-0005-0000-0000-0000521E0000}"/>
    <cellStyle name="Normal 8 6 4 2 2 2" xfId="16708" xr:uid="{9EEB5D85-280E-4DF7-9E7A-B1B98292F471}"/>
    <cellStyle name="Normal 8 6 4 2 3" xfId="12490" xr:uid="{30520F9E-22A2-4ADF-BF57-91F190C11FF4}"/>
    <cellStyle name="Normal 8 6 4 3" xfId="6113" xr:uid="{00000000-0005-0000-0000-0000531E0000}"/>
    <cellStyle name="Normal 8 6 4 3 2" xfId="14563" xr:uid="{950603A7-94EF-4559-AAC2-8DA2569354EC}"/>
    <cellStyle name="Normal 8 6 4 4" xfId="10345" xr:uid="{6F9CD855-2704-447E-89FF-2432C63F5B56}"/>
    <cellStyle name="Normal 8 6 5" xfId="2220" xr:uid="{00000000-0005-0000-0000-0000541E0000}"/>
    <cellStyle name="Normal 8 6 5 2" xfId="4449" xr:uid="{00000000-0005-0000-0000-0000551E0000}"/>
    <cellStyle name="Normal 8 6 5 2 2" xfId="8671" xr:uid="{00000000-0005-0000-0000-0000561E0000}"/>
    <cellStyle name="Normal 8 6 5 2 2 2" xfId="17121" xr:uid="{3EF6FF27-C89A-4C1B-8064-CD4C394432D4}"/>
    <cellStyle name="Normal 8 6 5 2 3" xfId="12903" xr:uid="{CA6A85DC-A3EC-4EA0-B314-0A22C1BD4F07}"/>
    <cellStyle name="Normal 8 6 5 3" xfId="6526" xr:uid="{00000000-0005-0000-0000-0000571E0000}"/>
    <cellStyle name="Normal 8 6 5 3 2" xfId="14976" xr:uid="{05D9B750-C4BD-493A-B0E8-319C9B3E9F1D}"/>
    <cellStyle name="Normal 8 6 5 4" xfId="10758" xr:uid="{0F8A82CF-9153-417A-AFEA-1F82ED66F14F}"/>
    <cellStyle name="Normal 8 6 6" xfId="2656" xr:uid="{00000000-0005-0000-0000-0000581E0000}"/>
    <cellStyle name="Normal 8 6 6 2" xfId="6939" xr:uid="{00000000-0005-0000-0000-0000591E0000}"/>
    <cellStyle name="Normal 8 6 6 2 2" xfId="15389" xr:uid="{9B1C65D3-AA40-4321-9ED3-EED31E48A773}"/>
    <cellStyle name="Normal 8 6 6 3" xfId="11171" xr:uid="{806C12A3-3D62-4ACE-914D-8BE3E4C2E24E}"/>
    <cellStyle name="Normal 8 6 7" xfId="4874" xr:uid="{00000000-0005-0000-0000-00005A1E0000}"/>
    <cellStyle name="Normal 8 6 7 2" xfId="13324" xr:uid="{04462A8F-284B-4883-BBF1-AA037A60A203}"/>
    <cellStyle name="Normal 8 6 8" xfId="9106" xr:uid="{31345CC2-6AF3-48D6-A139-384FC79018F7}"/>
    <cellStyle name="Normal 8 7" xfId="945" xr:uid="{00000000-0005-0000-0000-00005B1E0000}"/>
    <cellStyle name="Normal 8 7 2" xfId="3179" xr:uid="{00000000-0005-0000-0000-00005C1E0000}"/>
    <cellStyle name="Normal 8 7 2 2" xfId="7401" xr:uid="{00000000-0005-0000-0000-00005D1E0000}"/>
    <cellStyle name="Normal 8 7 2 2 2" xfId="15851" xr:uid="{DEA937FC-178F-4911-96BF-C31E573DB265}"/>
    <cellStyle name="Normal 8 7 2 3" xfId="11633" xr:uid="{EDB53485-C751-439D-8D0B-7ED5D336B7D2}"/>
    <cellStyle name="Normal 8 7 3" xfId="5256" xr:uid="{00000000-0005-0000-0000-00005E1E0000}"/>
    <cellStyle name="Normal 8 7 3 2" xfId="13706" xr:uid="{FCDC8251-BCFA-4ADF-856A-1F43F192C0E9}"/>
    <cellStyle name="Normal 8 7 4" xfId="9488" xr:uid="{60F1A7D8-062E-49BC-8474-3D15C3D03BFB}"/>
    <cellStyle name="Normal 8 8" xfId="1362" xr:uid="{00000000-0005-0000-0000-00005F1E0000}"/>
    <cellStyle name="Normal 8 8 2" xfId="3592" xr:uid="{00000000-0005-0000-0000-0000601E0000}"/>
    <cellStyle name="Normal 8 8 2 2" xfId="7814" xr:uid="{00000000-0005-0000-0000-0000611E0000}"/>
    <cellStyle name="Normal 8 8 2 2 2" xfId="16264" xr:uid="{A8F9BBD0-0DF1-4B2C-9BD6-6374533A2F27}"/>
    <cellStyle name="Normal 8 8 2 3" xfId="12046" xr:uid="{99DDA48F-534A-4A47-A6AF-A580D6EA38BC}"/>
    <cellStyle name="Normal 8 8 3" xfId="5669" xr:uid="{00000000-0005-0000-0000-0000621E0000}"/>
    <cellStyle name="Normal 8 8 3 2" xfId="14119" xr:uid="{860A8386-A33E-47FC-881A-99F93CEAC575}"/>
    <cellStyle name="Normal 8 8 4" xfId="9901" xr:uid="{61623026-9106-431A-97F8-9EC3E185608B}"/>
    <cellStyle name="Normal 8 9" xfId="1775" xr:uid="{00000000-0005-0000-0000-0000631E0000}"/>
    <cellStyle name="Normal 8 9 2" xfId="4005" xr:uid="{00000000-0005-0000-0000-0000641E0000}"/>
    <cellStyle name="Normal 8 9 2 2" xfId="8227" xr:uid="{00000000-0005-0000-0000-0000651E0000}"/>
    <cellStyle name="Normal 8 9 2 2 2" xfId="16677" xr:uid="{FBA8F559-C9C2-480B-9A4A-5E80304278FD}"/>
    <cellStyle name="Normal 8 9 2 3" xfId="12459" xr:uid="{F6021E36-666A-41C3-AFA7-17A883D43C2D}"/>
    <cellStyle name="Normal 8 9 3" xfId="6082" xr:uid="{00000000-0005-0000-0000-0000661E0000}"/>
    <cellStyle name="Normal 8 9 3 2" xfId="14532" xr:uid="{8D3B6EFC-8E3A-4C2A-A401-CD7E5773599D}"/>
    <cellStyle name="Normal 8 9 4" xfId="10314" xr:uid="{31BCEB66-B66E-457A-B205-740C10D6C093}"/>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0 2 2" xfId="15390" xr:uid="{F23AACFF-4D10-4976-9896-314CF9667A6A}"/>
    <cellStyle name="Normal 9 2 10 3" xfId="11172" xr:uid="{9DE787DC-F6C1-4846-A958-F202FD3EADD2}"/>
    <cellStyle name="Normal 9 2 11" xfId="4875" xr:uid="{00000000-0005-0000-0000-00006B1E0000}"/>
    <cellStyle name="Normal 9 2 11 2" xfId="13325" xr:uid="{88A1E0C2-9222-446B-A8F2-269485C0FA81}"/>
    <cellStyle name="Normal 9 2 12" xfId="9107" xr:uid="{FDB16BAC-922B-46D3-9AC2-4A725F39D93B}"/>
    <cellStyle name="Normal 9 2 2" xfId="512" xr:uid="{00000000-0005-0000-0000-00006C1E0000}"/>
    <cellStyle name="Normal 9 2 2 10" xfId="4876" xr:uid="{00000000-0005-0000-0000-00006D1E0000}"/>
    <cellStyle name="Normal 9 2 2 10 2" xfId="13326" xr:uid="{CF841CA7-8265-40A5-9308-7FCE756F9613}"/>
    <cellStyle name="Normal 9 2 2 11" xfId="9108" xr:uid="{D06D0C79-93CD-4BA8-B330-D02CB04D8097}"/>
    <cellStyle name="Normal 9 2 2 2" xfId="513" xr:uid="{00000000-0005-0000-0000-00006E1E0000}"/>
    <cellStyle name="Normal 9 2 2 2 10" xfId="9109" xr:uid="{AB9ECBA4-9C82-4335-AB6F-641CD143FCEA}"/>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2 2 2" xfId="15887" xr:uid="{A3310A76-808D-4E87-AE2D-FC81A42F1A85}"/>
    <cellStyle name="Normal 9 2 2 2 2 2 2 2 3" xfId="11669" xr:uid="{DB17290B-D650-415B-8D2B-B23689A225A7}"/>
    <cellStyle name="Normal 9 2 2 2 2 2 2 3" xfId="5292" xr:uid="{00000000-0005-0000-0000-0000741E0000}"/>
    <cellStyle name="Normal 9 2 2 2 2 2 2 3 2" xfId="13742" xr:uid="{973665B7-5B17-4561-A8BE-CF905E90A145}"/>
    <cellStyle name="Normal 9 2 2 2 2 2 2 4" xfId="9524" xr:uid="{091C76C2-FF0F-43AD-8802-2E3FBAAEADB2}"/>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2 2 2" xfId="16300" xr:uid="{BF188C30-9140-42A2-B00F-8A8BF05F260D}"/>
    <cellStyle name="Normal 9 2 2 2 2 2 3 2 3" xfId="12082" xr:uid="{3810B848-6953-4A5D-913B-BAE39E8F24C4}"/>
    <cellStyle name="Normal 9 2 2 2 2 2 3 3" xfId="5705" xr:uid="{00000000-0005-0000-0000-0000781E0000}"/>
    <cellStyle name="Normal 9 2 2 2 2 2 3 3 2" xfId="14155" xr:uid="{26B48775-925B-4C08-BF48-F31BBA80FBCD}"/>
    <cellStyle name="Normal 9 2 2 2 2 2 3 4" xfId="9937" xr:uid="{4C48FC83-1EDA-40D7-B929-D1D50ACD1C69}"/>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2 2 2" xfId="16713" xr:uid="{8F7A95FF-14A1-49A1-9579-1BC7841F79DD}"/>
    <cellStyle name="Normal 9 2 2 2 2 2 4 2 3" xfId="12495" xr:uid="{C4F60918-3CB7-42D4-A86E-AEF46D0E1874}"/>
    <cellStyle name="Normal 9 2 2 2 2 2 4 3" xfId="6118" xr:uid="{00000000-0005-0000-0000-00007C1E0000}"/>
    <cellStyle name="Normal 9 2 2 2 2 2 4 3 2" xfId="14568" xr:uid="{4C1CDF24-FDF1-4BBE-AD85-03F11E31BE71}"/>
    <cellStyle name="Normal 9 2 2 2 2 2 4 4" xfId="10350" xr:uid="{DA16F43F-DAEF-4817-B867-CF56C7C623A5}"/>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2 2 2" xfId="17126" xr:uid="{B4C2E533-9E5D-4774-AE59-66A3822288DA}"/>
    <cellStyle name="Normal 9 2 2 2 2 2 5 2 3" xfId="12908" xr:uid="{8D0DFDA7-5483-43FF-BB1E-7EC472D0DAFD}"/>
    <cellStyle name="Normal 9 2 2 2 2 2 5 3" xfId="6531" xr:uid="{00000000-0005-0000-0000-0000801E0000}"/>
    <cellStyle name="Normal 9 2 2 2 2 2 5 3 2" xfId="14981" xr:uid="{DF2D55CC-C5A7-46DE-8AE0-7D24F153BAFD}"/>
    <cellStyle name="Normal 9 2 2 2 2 2 5 4" xfId="10763" xr:uid="{EDFB160D-7548-4777-92BE-E42CD1C678A4}"/>
    <cellStyle name="Normal 9 2 2 2 2 2 6" xfId="2661" xr:uid="{00000000-0005-0000-0000-0000811E0000}"/>
    <cellStyle name="Normal 9 2 2 2 2 2 6 2" xfId="6944" xr:uid="{00000000-0005-0000-0000-0000821E0000}"/>
    <cellStyle name="Normal 9 2 2 2 2 2 6 2 2" xfId="15394" xr:uid="{25833252-A874-4E7A-B062-06D1C3110BB5}"/>
    <cellStyle name="Normal 9 2 2 2 2 2 6 3" xfId="11176" xr:uid="{EF240FF6-D5EC-473C-A4EC-F54D8961A294}"/>
    <cellStyle name="Normal 9 2 2 2 2 2 7" xfId="4879" xr:uid="{00000000-0005-0000-0000-0000831E0000}"/>
    <cellStyle name="Normal 9 2 2 2 2 2 7 2" xfId="13329" xr:uid="{576DAB2F-3933-4D29-90F1-E9D7A773C704}"/>
    <cellStyle name="Normal 9 2 2 2 2 2 8" xfId="9111" xr:uid="{090B133F-212B-46E2-8663-E6ABCC776679}"/>
    <cellStyle name="Normal 9 2 2 2 2 3" xfId="981" xr:uid="{00000000-0005-0000-0000-0000841E0000}"/>
    <cellStyle name="Normal 9 2 2 2 2 3 2" xfId="3214" xr:uid="{00000000-0005-0000-0000-0000851E0000}"/>
    <cellStyle name="Normal 9 2 2 2 2 3 2 2" xfId="7436" xr:uid="{00000000-0005-0000-0000-0000861E0000}"/>
    <cellStyle name="Normal 9 2 2 2 2 3 2 2 2" xfId="15886" xr:uid="{FCD0A9C5-8EB4-446C-A31C-C9C0E8FC2F1F}"/>
    <cellStyle name="Normal 9 2 2 2 2 3 2 3" xfId="11668" xr:uid="{21491B3E-17F7-4DAD-89BE-49099C50C298}"/>
    <cellStyle name="Normal 9 2 2 2 2 3 3" xfId="5291" xr:uid="{00000000-0005-0000-0000-0000871E0000}"/>
    <cellStyle name="Normal 9 2 2 2 2 3 3 2" xfId="13741" xr:uid="{60EA1F5E-2F1C-43C4-87BE-3EB7840CDD03}"/>
    <cellStyle name="Normal 9 2 2 2 2 3 4" xfId="9523" xr:uid="{FAEE8959-D0FF-45DC-8D62-98B86692D4A2}"/>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2 2 2" xfId="16299" xr:uid="{7057C318-3AA3-4241-A44B-7D64DD8BEF6A}"/>
    <cellStyle name="Normal 9 2 2 2 2 4 2 3" xfId="12081" xr:uid="{EAC78179-BAED-4C3F-8F7B-16DAD9B12311}"/>
    <cellStyle name="Normal 9 2 2 2 2 4 3" xfId="5704" xr:uid="{00000000-0005-0000-0000-00008B1E0000}"/>
    <cellStyle name="Normal 9 2 2 2 2 4 3 2" xfId="14154" xr:uid="{9F0E47AB-A74F-44D4-8E8C-3DE3B1218A30}"/>
    <cellStyle name="Normal 9 2 2 2 2 4 4" xfId="9936" xr:uid="{4A081AFC-7E20-4EEA-98FA-B08DBAFD9B9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2 2 2" xfId="16712" xr:uid="{9FAD8CB2-8CC8-4094-98B0-DA6C362531C6}"/>
    <cellStyle name="Normal 9 2 2 2 2 5 2 3" xfId="12494" xr:uid="{488A5CE0-D2D2-43D3-9583-8F561F4426EA}"/>
    <cellStyle name="Normal 9 2 2 2 2 5 3" xfId="6117" xr:uid="{00000000-0005-0000-0000-00008F1E0000}"/>
    <cellStyle name="Normal 9 2 2 2 2 5 3 2" xfId="14567" xr:uid="{FF3979C7-F60F-49A0-B0B3-9EC383106446}"/>
    <cellStyle name="Normal 9 2 2 2 2 5 4" xfId="10349" xr:uid="{C6958C0E-02D4-439C-B113-EAFB416EED73}"/>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2 2 2" xfId="17125" xr:uid="{99CE0082-1B93-4B15-BF4F-95F05BBF2253}"/>
    <cellStyle name="Normal 9 2 2 2 2 6 2 3" xfId="12907" xr:uid="{7A9067B5-8832-490B-BF40-48E6AF1055D5}"/>
    <cellStyle name="Normal 9 2 2 2 2 6 3" xfId="6530" xr:uid="{00000000-0005-0000-0000-0000931E0000}"/>
    <cellStyle name="Normal 9 2 2 2 2 6 3 2" xfId="14980" xr:uid="{DE89D3E1-320E-456F-92BE-FF43F18FC104}"/>
    <cellStyle name="Normal 9 2 2 2 2 6 4" xfId="10762" xr:uid="{37C9ECA7-9728-488C-B157-F330CC16F04B}"/>
    <cellStyle name="Normal 9 2 2 2 2 7" xfId="2660" xr:uid="{00000000-0005-0000-0000-0000941E0000}"/>
    <cellStyle name="Normal 9 2 2 2 2 7 2" xfId="6943" xr:uid="{00000000-0005-0000-0000-0000951E0000}"/>
    <cellStyle name="Normal 9 2 2 2 2 7 2 2" xfId="15393" xr:uid="{D3D8EF07-2034-4C9D-AD92-1E3E4B83FB18}"/>
    <cellStyle name="Normal 9 2 2 2 2 7 3" xfId="11175" xr:uid="{AACF27F9-7165-430D-8EB1-6BAA42856588}"/>
    <cellStyle name="Normal 9 2 2 2 2 8" xfId="4878" xr:uid="{00000000-0005-0000-0000-0000961E0000}"/>
    <cellStyle name="Normal 9 2 2 2 2 8 2" xfId="13328" xr:uid="{7D00E3AA-8B69-4006-AD4B-C2D2F8DD0887}"/>
    <cellStyle name="Normal 9 2 2 2 2 9" xfId="9110" xr:uid="{8AA52E16-C9BE-4941-9FCE-2510DF14D0F5}"/>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2 2 2" xfId="15888" xr:uid="{4B3E37B8-B082-4109-B72F-3CC46E5FDC3D}"/>
    <cellStyle name="Normal 9 2 2 2 3 2 2 3" xfId="11670" xr:uid="{00D1D100-C905-46B7-94D8-C1F30F327908}"/>
    <cellStyle name="Normal 9 2 2 2 3 2 3" xfId="5293" xr:uid="{00000000-0005-0000-0000-00009B1E0000}"/>
    <cellStyle name="Normal 9 2 2 2 3 2 3 2" xfId="13743" xr:uid="{8B9EC824-5147-46FD-8D6A-A8A4A4EB3D75}"/>
    <cellStyle name="Normal 9 2 2 2 3 2 4" xfId="9525" xr:uid="{968C298A-5857-4AF0-BE47-DD58995857A5}"/>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2 2 2" xfId="16301" xr:uid="{7A249C8B-1DA2-4275-83AC-20A95D93D22E}"/>
    <cellStyle name="Normal 9 2 2 2 3 3 2 3" xfId="12083" xr:uid="{C4268449-7E1F-4870-8FBE-397F7FC0C630}"/>
    <cellStyle name="Normal 9 2 2 2 3 3 3" xfId="5706" xr:uid="{00000000-0005-0000-0000-00009F1E0000}"/>
    <cellStyle name="Normal 9 2 2 2 3 3 3 2" xfId="14156" xr:uid="{51BE3662-171D-4F74-A008-006A180E8625}"/>
    <cellStyle name="Normal 9 2 2 2 3 3 4" xfId="9938" xr:uid="{A7992E6C-1BC8-4411-98A5-920638ED6128}"/>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2 2 2" xfId="16714" xr:uid="{BE3A1CFD-94CF-4BFF-8AFC-D5B9966A4D50}"/>
    <cellStyle name="Normal 9 2 2 2 3 4 2 3" xfId="12496" xr:uid="{74BAE819-8926-4D59-9F04-A4859ABC8F15}"/>
    <cellStyle name="Normal 9 2 2 2 3 4 3" xfId="6119" xr:uid="{00000000-0005-0000-0000-0000A31E0000}"/>
    <cellStyle name="Normal 9 2 2 2 3 4 3 2" xfId="14569" xr:uid="{50654419-4992-4BA0-BC81-47A3A81CECCA}"/>
    <cellStyle name="Normal 9 2 2 2 3 4 4" xfId="10351" xr:uid="{A16F2D91-E047-4F43-A6FF-C930A7E2B73E}"/>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2 2 2" xfId="17127" xr:uid="{D3BC9E41-E770-48C5-AADB-8EC8518B1DAA}"/>
    <cellStyle name="Normal 9 2 2 2 3 5 2 3" xfId="12909" xr:uid="{DA489C38-60EE-4269-9A40-7EBBFDB15362}"/>
    <cellStyle name="Normal 9 2 2 2 3 5 3" xfId="6532" xr:uid="{00000000-0005-0000-0000-0000A71E0000}"/>
    <cellStyle name="Normal 9 2 2 2 3 5 3 2" xfId="14982" xr:uid="{27A175BB-69DC-47E9-B4AF-2D05F0565F64}"/>
    <cellStyle name="Normal 9 2 2 2 3 5 4" xfId="10764" xr:uid="{BF99BC47-58F8-47DF-831F-DFAED98C2209}"/>
    <cellStyle name="Normal 9 2 2 2 3 6" xfId="2662" xr:uid="{00000000-0005-0000-0000-0000A81E0000}"/>
    <cellStyle name="Normal 9 2 2 2 3 6 2" xfId="6945" xr:uid="{00000000-0005-0000-0000-0000A91E0000}"/>
    <cellStyle name="Normal 9 2 2 2 3 6 2 2" xfId="15395" xr:uid="{13E724E1-B10D-4CAF-AB3A-BFE38AA829D2}"/>
    <cellStyle name="Normal 9 2 2 2 3 6 3" xfId="11177" xr:uid="{23FB8183-9E9A-4D15-9185-D974C61C317D}"/>
    <cellStyle name="Normal 9 2 2 2 3 7" xfId="4880" xr:uid="{00000000-0005-0000-0000-0000AA1E0000}"/>
    <cellStyle name="Normal 9 2 2 2 3 7 2" xfId="13330" xr:uid="{578386FF-5035-4B18-9C24-C31789D7A197}"/>
    <cellStyle name="Normal 9 2 2 2 3 8" xfId="9112" xr:uid="{9CE0B613-BB60-4D2A-8B3A-24487BAD2849}"/>
    <cellStyle name="Normal 9 2 2 2 4" xfId="980" xr:uid="{00000000-0005-0000-0000-0000AB1E0000}"/>
    <cellStyle name="Normal 9 2 2 2 4 2" xfId="3213" xr:uid="{00000000-0005-0000-0000-0000AC1E0000}"/>
    <cellStyle name="Normal 9 2 2 2 4 2 2" xfId="7435" xr:uid="{00000000-0005-0000-0000-0000AD1E0000}"/>
    <cellStyle name="Normal 9 2 2 2 4 2 2 2" xfId="15885" xr:uid="{AF8BCF57-E5A8-4852-B398-8EC44CCA0EF1}"/>
    <cellStyle name="Normal 9 2 2 2 4 2 3" xfId="11667" xr:uid="{CCAC2264-AD43-4932-912A-27E1374C21DA}"/>
    <cellStyle name="Normal 9 2 2 2 4 3" xfId="5290" xr:uid="{00000000-0005-0000-0000-0000AE1E0000}"/>
    <cellStyle name="Normal 9 2 2 2 4 3 2" xfId="13740" xr:uid="{AC7FAA83-74A9-44E2-A41C-6787007386F2}"/>
    <cellStyle name="Normal 9 2 2 2 4 4" xfId="9522" xr:uid="{0F02618E-61ED-4C03-8226-091C14A8E5E2}"/>
    <cellStyle name="Normal 9 2 2 2 5" xfId="1396" xr:uid="{00000000-0005-0000-0000-0000AF1E0000}"/>
    <cellStyle name="Normal 9 2 2 2 5 2" xfId="3626" xr:uid="{00000000-0005-0000-0000-0000B01E0000}"/>
    <cellStyle name="Normal 9 2 2 2 5 2 2" xfId="7848" xr:uid="{00000000-0005-0000-0000-0000B11E0000}"/>
    <cellStyle name="Normal 9 2 2 2 5 2 2 2" xfId="16298" xr:uid="{04E0E44F-F865-4FC3-ADD6-445126230537}"/>
    <cellStyle name="Normal 9 2 2 2 5 2 3" xfId="12080" xr:uid="{3A36D47A-E365-4DF8-9B53-EDC7828899A2}"/>
    <cellStyle name="Normal 9 2 2 2 5 3" xfId="5703" xr:uid="{00000000-0005-0000-0000-0000B21E0000}"/>
    <cellStyle name="Normal 9 2 2 2 5 3 2" xfId="14153" xr:uid="{A50280C2-FF6F-4D05-AAD5-21F9C314F762}"/>
    <cellStyle name="Normal 9 2 2 2 5 4" xfId="9935" xr:uid="{9D51FEDA-8B04-4DFE-9E64-889EB8F0C2FE}"/>
    <cellStyle name="Normal 9 2 2 2 6" xfId="1809" xr:uid="{00000000-0005-0000-0000-0000B31E0000}"/>
    <cellStyle name="Normal 9 2 2 2 6 2" xfId="4039" xr:uid="{00000000-0005-0000-0000-0000B41E0000}"/>
    <cellStyle name="Normal 9 2 2 2 6 2 2" xfId="8261" xr:uid="{00000000-0005-0000-0000-0000B51E0000}"/>
    <cellStyle name="Normal 9 2 2 2 6 2 2 2" xfId="16711" xr:uid="{29DDA5C9-AE7A-402E-8EFF-7132377E9111}"/>
    <cellStyle name="Normal 9 2 2 2 6 2 3" xfId="12493" xr:uid="{3D636D93-61AF-4126-BABD-86786EAF5933}"/>
    <cellStyle name="Normal 9 2 2 2 6 3" xfId="6116" xr:uid="{00000000-0005-0000-0000-0000B61E0000}"/>
    <cellStyle name="Normal 9 2 2 2 6 3 2" xfId="14566" xr:uid="{905A5718-8B45-4E05-A974-A1A60B77CB76}"/>
    <cellStyle name="Normal 9 2 2 2 6 4" xfId="10348" xr:uid="{56ABF050-0CE0-4ADD-879C-1CF4C1D58DEC}"/>
    <cellStyle name="Normal 9 2 2 2 7" xfId="2223" xr:uid="{00000000-0005-0000-0000-0000B71E0000}"/>
    <cellStyle name="Normal 9 2 2 2 7 2" xfId="4452" xr:uid="{00000000-0005-0000-0000-0000B81E0000}"/>
    <cellStyle name="Normal 9 2 2 2 7 2 2" xfId="8674" xr:uid="{00000000-0005-0000-0000-0000B91E0000}"/>
    <cellStyle name="Normal 9 2 2 2 7 2 2 2" xfId="17124" xr:uid="{0B8AD059-DB97-4220-B812-6B3CB04154CA}"/>
    <cellStyle name="Normal 9 2 2 2 7 2 3" xfId="12906" xr:uid="{C8DE9C10-137E-48D9-887A-35B62E48C071}"/>
    <cellStyle name="Normal 9 2 2 2 7 3" xfId="6529" xr:uid="{00000000-0005-0000-0000-0000BA1E0000}"/>
    <cellStyle name="Normal 9 2 2 2 7 3 2" xfId="14979" xr:uid="{82705EB2-3631-4ACF-9754-8B19F889A262}"/>
    <cellStyle name="Normal 9 2 2 2 7 4" xfId="10761" xr:uid="{98583D66-9B9F-4E38-9227-BE5BAC4CA8F3}"/>
    <cellStyle name="Normal 9 2 2 2 8" xfId="2659" xr:uid="{00000000-0005-0000-0000-0000BB1E0000}"/>
    <cellStyle name="Normal 9 2 2 2 8 2" xfId="6942" xr:uid="{00000000-0005-0000-0000-0000BC1E0000}"/>
    <cellStyle name="Normal 9 2 2 2 8 2 2" xfId="15392" xr:uid="{2A1349E7-C461-4C3D-A966-0E8466182522}"/>
    <cellStyle name="Normal 9 2 2 2 8 3" xfId="11174" xr:uid="{026D636A-F475-431B-B0BB-BF0F0149FD00}"/>
    <cellStyle name="Normal 9 2 2 2 9" xfId="4877" xr:uid="{00000000-0005-0000-0000-0000BD1E0000}"/>
    <cellStyle name="Normal 9 2 2 2 9 2" xfId="13327" xr:uid="{E18498DA-01D6-4CE8-99E2-BFDDBF659915}"/>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2 2 2" xfId="15890" xr:uid="{BFD8DCAE-31F1-47D1-B8E3-E36DCACB854D}"/>
    <cellStyle name="Normal 9 2 2 3 2 2 2 3" xfId="11672" xr:uid="{F7216C39-8AB8-4C52-A8E7-75A175284135}"/>
    <cellStyle name="Normal 9 2 2 3 2 2 3" xfId="5295" xr:uid="{00000000-0005-0000-0000-0000C31E0000}"/>
    <cellStyle name="Normal 9 2 2 3 2 2 3 2" xfId="13745" xr:uid="{BC8E13AE-572B-42BB-ADE4-492D6B04BDB8}"/>
    <cellStyle name="Normal 9 2 2 3 2 2 4" xfId="9527" xr:uid="{C23E2E97-5FE5-4621-9388-057C01686847}"/>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2 2 2" xfId="16303" xr:uid="{F72172A9-5E94-4511-A770-215D89B031CD}"/>
    <cellStyle name="Normal 9 2 2 3 2 3 2 3" xfId="12085" xr:uid="{29052D89-40D8-4205-9837-0E90B15216E1}"/>
    <cellStyle name="Normal 9 2 2 3 2 3 3" xfId="5708" xr:uid="{00000000-0005-0000-0000-0000C71E0000}"/>
    <cellStyle name="Normal 9 2 2 3 2 3 3 2" xfId="14158" xr:uid="{ADB1B37E-4D48-4634-BF37-946816BC0408}"/>
    <cellStyle name="Normal 9 2 2 3 2 3 4" xfId="9940" xr:uid="{0460DE07-57C0-48EC-93D3-B823894E0E8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2 2 2" xfId="16716" xr:uid="{E28B0DE3-DD45-43A4-B616-1C88ACFB4C83}"/>
    <cellStyle name="Normal 9 2 2 3 2 4 2 3" xfId="12498" xr:uid="{BBBEBC5C-690F-4F07-BC70-788885C6CFF2}"/>
    <cellStyle name="Normal 9 2 2 3 2 4 3" xfId="6121" xr:uid="{00000000-0005-0000-0000-0000CB1E0000}"/>
    <cellStyle name="Normal 9 2 2 3 2 4 3 2" xfId="14571" xr:uid="{EBEB10A5-1917-4863-8A81-EF1796A5D39E}"/>
    <cellStyle name="Normal 9 2 2 3 2 4 4" xfId="10353" xr:uid="{C38D5D6D-A00D-4CED-8202-A397855C4FB9}"/>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2 2 2" xfId="17129" xr:uid="{27C4C83C-F77B-4089-8424-78078A72290E}"/>
    <cellStyle name="Normal 9 2 2 3 2 5 2 3" xfId="12911" xr:uid="{C4C2674D-60D7-46DB-B5FE-1B6FEA18F2F8}"/>
    <cellStyle name="Normal 9 2 2 3 2 5 3" xfId="6534" xr:uid="{00000000-0005-0000-0000-0000CF1E0000}"/>
    <cellStyle name="Normal 9 2 2 3 2 5 3 2" xfId="14984" xr:uid="{4F60324C-0103-4CE1-9C92-9966421125A7}"/>
    <cellStyle name="Normal 9 2 2 3 2 5 4" xfId="10766" xr:uid="{1C76EEAF-CCF9-46FF-956C-AA7E809CA577}"/>
    <cellStyle name="Normal 9 2 2 3 2 6" xfId="2664" xr:uid="{00000000-0005-0000-0000-0000D01E0000}"/>
    <cellStyle name="Normal 9 2 2 3 2 6 2" xfId="6947" xr:uid="{00000000-0005-0000-0000-0000D11E0000}"/>
    <cellStyle name="Normal 9 2 2 3 2 6 2 2" xfId="15397" xr:uid="{FF3ABA86-9628-4A05-8972-2AE0D5764470}"/>
    <cellStyle name="Normal 9 2 2 3 2 6 3" xfId="11179" xr:uid="{BFA4EA69-215B-4FD7-B34F-CD7F76786FF9}"/>
    <cellStyle name="Normal 9 2 2 3 2 7" xfId="4882" xr:uid="{00000000-0005-0000-0000-0000D21E0000}"/>
    <cellStyle name="Normal 9 2 2 3 2 7 2" xfId="13332" xr:uid="{56645122-D542-4849-B27C-EE6637C0DADC}"/>
    <cellStyle name="Normal 9 2 2 3 2 8" xfId="9114" xr:uid="{711F2012-159B-432F-87A7-29AFE62B209E}"/>
    <cellStyle name="Normal 9 2 2 3 3" xfId="984" xr:uid="{00000000-0005-0000-0000-0000D31E0000}"/>
    <cellStyle name="Normal 9 2 2 3 3 2" xfId="3217" xr:uid="{00000000-0005-0000-0000-0000D41E0000}"/>
    <cellStyle name="Normal 9 2 2 3 3 2 2" xfId="7439" xr:uid="{00000000-0005-0000-0000-0000D51E0000}"/>
    <cellStyle name="Normal 9 2 2 3 3 2 2 2" xfId="15889" xr:uid="{A525043E-3644-42DA-BB44-21C12E4871DB}"/>
    <cellStyle name="Normal 9 2 2 3 3 2 3" xfId="11671" xr:uid="{17F004E5-A53D-4B4D-9093-5B5A3856DC0E}"/>
    <cellStyle name="Normal 9 2 2 3 3 3" xfId="5294" xr:uid="{00000000-0005-0000-0000-0000D61E0000}"/>
    <cellStyle name="Normal 9 2 2 3 3 3 2" xfId="13744" xr:uid="{58AB6E42-B6C7-4136-A98D-D8770018CCFE}"/>
    <cellStyle name="Normal 9 2 2 3 3 4" xfId="9526" xr:uid="{0837BAF9-7C89-4C65-9D69-F8F38E7A894A}"/>
    <cellStyle name="Normal 9 2 2 3 4" xfId="1400" xr:uid="{00000000-0005-0000-0000-0000D71E0000}"/>
    <cellStyle name="Normal 9 2 2 3 4 2" xfId="3630" xr:uid="{00000000-0005-0000-0000-0000D81E0000}"/>
    <cellStyle name="Normal 9 2 2 3 4 2 2" xfId="7852" xr:uid="{00000000-0005-0000-0000-0000D91E0000}"/>
    <cellStyle name="Normal 9 2 2 3 4 2 2 2" xfId="16302" xr:uid="{5BD2B418-A07B-4206-9A37-ACAF9ABF1071}"/>
    <cellStyle name="Normal 9 2 2 3 4 2 3" xfId="12084" xr:uid="{DEFB6776-A7D7-4574-92B9-6822FBFF7449}"/>
    <cellStyle name="Normal 9 2 2 3 4 3" xfId="5707" xr:uid="{00000000-0005-0000-0000-0000DA1E0000}"/>
    <cellStyle name="Normal 9 2 2 3 4 3 2" xfId="14157" xr:uid="{2F6C328D-B8B1-4481-A912-36E0DEB9FD44}"/>
    <cellStyle name="Normal 9 2 2 3 4 4" xfId="9939" xr:uid="{64AE74BE-1AAF-49E4-A55D-94F13716953F}"/>
    <cellStyle name="Normal 9 2 2 3 5" xfId="1813" xr:uid="{00000000-0005-0000-0000-0000DB1E0000}"/>
    <cellStyle name="Normal 9 2 2 3 5 2" xfId="4043" xr:uid="{00000000-0005-0000-0000-0000DC1E0000}"/>
    <cellStyle name="Normal 9 2 2 3 5 2 2" xfId="8265" xr:uid="{00000000-0005-0000-0000-0000DD1E0000}"/>
    <cellStyle name="Normal 9 2 2 3 5 2 2 2" xfId="16715" xr:uid="{A65631A2-8FA2-4E24-A393-E868B31B263B}"/>
    <cellStyle name="Normal 9 2 2 3 5 2 3" xfId="12497" xr:uid="{A7B4B497-30B5-45D2-B7E8-74CEBE4B03AB}"/>
    <cellStyle name="Normal 9 2 2 3 5 3" xfId="6120" xr:uid="{00000000-0005-0000-0000-0000DE1E0000}"/>
    <cellStyle name="Normal 9 2 2 3 5 3 2" xfId="14570" xr:uid="{E2587856-6AE6-4839-AD3E-19B102456341}"/>
    <cellStyle name="Normal 9 2 2 3 5 4" xfId="10352" xr:uid="{2716B3AC-968D-4D90-9125-F960279FD7E8}"/>
    <cellStyle name="Normal 9 2 2 3 6" xfId="2227" xr:uid="{00000000-0005-0000-0000-0000DF1E0000}"/>
    <cellStyle name="Normal 9 2 2 3 6 2" xfId="4456" xr:uid="{00000000-0005-0000-0000-0000E01E0000}"/>
    <cellStyle name="Normal 9 2 2 3 6 2 2" xfId="8678" xr:uid="{00000000-0005-0000-0000-0000E11E0000}"/>
    <cellStyle name="Normal 9 2 2 3 6 2 2 2" xfId="17128" xr:uid="{5D7473DC-59EE-47E6-A227-55D774D89135}"/>
    <cellStyle name="Normal 9 2 2 3 6 2 3" xfId="12910" xr:uid="{7F08CC28-8C43-49EA-9E02-0B89040AE4C0}"/>
    <cellStyle name="Normal 9 2 2 3 6 3" xfId="6533" xr:uid="{00000000-0005-0000-0000-0000E21E0000}"/>
    <cellStyle name="Normal 9 2 2 3 6 3 2" xfId="14983" xr:uid="{D9314291-BDEE-4DC2-B056-2F0398949D77}"/>
    <cellStyle name="Normal 9 2 2 3 6 4" xfId="10765" xr:uid="{13CEB3BC-D5C2-48AC-901C-38006F3C29D0}"/>
    <cellStyle name="Normal 9 2 2 3 7" xfId="2663" xr:uid="{00000000-0005-0000-0000-0000E31E0000}"/>
    <cellStyle name="Normal 9 2 2 3 7 2" xfId="6946" xr:uid="{00000000-0005-0000-0000-0000E41E0000}"/>
    <cellStyle name="Normal 9 2 2 3 7 2 2" xfId="15396" xr:uid="{FF1006BF-EEF8-4C18-95EB-0B6F2EAC08D8}"/>
    <cellStyle name="Normal 9 2 2 3 7 3" xfId="11178" xr:uid="{49F7FB96-B428-4554-B6D5-573DAEEB61D5}"/>
    <cellStyle name="Normal 9 2 2 3 8" xfId="4881" xr:uid="{00000000-0005-0000-0000-0000E51E0000}"/>
    <cellStyle name="Normal 9 2 2 3 8 2" xfId="13331" xr:uid="{C1C794F1-F625-4326-A95B-948D290A0C18}"/>
    <cellStyle name="Normal 9 2 2 3 9" xfId="9113" xr:uid="{E691EC4C-5626-432C-AC84-6CA8AD32E002}"/>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2 2 2" xfId="15891" xr:uid="{BE9EE662-5101-4E8C-97CF-10C1ADBD6965}"/>
    <cellStyle name="Normal 9 2 2 4 2 2 3" xfId="11673" xr:uid="{0FAB49AB-2BBB-48AC-8B42-FADA2B254190}"/>
    <cellStyle name="Normal 9 2 2 4 2 3" xfId="5296" xr:uid="{00000000-0005-0000-0000-0000EA1E0000}"/>
    <cellStyle name="Normal 9 2 2 4 2 3 2" xfId="13746" xr:uid="{E006FF92-089D-4C6A-9F36-6710CD744131}"/>
    <cellStyle name="Normal 9 2 2 4 2 4" xfId="9528" xr:uid="{7C38D49F-AFB9-4DFB-B75E-E66EF0C54AE9}"/>
    <cellStyle name="Normal 9 2 2 4 3" xfId="1402" xr:uid="{00000000-0005-0000-0000-0000EB1E0000}"/>
    <cellStyle name="Normal 9 2 2 4 3 2" xfId="3632" xr:uid="{00000000-0005-0000-0000-0000EC1E0000}"/>
    <cellStyle name="Normal 9 2 2 4 3 2 2" xfId="7854" xr:uid="{00000000-0005-0000-0000-0000ED1E0000}"/>
    <cellStyle name="Normal 9 2 2 4 3 2 2 2" xfId="16304" xr:uid="{4705BA15-A284-49D5-AE55-228EFDCF8CC6}"/>
    <cellStyle name="Normal 9 2 2 4 3 2 3" xfId="12086" xr:uid="{EFEA498C-ED46-41E2-9812-6BF2A7904CAE}"/>
    <cellStyle name="Normal 9 2 2 4 3 3" xfId="5709" xr:uid="{00000000-0005-0000-0000-0000EE1E0000}"/>
    <cellStyle name="Normal 9 2 2 4 3 3 2" xfId="14159" xr:uid="{5EECE58E-FAFA-43F5-BEE4-C42D615ECDE0}"/>
    <cellStyle name="Normal 9 2 2 4 3 4" xfId="9941" xr:uid="{508FE785-09CF-4332-8481-1E3A18F89423}"/>
    <cellStyle name="Normal 9 2 2 4 4" xfId="1815" xr:uid="{00000000-0005-0000-0000-0000EF1E0000}"/>
    <cellStyle name="Normal 9 2 2 4 4 2" xfId="4045" xr:uid="{00000000-0005-0000-0000-0000F01E0000}"/>
    <cellStyle name="Normal 9 2 2 4 4 2 2" xfId="8267" xr:uid="{00000000-0005-0000-0000-0000F11E0000}"/>
    <cellStyle name="Normal 9 2 2 4 4 2 2 2" xfId="16717" xr:uid="{C8029F28-ACE6-4ADE-AB7C-E6EF08599458}"/>
    <cellStyle name="Normal 9 2 2 4 4 2 3" xfId="12499" xr:uid="{1BA2078F-0463-4189-86D5-56162323D2D3}"/>
    <cellStyle name="Normal 9 2 2 4 4 3" xfId="6122" xr:uid="{00000000-0005-0000-0000-0000F21E0000}"/>
    <cellStyle name="Normal 9 2 2 4 4 3 2" xfId="14572" xr:uid="{AFC5CDC4-C405-447F-ABEF-00555C8A3681}"/>
    <cellStyle name="Normal 9 2 2 4 4 4" xfId="10354" xr:uid="{C30D9CA8-FCF7-40B6-AC89-03BE21CEFD71}"/>
    <cellStyle name="Normal 9 2 2 4 5" xfId="2229" xr:uid="{00000000-0005-0000-0000-0000F31E0000}"/>
    <cellStyle name="Normal 9 2 2 4 5 2" xfId="4458" xr:uid="{00000000-0005-0000-0000-0000F41E0000}"/>
    <cellStyle name="Normal 9 2 2 4 5 2 2" xfId="8680" xr:uid="{00000000-0005-0000-0000-0000F51E0000}"/>
    <cellStyle name="Normal 9 2 2 4 5 2 2 2" xfId="17130" xr:uid="{FB97B71D-A3A3-4B96-B0E0-9D94B16C15FF}"/>
    <cellStyle name="Normal 9 2 2 4 5 2 3" xfId="12912" xr:uid="{2C8073A8-34B5-4F33-844E-3B64F5BD447F}"/>
    <cellStyle name="Normal 9 2 2 4 5 3" xfId="6535" xr:uid="{00000000-0005-0000-0000-0000F61E0000}"/>
    <cellStyle name="Normal 9 2 2 4 5 3 2" xfId="14985" xr:uid="{D569BA60-4E9A-48DF-800D-B61D264FD6B8}"/>
    <cellStyle name="Normal 9 2 2 4 5 4" xfId="10767" xr:uid="{6B133001-6699-4B23-B2FA-C2B6B07CF8EB}"/>
    <cellStyle name="Normal 9 2 2 4 6" xfId="2665" xr:uid="{00000000-0005-0000-0000-0000F71E0000}"/>
    <cellStyle name="Normal 9 2 2 4 6 2" xfId="6948" xr:uid="{00000000-0005-0000-0000-0000F81E0000}"/>
    <cellStyle name="Normal 9 2 2 4 6 2 2" xfId="15398" xr:uid="{F1A1D9B7-E296-4CD8-A7D7-A8EA82B59376}"/>
    <cellStyle name="Normal 9 2 2 4 6 3" xfId="11180" xr:uid="{89278647-81BF-42B6-AAB7-EF4A945EAEEC}"/>
    <cellStyle name="Normal 9 2 2 4 7" xfId="4883" xr:uid="{00000000-0005-0000-0000-0000F91E0000}"/>
    <cellStyle name="Normal 9 2 2 4 7 2" xfId="13333" xr:uid="{1A3FC39E-19C3-4D8D-9D53-A31EC7A0C8D5}"/>
    <cellStyle name="Normal 9 2 2 4 8" xfId="9115" xr:uid="{78B153DB-A8C4-4DD5-B125-4241D15385ED}"/>
    <cellStyle name="Normal 9 2 2 5" xfId="979" xr:uid="{00000000-0005-0000-0000-0000FA1E0000}"/>
    <cellStyle name="Normal 9 2 2 5 2" xfId="3212" xr:uid="{00000000-0005-0000-0000-0000FB1E0000}"/>
    <cellStyle name="Normal 9 2 2 5 2 2" xfId="7434" xr:uid="{00000000-0005-0000-0000-0000FC1E0000}"/>
    <cellStyle name="Normal 9 2 2 5 2 2 2" xfId="15884" xr:uid="{DFD7F958-F48A-4461-9CD0-DFA67C1E3DD9}"/>
    <cellStyle name="Normal 9 2 2 5 2 3" xfId="11666" xr:uid="{F2EB1188-FEEF-48EA-A39F-CA83349BE35B}"/>
    <cellStyle name="Normal 9 2 2 5 3" xfId="5289" xr:uid="{00000000-0005-0000-0000-0000FD1E0000}"/>
    <cellStyle name="Normal 9 2 2 5 3 2" xfId="13739" xr:uid="{36D1ADD0-8743-4AEB-8B2C-0139DF74BDC1}"/>
    <cellStyle name="Normal 9 2 2 5 4" xfId="9521" xr:uid="{778B2CAB-EB13-4751-AF8C-85501377B8B6}"/>
    <cellStyle name="Normal 9 2 2 6" xfId="1395" xr:uid="{00000000-0005-0000-0000-0000FE1E0000}"/>
    <cellStyle name="Normal 9 2 2 6 2" xfId="3625" xr:uid="{00000000-0005-0000-0000-0000FF1E0000}"/>
    <cellStyle name="Normal 9 2 2 6 2 2" xfId="7847" xr:uid="{00000000-0005-0000-0000-0000001F0000}"/>
    <cellStyle name="Normal 9 2 2 6 2 2 2" xfId="16297" xr:uid="{73D7873D-5FF4-492C-BB6D-963BF8FBAB54}"/>
    <cellStyle name="Normal 9 2 2 6 2 3" xfId="12079" xr:uid="{2A3F896E-9917-4526-BDB9-973884BE95B0}"/>
    <cellStyle name="Normal 9 2 2 6 3" xfId="5702" xr:uid="{00000000-0005-0000-0000-0000011F0000}"/>
    <cellStyle name="Normal 9 2 2 6 3 2" xfId="14152" xr:uid="{FA9E5BF7-77A1-4106-AFAC-06B8D04F9DAD}"/>
    <cellStyle name="Normal 9 2 2 6 4" xfId="9934" xr:uid="{C5949069-BB4D-476B-8128-C4ED6F3DC780}"/>
    <cellStyle name="Normal 9 2 2 7" xfId="1808" xr:uid="{00000000-0005-0000-0000-0000021F0000}"/>
    <cellStyle name="Normal 9 2 2 7 2" xfId="4038" xr:uid="{00000000-0005-0000-0000-0000031F0000}"/>
    <cellStyle name="Normal 9 2 2 7 2 2" xfId="8260" xr:uid="{00000000-0005-0000-0000-0000041F0000}"/>
    <cellStyle name="Normal 9 2 2 7 2 2 2" xfId="16710" xr:uid="{04CCD3CD-1966-4F17-8378-0B8C683B0215}"/>
    <cellStyle name="Normal 9 2 2 7 2 3" xfId="12492" xr:uid="{A417DD57-B98C-49AB-811D-BD01EFC5D9F8}"/>
    <cellStyle name="Normal 9 2 2 7 3" xfId="6115" xr:uid="{00000000-0005-0000-0000-0000051F0000}"/>
    <cellStyle name="Normal 9 2 2 7 3 2" xfId="14565" xr:uid="{7FFD8F63-3465-49D1-B231-A1C63A14E717}"/>
    <cellStyle name="Normal 9 2 2 7 4" xfId="10347" xr:uid="{39D5839C-E2E1-4265-B408-308FDF21D12C}"/>
    <cellStyle name="Normal 9 2 2 8" xfId="2222" xr:uid="{00000000-0005-0000-0000-0000061F0000}"/>
    <cellStyle name="Normal 9 2 2 8 2" xfId="4451" xr:uid="{00000000-0005-0000-0000-0000071F0000}"/>
    <cellStyle name="Normal 9 2 2 8 2 2" xfId="8673" xr:uid="{00000000-0005-0000-0000-0000081F0000}"/>
    <cellStyle name="Normal 9 2 2 8 2 2 2" xfId="17123" xr:uid="{B9393646-208B-4E7D-A2B1-E86906A4B615}"/>
    <cellStyle name="Normal 9 2 2 8 2 3" xfId="12905" xr:uid="{4EB575E7-B341-46B7-B47F-F69F40B5E941}"/>
    <cellStyle name="Normal 9 2 2 8 3" xfId="6528" xr:uid="{00000000-0005-0000-0000-0000091F0000}"/>
    <cellStyle name="Normal 9 2 2 8 3 2" xfId="14978" xr:uid="{5CAAFC89-1ABE-4710-8DBF-A1F1E2F6DF22}"/>
    <cellStyle name="Normal 9 2 2 8 4" xfId="10760" xr:uid="{54183F7C-DEE2-4B18-822B-87D040280DB9}"/>
    <cellStyle name="Normal 9 2 2 9" xfId="2658" xr:uid="{00000000-0005-0000-0000-00000A1F0000}"/>
    <cellStyle name="Normal 9 2 2 9 2" xfId="6941" xr:uid="{00000000-0005-0000-0000-00000B1F0000}"/>
    <cellStyle name="Normal 9 2 2 9 2 2" xfId="15391" xr:uid="{39DBAD27-44F7-4B0D-8A68-08974F999000}"/>
    <cellStyle name="Normal 9 2 2 9 3" xfId="11173" xr:uid="{E38CE719-5AFA-4F98-82AD-43D25EFD3DE2}"/>
    <cellStyle name="Normal 9 2 3" xfId="520" xr:uid="{00000000-0005-0000-0000-00000C1F0000}"/>
    <cellStyle name="Normal 9 2 3 10" xfId="9116" xr:uid="{A852F326-AE1A-4E5D-9208-698F7D0D0E7D}"/>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2 2 2" xfId="15894" xr:uid="{F53D9CEC-B6F3-4932-8334-309BA240390D}"/>
    <cellStyle name="Normal 9 2 3 2 2 2 2 3" xfId="11676" xr:uid="{ACE0840E-A03A-40D2-95F6-3F9B38A090C6}"/>
    <cellStyle name="Normal 9 2 3 2 2 2 3" xfId="5299" xr:uid="{00000000-0005-0000-0000-0000121F0000}"/>
    <cellStyle name="Normal 9 2 3 2 2 2 3 2" xfId="13749" xr:uid="{0F08D875-8F2B-4BE1-8C4B-33C4285CB779}"/>
    <cellStyle name="Normal 9 2 3 2 2 2 4" xfId="9531" xr:uid="{B785EBF3-0DD2-4B59-9E3A-E780C60ED2F1}"/>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2 2 2" xfId="16307" xr:uid="{1C15E30E-3E84-44D7-83CD-EC64BFF3E7A1}"/>
    <cellStyle name="Normal 9 2 3 2 2 3 2 3" xfId="12089" xr:uid="{54B4F91E-2486-4A83-A46B-980571142D9A}"/>
    <cellStyle name="Normal 9 2 3 2 2 3 3" xfId="5712" xr:uid="{00000000-0005-0000-0000-0000161F0000}"/>
    <cellStyle name="Normal 9 2 3 2 2 3 3 2" xfId="14162" xr:uid="{CC7E14F5-6127-446D-9C5C-852E64BC87D4}"/>
    <cellStyle name="Normal 9 2 3 2 2 3 4" xfId="9944" xr:uid="{95074291-4D5E-4004-87D2-0128DE88A0F7}"/>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2 2 2" xfId="16720" xr:uid="{A48FF942-897C-4C48-B205-4F0C6E44B625}"/>
    <cellStyle name="Normal 9 2 3 2 2 4 2 3" xfId="12502" xr:uid="{297FE654-AA29-49B0-A57A-F6ABF7AEFAF0}"/>
    <cellStyle name="Normal 9 2 3 2 2 4 3" xfId="6125" xr:uid="{00000000-0005-0000-0000-00001A1F0000}"/>
    <cellStyle name="Normal 9 2 3 2 2 4 3 2" xfId="14575" xr:uid="{9F1802C2-1F91-4582-B3CF-EC9B6A132EBF}"/>
    <cellStyle name="Normal 9 2 3 2 2 4 4" xfId="10357" xr:uid="{0E815C3D-A50F-47F2-A654-13FF666822AC}"/>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2 2 2" xfId="17133" xr:uid="{F298485C-0582-425B-BDA6-42D5CDFE3D1F}"/>
    <cellStyle name="Normal 9 2 3 2 2 5 2 3" xfId="12915" xr:uid="{8F766824-0BFE-4112-BFB3-D45FB27D2BE3}"/>
    <cellStyle name="Normal 9 2 3 2 2 5 3" xfId="6538" xr:uid="{00000000-0005-0000-0000-00001E1F0000}"/>
    <cellStyle name="Normal 9 2 3 2 2 5 3 2" xfId="14988" xr:uid="{EFFC0064-A872-464F-9F06-C69CC595E1B2}"/>
    <cellStyle name="Normal 9 2 3 2 2 5 4" xfId="10770" xr:uid="{0C613058-45DB-43E6-B2D1-8DCE2CBBAF43}"/>
    <cellStyle name="Normal 9 2 3 2 2 6" xfId="2668" xr:uid="{00000000-0005-0000-0000-00001F1F0000}"/>
    <cellStyle name="Normal 9 2 3 2 2 6 2" xfId="6951" xr:uid="{00000000-0005-0000-0000-0000201F0000}"/>
    <cellStyle name="Normal 9 2 3 2 2 6 2 2" xfId="15401" xr:uid="{FBDA1ACE-4DFE-496B-9836-EA60FDD0D4C1}"/>
    <cellStyle name="Normal 9 2 3 2 2 6 3" xfId="11183" xr:uid="{2D614504-B38C-4DC5-A061-A3B692BCB6A1}"/>
    <cellStyle name="Normal 9 2 3 2 2 7" xfId="4886" xr:uid="{00000000-0005-0000-0000-0000211F0000}"/>
    <cellStyle name="Normal 9 2 3 2 2 7 2" xfId="13336" xr:uid="{8561D429-775D-4B77-8945-E50B8699FFF5}"/>
    <cellStyle name="Normal 9 2 3 2 2 8" xfId="9118" xr:uid="{BA6A496D-4D9F-406C-8E4A-CDA0112D8D62}"/>
    <cellStyle name="Normal 9 2 3 2 3" xfId="988" xr:uid="{00000000-0005-0000-0000-0000221F0000}"/>
    <cellStyle name="Normal 9 2 3 2 3 2" xfId="3221" xr:uid="{00000000-0005-0000-0000-0000231F0000}"/>
    <cellStyle name="Normal 9 2 3 2 3 2 2" xfId="7443" xr:uid="{00000000-0005-0000-0000-0000241F0000}"/>
    <cellStyle name="Normal 9 2 3 2 3 2 2 2" xfId="15893" xr:uid="{5CBB0550-A220-4765-B017-4753964ED9BC}"/>
    <cellStyle name="Normal 9 2 3 2 3 2 3" xfId="11675" xr:uid="{3CADD4B1-8B1D-4615-94C8-4633A16E07A7}"/>
    <cellStyle name="Normal 9 2 3 2 3 3" xfId="5298" xr:uid="{00000000-0005-0000-0000-0000251F0000}"/>
    <cellStyle name="Normal 9 2 3 2 3 3 2" xfId="13748" xr:uid="{9F5A5D67-AF51-49FA-99AC-545B5C756AC1}"/>
    <cellStyle name="Normal 9 2 3 2 3 4" xfId="9530" xr:uid="{44E3DF62-AA3C-4314-B040-A07F0F9A67D6}"/>
    <cellStyle name="Normal 9 2 3 2 4" xfId="1404" xr:uid="{00000000-0005-0000-0000-0000261F0000}"/>
    <cellStyle name="Normal 9 2 3 2 4 2" xfId="3634" xr:uid="{00000000-0005-0000-0000-0000271F0000}"/>
    <cellStyle name="Normal 9 2 3 2 4 2 2" xfId="7856" xr:uid="{00000000-0005-0000-0000-0000281F0000}"/>
    <cellStyle name="Normal 9 2 3 2 4 2 2 2" xfId="16306" xr:uid="{5EEE48AF-BD0B-4839-92CF-4EFF4B12EBCA}"/>
    <cellStyle name="Normal 9 2 3 2 4 2 3" xfId="12088" xr:uid="{B9760027-78DD-499C-97A9-2B6AE2BC1E20}"/>
    <cellStyle name="Normal 9 2 3 2 4 3" xfId="5711" xr:uid="{00000000-0005-0000-0000-0000291F0000}"/>
    <cellStyle name="Normal 9 2 3 2 4 3 2" xfId="14161" xr:uid="{6081F0AB-694A-4CA6-A25E-C12E65D5F946}"/>
    <cellStyle name="Normal 9 2 3 2 4 4" xfId="9943" xr:uid="{A4A3B1B2-24F2-4329-95A6-AB24616111BC}"/>
    <cellStyle name="Normal 9 2 3 2 5" xfId="1817" xr:uid="{00000000-0005-0000-0000-00002A1F0000}"/>
    <cellStyle name="Normal 9 2 3 2 5 2" xfId="4047" xr:uid="{00000000-0005-0000-0000-00002B1F0000}"/>
    <cellStyle name="Normal 9 2 3 2 5 2 2" xfId="8269" xr:uid="{00000000-0005-0000-0000-00002C1F0000}"/>
    <cellStyle name="Normal 9 2 3 2 5 2 2 2" xfId="16719" xr:uid="{FC2E582A-C04B-424A-B0BA-62282BEEC6B1}"/>
    <cellStyle name="Normal 9 2 3 2 5 2 3" xfId="12501" xr:uid="{044FBC98-D8AA-4A0B-9622-ED027CF4FE1A}"/>
    <cellStyle name="Normal 9 2 3 2 5 3" xfId="6124" xr:uid="{00000000-0005-0000-0000-00002D1F0000}"/>
    <cellStyle name="Normal 9 2 3 2 5 3 2" xfId="14574" xr:uid="{1BB6D5AD-1854-417E-8717-9D272232AF21}"/>
    <cellStyle name="Normal 9 2 3 2 5 4" xfId="10356" xr:uid="{0B77CC99-AEAE-4A54-931D-3E1C2EBB98E7}"/>
    <cellStyle name="Normal 9 2 3 2 6" xfId="2231" xr:uid="{00000000-0005-0000-0000-00002E1F0000}"/>
    <cellStyle name="Normal 9 2 3 2 6 2" xfId="4460" xr:uid="{00000000-0005-0000-0000-00002F1F0000}"/>
    <cellStyle name="Normal 9 2 3 2 6 2 2" xfId="8682" xr:uid="{00000000-0005-0000-0000-0000301F0000}"/>
    <cellStyle name="Normal 9 2 3 2 6 2 2 2" xfId="17132" xr:uid="{A844A6B0-BEDA-470B-A2B2-6EA2DD3D9522}"/>
    <cellStyle name="Normal 9 2 3 2 6 2 3" xfId="12914" xr:uid="{49F417B2-B17B-477F-B1DE-C5F5274CC52E}"/>
    <cellStyle name="Normal 9 2 3 2 6 3" xfId="6537" xr:uid="{00000000-0005-0000-0000-0000311F0000}"/>
    <cellStyle name="Normal 9 2 3 2 6 3 2" xfId="14987" xr:uid="{8D9AD7F3-B05C-4349-A35D-D10AC4798307}"/>
    <cellStyle name="Normal 9 2 3 2 6 4" xfId="10769" xr:uid="{C1CB245B-FF40-4F66-BD9D-B73666BFA7DA}"/>
    <cellStyle name="Normal 9 2 3 2 7" xfId="2667" xr:uid="{00000000-0005-0000-0000-0000321F0000}"/>
    <cellStyle name="Normal 9 2 3 2 7 2" xfId="6950" xr:uid="{00000000-0005-0000-0000-0000331F0000}"/>
    <cellStyle name="Normal 9 2 3 2 7 2 2" xfId="15400" xr:uid="{B0517451-7738-43D0-AFBE-D6DB39746FE7}"/>
    <cellStyle name="Normal 9 2 3 2 7 3" xfId="11182" xr:uid="{03F0EE65-B3E2-406A-97B9-A64AFAAF8C1D}"/>
    <cellStyle name="Normal 9 2 3 2 8" xfId="4885" xr:uid="{00000000-0005-0000-0000-0000341F0000}"/>
    <cellStyle name="Normal 9 2 3 2 8 2" xfId="13335" xr:uid="{7D6D523D-A4BE-4EDC-9E51-2E82714C8D99}"/>
    <cellStyle name="Normal 9 2 3 2 9" xfId="9117" xr:uid="{D31E9AA4-8D9C-433C-9F46-A14027C628B3}"/>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2 2 2" xfId="15895" xr:uid="{63D77757-75AC-45C5-8448-5FFD0B08E19B}"/>
    <cellStyle name="Normal 9 2 3 3 2 2 3" xfId="11677" xr:uid="{F9A1F4F0-7E26-4FAD-8472-778BFD2F8849}"/>
    <cellStyle name="Normal 9 2 3 3 2 3" xfId="5300" xr:uid="{00000000-0005-0000-0000-0000391F0000}"/>
    <cellStyle name="Normal 9 2 3 3 2 3 2" xfId="13750" xr:uid="{759CC33D-5F65-40C9-802A-06C4D70C8C62}"/>
    <cellStyle name="Normal 9 2 3 3 2 4" xfId="9532" xr:uid="{E2FB553A-E0F3-41DD-A8E6-EA4416EF1B25}"/>
    <cellStyle name="Normal 9 2 3 3 3" xfId="1406" xr:uid="{00000000-0005-0000-0000-00003A1F0000}"/>
    <cellStyle name="Normal 9 2 3 3 3 2" xfId="3636" xr:uid="{00000000-0005-0000-0000-00003B1F0000}"/>
    <cellStyle name="Normal 9 2 3 3 3 2 2" xfId="7858" xr:uid="{00000000-0005-0000-0000-00003C1F0000}"/>
    <cellStyle name="Normal 9 2 3 3 3 2 2 2" xfId="16308" xr:uid="{49B7114A-FC48-4D15-9916-F7C1990C47A0}"/>
    <cellStyle name="Normal 9 2 3 3 3 2 3" xfId="12090" xr:uid="{5CD6E606-765D-4C13-A8D6-FBFA66E7CE91}"/>
    <cellStyle name="Normal 9 2 3 3 3 3" xfId="5713" xr:uid="{00000000-0005-0000-0000-00003D1F0000}"/>
    <cellStyle name="Normal 9 2 3 3 3 3 2" xfId="14163" xr:uid="{2D52C645-ABD0-439C-A146-001678CCA37D}"/>
    <cellStyle name="Normal 9 2 3 3 3 4" xfId="9945" xr:uid="{0CF2408E-9D22-496B-BFF9-F7D746F0A940}"/>
    <cellStyle name="Normal 9 2 3 3 4" xfId="1819" xr:uid="{00000000-0005-0000-0000-00003E1F0000}"/>
    <cellStyle name="Normal 9 2 3 3 4 2" xfId="4049" xr:uid="{00000000-0005-0000-0000-00003F1F0000}"/>
    <cellStyle name="Normal 9 2 3 3 4 2 2" xfId="8271" xr:uid="{00000000-0005-0000-0000-0000401F0000}"/>
    <cellStyle name="Normal 9 2 3 3 4 2 2 2" xfId="16721" xr:uid="{7F97AC2A-1EE2-4795-BFA6-163378772C40}"/>
    <cellStyle name="Normal 9 2 3 3 4 2 3" xfId="12503" xr:uid="{8FEF6240-1A24-46A5-8BD2-EC1263508CE1}"/>
    <cellStyle name="Normal 9 2 3 3 4 3" xfId="6126" xr:uid="{00000000-0005-0000-0000-0000411F0000}"/>
    <cellStyle name="Normal 9 2 3 3 4 3 2" xfId="14576" xr:uid="{C482ADD2-8EC8-4197-9106-A8B2E5A513F0}"/>
    <cellStyle name="Normal 9 2 3 3 4 4" xfId="10358" xr:uid="{1AE9523F-A12D-4F52-A207-920A11916B4F}"/>
    <cellStyle name="Normal 9 2 3 3 5" xfId="2233" xr:uid="{00000000-0005-0000-0000-0000421F0000}"/>
    <cellStyle name="Normal 9 2 3 3 5 2" xfId="4462" xr:uid="{00000000-0005-0000-0000-0000431F0000}"/>
    <cellStyle name="Normal 9 2 3 3 5 2 2" xfId="8684" xr:uid="{00000000-0005-0000-0000-0000441F0000}"/>
    <cellStyle name="Normal 9 2 3 3 5 2 2 2" xfId="17134" xr:uid="{D661E128-005E-459D-997E-49E0F818D4A5}"/>
    <cellStyle name="Normal 9 2 3 3 5 2 3" xfId="12916" xr:uid="{9C579943-1EB6-4295-B340-B415DD16E626}"/>
    <cellStyle name="Normal 9 2 3 3 5 3" xfId="6539" xr:uid="{00000000-0005-0000-0000-0000451F0000}"/>
    <cellStyle name="Normal 9 2 3 3 5 3 2" xfId="14989" xr:uid="{DDD24608-8E3B-46CB-8FA8-6C1676F28F01}"/>
    <cellStyle name="Normal 9 2 3 3 5 4" xfId="10771" xr:uid="{B4DEAB93-6748-4B3F-8F36-8D6AB16A0161}"/>
    <cellStyle name="Normal 9 2 3 3 6" xfId="2669" xr:uid="{00000000-0005-0000-0000-0000461F0000}"/>
    <cellStyle name="Normal 9 2 3 3 6 2" xfId="6952" xr:uid="{00000000-0005-0000-0000-0000471F0000}"/>
    <cellStyle name="Normal 9 2 3 3 6 2 2" xfId="15402" xr:uid="{DD734DA7-12EA-4D49-8657-1837E6BC325E}"/>
    <cellStyle name="Normal 9 2 3 3 6 3" xfId="11184" xr:uid="{F8870F88-A0A5-4A1F-8C69-3722C48C6C97}"/>
    <cellStyle name="Normal 9 2 3 3 7" xfId="4887" xr:uid="{00000000-0005-0000-0000-0000481F0000}"/>
    <cellStyle name="Normal 9 2 3 3 7 2" xfId="13337" xr:uid="{4473FBF8-3F9B-42A2-8E56-70ECCD9C332E}"/>
    <cellStyle name="Normal 9 2 3 3 8" xfId="9119" xr:uid="{8CC74DA4-F7E2-40AD-9D57-11F3181038A8}"/>
    <cellStyle name="Normal 9 2 3 4" xfId="987" xr:uid="{00000000-0005-0000-0000-0000491F0000}"/>
    <cellStyle name="Normal 9 2 3 4 2" xfId="3220" xr:uid="{00000000-0005-0000-0000-00004A1F0000}"/>
    <cellStyle name="Normal 9 2 3 4 2 2" xfId="7442" xr:uid="{00000000-0005-0000-0000-00004B1F0000}"/>
    <cellStyle name="Normal 9 2 3 4 2 2 2" xfId="15892" xr:uid="{C07A5AED-0694-4F26-A103-1B35274089C3}"/>
    <cellStyle name="Normal 9 2 3 4 2 3" xfId="11674" xr:uid="{DF843230-A66E-47A0-AAF8-56178B29F8D1}"/>
    <cellStyle name="Normal 9 2 3 4 3" xfId="5297" xr:uid="{00000000-0005-0000-0000-00004C1F0000}"/>
    <cellStyle name="Normal 9 2 3 4 3 2" xfId="13747" xr:uid="{3F795D3D-451C-4D80-8F19-6F56A8CF29B3}"/>
    <cellStyle name="Normal 9 2 3 4 4" xfId="9529" xr:uid="{55F8F979-7A76-41A6-85FB-6A8780FB9574}"/>
    <cellStyle name="Normal 9 2 3 5" xfId="1403" xr:uid="{00000000-0005-0000-0000-00004D1F0000}"/>
    <cellStyle name="Normal 9 2 3 5 2" xfId="3633" xr:uid="{00000000-0005-0000-0000-00004E1F0000}"/>
    <cellStyle name="Normal 9 2 3 5 2 2" xfId="7855" xr:uid="{00000000-0005-0000-0000-00004F1F0000}"/>
    <cellStyle name="Normal 9 2 3 5 2 2 2" xfId="16305" xr:uid="{BED8D7AA-D00F-4C15-A25E-8DB17D4E491D}"/>
    <cellStyle name="Normal 9 2 3 5 2 3" xfId="12087" xr:uid="{1D111A70-7715-412D-8270-DBD993803CAC}"/>
    <cellStyle name="Normal 9 2 3 5 3" xfId="5710" xr:uid="{00000000-0005-0000-0000-0000501F0000}"/>
    <cellStyle name="Normal 9 2 3 5 3 2" xfId="14160" xr:uid="{13B72605-4971-4FB8-92BF-5D32621D9388}"/>
    <cellStyle name="Normal 9 2 3 5 4" xfId="9942" xr:uid="{B1B4E370-539F-4D53-8322-548E0E458EB8}"/>
    <cellStyle name="Normal 9 2 3 6" xfId="1816" xr:uid="{00000000-0005-0000-0000-0000511F0000}"/>
    <cellStyle name="Normal 9 2 3 6 2" xfId="4046" xr:uid="{00000000-0005-0000-0000-0000521F0000}"/>
    <cellStyle name="Normal 9 2 3 6 2 2" xfId="8268" xr:uid="{00000000-0005-0000-0000-0000531F0000}"/>
    <cellStyle name="Normal 9 2 3 6 2 2 2" xfId="16718" xr:uid="{484086CE-60FD-421B-8C2C-FF7CAA59E6CD}"/>
    <cellStyle name="Normal 9 2 3 6 2 3" xfId="12500" xr:uid="{210C1D4B-A269-4485-9A49-3FCAA316E8BB}"/>
    <cellStyle name="Normal 9 2 3 6 3" xfId="6123" xr:uid="{00000000-0005-0000-0000-0000541F0000}"/>
    <cellStyle name="Normal 9 2 3 6 3 2" xfId="14573" xr:uid="{60A4B852-B500-43E4-B353-80BC584A2DA0}"/>
    <cellStyle name="Normal 9 2 3 6 4" xfId="10355" xr:uid="{34DC8753-6019-4D00-876D-7757820D7CC0}"/>
    <cellStyle name="Normal 9 2 3 7" xfId="2230" xr:uid="{00000000-0005-0000-0000-0000551F0000}"/>
    <cellStyle name="Normal 9 2 3 7 2" xfId="4459" xr:uid="{00000000-0005-0000-0000-0000561F0000}"/>
    <cellStyle name="Normal 9 2 3 7 2 2" xfId="8681" xr:uid="{00000000-0005-0000-0000-0000571F0000}"/>
    <cellStyle name="Normal 9 2 3 7 2 2 2" xfId="17131" xr:uid="{9DFA2A0B-B6B6-4218-AC22-DC10C925E28F}"/>
    <cellStyle name="Normal 9 2 3 7 2 3" xfId="12913" xr:uid="{80A02E1B-5EBE-450C-91F4-87CF4B542520}"/>
    <cellStyle name="Normal 9 2 3 7 3" xfId="6536" xr:uid="{00000000-0005-0000-0000-0000581F0000}"/>
    <cellStyle name="Normal 9 2 3 7 3 2" xfId="14986" xr:uid="{C24CD08C-9CC7-4000-89FC-74289F00CB90}"/>
    <cellStyle name="Normal 9 2 3 7 4" xfId="10768" xr:uid="{3ABB0EC0-7E8A-44AB-B02C-105826E9B930}"/>
    <cellStyle name="Normal 9 2 3 8" xfId="2666" xr:uid="{00000000-0005-0000-0000-0000591F0000}"/>
    <cellStyle name="Normal 9 2 3 8 2" xfId="6949" xr:uid="{00000000-0005-0000-0000-00005A1F0000}"/>
    <cellStyle name="Normal 9 2 3 8 2 2" xfId="15399" xr:uid="{F2195DA5-6553-4890-BEA1-9B638EE95159}"/>
    <cellStyle name="Normal 9 2 3 8 3" xfId="11181" xr:uid="{30023529-C795-498B-B96A-246AA4E6290A}"/>
    <cellStyle name="Normal 9 2 3 9" xfId="4884" xr:uid="{00000000-0005-0000-0000-00005B1F0000}"/>
    <cellStyle name="Normal 9 2 3 9 2" xfId="13334" xr:uid="{37C3B57B-0B29-416E-9442-664B529C4C24}"/>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2 2 2" xfId="15897" xr:uid="{E36DB926-6067-47B2-838B-B980383CA84F}"/>
    <cellStyle name="Normal 9 2 4 2 2 2 3" xfId="11679" xr:uid="{69650853-88C0-404F-8856-058D8F8B430B}"/>
    <cellStyle name="Normal 9 2 4 2 2 3" xfId="5302" xr:uid="{00000000-0005-0000-0000-0000611F0000}"/>
    <cellStyle name="Normal 9 2 4 2 2 3 2" xfId="13752" xr:uid="{F7FF9104-447E-4463-92C5-30039560034F}"/>
    <cellStyle name="Normal 9 2 4 2 2 4" xfId="9534" xr:uid="{AA385306-9334-458E-A5AF-8A20BB21DC56}"/>
    <cellStyle name="Normal 9 2 4 2 3" xfId="1408" xr:uid="{00000000-0005-0000-0000-0000621F0000}"/>
    <cellStyle name="Normal 9 2 4 2 3 2" xfId="3638" xr:uid="{00000000-0005-0000-0000-0000631F0000}"/>
    <cellStyle name="Normal 9 2 4 2 3 2 2" xfId="7860" xr:uid="{00000000-0005-0000-0000-0000641F0000}"/>
    <cellStyle name="Normal 9 2 4 2 3 2 2 2" xfId="16310" xr:uid="{4D062CD8-A590-4DF7-9E2A-2A147A99173D}"/>
    <cellStyle name="Normal 9 2 4 2 3 2 3" xfId="12092" xr:uid="{7A729C00-A755-4EF1-B147-D729756A3E29}"/>
    <cellStyle name="Normal 9 2 4 2 3 3" xfId="5715" xr:uid="{00000000-0005-0000-0000-0000651F0000}"/>
    <cellStyle name="Normal 9 2 4 2 3 3 2" xfId="14165" xr:uid="{E3A17B2A-1EC1-4FD5-9B67-A8B63A5FE0AC}"/>
    <cellStyle name="Normal 9 2 4 2 3 4" xfId="9947" xr:uid="{8F056979-B7CA-4C13-8BF9-50AB45F8B534}"/>
    <cellStyle name="Normal 9 2 4 2 4" xfId="1821" xr:uid="{00000000-0005-0000-0000-0000661F0000}"/>
    <cellStyle name="Normal 9 2 4 2 4 2" xfId="4051" xr:uid="{00000000-0005-0000-0000-0000671F0000}"/>
    <cellStyle name="Normal 9 2 4 2 4 2 2" xfId="8273" xr:uid="{00000000-0005-0000-0000-0000681F0000}"/>
    <cellStyle name="Normal 9 2 4 2 4 2 2 2" xfId="16723" xr:uid="{2B5BBBE0-CCFE-4E4D-B093-D76F4EE1506D}"/>
    <cellStyle name="Normal 9 2 4 2 4 2 3" xfId="12505" xr:uid="{A2C62FD4-EA4C-40EF-95EB-0511140303DA}"/>
    <cellStyle name="Normal 9 2 4 2 4 3" xfId="6128" xr:uid="{00000000-0005-0000-0000-0000691F0000}"/>
    <cellStyle name="Normal 9 2 4 2 4 3 2" xfId="14578" xr:uid="{3BC91A30-676A-4263-9F7F-E30B2478E6F3}"/>
    <cellStyle name="Normal 9 2 4 2 4 4" xfId="10360" xr:uid="{2645A958-377A-4492-949A-44FEA16F2793}"/>
    <cellStyle name="Normal 9 2 4 2 5" xfId="2235" xr:uid="{00000000-0005-0000-0000-00006A1F0000}"/>
    <cellStyle name="Normal 9 2 4 2 5 2" xfId="4464" xr:uid="{00000000-0005-0000-0000-00006B1F0000}"/>
    <cellStyle name="Normal 9 2 4 2 5 2 2" xfId="8686" xr:uid="{00000000-0005-0000-0000-00006C1F0000}"/>
    <cellStyle name="Normal 9 2 4 2 5 2 2 2" xfId="17136" xr:uid="{2C9696C4-4371-49C2-BE04-692FAEA6DF27}"/>
    <cellStyle name="Normal 9 2 4 2 5 2 3" xfId="12918" xr:uid="{277F2C9E-7B4D-4B5F-BA15-05FCEE8C631B}"/>
    <cellStyle name="Normal 9 2 4 2 5 3" xfId="6541" xr:uid="{00000000-0005-0000-0000-00006D1F0000}"/>
    <cellStyle name="Normal 9 2 4 2 5 3 2" xfId="14991" xr:uid="{DDEC1296-6874-4212-823C-D913806A2623}"/>
    <cellStyle name="Normal 9 2 4 2 5 4" xfId="10773" xr:uid="{942A2A1D-2D55-4487-85E5-EE6B3F839080}"/>
    <cellStyle name="Normal 9 2 4 2 6" xfId="2671" xr:uid="{00000000-0005-0000-0000-00006E1F0000}"/>
    <cellStyle name="Normal 9 2 4 2 6 2" xfId="6954" xr:uid="{00000000-0005-0000-0000-00006F1F0000}"/>
    <cellStyle name="Normal 9 2 4 2 6 2 2" xfId="15404" xr:uid="{F45D433A-A44D-4857-8E82-1E9120A74789}"/>
    <cellStyle name="Normal 9 2 4 2 6 3" xfId="11186" xr:uid="{36AFC762-C2E3-4479-BD34-4517E7AB4E60}"/>
    <cellStyle name="Normal 9 2 4 2 7" xfId="4889" xr:uid="{00000000-0005-0000-0000-0000701F0000}"/>
    <cellStyle name="Normal 9 2 4 2 7 2" xfId="13339" xr:uid="{3803BC72-1D27-401A-86A3-122CB55A69CD}"/>
    <cellStyle name="Normal 9 2 4 2 8" xfId="9121" xr:uid="{EE6A6F90-015B-4F18-9BCE-26824FC7F0BA}"/>
    <cellStyle name="Normal 9 2 4 3" xfId="991" xr:uid="{00000000-0005-0000-0000-0000711F0000}"/>
    <cellStyle name="Normal 9 2 4 3 2" xfId="3224" xr:uid="{00000000-0005-0000-0000-0000721F0000}"/>
    <cellStyle name="Normal 9 2 4 3 2 2" xfId="7446" xr:uid="{00000000-0005-0000-0000-0000731F0000}"/>
    <cellStyle name="Normal 9 2 4 3 2 2 2" xfId="15896" xr:uid="{C6AA6ECD-43C4-4052-8ACE-2F1A350956EE}"/>
    <cellStyle name="Normal 9 2 4 3 2 3" xfId="11678" xr:uid="{6A7F6009-F1E1-42BB-A1FC-73B2FF8F3CC6}"/>
    <cellStyle name="Normal 9 2 4 3 3" xfId="5301" xr:uid="{00000000-0005-0000-0000-0000741F0000}"/>
    <cellStyle name="Normal 9 2 4 3 3 2" xfId="13751" xr:uid="{4035AD86-A915-48E3-8926-1916D72CBE75}"/>
    <cellStyle name="Normal 9 2 4 3 4" xfId="9533" xr:uid="{279723E4-0BFF-4AC6-9726-06C91CC31F4B}"/>
    <cellStyle name="Normal 9 2 4 4" xfId="1407" xr:uid="{00000000-0005-0000-0000-0000751F0000}"/>
    <cellStyle name="Normal 9 2 4 4 2" xfId="3637" xr:uid="{00000000-0005-0000-0000-0000761F0000}"/>
    <cellStyle name="Normal 9 2 4 4 2 2" xfId="7859" xr:uid="{00000000-0005-0000-0000-0000771F0000}"/>
    <cellStyle name="Normal 9 2 4 4 2 2 2" xfId="16309" xr:uid="{21446D1B-C57B-4627-829D-50D70A738479}"/>
    <cellStyle name="Normal 9 2 4 4 2 3" xfId="12091" xr:uid="{2BE9A087-8252-4E3B-B6FA-F401945F8C6D}"/>
    <cellStyle name="Normal 9 2 4 4 3" xfId="5714" xr:uid="{00000000-0005-0000-0000-0000781F0000}"/>
    <cellStyle name="Normal 9 2 4 4 3 2" xfId="14164" xr:uid="{038308F1-484A-4113-89A9-151FAF2D07AB}"/>
    <cellStyle name="Normal 9 2 4 4 4" xfId="9946" xr:uid="{F18F272B-A72E-4D12-96D2-80F9D324D14E}"/>
    <cellStyle name="Normal 9 2 4 5" xfId="1820" xr:uid="{00000000-0005-0000-0000-0000791F0000}"/>
    <cellStyle name="Normal 9 2 4 5 2" xfId="4050" xr:uid="{00000000-0005-0000-0000-00007A1F0000}"/>
    <cellStyle name="Normal 9 2 4 5 2 2" xfId="8272" xr:uid="{00000000-0005-0000-0000-00007B1F0000}"/>
    <cellStyle name="Normal 9 2 4 5 2 2 2" xfId="16722" xr:uid="{ED65699F-7949-4D69-92F0-8D1E628E4F98}"/>
    <cellStyle name="Normal 9 2 4 5 2 3" xfId="12504" xr:uid="{5D1DDCFC-C1E4-481E-BBBE-77C79AFD2B90}"/>
    <cellStyle name="Normal 9 2 4 5 3" xfId="6127" xr:uid="{00000000-0005-0000-0000-00007C1F0000}"/>
    <cellStyle name="Normal 9 2 4 5 3 2" xfId="14577" xr:uid="{AA295F98-7C7E-443F-8C0D-0EABEBD75FC6}"/>
    <cellStyle name="Normal 9 2 4 5 4" xfId="10359" xr:uid="{6F0D076E-DABF-43D2-86BB-F1555E2B7C38}"/>
    <cellStyle name="Normal 9 2 4 6" xfId="2234" xr:uid="{00000000-0005-0000-0000-00007D1F0000}"/>
    <cellStyle name="Normal 9 2 4 6 2" xfId="4463" xr:uid="{00000000-0005-0000-0000-00007E1F0000}"/>
    <cellStyle name="Normal 9 2 4 6 2 2" xfId="8685" xr:uid="{00000000-0005-0000-0000-00007F1F0000}"/>
    <cellStyle name="Normal 9 2 4 6 2 2 2" xfId="17135" xr:uid="{3D362FCF-C4DC-4F17-BF66-38A0C428C79E}"/>
    <cellStyle name="Normal 9 2 4 6 2 3" xfId="12917" xr:uid="{56AF0D95-1226-4CF2-BB46-2DDDAA2A23EE}"/>
    <cellStyle name="Normal 9 2 4 6 3" xfId="6540" xr:uid="{00000000-0005-0000-0000-0000801F0000}"/>
    <cellStyle name="Normal 9 2 4 6 3 2" xfId="14990" xr:uid="{1D6A16EC-549B-4025-BDC9-686F1CF7C19E}"/>
    <cellStyle name="Normal 9 2 4 6 4" xfId="10772" xr:uid="{951823C9-6908-4513-95B7-97AD0E5B037E}"/>
    <cellStyle name="Normal 9 2 4 7" xfId="2670" xr:uid="{00000000-0005-0000-0000-0000811F0000}"/>
    <cellStyle name="Normal 9 2 4 7 2" xfId="6953" xr:uid="{00000000-0005-0000-0000-0000821F0000}"/>
    <cellStyle name="Normal 9 2 4 7 2 2" xfId="15403" xr:uid="{E7DD56DF-8E69-41DD-B7C6-30F9ECF6CEB4}"/>
    <cellStyle name="Normal 9 2 4 7 3" xfId="11185" xr:uid="{A9A3FFE4-A7DF-4DA8-8847-15E43A47D398}"/>
    <cellStyle name="Normal 9 2 4 8" xfId="4888" xr:uid="{00000000-0005-0000-0000-0000831F0000}"/>
    <cellStyle name="Normal 9 2 4 8 2" xfId="13338" xr:uid="{7D324126-A2A5-49BD-AAE9-540252F309A2}"/>
    <cellStyle name="Normal 9 2 4 9" xfId="9120" xr:uid="{85967710-778A-4EC3-862B-92B75880F57B}"/>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2 2 2" xfId="15898" xr:uid="{9C099316-DE97-4EC9-B572-34538B8FE6C2}"/>
    <cellStyle name="Normal 9 2 5 2 2 3" xfId="11680" xr:uid="{940D27C5-27A7-4219-BAA6-065193216D05}"/>
    <cellStyle name="Normal 9 2 5 2 3" xfId="5303" xr:uid="{00000000-0005-0000-0000-0000881F0000}"/>
    <cellStyle name="Normal 9 2 5 2 3 2" xfId="13753" xr:uid="{AB3174D8-6A4A-4BC1-B154-4F305181CCDB}"/>
    <cellStyle name="Normal 9 2 5 2 4" xfId="9535" xr:uid="{14570A29-5733-491D-B3C0-C4F96C723B4C}"/>
    <cellStyle name="Normal 9 2 5 3" xfId="1409" xr:uid="{00000000-0005-0000-0000-0000891F0000}"/>
    <cellStyle name="Normal 9 2 5 3 2" xfId="3639" xr:uid="{00000000-0005-0000-0000-00008A1F0000}"/>
    <cellStyle name="Normal 9 2 5 3 2 2" xfId="7861" xr:uid="{00000000-0005-0000-0000-00008B1F0000}"/>
    <cellStyle name="Normal 9 2 5 3 2 2 2" xfId="16311" xr:uid="{3FFD69FC-88D6-4D59-ADE0-DD239357F9B2}"/>
    <cellStyle name="Normal 9 2 5 3 2 3" xfId="12093" xr:uid="{DF665596-FD37-4CE8-B157-83A998D8E01A}"/>
    <cellStyle name="Normal 9 2 5 3 3" xfId="5716" xr:uid="{00000000-0005-0000-0000-00008C1F0000}"/>
    <cellStyle name="Normal 9 2 5 3 3 2" xfId="14166" xr:uid="{25C441CA-CD08-4954-9294-D18C3FD4E0AC}"/>
    <cellStyle name="Normal 9 2 5 3 4" xfId="9948" xr:uid="{7CFB8B55-FC99-4A7A-A861-57061FD5EE94}"/>
    <cellStyle name="Normal 9 2 5 4" xfId="1822" xr:uid="{00000000-0005-0000-0000-00008D1F0000}"/>
    <cellStyle name="Normal 9 2 5 4 2" xfId="4052" xr:uid="{00000000-0005-0000-0000-00008E1F0000}"/>
    <cellStyle name="Normal 9 2 5 4 2 2" xfId="8274" xr:uid="{00000000-0005-0000-0000-00008F1F0000}"/>
    <cellStyle name="Normal 9 2 5 4 2 2 2" xfId="16724" xr:uid="{94B759AF-E794-4F04-84BA-15E459039862}"/>
    <cellStyle name="Normal 9 2 5 4 2 3" xfId="12506" xr:uid="{C8248454-DA1F-41CA-B874-3E6F4E0854A5}"/>
    <cellStyle name="Normal 9 2 5 4 3" xfId="6129" xr:uid="{00000000-0005-0000-0000-0000901F0000}"/>
    <cellStyle name="Normal 9 2 5 4 3 2" xfId="14579" xr:uid="{60EA56A6-3D6D-4F0C-8251-77B915857A7F}"/>
    <cellStyle name="Normal 9 2 5 4 4" xfId="10361" xr:uid="{4E070FB1-8B85-4D24-A9C6-9601659E05CF}"/>
    <cellStyle name="Normal 9 2 5 5" xfId="2236" xr:uid="{00000000-0005-0000-0000-0000911F0000}"/>
    <cellStyle name="Normal 9 2 5 5 2" xfId="4465" xr:uid="{00000000-0005-0000-0000-0000921F0000}"/>
    <cellStyle name="Normal 9 2 5 5 2 2" xfId="8687" xr:uid="{00000000-0005-0000-0000-0000931F0000}"/>
    <cellStyle name="Normal 9 2 5 5 2 2 2" xfId="17137" xr:uid="{5D7F29C4-B9A5-45C0-A094-BFFF7E0A4889}"/>
    <cellStyle name="Normal 9 2 5 5 2 3" xfId="12919" xr:uid="{BFFE2BD4-457B-4517-B0AB-7FD9A4BD69AD}"/>
    <cellStyle name="Normal 9 2 5 5 3" xfId="6542" xr:uid="{00000000-0005-0000-0000-0000941F0000}"/>
    <cellStyle name="Normal 9 2 5 5 3 2" xfId="14992" xr:uid="{AB2ECE0D-924C-4A3F-B720-DCF7A761C715}"/>
    <cellStyle name="Normal 9 2 5 5 4" xfId="10774" xr:uid="{344A523F-24F7-4C22-A436-B2E650AFE06F}"/>
    <cellStyle name="Normal 9 2 5 6" xfId="2672" xr:uid="{00000000-0005-0000-0000-0000951F0000}"/>
    <cellStyle name="Normal 9 2 5 6 2" xfId="6955" xr:uid="{00000000-0005-0000-0000-0000961F0000}"/>
    <cellStyle name="Normal 9 2 5 6 2 2" xfId="15405" xr:uid="{4E67D758-43D3-465A-8155-838AD8CA73A9}"/>
    <cellStyle name="Normal 9 2 5 6 3" xfId="11187" xr:uid="{52C0A412-751D-468C-9FC4-E64D6D178DA9}"/>
    <cellStyle name="Normal 9 2 5 7" xfId="4890" xr:uid="{00000000-0005-0000-0000-0000971F0000}"/>
    <cellStyle name="Normal 9 2 5 7 2" xfId="13340" xr:uid="{CD927503-0660-4BF2-BCEA-811577539FB7}"/>
    <cellStyle name="Normal 9 2 5 8" xfId="9122" xr:uid="{15A00604-F363-4270-A90D-77E7E5C1E3C6}"/>
    <cellStyle name="Normal 9 2 6" xfId="978" xr:uid="{00000000-0005-0000-0000-0000981F0000}"/>
    <cellStyle name="Normal 9 2 6 2" xfId="3211" xr:uid="{00000000-0005-0000-0000-0000991F0000}"/>
    <cellStyle name="Normal 9 2 6 2 2" xfId="7433" xr:uid="{00000000-0005-0000-0000-00009A1F0000}"/>
    <cellStyle name="Normal 9 2 6 2 2 2" xfId="15883" xr:uid="{D58AE4C6-C0F0-48E7-8C8C-520081F6DDDE}"/>
    <cellStyle name="Normal 9 2 6 2 3" xfId="11665" xr:uid="{51495C74-5586-439E-BE1C-EB082248EF52}"/>
    <cellStyle name="Normal 9 2 6 3" xfId="5288" xr:uid="{00000000-0005-0000-0000-00009B1F0000}"/>
    <cellStyle name="Normal 9 2 6 3 2" xfId="13738" xr:uid="{BF67DB85-C602-4088-A0CF-2FCBDF1DFBAD}"/>
    <cellStyle name="Normal 9 2 6 4" xfId="9520" xr:uid="{8C766A5D-23FE-43DA-9D8A-2E7EF2631B69}"/>
    <cellStyle name="Normal 9 2 7" xfId="1394" xr:uid="{00000000-0005-0000-0000-00009C1F0000}"/>
    <cellStyle name="Normal 9 2 7 2" xfId="3624" xr:uid="{00000000-0005-0000-0000-00009D1F0000}"/>
    <cellStyle name="Normal 9 2 7 2 2" xfId="7846" xr:uid="{00000000-0005-0000-0000-00009E1F0000}"/>
    <cellStyle name="Normal 9 2 7 2 2 2" xfId="16296" xr:uid="{319A470E-9A8E-4235-A1F8-50B4063BF0B2}"/>
    <cellStyle name="Normal 9 2 7 2 3" xfId="12078" xr:uid="{903BACC9-35F3-46BE-A0DF-5DCAD80F22F3}"/>
    <cellStyle name="Normal 9 2 7 3" xfId="5701" xr:uid="{00000000-0005-0000-0000-00009F1F0000}"/>
    <cellStyle name="Normal 9 2 7 3 2" xfId="14151" xr:uid="{E0383C2C-D9B3-469E-BC9D-894D80A519FE}"/>
    <cellStyle name="Normal 9 2 7 4" xfId="9933" xr:uid="{8508DDA0-E4AE-4E89-91EA-2C13094619CA}"/>
    <cellStyle name="Normal 9 2 8" xfId="1807" xr:uid="{00000000-0005-0000-0000-0000A01F0000}"/>
    <cellStyle name="Normal 9 2 8 2" xfId="4037" xr:uid="{00000000-0005-0000-0000-0000A11F0000}"/>
    <cellStyle name="Normal 9 2 8 2 2" xfId="8259" xr:uid="{00000000-0005-0000-0000-0000A21F0000}"/>
    <cellStyle name="Normal 9 2 8 2 2 2" xfId="16709" xr:uid="{4898299C-AAC8-471E-A75A-094157D05C14}"/>
    <cellStyle name="Normal 9 2 8 2 3" xfId="12491" xr:uid="{37B5954A-61EB-4D80-ABDB-0F9EB92F7724}"/>
    <cellStyle name="Normal 9 2 8 3" xfId="6114" xr:uid="{00000000-0005-0000-0000-0000A31F0000}"/>
    <cellStyle name="Normal 9 2 8 3 2" xfId="14564" xr:uid="{7C73CB31-67BC-44E0-A58B-622C74F57D23}"/>
    <cellStyle name="Normal 9 2 8 4" xfId="10346" xr:uid="{F6AB2138-DD2E-4515-B3B7-59FA39BCC7B0}"/>
    <cellStyle name="Normal 9 2 9" xfId="2221" xr:uid="{00000000-0005-0000-0000-0000A41F0000}"/>
    <cellStyle name="Normal 9 2 9 2" xfId="4450" xr:uid="{00000000-0005-0000-0000-0000A51F0000}"/>
    <cellStyle name="Normal 9 2 9 2 2" xfId="8672" xr:uid="{00000000-0005-0000-0000-0000A61F0000}"/>
    <cellStyle name="Normal 9 2 9 2 2 2" xfId="17122" xr:uid="{02F13391-B156-472B-B94E-93CADF6822AF}"/>
    <cellStyle name="Normal 9 2 9 2 3" xfId="12904" xr:uid="{689D00C4-48C9-4D1B-A0F9-DC3B4B1CD176}"/>
    <cellStyle name="Normal 9 2 9 3" xfId="6527" xr:uid="{00000000-0005-0000-0000-0000A71F0000}"/>
    <cellStyle name="Normal 9 2 9 3 2" xfId="14977" xr:uid="{EB3ED65C-A80B-48A7-B95B-1172ECA28E41}"/>
    <cellStyle name="Normal 9 2 9 4" xfId="10759" xr:uid="{E15E40F5-15BC-40B0-8E21-2A87EB784FCC}"/>
    <cellStyle name="Normal 9 3" xfId="527" xr:uid="{00000000-0005-0000-0000-0000A81F0000}"/>
    <cellStyle name="Normal 9 3 10" xfId="4891" xr:uid="{00000000-0005-0000-0000-0000A91F0000}"/>
    <cellStyle name="Normal 9 3 10 2" xfId="13341" xr:uid="{FE833A68-6BDA-42C3-8489-1F424E2DF61B}"/>
    <cellStyle name="Normal 9 3 11" xfId="9123" xr:uid="{947B75CA-0F90-466C-8B5A-D4A81780576E}"/>
    <cellStyle name="Normal 9 3 2" xfId="528" xr:uid="{00000000-0005-0000-0000-0000AA1F0000}"/>
    <cellStyle name="Normal 9 3 2 10" xfId="9124" xr:uid="{41B65179-BAFA-48E0-B572-D411308EA11D}"/>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2 2 2" xfId="15902" xr:uid="{F632A4D6-F67A-465A-A27B-D0BCF21FE836}"/>
    <cellStyle name="Normal 9 3 2 2 2 2 2 3" xfId="11684" xr:uid="{E680C345-ADC0-4565-9199-39B5ED43A527}"/>
    <cellStyle name="Normal 9 3 2 2 2 2 3" xfId="5307" xr:uid="{00000000-0005-0000-0000-0000B01F0000}"/>
    <cellStyle name="Normal 9 3 2 2 2 2 3 2" xfId="13757" xr:uid="{CE1FAE93-AA92-4201-B962-C2C21CE89632}"/>
    <cellStyle name="Normal 9 3 2 2 2 2 4" xfId="9539" xr:uid="{B3C0DF6B-FB9E-4000-BFCB-6786B7A4755C}"/>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2 2 2" xfId="16315" xr:uid="{157A85A3-ED09-4800-9575-E06E07AC93FB}"/>
    <cellStyle name="Normal 9 3 2 2 2 3 2 3" xfId="12097" xr:uid="{2A5CA878-3AEA-4985-B6DB-5B76BF081DE1}"/>
    <cellStyle name="Normal 9 3 2 2 2 3 3" xfId="5720" xr:uid="{00000000-0005-0000-0000-0000B41F0000}"/>
    <cellStyle name="Normal 9 3 2 2 2 3 3 2" xfId="14170" xr:uid="{53CD48B2-97C4-4A47-9173-F50A982883D5}"/>
    <cellStyle name="Normal 9 3 2 2 2 3 4" xfId="9952" xr:uid="{F68D8685-F2E4-48DA-8F73-50A69830C1C6}"/>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2 2 2" xfId="16728" xr:uid="{035659C7-7816-4F63-A2BC-BCE3B0263F32}"/>
    <cellStyle name="Normal 9 3 2 2 2 4 2 3" xfId="12510" xr:uid="{E743F51B-4097-482A-8429-F1039400C481}"/>
    <cellStyle name="Normal 9 3 2 2 2 4 3" xfId="6133" xr:uid="{00000000-0005-0000-0000-0000B81F0000}"/>
    <cellStyle name="Normal 9 3 2 2 2 4 3 2" xfId="14583" xr:uid="{75D7CC55-E302-4286-9E7D-A2A675A069BB}"/>
    <cellStyle name="Normal 9 3 2 2 2 4 4" xfId="10365" xr:uid="{AE0CCB89-87AE-4637-9008-233786C69684}"/>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2 2 2" xfId="17141" xr:uid="{388D8966-B235-4F29-B942-027B9642C3E7}"/>
    <cellStyle name="Normal 9 3 2 2 2 5 2 3" xfId="12923" xr:uid="{6E07C96D-E798-4377-8C87-E0CF9EF7E57F}"/>
    <cellStyle name="Normal 9 3 2 2 2 5 3" xfId="6546" xr:uid="{00000000-0005-0000-0000-0000BC1F0000}"/>
    <cellStyle name="Normal 9 3 2 2 2 5 3 2" xfId="14996" xr:uid="{4B05F892-3BDA-4A37-9A37-D7F4A03FF4A8}"/>
    <cellStyle name="Normal 9 3 2 2 2 5 4" xfId="10778" xr:uid="{C39CFC53-4825-4EB2-99AD-8BF9DD590677}"/>
    <cellStyle name="Normal 9 3 2 2 2 6" xfId="2676" xr:uid="{00000000-0005-0000-0000-0000BD1F0000}"/>
    <cellStyle name="Normal 9 3 2 2 2 6 2" xfId="6959" xr:uid="{00000000-0005-0000-0000-0000BE1F0000}"/>
    <cellStyle name="Normal 9 3 2 2 2 6 2 2" xfId="15409" xr:uid="{FC9ED999-DE15-42A0-8FB7-9C4374776A3A}"/>
    <cellStyle name="Normal 9 3 2 2 2 6 3" xfId="11191" xr:uid="{9628AA14-2BC7-4AFA-BE1D-D54625A7402E}"/>
    <cellStyle name="Normal 9 3 2 2 2 7" xfId="4894" xr:uid="{00000000-0005-0000-0000-0000BF1F0000}"/>
    <cellStyle name="Normal 9 3 2 2 2 7 2" xfId="13344" xr:uid="{E8B84A6F-04C8-4873-B852-F01714DF6F98}"/>
    <cellStyle name="Normal 9 3 2 2 2 8" xfId="9126" xr:uid="{298DDE9A-6A5D-4AF5-98E7-A445A05FDEC8}"/>
    <cellStyle name="Normal 9 3 2 2 3" xfId="996" xr:uid="{00000000-0005-0000-0000-0000C01F0000}"/>
    <cellStyle name="Normal 9 3 2 2 3 2" xfId="3229" xr:uid="{00000000-0005-0000-0000-0000C11F0000}"/>
    <cellStyle name="Normal 9 3 2 2 3 2 2" xfId="7451" xr:uid="{00000000-0005-0000-0000-0000C21F0000}"/>
    <cellStyle name="Normal 9 3 2 2 3 2 2 2" xfId="15901" xr:uid="{2137AF38-897D-4BDC-ADFD-B80FC94E903B}"/>
    <cellStyle name="Normal 9 3 2 2 3 2 3" xfId="11683" xr:uid="{02543395-9C10-4511-8F19-9D4BA80D4F7C}"/>
    <cellStyle name="Normal 9 3 2 2 3 3" xfId="5306" xr:uid="{00000000-0005-0000-0000-0000C31F0000}"/>
    <cellStyle name="Normal 9 3 2 2 3 3 2" xfId="13756" xr:uid="{676E7018-CD11-42E4-AB2D-10EC04695AD2}"/>
    <cellStyle name="Normal 9 3 2 2 3 4" xfId="9538" xr:uid="{707F6DB2-4F90-455D-A206-CE0360A80397}"/>
    <cellStyle name="Normal 9 3 2 2 4" xfId="1412" xr:uid="{00000000-0005-0000-0000-0000C41F0000}"/>
    <cellStyle name="Normal 9 3 2 2 4 2" xfId="3642" xr:uid="{00000000-0005-0000-0000-0000C51F0000}"/>
    <cellStyle name="Normal 9 3 2 2 4 2 2" xfId="7864" xr:uid="{00000000-0005-0000-0000-0000C61F0000}"/>
    <cellStyle name="Normal 9 3 2 2 4 2 2 2" xfId="16314" xr:uid="{1C0113AA-8A64-4884-959E-419A880449A2}"/>
    <cellStyle name="Normal 9 3 2 2 4 2 3" xfId="12096" xr:uid="{4E338016-CCA4-4032-9383-5E592D1CE7DA}"/>
    <cellStyle name="Normal 9 3 2 2 4 3" xfId="5719" xr:uid="{00000000-0005-0000-0000-0000C71F0000}"/>
    <cellStyle name="Normal 9 3 2 2 4 3 2" xfId="14169" xr:uid="{E6D74F0C-6A95-4A77-9BE5-12DB76682F5F}"/>
    <cellStyle name="Normal 9 3 2 2 4 4" xfId="9951" xr:uid="{404AC309-F615-4CD2-AE2C-402E6DFD5B47}"/>
    <cellStyle name="Normal 9 3 2 2 5" xfId="1825" xr:uid="{00000000-0005-0000-0000-0000C81F0000}"/>
    <cellStyle name="Normal 9 3 2 2 5 2" xfId="4055" xr:uid="{00000000-0005-0000-0000-0000C91F0000}"/>
    <cellStyle name="Normal 9 3 2 2 5 2 2" xfId="8277" xr:uid="{00000000-0005-0000-0000-0000CA1F0000}"/>
    <cellStyle name="Normal 9 3 2 2 5 2 2 2" xfId="16727" xr:uid="{4DB3BD6C-5F42-4FCC-8149-896CD6562863}"/>
    <cellStyle name="Normal 9 3 2 2 5 2 3" xfId="12509" xr:uid="{5437D528-73EF-4035-953C-B904498E456F}"/>
    <cellStyle name="Normal 9 3 2 2 5 3" xfId="6132" xr:uid="{00000000-0005-0000-0000-0000CB1F0000}"/>
    <cellStyle name="Normal 9 3 2 2 5 3 2" xfId="14582" xr:uid="{B3C311FC-D060-46E1-A1F3-5927272C4450}"/>
    <cellStyle name="Normal 9 3 2 2 5 4" xfId="10364" xr:uid="{EECDE73B-CED9-479B-867B-36C188C87E70}"/>
    <cellStyle name="Normal 9 3 2 2 6" xfId="2239" xr:uid="{00000000-0005-0000-0000-0000CC1F0000}"/>
    <cellStyle name="Normal 9 3 2 2 6 2" xfId="4468" xr:uid="{00000000-0005-0000-0000-0000CD1F0000}"/>
    <cellStyle name="Normal 9 3 2 2 6 2 2" xfId="8690" xr:uid="{00000000-0005-0000-0000-0000CE1F0000}"/>
    <cellStyle name="Normal 9 3 2 2 6 2 2 2" xfId="17140" xr:uid="{DEC55B69-460C-408B-AD72-27FFF8226325}"/>
    <cellStyle name="Normal 9 3 2 2 6 2 3" xfId="12922" xr:uid="{D39B1FE5-BA51-4E6A-865F-646DB0C63FE1}"/>
    <cellStyle name="Normal 9 3 2 2 6 3" xfId="6545" xr:uid="{00000000-0005-0000-0000-0000CF1F0000}"/>
    <cellStyle name="Normal 9 3 2 2 6 3 2" xfId="14995" xr:uid="{DD7DFED1-7AEE-41A7-949A-3E3A296B3C35}"/>
    <cellStyle name="Normal 9 3 2 2 6 4" xfId="10777" xr:uid="{2C3EE88B-00CE-4897-ADBA-A85F27F1BE9A}"/>
    <cellStyle name="Normal 9 3 2 2 7" xfId="2675" xr:uid="{00000000-0005-0000-0000-0000D01F0000}"/>
    <cellStyle name="Normal 9 3 2 2 7 2" xfId="6958" xr:uid="{00000000-0005-0000-0000-0000D11F0000}"/>
    <cellStyle name="Normal 9 3 2 2 7 2 2" xfId="15408" xr:uid="{D2A1377A-BBC9-40BE-B696-DB3E1969DEFE}"/>
    <cellStyle name="Normal 9 3 2 2 7 3" xfId="11190" xr:uid="{F0D75F8A-7035-4BF1-974E-062CD78F5EB2}"/>
    <cellStyle name="Normal 9 3 2 2 8" xfId="4893" xr:uid="{00000000-0005-0000-0000-0000D21F0000}"/>
    <cellStyle name="Normal 9 3 2 2 8 2" xfId="13343" xr:uid="{355C1DD6-1E59-4A6F-9DD0-34DEEE723759}"/>
    <cellStyle name="Normal 9 3 2 2 9" xfId="9125" xr:uid="{6242498B-332A-4D7D-AA86-5048FEC65D9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2 2 2" xfId="15903" xr:uid="{757BBAFF-B1DD-4A35-AF5B-04118CF28E64}"/>
    <cellStyle name="Normal 9 3 2 3 2 2 3" xfId="11685" xr:uid="{151EC8A7-3403-408F-9F9E-BB72DCC71332}"/>
    <cellStyle name="Normal 9 3 2 3 2 3" xfId="5308" xr:uid="{00000000-0005-0000-0000-0000D71F0000}"/>
    <cellStyle name="Normal 9 3 2 3 2 3 2" xfId="13758" xr:uid="{25428C24-30E4-4F38-9FFC-6F1BDF286628}"/>
    <cellStyle name="Normal 9 3 2 3 2 4" xfId="9540" xr:uid="{1D666D13-052F-496F-91EE-61FFC9DEBE20}"/>
    <cellStyle name="Normal 9 3 2 3 3" xfId="1414" xr:uid="{00000000-0005-0000-0000-0000D81F0000}"/>
    <cellStyle name="Normal 9 3 2 3 3 2" xfId="3644" xr:uid="{00000000-0005-0000-0000-0000D91F0000}"/>
    <cellStyle name="Normal 9 3 2 3 3 2 2" xfId="7866" xr:uid="{00000000-0005-0000-0000-0000DA1F0000}"/>
    <cellStyle name="Normal 9 3 2 3 3 2 2 2" xfId="16316" xr:uid="{7920B2E5-98C7-41E8-BE4E-F0C052913D12}"/>
    <cellStyle name="Normal 9 3 2 3 3 2 3" xfId="12098" xr:uid="{A292C01C-AB49-4182-943E-AE9684BD1479}"/>
    <cellStyle name="Normal 9 3 2 3 3 3" xfId="5721" xr:uid="{00000000-0005-0000-0000-0000DB1F0000}"/>
    <cellStyle name="Normal 9 3 2 3 3 3 2" xfId="14171" xr:uid="{25CC219C-88D6-4100-BA2A-98B28D7ACD84}"/>
    <cellStyle name="Normal 9 3 2 3 3 4" xfId="9953" xr:uid="{86736D01-AC11-4C67-985C-0487F4039CA7}"/>
    <cellStyle name="Normal 9 3 2 3 4" xfId="1827" xr:uid="{00000000-0005-0000-0000-0000DC1F0000}"/>
    <cellStyle name="Normal 9 3 2 3 4 2" xfId="4057" xr:uid="{00000000-0005-0000-0000-0000DD1F0000}"/>
    <cellStyle name="Normal 9 3 2 3 4 2 2" xfId="8279" xr:uid="{00000000-0005-0000-0000-0000DE1F0000}"/>
    <cellStyle name="Normal 9 3 2 3 4 2 2 2" xfId="16729" xr:uid="{318A5674-DF56-483E-ADAE-4AA9EE170D2C}"/>
    <cellStyle name="Normal 9 3 2 3 4 2 3" xfId="12511" xr:uid="{68618A9B-0E0F-446A-AE63-0B071ED97450}"/>
    <cellStyle name="Normal 9 3 2 3 4 3" xfId="6134" xr:uid="{00000000-0005-0000-0000-0000DF1F0000}"/>
    <cellStyle name="Normal 9 3 2 3 4 3 2" xfId="14584" xr:uid="{B1C21B5D-B878-428C-B57D-5E3C60C721D8}"/>
    <cellStyle name="Normal 9 3 2 3 4 4" xfId="10366" xr:uid="{15B5D1E1-76E3-4503-BBC0-926EF9159CFA}"/>
    <cellStyle name="Normal 9 3 2 3 5" xfId="2241" xr:uid="{00000000-0005-0000-0000-0000E01F0000}"/>
    <cellStyle name="Normal 9 3 2 3 5 2" xfId="4470" xr:uid="{00000000-0005-0000-0000-0000E11F0000}"/>
    <cellStyle name="Normal 9 3 2 3 5 2 2" xfId="8692" xr:uid="{00000000-0005-0000-0000-0000E21F0000}"/>
    <cellStyle name="Normal 9 3 2 3 5 2 2 2" xfId="17142" xr:uid="{555202F9-1145-4F14-A2B1-47E49C908727}"/>
    <cellStyle name="Normal 9 3 2 3 5 2 3" xfId="12924" xr:uid="{B8E1B9D9-0022-4EE2-BAB5-38F653D4644B}"/>
    <cellStyle name="Normal 9 3 2 3 5 3" xfId="6547" xr:uid="{00000000-0005-0000-0000-0000E31F0000}"/>
    <cellStyle name="Normal 9 3 2 3 5 3 2" xfId="14997" xr:uid="{9CDB0BA7-4292-485C-B85E-8769DBE7A62D}"/>
    <cellStyle name="Normal 9 3 2 3 5 4" xfId="10779" xr:uid="{DE02096F-D383-49F6-B961-131A67EB70D6}"/>
    <cellStyle name="Normal 9 3 2 3 6" xfId="2677" xr:uid="{00000000-0005-0000-0000-0000E41F0000}"/>
    <cellStyle name="Normal 9 3 2 3 6 2" xfId="6960" xr:uid="{00000000-0005-0000-0000-0000E51F0000}"/>
    <cellStyle name="Normal 9 3 2 3 6 2 2" xfId="15410" xr:uid="{B7536B33-FCF2-41AB-93B6-20BE7C22772E}"/>
    <cellStyle name="Normal 9 3 2 3 6 3" xfId="11192" xr:uid="{30A6A7C3-76BA-4712-A6BE-4399ABA10BA0}"/>
    <cellStyle name="Normal 9 3 2 3 7" xfId="4895" xr:uid="{00000000-0005-0000-0000-0000E61F0000}"/>
    <cellStyle name="Normal 9 3 2 3 7 2" xfId="13345" xr:uid="{909E5AE7-9269-4673-BF89-6EFDEC2FB9F3}"/>
    <cellStyle name="Normal 9 3 2 3 8" xfId="9127" xr:uid="{80400BDE-FEB1-49B4-B49F-A9B69EA7AEA1}"/>
    <cellStyle name="Normal 9 3 2 4" xfId="995" xr:uid="{00000000-0005-0000-0000-0000E71F0000}"/>
    <cellStyle name="Normal 9 3 2 4 2" xfId="3228" xr:uid="{00000000-0005-0000-0000-0000E81F0000}"/>
    <cellStyle name="Normal 9 3 2 4 2 2" xfId="7450" xr:uid="{00000000-0005-0000-0000-0000E91F0000}"/>
    <cellStyle name="Normal 9 3 2 4 2 2 2" xfId="15900" xr:uid="{5E5E10A3-4FA1-4CDC-97DE-FCA1F1A7CAC1}"/>
    <cellStyle name="Normal 9 3 2 4 2 3" xfId="11682" xr:uid="{9AD2E04D-CA2B-4672-9CFF-7B677889E94E}"/>
    <cellStyle name="Normal 9 3 2 4 3" xfId="5305" xr:uid="{00000000-0005-0000-0000-0000EA1F0000}"/>
    <cellStyle name="Normal 9 3 2 4 3 2" xfId="13755" xr:uid="{40F3A36E-AF8D-464D-B0ED-DED7B658A1D2}"/>
    <cellStyle name="Normal 9 3 2 4 4" xfId="9537" xr:uid="{134DD00A-CF3F-4A9C-BC8E-42FCDF8A8A39}"/>
    <cellStyle name="Normal 9 3 2 5" xfId="1411" xr:uid="{00000000-0005-0000-0000-0000EB1F0000}"/>
    <cellStyle name="Normal 9 3 2 5 2" xfId="3641" xr:uid="{00000000-0005-0000-0000-0000EC1F0000}"/>
    <cellStyle name="Normal 9 3 2 5 2 2" xfId="7863" xr:uid="{00000000-0005-0000-0000-0000ED1F0000}"/>
    <cellStyle name="Normal 9 3 2 5 2 2 2" xfId="16313" xr:uid="{E5A8439A-2AE0-4F11-ACCF-3B576FAC9F2F}"/>
    <cellStyle name="Normal 9 3 2 5 2 3" xfId="12095" xr:uid="{3FA900FD-C080-4275-AE97-C0A2B0F85FFA}"/>
    <cellStyle name="Normal 9 3 2 5 3" xfId="5718" xr:uid="{00000000-0005-0000-0000-0000EE1F0000}"/>
    <cellStyle name="Normal 9 3 2 5 3 2" xfId="14168" xr:uid="{4EDBB190-A4C5-47F4-A46D-36FFEA06C5B8}"/>
    <cellStyle name="Normal 9 3 2 5 4" xfId="9950" xr:uid="{C11A8A4D-42E6-4283-BBC2-0B1A40E4B22D}"/>
    <cellStyle name="Normal 9 3 2 6" xfId="1824" xr:uid="{00000000-0005-0000-0000-0000EF1F0000}"/>
    <cellStyle name="Normal 9 3 2 6 2" xfId="4054" xr:uid="{00000000-0005-0000-0000-0000F01F0000}"/>
    <cellStyle name="Normal 9 3 2 6 2 2" xfId="8276" xr:uid="{00000000-0005-0000-0000-0000F11F0000}"/>
    <cellStyle name="Normal 9 3 2 6 2 2 2" xfId="16726" xr:uid="{8561A7D7-0519-4CB8-A47A-ACC2686B7479}"/>
    <cellStyle name="Normal 9 3 2 6 2 3" xfId="12508" xr:uid="{A36A4DDF-0026-40EF-9EEE-BE84ABAB902D}"/>
    <cellStyle name="Normal 9 3 2 6 3" xfId="6131" xr:uid="{00000000-0005-0000-0000-0000F21F0000}"/>
    <cellStyle name="Normal 9 3 2 6 3 2" xfId="14581" xr:uid="{21BA762D-38AC-4EAD-BD0F-7B1FF9DEA3D8}"/>
    <cellStyle name="Normal 9 3 2 6 4" xfId="10363" xr:uid="{953F0E5B-9F1B-43C0-A623-57DA66E0B88F}"/>
    <cellStyle name="Normal 9 3 2 7" xfId="2238" xr:uid="{00000000-0005-0000-0000-0000F31F0000}"/>
    <cellStyle name="Normal 9 3 2 7 2" xfId="4467" xr:uid="{00000000-0005-0000-0000-0000F41F0000}"/>
    <cellStyle name="Normal 9 3 2 7 2 2" xfId="8689" xr:uid="{00000000-0005-0000-0000-0000F51F0000}"/>
    <cellStyle name="Normal 9 3 2 7 2 2 2" xfId="17139" xr:uid="{F9370F12-F317-45C1-9519-FC39C780EECB}"/>
    <cellStyle name="Normal 9 3 2 7 2 3" xfId="12921" xr:uid="{1CA7042F-F236-4E3D-921A-53A7812AFD62}"/>
    <cellStyle name="Normal 9 3 2 7 3" xfId="6544" xr:uid="{00000000-0005-0000-0000-0000F61F0000}"/>
    <cellStyle name="Normal 9 3 2 7 3 2" xfId="14994" xr:uid="{7D7E20A6-290D-4F60-A4E9-F9BBBD7B1847}"/>
    <cellStyle name="Normal 9 3 2 7 4" xfId="10776" xr:uid="{339C5672-95B5-4F91-872F-C196ED8F378F}"/>
    <cellStyle name="Normal 9 3 2 8" xfId="2674" xr:uid="{00000000-0005-0000-0000-0000F71F0000}"/>
    <cellStyle name="Normal 9 3 2 8 2" xfId="6957" xr:uid="{00000000-0005-0000-0000-0000F81F0000}"/>
    <cellStyle name="Normal 9 3 2 8 2 2" xfId="15407" xr:uid="{2557AE2E-F9B5-4772-8115-6F3F621FE7A8}"/>
    <cellStyle name="Normal 9 3 2 8 3" xfId="11189" xr:uid="{41B3E371-892E-4417-B782-3D3EB3715B99}"/>
    <cellStyle name="Normal 9 3 2 9" xfId="4892" xr:uid="{00000000-0005-0000-0000-0000F91F0000}"/>
    <cellStyle name="Normal 9 3 2 9 2" xfId="13342" xr:uid="{FE2C4923-100D-4B01-9878-0BA617F74184}"/>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2 2 2" xfId="15905" xr:uid="{170FDE83-1BB1-4F0E-BD9B-80D3682410C7}"/>
    <cellStyle name="Normal 9 3 3 2 2 2 3" xfId="11687" xr:uid="{A8F8613F-D327-4650-A171-383C47B61778}"/>
    <cellStyle name="Normal 9 3 3 2 2 3" xfId="5310" xr:uid="{00000000-0005-0000-0000-0000FF1F0000}"/>
    <cellStyle name="Normal 9 3 3 2 2 3 2" xfId="13760" xr:uid="{2F3BB265-259E-45AC-B009-F4435346C34D}"/>
    <cellStyle name="Normal 9 3 3 2 2 4" xfId="9542" xr:uid="{935CC48B-797F-498D-9C2C-6EE59D326140}"/>
    <cellStyle name="Normal 9 3 3 2 3" xfId="1416" xr:uid="{00000000-0005-0000-0000-000000200000}"/>
    <cellStyle name="Normal 9 3 3 2 3 2" xfId="3646" xr:uid="{00000000-0005-0000-0000-000001200000}"/>
    <cellStyle name="Normal 9 3 3 2 3 2 2" xfId="7868" xr:uid="{00000000-0005-0000-0000-000002200000}"/>
    <cellStyle name="Normal 9 3 3 2 3 2 2 2" xfId="16318" xr:uid="{E9B14E94-A94B-4492-986A-D85786EF3D66}"/>
    <cellStyle name="Normal 9 3 3 2 3 2 3" xfId="12100" xr:uid="{283F2446-D8BF-4C5B-B82C-A31A01630B61}"/>
    <cellStyle name="Normal 9 3 3 2 3 3" xfId="5723" xr:uid="{00000000-0005-0000-0000-000003200000}"/>
    <cellStyle name="Normal 9 3 3 2 3 3 2" xfId="14173" xr:uid="{6C210F26-7FEF-4821-B9B0-E5CCCD4EA9DD}"/>
    <cellStyle name="Normal 9 3 3 2 3 4" xfId="9955" xr:uid="{80927B5F-CB83-4DFC-9333-B2C38218E8A4}"/>
    <cellStyle name="Normal 9 3 3 2 4" xfId="1829" xr:uid="{00000000-0005-0000-0000-000004200000}"/>
    <cellStyle name="Normal 9 3 3 2 4 2" xfId="4059" xr:uid="{00000000-0005-0000-0000-000005200000}"/>
    <cellStyle name="Normal 9 3 3 2 4 2 2" xfId="8281" xr:uid="{00000000-0005-0000-0000-000006200000}"/>
    <cellStyle name="Normal 9 3 3 2 4 2 2 2" xfId="16731" xr:uid="{E3513808-6E7A-4968-9333-6EAE25894480}"/>
    <cellStyle name="Normal 9 3 3 2 4 2 3" xfId="12513" xr:uid="{1FC9E034-05A3-41A5-BCCE-49EB85812C0E}"/>
    <cellStyle name="Normal 9 3 3 2 4 3" xfId="6136" xr:uid="{00000000-0005-0000-0000-000007200000}"/>
    <cellStyle name="Normal 9 3 3 2 4 3 2" xfId="14586" xr:uid="{D302888E-F19D-4E5F-B4EE-C07DD26DC3D9}"/>
    <cellStyle name="Normal 9 3 3 2 4 4" xfId="10368" xr:uid="{E53BD755-967F-4E58-9A18-0F124A707B68}"/>
    <cellStyle name="Normal 9 3 3 2 5" xfId="2243" xr:uid="{00000000-0005-0000-0000-000008200000}"/>
    <cellStyle name="Normal 9 3 3 2 5 2" xfId="4472" xr:uid="{00000000-0005-0000-0000-000009200000}"/>
    <cellStyle name="Normal 9 3 3 2 5 2 2" xfId="8694" xr:uid="{00000000-0005-0000-0000-00000A200000}"/>
    <cellStyle name="Normal 9 3 3 2 5 2 2 2" xfId="17144" xr:uid="{409E82B6-4AEA-485B-864A-2A7544131A0C}"/>
    <cellStyle name="Normal 9 3 3 2 5 2 3" xfId="12926" xr:uid="{4F0B330E-86BB-46FE-9064-6C99B28C5D8A}"/>
    <cellStyle name="Normal 9 3 3 2 5 3" xfId="6549" xr:uid="{00000000-0005-0000-0000-00000B200000}"/>
    <cellStyle name="Normal 9 3 3 2 5 3 2" xfId="14999" xr:uid="{EE852DDE-B9E4-420B-9383-573B3C7DAE47}"/>
    <cellStyle name="Normal 9 3 3 2 5 4" xfId="10781" xr:uid="{8FBD67FE-8C0D-42CC-9DF8-E27B1A5F2FDC}"/>
    <cellStyle name="Normal 9 3 3 2 6" xfId="2679" xr:uid="{00000000-0005-0000-0000-00000C200000}"/>
    <cellStyle name="Normal 9 3 3 2 6 2" xfId="6962" xr:uid="{00000000-0005-0000-0000-00000D200000}"/>
    <cellStyle name="Normal 9 3 3 2 6 2 2" xfId="15412" xr:uid="{C6FCB84E-17D6-4542-9595-CBF75F769120}"/>
    <cellStyle name="Normal 9 3 3 2 6 3" xfId="11194" xr:uid="{A2A9FA83-16BF-43F4-8D41-6C91A835C71D}"/>
    <cellStyle name="Normal 9 3 3 2 7" xfId="4897" xr:uid="{00000000-0005-0000-0000-00000E200000}"/>
    <cellStyle name="Normal 9 3 3 2 7 2" xfId="13347" xr:uid="{B9046D99-89EE-4311-B587-59B077825E76}"/>
    <cellStyle name="Normal 9 3 3 2 8" xfId="9129" xr:uid="{E3A1E1AF-5263-45F7-A14A-061E53BDFEB0}"/>
    <cellStyle name="Normal 9 3 3 3" xfId="999" xr:uid="{00000000-0005-0000-0000-00000F200000}"/>
    <cellStyle name="Normal 9 3 3 3 2" xfId="3232" xr:uid="{00000000-0005-0000-0000-000010200000}"/>
    <cellStyle name="Normal 9 3 3 3 2 2" xfId="7454" xr:uid="{00000000-0005-0000-0000-000011200000}"/>
    <cellStyle name="Normal 9 3 3 3 2 2 2" xfId="15904" xr:uid="{055FAA28-2ECA-49F0-9FA3-5A9EF1BE1F71}"/>
    <cellStyle name="Normal 9 3 3 3 2 3" xfId="11686" xr:uid="{B8E8EC2B-A66F-44A7-AD0E-9728FB6F84A9}"/>
    <cellStyle name="Normal 9 3 3 3 3" xfId="5309" xr:uid="{00000000-0005-0000-0000-000012200000}"/>
    <cellStyle name="Normal 9 3 3 3 3 2" xfId="13759" xr:uid="{0E62B57B-7E22-4BEF-B932-FB7EE8798B1D}"/>
    <cellStyle name="Normal 9 3 3 3 4" xfId="9541" xr:uid="{BC79D3B1-1835-4280-AE30-B3DDB1D2CB33}"/>
    <cellStyle name="Normal 9 3 3 4" xfId="1415" xr:uid="{00000000-0005-0000-0000-000013200000}"/>
    <cellStyle name="Normal 9 3 3 4 2" xfId="3645" xr:uid="{00000000-0005-0000-0000-000014200000}"/>
    <cellStyle name="Normal 9 3 3 4 2 2" xfId="7867" xr:uid="{00000000-0005-0000-0000-000015200000}"/>
    <cellStyle name="Normal 9 3 3 4 2 2 2" xfId="16317" xr:uid="{71B300FF-D08E-4216-998F-FE89E048B586}"/>
    <cellStyle name="Normal 9 3 3 4 2 3" xfId="12099" xr:uid="{B68DF9D1-4D9C-451E-8242-5A8549C4DB09}"/>
    <cellStyle name="Normal 9 3 3 4 3" xfId="5722" xr:uid="{00000000-0005-0000-0000-000016200000}"/>
    <cellStyle name="Normal 9 3 3 4 3 2" xfId="14172" xr:uid="{917B0923-3E1A-4588-8315-F5513042F5E8}"/>
    <cellStyle name="Normal 9 3 3 4 4" xfId="9954" xr:uid="{9A4FF6CD-5F19-4259-9401-9CD58A868141}"/>
    <cellStyle name="Normal 9 3 3 5" xfId="1828" xr:uid="{00000000-0005-0000-0000-000017200000}"/>
    <cellStyle name="Normal 9 3 3 5 2" xfId="4058" xr:uid="{00000000-0005-0000-0000-000018200000}"/>
    <cellStyle name="Normal 9 3 3 5 2 2" xfId="8280" xr:uid="{00000000-0005-0000-0000-000019200000}"/>
    <cellStyle name="Normal 9 3 3 5 2 2 2" xfId="16730" xr:uid="{9411379C-68EE-491F-A827-BE8CBABA1308}"/>
    <cellStyle name="Normal 9 3 3 5 2 3" xfId="12512" xr:uid="{9259203A-99F0-4D93-8144-EDA62034880F}"/>
    <cellStyle name="Normal 9 3 3 5 3" xfId="6135" xr:uid="{00000000-0005-0000-0000-00001A200000}"/>
    <cellStyle name="Normal 9 3 3 5 3 2" xfId="14585" xr:uid="{8BB7984B-7496-462E-AD78-D1E18632E9C5}"/>
    <cellStyle name="Normal 9 3 3 5 4" xfId="10367" xr:uid="{941927C0-041B-4ACC-BB05-B5D7422450FB}"/>
    <cellStyle name="Normal 9 3 3 6" xfId="2242" xr:uid="{00000000-0005-0000-0000-00001B200000}"/>
    <cellStyle name="Normal 9 3 3 6 2" xfId="4471" xr:uid="{00000000-0005-0000-0000-00001C200000}"/>
    <cellStyle name="Normal 9 3 3 6 2 2" xfId="8693" xr:uid="{00000000-0005-0000-0000-00001D200000}"/>
    <cellStyle name="Normal 9 3 3 6 2 2 2" xfId="17143" xr:uid="{E375E4DF-60E9-41C3-AD2C-32CC02B69353}"/>
    <cellStyle name="Normal 9 3 3 6 2 3" xfId="12925" xr:uid="{D298BE94-60AA-474B-BB6E-202F0D7D95C7}"/>
    <cellStyle name="Normal 9 3 3 6 3" xfId="6548" xr:uid="{00000000-0005-0000-0000-00001E200000}"/>
    <cellStyle name="Normal 9 3 3 6 3 2" xfId="14998" xr:uid="{3C418CF4-332E-4061-A239-D232DD8A94E5}"/>
    <cellStyle name="Normal 9 3 3 6 4" xfId="10780" xr:uid="{2D31AC03-7DE9-470B-A1B4-774B3C74BA34}"/>
    <cellStyle name="Normal 9 3 3 7" xfId="2678" xr:uid="{00000000-0005-0000-0000-00001F200000}"/>
    <cellStyle name="Normal 9 3 3 7 2" xfId="6961" xr:uid="{00000000-0005-0000-0000-000020200000}"/>
    <cellStyle name="Normal 9 3 3 7 2 2" xfId="15411" xr:uid="{CD688A99-D92D-45AF-971F-293CCD1C6010}"/>
    <cellStyle name="Normal 9 3 3 7 3" xfId="11193" xr:uid="{FE0CE4D8-D1B6-4444-B1A5-D5DEF1518DAB}"/>
    <cellStyle name="Normal 9 3 3 8" xfId="4896" xr:uid="{00000000-0005-0000-0000-000021200000}"/>
    <cellStyle name="Normal 9 3 3 8 2" xfId="13346" xr:uid="{6B8D248B-2954-4501-8F27-150ACF2C62D1}"/>
    <cellStyle name="Normal 9 3 3 9" xfId="9128" xr:uid="{1C583769-3E69-49AF-9B09-EBCAB84108D8}"/>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2 2 2" xfId="15906" xr:uid="{8BD637ED-57E8-4695-BAD5-27471A42369E}"/>
    <cellStyle name="Normal 9 3 4 2 2 3" xfId="11688" xr:uid="{E2D0416E-5FA6-4150-BCC4-EC4276FFF5D6}"/>
    <cellStyle name="Normal 9 3 4 2 3" xfId="5311" xr:uid="{00000000-0005-0000-0000-000026200000}"/>
    <cellStyle name="Normal 9 3 4 2 3 2" xfId="13761" xr:uid="{93564648-D1C6-4027-8D08-A83E2A977478}"/>
    <cellStyle name="Normal 9 3 4 2 4" xfId="9543" xr:uid="{5D4F882D-21E6-43C1-91DB-FBEFA8449A93}"/>
    <cellStyle name="Normal 9 3 4 3" xfId="1417" xr:uid="{00000000-0005-0000-0000-000027200000}"/>
    <cellStyle name="Normal 9 3 4 3 2" xfId="3647" xr:uid="{00000000-0005-0000-0000-000028200000}"/>
    <cellStyle name="Normal 9 3 4 3 2 2" xfId="7869" xr:uid="{00000000-0005-0000-0000-000029200000}"/>
    <cellStyle name="Normal 9 3 4 3 2 2 2" xfId="16319" xr:uid="{DFBFB899-B773-4775-8ECF-C801BF5E1930}"/>
    <cellStyle name="Normal 9 3 4 3 2 3" xfId="12101" xr:uid="{C0464054-9F2E-4A04-A18E-45C71179866C}"/>
    <cellStyle name="Normal 9 3 4 3 3" xfId="5724" xr:uid="{00000000-0005-0000-0000-00002A200000}"/>
    <cellStyle name="Normal 9 3 4 3 3 2" xfId="14174" xr:uid="{41802C1A-3D20-48B4-B59C-67D2FBB2BE00}"/>
    <cellStyle name="Normal 9 3 4 3 4" xfId="9956" xr:uid="{728C8396-AD5C-4BAC-AC40-2C703798BEFD}"/>
    <cellStyle name="Normal 9 3 4 4" xfId="1830" xr:uid="{00000000-0005-0000-0000-00002B200000}"/>
    <cellStyle name="Normal 9 3 4 4 2" xfId="4060" xr:uid="{00000000-0005-0000-0000-00002C200000}"/>
    <cellStyle name="Normal 9 3 4 4 2 2" xfId="8282" xr:uid="{00000000-0005-0000-0000-00002D200000}"/>
    <cellStyle name="Normal 9 3 4 4 2 2 2" xfId="16732" xr:uid="{58951AFE-2441-4E8B-8DCB-04398D638CC3}"/>
    <cellStyle name="Normal 9 3 4 4 2 3" xfId="12514" xr:uid="{BBDB3E17-A850-467B-8250-76B521D532E9}"/>
    <cellStyle name="Normal 9 3 4 4 3" xfId="6137" xr:uid="{00000000-0005-0000-0000-00002E200000}"/>
    <cellStyle name="Normal 9 3 4 4 3 2" xfId="14587" xr:uid="{5F07C301-13E8-42C1-B7E7-30948FBC285D}"/>
    <cellStyle name="Normal 9 3 4 4 4" xfId="10369" xr:uid="{6C5CFC8C-6291-4DD4-8A0A-417836AC76FD}"/>
    <cellStyle name="Normal 9 3 4 5" xfId="2244" xr:uid="{00000000-0005-0000-0000-00002F200000}"/>
    <cellStyle name="Normal 9 3 4 5 2" xfId="4473" xr:uid="{00000000-0005-0000-0000-000030200000}"/>
    <cellStyle name="Normal 9 3 4 5 2 2" xfId="8695" xr:uid="{00000000-0005-0000-0000-000031200000}"/>
    <cellStyle name="Normal 9 3 4 5 2 2 2" xfId="17145" xr:uid="{54BDCC34-4B3B-418E-91E5-277995E3C2CD}"/>
    <cellStyle name="Normal 9 3 4 5 2 3" xfId="12927" xr:uid="{3BFB22EB-738D-4D35-A225-5D1548074563}"/>
    <cellStyle name="Normal 9 3 4 5 3" xfId="6550" xr:uid="{00000000-0005-0000-0000-000032200000}"/>
    <cellStyle name="Normal 9 3 4 5 3 2" xfId="15000" xr:uid="{39DEDBD4-3CCB-45A0-BEBA-AB09AE02E09A}"/>
    <cellStyle name="Normal 9 3 4 5 4" xfId="10782" xr:uid="{7DCFF89C-033A-46C3-8CBD-125EC05738F5}"/>
    <cellStyle name="Normal 9 3 4 6" xfId="2680" xr:uid="{00000000-0005-0000-0000-000033200000}"/>
    <cellStyle name="Normal 9 3 4 6 2" xfId="6963" xr:uid="{00000000-0005-0000-0000-000034200000}"/>
    <cellStyle name="Normal 9 3 4 6 2 2" xfId="15413" xr:uid="{01E50230-CC9E-4C7D-A7BD-363F4C1F69BC}"/>
    <cellStyle name="Normal 9 3 4 6 3" xfId="11195" xr:uid="{CA69CE01-727E-4F9A-8FB9-8DBAE6FDC32E}"/>
    <cellStyle name="Normal 9 3 4 7" xfId="4898" xr:uid="{00000000-0005-0000-0000-000035200000}"/>
    <cellStyle name="Normal 9 3 4 7 2" xfId="13348" xr:uid="{849AB3F7-702A-4F8E-84C1-31D0E723BA75}"/>
    <cellStyle name="Normal 9 3 4 8" xfId="9130" xr:uid="{FE55EDCC-8892-4CE4-8D59-34E09C0B9282}"/>
    <cellStyle name="Normal 9 3 5" xfId="994" xr:uid="{00000000-0005-0000-0000-000036200000}"/>
    <cellStyle name="Normal 9 3 5 2" xfId="3227" xr:uid="{00000000-0005-0000-0000-000037200000}"/>
    <cellStyle name="Normal 9 3 5 2 2" xfId="7449" xr:uid="{00000000-0005-0000-0000-000038200000}"/>
    <cellStyle name="Normal 9 3 5 2 2 2" xfId="15899" xr:uid="{81F1F214-06D6-474D-97EC-A9528F951A44}"/>
    <cellStyle name="Normal 9 3 5 2 3" xfId="11681" xr:uid="{D8D95EF9-024F-4A6E-A8F2-618570C31219}"/>
    <cellStyle name="Normal 9 3 5 3" xfId="5304" xr:uid="{00000000-0005-0000-0000-000039200000}"/>
    <cellStyle name="Normal 9 3 5 3 2" xfId="13754" xr:uid="{ED33DC84-FC3A-4F22-9F02-55BA8CD6858C}"/>
    <cellStyle name="Normal 9 3 5 4" xfId="9536" xr:uid="{8AB7435F-A866-43B5-98DA-0BCEA03A77E6}"/>
    <cellStyle name="Normal 9 3 6" xfId="1410" xr:uid="{00000000-0005-0000-0000-00003A200000}"/>
    <cellStyle name="Normal 9 3 6 2" xfId="3640" xr:uid="{00000000-0005-0000-0000-00003B200000}"/>
    <cellStyle name="Normal 9 3 6 2 2" xfId="7862" xr:uid="{00000000-0005-0000-0000-00003C200000}"/>
    <cellStyle name="Normal 9 3 6 2 2 2" xfId="16312" xr:uid="{3C392490-4AE2-4429-994B-3ED93D744C1F}"/>
    <cellStyle name="Normal 9 3 6 2 3" xfId="12094" xr:uid="{F38EEFE1-6242-4D8C-BCA6-39E470DA2506}"/>
    <cellStyle name="Normal 9 3 6 3" xfId="5717" xr:uid="{00000000-0005-0000-0000-00003D200000}"/>
    <cellStyle name="Normal 9 3 6 3 2" xfId="14167" xr:uid="{CBAC43F5-7F22-451A-A352-FDCFC97D4D1F}"/>
    <cellStyle name="Normal 9 3 6 4" xfId="9949" xr:uid="{97062FAE-0B05-43B4-81C7-73B9C09FD597}"/>
    <cellStyle name="Normal 9 3 7" xfId="1823" xr:uid="{00000000-0005-0000-0000-00003E200000}"/>
    <cellStyle name="Normal 9 3 7 2" xfId="4053" xr:uid="{00000000-0005-0000-0000-00003F200000}"/>
    <cellStyle name="Normal 9 3 7 2 2" xfId="8275" xr:uid="{00000000-0005-0000-0000-000040200000}"/>
    <cellStyle name="Normal 9 3 7 2 2 2" xfId="16725" xr:uid="{9E427524-9A45-415B-9723-73D0221B0030}"/>
    <cellStyle name="Normal 9 3 7 2 3" xfId="12507" xr:uid="{B89F668D-6D84-4AF9-AA35-C17C474B8727}"/>
    <cellStyle name="Normal 9 3 7 3" xfId="6130" xr:uid="{00000000-0005-0000-0000-000041200000}"/>
    <cellStyle name="Normal 9 3 7 3 2" xfId="14580" xr:uid="{E7B9B617-6CC1-4B28-84ED-A7ABEF5EF67D}"/>
    <cellStyle name="Normal 9 3 7 4" xfId="10362" xr:uid="{590E46D5-E02C-4CF7-8845-2A9EF1884171}"/>
    <cellStyle name="Normal 9 3 8" xfId="2237" xr:uid="{00000000-0005-0000-0000-000042200000}"/>
    <cellStyle name="Normal 9 3 8 2" xfId="4466" xr:uid="{00000000-0005-0000-0000-000043200000}"/>
    <cellStyle name="Normal 9 3 8 2 2" xfId="8688" xr:uid="{00000000-0005-0000-0000-000044200000}"/>
    <cellStyle name="Normal 9 3 8 2 2 2" xfId="17138" xr:uid="{10691993-6C3D-48BF-89E9-FB2D69F39624}"/>
    <cellStyle name="Normal 9 3 8 2 3" xfId="12920" xr:uid="{A3CFE3E3-F9A0-4AD1-9C7A-B07A630CDC31}"/>
    <cellStyle name="Normal 9 3 8 3" xfId="6543" xr:uid="{00000000-0005-0000-0000-000045200000}"/>
    <cellStyle name="Normal 9 3 8 3 2" xfId="14993" xr:uid="{2F60B647-2F10-4992-9A2F-E4CC789A61CA}"/>
    <cellStyle name="Normal 9 3 8 4" xfId="10775" xr:uid="{17BDB7AC-0C1E-4423-8EFC-71333245EBAC}"/>
    <cellStyle name="Normal 9 3 9" xfId="2673" xr:uid="{00000000-0005-0000-0000-000046200000}"/>
    <cellStyle name="Normal 9 3 9 2" xfId="6956" xr:uid="{00000000-0005-0000-0000-000047200000}"/>
    <cellStyle name="Normal 9 3 9 2 2" xfId="15406" xr:uid="{89BB8B20-6B81-4823-A3F3-7BF0502F847D}"/>
    <cellStyle name="Normal 9 3 9 3" xfId="11188" xr:uid="{D771280D-77D6-4AC3-B62F-DFE1D2C838E6}"/>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2 2 2" xfId="15908" xr:uid="{DCAA4A44-5E5C-4BFA-8FE2-5B802E6E5D88}"/>
    <cellStyle name="Normal 9 5 2 2 2 3" xfId="11690" xr:uid="{8C97D5FE-D948-49AE-B3EF-5B13E8BAB421}"/>
    <cellStyle name="Normal 9 5 2 2 3" xfId="5313" xr:uid="{00000000-0005-0000-0000-00004F200000}"/>
    <cellStyle name="Normal 9 5 2 2 3 2" xfId="13763" xr:uid="{6C24E599-DCCE-41BC-940B-762AB71D987D}"/>
    <cellStyle name="Normal 9 5 2 2 4" xfId="9545" xr:uid="{E49B05C1-5AA5-458E-904C-9CA59CE3A585}"/>
    <cellStyle name="Normal 9 5 2 3" xfId="1419" xr:uid="{00000000-0005-0000-0000-000050200000}"/>
    <cellStyle name="Normal 9 5 2 3 2" xfId="3649" xr:uid="{00000000-0005-0000-0000-000051200000}"/>
    <cellStyle name="Normal 9 5 2 3 2 2" xfId="7871" xr:uid="{00000000-0005-0000-0000-000052200000}"/>
    <cellStyle name="Normal 9 5 2 3 2 2 2" xfId="16321" xr:uid="{DC42F5BC-AB8A-4A9B-BCEC-D932F0EC10F9}"/>
    <cellStyle name="Normal 9 5 2 3 2 3" xfId="12103" xr:uid="{22A0C7C3-552A-46EC-8B10-AE97FACC7A8E}"/>
    <cellStyle name="Normal 9 5 2 3 3" xfId="5726" xr:uid="{00000000-0005-0000-0000-000053200000}"/>
    <cellStyle name="Normal 9 5 2 3 3 2" xfId="14176" xr:uid="{AF8C12BF-40A2-4295-B907-F3290C8393DB}"/>
    <cellStyle name="Normal 9 5 2 3 4" xfId="9958" xr:uid="{BB3A488F-2057-495F-889D-D0A982A87B88}"/>
    <cellStyle name="Normal 9 5 2 4" xfId="1832" xr:uid="{00000000-0005-0000-0000-000054200000}"/>
    <cellStyle name="Normal 9 5 2 4 2" xfId="4062" xr:uid="{00000000-0005-0000-0000-000055200000}"/>
    <cellStyle name="Normal 9 5 2 4 2 2" xfId="8284" xr:uid="{00000000-0005-0000-0000-000056200000}"/>
    <cellStyle name="Normal 9 5 2 4 2 2 2" xfId="16734" xr:uid="{5E016AD5-5D1B-4A08-B291-B078E51F8FCA}"/>
    <cellStyle name="Normal 9 5 2 4 2 3" xfId="12516" xr:uid="{4428D7E3-3ABC-43CD-BEF1-4252F067D9E1}"/>
    <cellStyle name="Normal 9 5 2 4 3" xfId="6139" xr:uid="{00000000-0005-0000-0000-000057200000}"/>
    <cellStyle name="Normal 9 5 2 4 3 2" xfId="14589" xr:uid="{36BD266F-E156-48B3-B975-78615D7035BD}"/>
    <cellStyle name="Normal 9 5 2 4 4" xfId="10371" xr:uid="{78078D8F-B14A-4E93-A454-5805AFD1D827}"/>
    <cellStyle name="Normal 9 5 2 5" xfId="2246" xr:uid="{00000000-0005-0000-0000-000058200000}"/>
    <cellStyle name="Normal 9 5 2 5 2" xfId="4475" xr:uid="{00000000-0005-0000-0000-000059200000}"/>
    <cellStyle name="Normal 9 5 2 5 2 2" xfId="8697" xr:uid="{00000000-0005-0000-0000-00005A200000}"/>
    <cellStyle name="Normal 9 5 2 5 2 2 2" xfId="17147" xr:uid="{079B719B-1271-453B-92B6-264B48258F47}"/>
    <cellStyle name="Normal 9 5 2 5 2 3" xfId="12929" xr:uid="{2703265A-82D6-4B94-B43E-45B5D151F78F}"/>
    <cellStyle name="Normal 9 5 2 5 3" xfId="6552" xr:uid="{00000000-0005-0000-0000-00005B200000}"/>
    <cellStyle name="Normal 9 5 2 5 3 2" xfId="15002" xr:uid="{90A9103F-58FE-4C23-883F-BAEA09BB3B25}"/>
    <cellStyle name="Normal 9 5 2 5 4" xfId="10784" xr:uid="{81B01731-03C3-417F-BB20-0733BFC44C8D}"/>
    <cellStyle name="Normal 9 5 2 6" xfId="2682" xr:uid="{00000000-0005-0000-0000-00005C200000}"/>
    <cellStyle name="Normal 9 5 2 6 2" xfId="6965" xr:uid="{00000000-0005-0000-0000-00005D200000}"/>
    <cellStyle name="Normal 9 5 2 6 2 2" xfId="15415" xr:uid="{29BD8DE5-5C6A-4171-9232-70C857D94C32}"/>
    <cellStyle name="Normal 9 5 2 6 3" xfId="11197" xr:uid="{1183C645-08FC-4A0B-9851-FB5525DDC5AD}"/>
    <cellStyle name="Normal 9 5 2 7" xfId="4900" xr:uid="{00000000-0005-0000-0000-00005E200000}"/>
    <cellStyle name="Normal 9 5 2 7 2" xfId="13350" xr:uid="{7AECE628-ADC6-4814-88EC-62EE75652536}"/>
    <cellStyle name="Normal 9 5 2 8" xfId="9132" xr:uid="{31DCC58C-5746-43C6-8D94-8E36E090C3FE}"/>
    <cellStyle name="Normal 9 5 3" xfId="1003" xr:uid="{00000000-0005-0000-0000-00005F200000}"/>
    <cellStyle name="Normal 9 5 3 2" xfId="3235" xr:uid="{00000000-0005-0000-0000-000060200000}"/>
    <cellStyle name="Normal 9 5 3 2 2" xfId="7457" xr:uid="{00000000-0005-0000-0000-000061200000}"/>
    <cellStyle name="Normal 9 5 3 2 2 2" xfId="15907" xr:uid="{A0CE2CAE-7A2E-48EE-AF1B-792F4023A710}"/>
    <cellStyle name="Normal 9 5 3 2 3" xfId="11689" xr:uid="{F0539CAE-7DA9-441C-9C10-C369B03A153B}"/>
    <cellStyle name="Normal 9 5 3 3" xfId="5312" xr:uid="{00000000-0005-0000-0000-000062200000}"/>
    <cellStyle name="Normal 9 5 3 3 2" xfId="13762" xr:uid="{3AA1CA6D-3094-4140-B4C5-3431DED8A26C}"/>
    <cellStyle name="Normal 9 5 3 4" xfId="9544" xr:uid="{5D65E750-AC90-49EB-8243-CD8AE31649C5}"/>
    <cellStyle name="Normal 9 5 4" xfId="1418" xr:uid="{00000000-0005-0000-0000-000063200000}"/>
    <cellStyle name="Normal 9 5 4 2" xfId="3648" xr:uid="{00000000-0005-0000-0000-000064200000}"/>
    <cellStyle name="Normal 9 5 4 2 2" xfId="7870" xr:uid="{00000000-0005-0000-0000-000065200000}"/>
    <cellStyle name="Normal 9 5 4 2 2 2" xfId="16320" xr:uid="{3F462211-34F2-40F2-803A-FAE7C08D1D9B}"/>
    <cellStyle name="Normal 9 5 4 2 3" xfId="12102" xr:uid="{B109D92D-784F-458C-8C70-20DDED8FA0CC}"/>
    <cellStyle name="Normal 9 5 4 3" xfId="5725" xr:uid="{00000000-0005-0000-0000-000066200000}"/>
    <cellStyle name="Normal 9 5 4 3 2" xfId="14175" xr:uid="{AEE28D1F-F647-4C96-9527-6E0CB5D4B009}"/>
    <cellStyle name="Normal 9 5 4 4" xfId="9957" xr:uid="{06B99931-374E-494A-BF20-47443ED62B07}"/>
    <cellStyle name="Normal 9 5 5" xfId="1831" xr:uid="{00000000-0005-0000-0000-000067200000}"/>
    <cellStyle name="Normal 9 5 5 2" xfId="4061" xr:uid="{00000000-0005-0000-0000-000068200000}"/>
    <cellStyle name="Normal 9 5 5 2 2" xfId="8283" xr:uid="{00000000-0005-0000-0000-000069200000}"/>
    <cellStyle name="Normal 9 5 5 2 2 2" xfId="16733" xr:uid="{32E75396-03AB-4851-9BF6-6FDA52494FC5}"/>
    <cellStyle name="Normal 9 5 5 2 3" xfId="12515" xr:uid="{2DE70607-26D6-469F-8424-C6A19F4D5BC7}"/>
    <cellStyle name="Normal 9 5 5 3" xfId="6138" xr:uid="{00000000-0005-0000-0000-00006A200000}"/>
    <cellStyle name="Normal 9 5 5 3 2" xfId="14588" xr:uid="{E5CA004D-F5E1-4AFC-A768-272AEA772C0F}"/>
    <cellStyle name="Normal 9 5 5 4" xfId="10370" xr:uid="{B7EB86C5-DE57-45B0-9D50-1B1B68E67558}"/>
    <cellStyle name="Normal 9 5 6" xfId="2245" xr:uid="{00000000-0005-0000-0000-00006B200000}"/>
    <cellStyle name="Normal 9 5 6 2" xfId="4474" xr:uid="{00000000-0005-0000-0000-00006C200000}"/>
    <cellStyle name="Normal 9 5 6 2 2" xfId="8696" xr:uid="{00000000-0005-0000-0000-00006D200000}"/>
    <cellStyle name="Normal 9 5 6 2 2 2" xfId="17146" xr:uid="{344D3BC7-6A19-43BB-A52B-6541F747CB92}"/>
    <cellStyle name="Normal 9 5 6 2 3" xfId="12928" xr:uid="{53626DF9-8E4A-4A54-9FB5-BAB64BE655F7}"/>
    <cellStyle name="Normal 9 5 6 3" xfId="6551" xr:uid="{00000000-0005-0000-0000-00006E200000}"/>
    <cellStyle name="Normal 9 5 6 3 2" xfId="15001" xr:uid="{17610320-75E3-4D63-AEB4-4E733A7BCCD8}"/>
    <cellStyle name="Normal 9 5 6 4" xfId="10783" xr:uid="{89A21A22-E4A8-4E0D-9A01-B3E7AEAEC719}"/>
    <cellStyle name="Normal 9 5 7" xfId="2681" xr:uid="{00000000-0005-0000-0000-00006F200000}"/>
    <cellStyle name="Normal 9 5 7 2" xfId="6964" xr:uid="{00000000-0005-0000-0000-000070200000}"/>
    <cellStyle name="Normal 9 5 7 2 2" xfId="15414" xr:uid="{E3DFE282-33DE-41F0-AE98-E075AF076A92}"/>
    <cellStyle name="Normal 9 5 7 3" xfId="11196" xr:uid="{14018859-AC4F-45D5-BB91-18988F69EB3C}"/>
    <cellStyle name="Normal 9 5 8" xfId="4899" xr:uid="{00000000-0005-0000-0000-000071200000}"/>
    <cellStyle name="Normal 9 5 8 2" xfId="13349" xr:uid="{A846FA45-3B01-44CF-A19F-FF071C2ECC4F}"/>
    <cellStyle name="Normal 9 5 9" xfId="9131" xr:uid="{6D8C4600-78CF-4F88-8C48-ED1B0E4CEDFA}"/>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2 2 2" xfId="15909" xr:uid="{EBB04626-4764-42C6-8A15-3E9F7A03C0BC}"/>
    <cellStyle name="Normal 9 6 2 2 3" xfId="11691" xr:uid="{000368E0-31FA-4FA5-81D5-7CFAC8C26BEA}"/>
    <cellStyle name="Normal 9 6 2 3" xfId="5314" xr:uid="{00000000-0005-0000-0000-000076200000}"/>
    <cellStyle name="Normal 9 6 2 3 2" xfId="13764" xr:uid="{4EF8F757-3E61-42CF-BFDD-C9DFC0DB5B45}"/>
    <cellStyle name="Normal 9 6 2 4" xfId="9546" xr:uid="{9A4B7F2D-272B-4C88-BB6F-1D57D2B2300E}"/>
    <cellStyle name="Normal 9 6 3" xfId="1420" xr:uid="{00000000-0005-0000-0000-000077200000}"/>
    <cellStyle name="Normal 9 6 3 2" xfId="3650" xr:uid="{00000000-0005-0000-0000-000078200000}"/>
    <cellStyle name="Normal 9 6 3 2 2" xfId="7872" xr:uid="{00000000-0005-0000-0000-000079200000}"/>
    <cellStyle name="Normal 9 6 3 2 2 2" xfId="16322" xr:uid="{6281DBE3-2695-47A4-934F-6159D79B7ACD}"/>
    <cellStyle name="Normal 9 6 3 2 3" xfId="12104" xr:uid="{8D9B4645-31C6-4EE3-9DD9-2A1273FBEDCB}"/>
    <cellStyle name="Normal 9 6 3 3" xfId="5727" xr:uid="{00000000-0005-0000-0000-00007A200000}"/>
    <cellStyle name="Normal 9 6 3 3 2" xfId="14177" xr:uid="{7AD972F1-AD5D-443D-9F1D-038E6C0E0133}"/>
    <cellStyle name="Normal 9 6 3 4" xfId="9959" xr:uid="{871159E7-05CB-4C8D-96DF-2722206DAC61}"/>
    <cellStyle name="Normal 9 6 4" xfId="1833" xr:uid="{00000000-0005-0000-0000-00007B200000}"/>
    <cellStyle name="Normal 9 6 4 2" xfId="4063" xr:uid="{00000000-0005-0000-0000-00007C200000}"/>
    <cellStyle name="Normal 9 6 4 2 2" xfId="8285" xr:uid="{00000000-0005-0000-0000-00007D200000}"/>
    <cellStyle name="Normal 9 6 4 2 2 2" xfId="16735" xr:uid="{62864020-9FD1-40F2-8FC9-832F40596BAC}"/>
    <cellStyle name="Normal 9 6 4 2 3" xfId="12517" xr:uid="{41EE14C6-3A6F-4945-9D65-30975D6BAC42}"/>
    <cellStyle name="Normal 9 6 4 3" xfId="6140" xr:uid="{00000000-0005-0000-0000-00007E200000}"/>
    <cellStyle name="Normal 9 6 4 3 2" xfId="14590" xr:uid="{371190D2-556B-4A9A-A948-C0B37CAB5CF4}"/>
    <cellStyle name="Normal 9 6 4 4" xfId="10372" xr:uid="{E01FDC6A-5447-4626-B302-DF2AFFE442AE}"/>
    <cellStyle name="Normal 9 6 5" xfId="2247" xr:uid="{00000000-0005-0000-0000-00007F200000}"/>
    <cellStyle name="Normal 9 6 5 2" xfId="4476" xr:uid="{00000000-0005-0000-0000-000080200000}"/>
    <cellStyle name="Normal 9 6 5 2 2" xfId="8698" xr:uid="{00000000-0005-0000-0000-000081200000}"/>
    <cellStyle name="Normal 9 6 5 2 2 2" xfId="17148" xr:uid="{092B16BC-4213-4708-B454-CB99F7DA74A2}"/>
    <cellStyle name="Normal 9 6 5 2 3" xfId="12930" xr:uid="{9F6AD939-7BC8-48CA-9EB6-CC90DDC26D61}"/>
    <cellStyle name="Normal 9 6 5 3" xfId="6553" xr:uid="{00000000-0005-0000-0000-000082200000}"/>
    <cellStyle name="Normal 9 6 5 3 2" xfId="15003" xr:uid="{6BD63A9B-10AB-4681-83DE-22DDA760EC5B}"/>
    <cellStyle name="Normal 9 6 5 4" xfId="10785" xr:uid="{78E09E2E-C1E5-449F-A31E-BB2E1D6997FC}"/>
    <cellStyle name="Normal 9 6 6" xfId="2683" xr:uid="{00000000-0005-0000-0000-000083200000}"/>
    <cellStyle name="Normal 9 6 6 2" xfId="6966" xr:uid="{00000000-0005-0000-0000-000084200000}"/>
    <cellStyle name="Normal 9 6 6 2 2" xfId="15416" xr:uid="{74C896E1-DC88-4DA3-90C6-CF199C1206B9}"/>
    <cellStyle name="Normal 9 6 6 3" xfId="11198" xr:uid="{6A39E5DC-C242-44EC-8E88-7CCD5D8F9AC1}"/>
    <cellStyle name="Normal 9 6 7" xfId="4901" xr:uid="{00000000-0005-0000-0000-000085200000}"/>
    <cellStyle name="Normal 9 6 7 2" xfId="13351" xr:uid="{E04CD5B8-4617-4DF2-AEDD-0403808CF93E}"/>
    <cellStyle name="Normal 9 6 8" xfId="9133" xr:uid="{83B3D5B8-CC61-448B-82D9-D4F1E96E6332}"/>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0 2 2" xfId="15497" xr:uid="{E30A68E3-01C9-41B9-8DAC-62D209FF0310}"/>
    <cellStyle name="Note 2 2 10 3" xfId="11279" xr:uid="{0F35625F-905A-4D7C-BB7A-40AC20FD6E32}"/>
    <cellStyle name="Note 2 2 11" xfId="4902" xr:uid="{00000000-0005-0000-0000-000094200000}"/>
    <cellStyle name="Note 2 2 11 2" xfId="13352" xr:uid="{9B34A915-9567-458E-8D86-DB8F3D6F3D79}"/>
    <cellStyle name="Note 2 2 12" xfId="9134" xr:uid="{01BA3528-2C96-4292-B31D-AC011D4E75C7}"/>
    <cellStyle name="Note 2 2 2" xfId="546" xr:uid="{00000000-0005-0000-0000-000095200000}"/>
    <cellStyle name="Note 2 2 2 10" xfId="4903" xr:uid="{00000000-0005-0000-0000-000096200000}"/>
    <cellStyle name="Note 2 2 2 10 2" xfId="13353" xr:uid="{B19014FB-BED8-44FC-B42A-108B6472104C}"/>
    <cellStyle name="Note 2 2 2 11" xfId="9135" xr:uid="{89FF8F2C-3984-4B32-AE27-7D715D228CF0}"/>
    <cellStyle name="Note 2 2 2 2" xfId="547" xr:uid="{00000000-0005-0000-0000-000097200000}"/>
    <cellStyle name="Note 2 2 2 2 10" xfId="9136" xr:uid="{C065ABF3-385B-481A-836F-40E52AE19D52}"/>
    <cellStyle name="Note 2 2 2 2 2" xfId="1008" xr:uid="{00000000-0005-0000-0000-000098200000}"/>
    <cellStyle name="Note 2 2 2 2 2 2" xfId="3240" xr:uid="{00000000-0005-0000-0000-000099200000}"/>
    <cellStyle name="Note 2 2 2 2 2 2 2" xfId="7462" xr:uid="{00000000-0005-0000-0000-00009A200000}"/>
    <cellStyle name="Note 2 2 2 2 2 2 2 2" xfId="15912" xr:uid="{DFE8F6CC-814E-4730-B383-FAFEC25784B7}"/>
    <cellStyle name="Note 2 2 2 2 2 2 3" xfId="11694" xr:uid="{8A0954D3-9333-47F7-A2C4-2578356B1A31}"/>
    <cellStyle name="Note 2 2 2 2 2 3" xfId="5317" xr:uid="{00000000-0005-0000-0000-00009B200000}"/>
    <cellStyle name="Note 2 2 2 2 2 3 2" xfId="13767" xr:uid="{70C63E3E-8E18-42CA-8C99-F999BA9121E2}"/>
    <cellStyle name="Note 2 2 2 2 2 4" xfId="9549" xr:uid="{D53820E7-B06F-4E06-93F4-EA25C1CDEFA7}"/>
    <cellStyle name="Note 2 2 2 2 3" xfId="1423" xr:uid="{00000000-0005-0000-0000-00009C200000}"/>
    <cellStyle name="Note 2 2 2 2 3 2" xfId="3653" xr:uid="{00000000-0005-0000-0000-00009D200000}"/>
    <cellStyle name="Note 2 2 2 2 3 2 2" xfId="7875" xr:uid="{00000000-0005-0000-0000-00009E200000}"/>
    <cellStyle name="Note 2 2 2 2 3 2 2 2" xfId="16325" xr:uid="{D4525A64-653D-4A66-ACB9-9863F23FE558}"/>
    <cellStyle name="Note 2 2 2 2 3 2 3" xfId="12107" xr:uid="{0CA8E1A2-65FD-44D9-BA65-78B799574098}"/>
    <cellStyle name="Note 2 2 2 2 3 3" xfId="5730" xr:uid="{00000000-0005-0000-0000-00009F200000}"/>
    <cellStyle name="Note 2 2 2 2 3 3 2" xfId="14180" xr:uid="{4DE5D246-30B8-4AD2-9EAD-C692E03F60D2}"/>
    <cellStyle name="Note 2 2 2 2 3 4" xfId="9962" xr:uid="{CF6C9033-F80B-4A8F-8835-DED6D6339869}"/>
    <cellStyle name="Note 2 2 2 2 4" xfId="1837" xr:uid="{00000000-0005-0000-0000-0000A0200000}"/>
    <cellStyle name="Note 2 2 2 2 4 2" xfId="4066" xr:uid="{00000000-0005-0000-0000-0000A1200000}"/>
    <cellStyle name="Note 2 2 2 2 4 2 2" xfId="8288" xr:uid="{00000000-0005-0000-0000-0000A2200000}"/>
    <cellStyle name="Note 2 2 2 2 4 2 2 2" xfId="16738" xr:uid="{AC99465A-8BAD-48CD-BD2E-6CD107B32D72}"/>
    <cellStyle name="Note 2 2 2 2 4 2 3" xfId="12520" xr:uid="{1BC9EDA9-3E42-472E-AA3B-CC362FB82A29}"/>
    <cellStyle name="Note 2 2 2 2 4 3" xfId="6143" xr:uid="{00000000-0005-0000-0000-0000A3200000}"/>
    <cellStyle name="Note 2 2 2 2 4 3 2" xfId="14593" xr:uid="{078BACAE-386A-444E-8740-72EF6B78C42F}"/>
    <cellStyle name="Note 2 2 2 2 4 4" xfId="10375" xr:uid="{9F5E880D-1303-48CC-90C4-51A1DB89A4F4}"/>
    <cellStyle name="Note 2 2 2 2 5" xfId="2250" xr:uid="{00000000-0005-0000-0000-0000A4200000}"/>
    <cellStyle name="Note 2 2 2 2 5 2" xfId="4479" xr:uid="{00000000-0005-0000-0000-0000A5200000}"/>
    <cellStyle name="Note 2 2 2 2 5 2 2" xfId="8701" xr:uid="{00000000-0005-0000-0000-0000A6200000}"/>
    <cellStyle name="Note 2 2 2 2 5 2 2 2" xfId="17151" xr:uid="{A90B683B-AEFC-4525-BB74-0D7534F1A52E}"/>
    <cellStyle name="Note 2 2 2 2 5 2 3" xfId="12933" xr:uid="{77C7A861-0F04-45ED-A0BF-8213A7B44E33}"/>
    <cellStyle name="Note 2 2 2 2 5 3" xfId="6556" xr:uid="{00000000-0005-0000-0000-0000A7200000}"/>
    <cellStyle name="Note 2 2 2 2 5 3 2" xfId="15006" xr:uid="{C2043767-9B64-4722-8CAD-03313D137CC4}"/>
    <cellStyle name="Note 2 2 2 2 5 4" xfId="10788" xr:uid="{3BD5317D-A6AE-4921-8E7E-FE7DFD36B1CD}"/>
    <cellStyle name="Note 2 2 2 2 6" xfId="2686" xr:uid="{00000000-0005-0000-0000-0000A8200000}"/>
    <cellStyle name="Note 2 2 2 2 6 2" xfId="6969" xr:uid="{00000000-0005-0000-0000-0000A9200000}"/>
    <cellStyle name="Note 2 2 2 2 6 2 2" xfId="15419" xr:uid="{BDE74EC4-5937-4028-BB42-4A5CF44E3F60}"/>
    <cellStyle name="Note 2 2 2 2 6 3" xfId="11201" xr:uid="{871B2CF4-5A02-4252-AF96-BE473C2EBEB4}"/>
    <cellStyle name="Note 2 2 2 2 7" xfId="2745" xr:uid="{00000000-0005-0000-0000-0000AA200000}"/>
    <cellStyle name="Note 2 2 2 2 8" xfId="2826" xr:uid="{00000000-0005-0000-0000-0000AB200000}"/>
    <cellStyle name="Note 2 2 2 2 8 2" xfId="7049" xr:uid="{00000000-0005-0000-0000-0000AC200000}"/>
    <cellStyle name="Note 2 2 2 2 8 2 2" xfId="15499" xr:uid="{D5FA136C-E199-4B8C-9F25-E505C4B6370D}"/>
    <cellStyle name="Note 2 2 2 2 8 3" xfId="11281" xr:uid="{9E20C53A-D65C-446D-9009-2603C17DDE4D}"/>
    <cellStyle name="Note 2 2 2 2 9" xfId="4904" xr:uid="{00000000-0005-0000-0000-0000AD200000}"/>
    <cellStyle name="Note 2 2 2 2 9 2" xfId="13354" xr:uid="{132F6468-EAFF-40BF-9E26-3F8454DCCB9F}"/>
    <cellStyle name="Note 2 2 2 3" xfId="1007" xr:uid="{00000000-0005-0000-0000-0000AE200000}"/>
    <cellStyle name="Note 2 2 2 3 2" xfId="3239" xr:uid="{00000000-0005-0000-0000-0000AF200000}"/>
    <cellStyle name="Note 2 2 2 3 2 2" xfId="7461" xr:uid="{00000000-0005-0000-0000-0000B0200000}"/>
    <cellStyle name="Note 2 2 2 3 2 2 2" xfId="15911" xr:uid="{0593AD9B-B568-485D-B602-0A93A36E26F1}"/>
    <cellStyle name="Note 2 2 2 3 2 3" xfId="11693" xr:uid="{20438499-0A3F-4113-8F05-F2F483D8D4F1}"/>
    <cellStyle name="Note 2 2 2 3 3" xfId="5316" xr:uid="{00000000-0005-0000-0000-0000B1200000}"/>
    <cellStyle name="Note 2 2 2 3 3 2" xfId="13766" xr:uid="{6CC28B5B-AAE1-4961-BFA4-4FF03D669119}"/>
    <cellStyle name="Note 2 2 2 3 4" xfId="9548" xr:uid="{33A93434-CB51-49D8-A98F-F512637C822D}"/>
    <cellStyle name="Note 2 2 2 4" xfId="1422" xr:uid="{00000000-0005-0000-0000-0000B2200000}"/>
    <cellStyle name="Note 2 2 2 4 2" xfId="3652" xr:uid="{00000000-0005-0000-0000-0000B3200000}"/>
    <cellStyle name="Note 2 2 2 4 2 2" xfId="7874" xr:uid="{00000000-0005-0000-0000-0000B4200000}"/>
    <cellStyle name="Note 2 2 2 4 2 2 2" xfId="16324" xr:uid="{9ECC6ADB-1DA5-421C-9A71-F4BFAF442DFF}"/>
    <cellStyle name="Note 2 2 2 4 2 3" xfId="12106" xr:uid="{BD98EB13-BD20-4EB8-89BC-C3BC3F548259}"/>
    <cellStyle name="Note 2 2 2 4 3" xfId="5729" xr:uid="{00000000-0005-0000-0000-0000B5200000}"/>
    <cellStyle name="Note 2 2 2 4 3 2" xfId="14179" xr:uid="{8883C742-7FA0-4193-8BE9-76240336F01C}"/>
    <cellStyle name="Note 2 2 2 4 4" xfId="9961" xr:uid="{C27EE321-52DB-48A6-B191-B1F14EC14307}"/>
    <cellStyle name="Note 2 2 2 5" xfId="1836" xr:uid="{00000000-0005-0000-0000-0000B6200000}"/>
    <cellStyle name="Note 2 2 2 5 2" xfId="4065" xr:uid="{00000000-0005-0000-0000-0000B7200000}"/>
    <cellStyle name="Note 2 2 2 5 2 2" xfId="8287" xr:uid="{00000000-0005-0000-0000-0000B8200000}"/>
    <cellStyle name="Note 2 2 2 5 2 2 2" xfId="16737" xr:uid="{8C0E163A-8A2C-480A-BD7C-55BD730781AE}"/>
    <cellStyle name="Note 2 2 2 5 2 3" xfId="12519" xr:uid="{1E16A23D-0F7B-486B-B080-2FE7209D8A74}"/>
    <cellStyle name="Note 2 2 2 5 3" xfId="6142" xr:uid="{00000000-0005-0000-0000-0000B9200000}"/>
    <cellStyle name="Note 2 2 2 5 3 2" xfId="14592" xr:uid="{4CD2EC90-F12B-4A78-90C5-AC744FF16F6F}"/>
    <cellStyle name="Note 2 2 2 5 4" xfId="10374" xr:uid="{9EEB0330-B2CD-4FD1-90E8-4CA04C5BAC6B}"/>
    <cellStyle name="Note 2 2 2 6" xfId="2249" xr:uid="{00000000-0005-0000-0000-0000BA200000}"/>
    <cellStyle name="Note 2 2 2 6 2" xfId="4478" xr:uid="{00000000-0005-0000-0000-0000BB200000}"/>
    <cellStyle name="Note 2 2 2 6 2 2" xfId="8700" xr:uid="{00000000-0005-0000-0000-0000BC200000}"/>
    <cellStyle name="Note 2 2 2 6 2 2 2" xfId="17150" xr:uid="{E9BCB158-C4DC-469C-BF47-B31AED1E2439}"/>
    <cellStyle name="Note 2 2 2 6 2 3" xfId="12932" xr:uid="{028DE7F0-E598-48A0-801E-F86B13A88E84}"/>
    <cellStyle name="Note 2 2 2 6 3" xfId="6555" xr:uid="{00000000-0005-0000-0000-0000BD200000}"/>
    <cellStyle name="Note 2 2 2 6 3 2" xfId="15005" xr:uid="{C8616C2C-49DE-47D2-8A7A-8F683A604157}"/>
    <cellStyle name="Note 2 2 2 6 4" xfId="10787" xr:uid="{FF640FA5-820A-4F97-8C0E-B0BCC2127293}"/>
    <cellStyle name="Note 2 2 2 7" xfId="2685" xr:uid="{00000000-0005-0000-0000-0000BE200000}"/>
    <cellStyle name="Note 2 2 2 7 2" xfId="6968" xr:uid="{00000000-0005-0000-0000-0000BF200000}"/>
    <cellStyle name="Note 2 2 2 7 2 2" xfId="15418" xr:uid="{1E643CA7-94EE-4E63-A1FF-0B5A6BA124B7}"/>
    <cellStyle name="Note 2 2 2 7 3" xfId="11200" xr:uid="{5641A68E-BD7E-41AE-97DA-8DA7ABE42A3E}"/>
    <cellStyle name="Note 2 2 2 8" xfId="2744" xr:uid="{00000000-0005-0000-0000-0000C0200000}"/>
    <cellStyle name="Note 2 2 2 9" xfId="2825" xr:uid="{00000000-0005-0000-0000-0000C1200000}"/>
    <cellStyle name="Note 2 2 2 9 2" xfId="7048" xr:uid="{00000000-0005-0000-0000-0000C2200000}"/>
    <cellStyle name="Note 2 2 2 9 2 2" xfId="15498" xr:uid="{1CAE7EDD-9F1C-4A70-8552-BB3444DE5383}"/>
    <cellStyle name="Note 2 2 2 9 3" xfId="11280" xr:uid="{FB016E03-F24D-4719-A30C-549AF1C2A488}"/>
    <cellStyle name="Note 2 2 3" xfId="548" xr:uid="{00000000-0005-0000-0000-0000C3200000}"/>
    <cellStyle name="Note 2 2 3 10" xfId="9137" xr:uid="{6B1F8D6F-2F94-4AD5-8C54-75EBF018E43E}"/>
    <cellStyle name="Note 2 2 3 2" xfId="1009" xr:uid="{00000000-0005-0000-0000-0000C4200000}"/>
    <cellStyle name="Note 2 2 3 2 2" xfId="3241" xr:uid="{00000000-0005-0000-0000-0000C5200000}"/>
    <cellStyle name="Note 2 2 3 2 2 2" xfId="7463" xr:uid="{00000000-0005-0000-0000-0000C6200000}"/>
    <cellStyle name="Note 2 2 3 2 2 2 2" xfId="15913" xr:uid="{F17B9963-7C71-4EA3-BE28-A9E3CC24A766}"/>
    <cellStyle name="Note 2 2 3 2 2 3" xfId="11695" xr:uid="{BBA378A4-8409-4BC3-8F57-6CBC0EC38DD5}"/>
    <cellStyle name="Note 2 2 3 2 3" xfId="5318" xr:uid="{00000000-0005-0000-0000-0000C7200000}"/>
    <cellStyle name="Note 2 2 3 2 3 2" xfId="13768" xr:uid="{24036F58-B21D-4B0E-AA11-A7EB5BD7F0D3}"/>
    <cellStyle name="Note 2 2 3 2 4" xfId="9550" xr:uid="{8C91B63B-D174-4809-988B-9561FA601AC5}"/>
    <cellStyle name="Note 2 2 3 3" xfId="1424" xr:uid="{00000000-0005-0000-0000-0000C8200000}"/>
    <cellStyle name="Note 2 2 3 3 2" xfId="3654" xr:uid="{00000000-0005-0000-0000-0000C9200000}"/>
    <cellStyle name="Note 2 2 3 3 2 2" xfId="7876" xr:uid="{00000000-0005-0000-0000-0000CA200000}"/>
    <cellStyle name="Note 2 2 3 3 2 2 2" xfId="16326" xr:uid="{DA186451-C19F-4E85-B41C-D55754592C53}"/>
    <cellStyle name="Note 2 2 3 3 2 3" xfId="12108" xr:uid="{02E10B7C-8474-45D4-94E9-D8B42710C33A}"/>
    <cellStyle name="Note 2 2 3 3 3" xfId="5731" xr:uid="{00000000-0005-0000-0000-0000CB200000}"/>
    <cellStyle name="Note 2 2 3 3 3 2" xfId="14181" xr:uid="{F233DE64-643B-4CCB-94EF-76C72CA3ADD3}"/>
    <cellStyle name="Note 2 2 3 3 4" xfId="9963" xr:uid="{A40AB913-9329-40FC-9AED-D2B754B3B6C4}"/>
    <cellStyle name="Note 2 2 3 4" xfId="1838" xr:uid="{00000000-0005-0000-0000-0000CC200000}"/>
    <cellStyle name="Note 2 2 3 4 2" xfId="4067" xr:uid="{00000000-0005-0000-0000-0000CD200000}"/>
    <cellStyle name="Note 2 2 3 4 2 2" xfId="8289" xr:uid="{00000000-0005-0000-0000-0000CE200000}"/>
    <cellStyle name="Note 2 2 3 4 2 2 2" xfId="16739" xr:uid="{78F81D82-081D-44CC-91FB-F9BB9BD0DF9E}"/>
    <cellStyle name="Note 2 2 3 4 2 3" xfId="12521" xr:uid="{176D963F-F533-47F1-A57A-3387A04F9711}"/>
    <cellStyle name="Note 2 2 3 4 3" xfId="6144" xr:uid="{00000000-0005-0000-0000-0000CF200000}"/>
    <cellStyle name="Note 2 2 3 4 3 2" xfId="14594" xr:uid="{FAD0749D-C474-495F-8850-094244475120}"/>
    <cellStyle name="Note 2 2 3 4 4" xfId="10376" xr:uid="{958239F8-6755-4AE0-8B42-FBA79E340BE4}"/>
    <cellStyle name="Note 2 2 3 5" xfId="2251" xr:uid="{00000000-0005-0000-0000-0000D0200000}"/>
    <cellStyle name="Note 2 2 3 5 2" xfId="4480" xr:uid="{00000000-0005-0000-0000-0000D1200000}"/>
    <cellStyle name="Note 2 2 3 5 2 2" xfId="8702" xr:uid="{00000000-0005-0000-0000-0000D2200000}"/>
    <cellStyle name="Note 2 2 3 5 2 2 2" xfId="17152" xr:uid="{C621C414-02CF-4121-982C-8B762E7DAA4E}"/>
    <cellStyle name="Note 2 2 3 5 2 3" xfId="12934" xr:uid="{2D7588E3-1F91-4537-AB17-2A4F62EE54B3}"/>
    <cellStyle name="Note 2 2 3 5 3" xfId="6557" xr:uid="{00000000-0005-0000-0000-0000D3200000}"/>
    <cellStyle name="Note 2 2 3 5 3 2" xfId="15007" xr:uid="{6F9980E8-9396-4173-9D5E-FA9CC2AD8050}"/>
    <cellStyle name="Note 2 2 3 5 4" xfId="10789" xr:uid="{72073D50-8E92-4FC7-BDC6-52DC9B1359FE}"/>
    <cellStyle name="Note 2 2 3 6" xfId="2687" xr:uid="{00000000-0005-0000-0000-0000D4200000}"/>
    <cellStyle name="Note 2 2 3 6 2" xfId="6970" xr:uid="{00000000-0005-0000-0000-0000D5200000}"/>
    <cellStyle name="Note 2 2 3 6 2 2" xfId="15420" xr:uid="{D68E1DA8-8696-4B50-91DE-398956EA6AC6}"/>
    <cellStyle name="Note 2 2 3 6 3" xfId="11202" xr:uid="{2B29DBC9-14A4-4AB4-A624-778CA17338F6}"/>
    <cellStyle name="Note 2 2 3 7" xfId="2746" xr:uid="{00000000-0005-0000-0000-0000D6200000}"/>
    <cellStyle name="Note 2 2 3 8" xfId="2827" xr:uid="{00000000-0005-0000-0000-0000D7200000}"/>
    <cellStyle name="Note 2 2 3 8 2" xfId="7050" xr:uid="{00000000-0005-0000-0000-0000D8200000}"/>
    <cellStyle name="Note 2 2 3 8 2 2" xfId="15500" xr:uid="{F4A1AABE-88F4-4973-9D69-204BEB525350}"/>
    <cellStyle name="Note 2 2 3 8 3" xfId="11282" xr:uid="{67949864-4334-4C47-8695-F4E2C2677BB0}"/>
    <cellStyle name="Note 2 2 3 9" xfId="4905" xr:uid="{00000000-0005-0000-0000-0000D9200000}"/>
    <cellStyle name="Note 2 2 3 9 2" xfId="13355" xr:uid="{89646B16-B25E-4F74-9B50-6D281D470AD2}"/>
    <cellStyle name="Note 2 2 4" xfId="1006" xr:uid="{00000000-0005-0000-0000-0000DA200000}"/>
    <cellStyle name="Note 2 2 4 2" xfId="3238" xr:uid="{00000000-0005-0000-0000-0000DB200000}"/>
    <cellStyle name="Note 2 2 4 2 2" xfId="7460" xr:uid="{00000000-0005-0000-0000-0000DC200000}"/>
    <cellStyle name="Note 2 2 4 2 2 2" xfId="15910" xr:uid="{EAEC82FF-9CD3-4B7F-9A58-06BA78A4D06F}"/>
    <cellStyle name="Note 2 2 4 2 3" xfId="11692" xr:uid="{41012FBD-3AF2-42D9-B31F-A1B8DDE041F6}"/>
    <cellStyle name="Note 2 2 4 3" xfId="5315" xr:uid="{00000000-0005-0000-0000-0000DD200000}"/>
    <cellStyle name="Note 2 2 4 3 2" xfId="13765" xr:uid="{9FCE7E7A-45EA-40D8-936C-815914F373AB}"/>
    <cellStyle name="Note 2 2 4 4" xfId="9547" xr:uid="{E64D8340-305D-479E-A74D-AC1881157962}"/>
    <cellStyle name="Note 2 2 5" xfId="1421" xr:uid="{00000000-0005-0000-0000-0000DE200000}"/>
    <cellStyle name="Note 2 2 5 2" xfId="3651" xr:uid="{00000000-0005-0000-0000-0000DF200000}"/>
    <cellStyle name="Note 2 2 5 2 2" xfId="7873" xr:uid="{00000000-0005-0000-0000-0000E0200000}"/>
    <cellStyle name="Note 2 2 5 2 2 2" xfId="16323" xr:uid="{473F047C-A594-4D24-B5C2-7571963C1F2F}"/>
    <cellStyle name="Note 2 2 5 2 3" xfId="12105" xr:uid="{23FAAD61-5244-4A30-BAFE-6A464A466274}"/>
    <cellStyle name="Note 2 2 5 3" xfId="5728" xr:uid="{00000000-0005-0000-0000-0000E1200000}"/>
    <cellStyle name="Note 2 2 5 3 2" xfId="14178" xr:uid="{2D060F7D-DA11-46C9-A145-531A634586EA}"/>
    <cellStyle name="Note 2 2 5 4" xfId="9960" xr:uid="{D6DED639-8F34-4455-B25F-D9FB25B09BA3}"/>
    <cellStyle name="Note 2 2 6" xfId="1835" xr:uid="{00000000-0005-0000-0000-0000E2200000}"/>
    <cellStyle name="Note 2 2 6 2" xfId="4064" xr:uid="{00000000-0005-0000-0000-0000E3200000}"/>
    <cellStyle name="Note 2 2 6 2 2" xfId="8286" xr:uid="{00000000-0005-0000-0000-0000E4200000}"/>
    <cellStyle name="Note 2 2 6 2 2 2" xfId="16736" xr:uid="{CEF910D3-C1CB-4E50-A88C-6C7DEECB0DE1}"/>
    <cellStyle name="Note 2 2 6 2 3" xfId="12518" xr:uid="{4CAAB2C8-6E26-4193-A198-F86161878205}"/>
    <cellStyle name="Note 2 2 6 3" xfId="6141" xr:uid="{00000000-0005-0000-0000-0000E5200000}"/>
    <cellStyle name="Note 2 2 6 3 2" xfId="14591" xr:uid="{2916B7BC-2C50-4BA3-8D5A-59233BD495C7}"/>
    <cellStyle name="Note 2 2 6 4" xfId="10373" xr:uid="{E0CACA2E-D4D3-47B2-910D-F57ADA19E8A4}"/>
    <cellStyle name="Note 2 2 7" xfId="2248" xr:uid="{00000000-0005-0000-0000-0000E6200000}"/>
    <cellStyle name="Note 2 2 7 2" xfId="4477" xr:uid="{00000000-0005-0000-0000-0000E7200000}"/>
    <cellStyle name="Note 2 2 7 2 2" xfId="8699" xr:uid="{00000000-0005-0000-0000-0000E8200000}"/>
    <cellStyle name="Note 2 2 7 2 2 2" xfId="17149" xr:uid="{A46D8164-FAB4-4C95-B8F8-A0B93D140A33}"/>
    <cellStyle name="Note 2 2 7 2 3" xfId="12931" xr:uid="{1F5B73BD-0689-4B26-99B6-4306E3E4DA7F}"/>
    <cellStyle name="Note 2 2 7 3" xfId="6554" xr:uid="{00000000-0005-0000-0000-0000E9200000}"/>
    <cellStyle name="Note 2 2 7 3 2" xfId="15004" xr:uid="{4173C76F-D6AA-4AB8-BDBA-46207606F0C9}"/>
    <cellStyle name="Note 2 2 7 4" xfId="10786" xr:uid="{F8A36ED9-D952-43B9-BCCA-4D76D575A265}"/>
    <cellStyle name="Note 2 2 8" xfId="2684" xr:uid="{00000000-0005-0000-0000-0000EA200000}"/>
    <cellStyle name="Note 2 2 8 2" xfId="6967" xr:uid="{00000000-0005-0000-0000-0000EB200000}"/>
    <cellStyle name="Note 2 2 8 2 2" xfId="15417" xr:uid="{E306C4F3-E035-4057-ABC5-963B860ACAD9}"/>
    <cellStyle name="Note 2 2 8 3" xfId="11199" xr:uid="{C3772F9A-FB65-42EB-902E-B13A830566AD}"/>
    <cellStyle name="Note 2 2 9" xfId="2743" xr:uid="{00000000-0005-0000-0000-0000EC200000}"/>
    <cellStyle name="Note 2 3" xfId="549" xr:uid="{00000000-0005-0000-0000-0000ED200000}"/>
    <cellStyle name="Note 2 3 10" xfId="4906" xr:uid="{00000000-0005-0000-0000-0000EE200000}"/>
    <cellStyle name="Note 2 3 10 2" xfId="13356" xr:uid="{EBF2C893-95EC-492C-BC56-C72E14E34DDA}"/>
    <cellStyle name="Note 2 3 11" xfId="9138" xr:uid="{05F0121B-E13B-4B72-8F41-8763B618FF7C}"/>
    <cellStyle name="Note 2 3 2" xfId="550" xr:uid="{00000000-0005-0000-0000-0000EF200000}"/>
    <cellStyle name="Note 2 3 2 10" xfId="9139" xr:uid="{1FC3B345-7F12-466A-9D8B-2595934EE266}"/>
    <cellStyle name="Note 2 3 2 2" xfId="1011" xr:uid="{00000000-0005-0000-0000-0000F0200000}"/>
    <cellStyle name="Note 2 3 2 2 2" xfId="3243" xr:uid="{00000000-0005-0000-0000-0000F1200000}"/>
    <cellStyle name="Note 2 3 2 2 2 2" xfId="7465" xr:uid="{00000000-0005-0000-0000-0000F2200000}"/>
    <cellStyle name="Note 2 3 2 2 2 2 2" xfId="15915" xr:uid="{820F278A-8ABD-46ED-A9C1-98932D86AB05}"/>
    <cellStyle name="Note 2 3 2 2 2 3" xfId="11697" xr:uid="{2107B375-3346-4952-B408-8743486CD237}"/>
    <cellStyle name="Note 2 3 2 2 3" xfId="5320" xr:uid="{00000000-0005-0000-0000-0000F3200000}"/>
    <cellStyle name="Note 2 3 2 2 3 2" xfId="13770" xr:uid="{DBAB97BE-EA00-46F1-AD18-7C085683342F}"/>
    <cellStyle name="Note 2 3 2 2 4" xfId="9552" xr:uid="{AA940EC6-3931-4177-8138-40E3B96B54DF}"/>
    <cellStyle name="Note 2 3 2 3" xfId="1426" xr:uid="{00000000-0005-0000-0000-0000F4200000}"/>
    <cellStyle name="Note 2 3 2 3 2" xfId="3656" xr:uid="{00000000-0005-0000-0000-0000F5200000}"/>
    <cellStyle name="Note 2 3 2 3 2 2" xfId="7878" xr:uid="{00000000-0005-0000-0000-0000F6200000}"/>
    <cellStyle name="Note 2 3 2 3 2 2 2" xfId="16328" xr:uid="{BC62FA4E-93B6-40EB-9397-29B100CD6374}"/>
    <cellStyle name="Note 2 3 2 3 2 3" xfId="12110" xr:uid="{BB732342-5D1F-474A-9C0E-7C5988179BCD}"/>
    <cellStyle name="Note 2 3 2 3 3" xfId="5733" xr:uid="{00000000-0005-0000-0000-0000F7200000}"/>
    <cellStyle name="Note 2 3 2 3 3 2" xfId="14183" xr:uid="{C0864B17-FD9B-497A-90AC-F5D0A236FB88}"/>
    <cellStyle name="Note 2 3 2 3 4" xfId="9965" xr:uid="{065A3FCA-C99E-481D-87D6-EDF4A55CC86A}"/>
    <cellStyle name="Note 2 3 2 4" xfId="1840" xr:uid="{00000000-0005-0000-0000-0000F8200000}"/>
    <cellStyle name="Note 2 3 2 4 2" xfId="4069" xr:uid="{00000000-0005-0000-0000-0000F9200000}"/>
    <cellStyle name="Note 2 3 2 4 2 2" xfId="8291" xr:uid="{00000000-0005-0000-0000-0000FA200000}"/>
    <cellStyle name="Note 2 3 2 4 2 2 2" xfId="16741" xr:uid="{D509A0A1-5DFA-48D1-A41C-1C7F956378F9}"/>
    <cellStyle name="Note 2 3 2 4 2 3" xfId="12523" xr:uid="{B5D65950-BAA2-4451-A4A9-EB3DECD9ADCD}"/>
    <cellStyle name="Note 2 3 2 4 3" xfId="6146" xr:uid="{00000000-0005-0000-0000-0000FB200000}"/>
    <cellStyle name="Note 2 3 2 4 3 2" xfId="14596" xr:uid="{E8F66E4E-409F-418D-B56D-9C1E9352AEB3}"/>
    <cellStyle name="Note 2 3 2 4 4" xfId="10378" xr:uid="{7AAB5429-95F9-4EC6-B230-39D9FBAEA3AD}"/>
    <cellStyle name="Note 2 3 2 5" xfId="2253" xr:uid="{00000000-0005-0000-0000-0000FC200000}"/>
    <cellStyle name="Note 2 3 2 5 2" xfId="4482" xr:uid="{00000000-0005-0000-0000-0000FD200000}"/>
    <cellStyle name="Note 2 3 2 5 2 2" xfId="8704" xr:uid="{00000000-0005-0000-0000-0000FE200000}"/>
    <cellStyle name="Note 2 3 2 5 2 2 2" xfId="17154" xr:uid="{D6F32CA8-30B5-428F-8781-A7765211465A}"/>
    <cellStyle name="Note 2 3 2 5 2 3" xfId="12936" xr:uid="{44738D5B-03D0-4C82-BB4D-9F3E096A1AF3}"/>
    <cellStyle name="Note 2 3 2 5 3" xfId="6559" xr:uid="{00000000-0005-0000-0000-0000FF200000}"/>
    <cellStyle name="Note 2 3 2 5 3 2" xfId="15009" xr:uid="{0E2C8895-DA3F-4C47-9FFA-6937B9457467}"/>
    <cellStyle name="Note 2 3 2 5 4" xfId="10791" xr:uid="{1AAD6A6A-7B0D-4DA4-AA98-37C127FB0B99}"/>
    <cellStyle name="Note 2 3 2 6" xfId="2689" xr:uid="{00000000-0005-0000-0000-000000210000}"/>
    <cellStyle name="Note 2 3 2 6 2" xfId="6972" xr:uid="{00000000-0005-0000-0000-000001210000}"/>
    <cellStyle name="Note 2 3 2 6 2 2" xfId="15422" xr:uid="{D6ADC1E5-C9AD-4DCF-AD74-483A682C3A73}"/>
    <cellStyle name="Note 2 3 2 6 3" xfId="11204" xr:uid="{258BBA76-FE76-4E0D-85E2-1ECE96295857}"/>
    <cellStyle name="Note 2 3 2 7" xfId="2748" xr:uid="{00000000-0005-0000-0000-000002210000}"/>
    <cellStyle name="Note 2 3 2 8" xfId="2829" xr:uid="{00000000-0005-0000-0000-000003210000}"/>
    <cellStyle name="Note 2 3 2 8 2" xfId="7052" xr:uid="{00000000-0005-0000-0000-000004210000}"/>
    <cellStyle name="Note 2 3 2 8 2 2" xfId="15502" xr:uid="{5A3E0CF3-48A9-4B52-90B2-9C4A6944D175}"/>
    <cellStyle name="Note 2 3 2 8 3" xfId="11284" xr:uid="{D5357B05-30BD-4B76-86FB-7D384873A597}"/>
    <cellStyle name="Note 2 3 2 9" xfId="4907" xr:uid="{00000000-0005-0000-0000-000005210000}"/>
    <cellStyle name="Note 2 3 2 9 2" xfId="13357" xr:uid="{6E8CAC39-4FEB-4B89-881C-B08996F9E958}"/>
    <cellStyle name="Note 2 3 3" xfId="1010" xr:uid="{00000000-0005-0000-0000-000006210000}"/>
    <cellStyle name="Note 2 3 3 2" xfId="3242" xr:uid="{00000000-0005-0000-0000-000007210000}"/>
    <cellStyle name="Note 2 3 3 2 2" xfId="7464" xr:uid="{00000000-0005-0000-0000-000008210000}"/>
    <cellStyle name="Note 2 3 3 2 2 2" xfId="15914" xr:uid="{D166EF8B-9F26-46B2-92E6-F0FA2E4D2F4E}"/>
    <cellStyle name="Note 2 3 3 2 3" xfId="11696" xr:uid="{042FF511-044D-42FE-87F2-79A387FB3446}"/>
    <cellStyle name="Note 2 3 3 3" xfId="5319" xr:uid="{00000000-0005-0000-0000-000009210000}"/>
    <cellStyle name="Note 2 3 3 3 2" xfId="13769" xr:uid="{CC673143-54A1-49F3-967A-9A62F3802087}"/>
    <cellStyle name="Note 2 3 3 4" xfId="9551" xr:uid="{6089278C-FFEB-4621-8A16-4757A1BE0249}"/>
    <cellStyle name="Note 2 3 4" xfId="1425" xr:uid="{00000000-0005-0000-0000-00000A210000}"/>
    <cellStyle name="Note 2 3 4 2" xfId="3655" xr:uid="{00000000-0005-0000-0000-00000B210000}"/>
    <cellStyle name="Note 2 3 4 2 2" xfId="7877" xr:uid="{00000000-0005-0000-0000-00000C210000}"/>
    <cellStyle name="Note 2 3 4 2 2 2" xfId="16327" xr:uid="{05E861A5-DA83-4757-8B04-66D7C5DC315B}"/>
    <cellStyle name="Note 2 3 4 2 3" xfId="12109" xr:uid="{235C0807-5629-4523-947A-C5D6B6ED89E6}"/>
    <cellStyle name="Note 2 3 4 3" xfId="5732" xr:uid="{00000000-0005-0000-0000-00000D210000}"/>
    <cellStyle name="Note 2 3 4 3 2" xfId="14182" xr:uid="{3A14558D-DAFE-4516-B190-C1A96B05618A}"/>
    <cellStyle name="Note 2 3 4 4" xfId="9964" xr:uid="{D9859039-1BAF-4B0D-883A-F8D41BF7E078}"/>
    <cellStyle name="Note 2 3 5" xfId="1839" xr:uid="{00000000-0005-0000-0000-00000E210000}"/>
    <cellStyle name="Note 2 3 5 2" xfId="4068" xr:uid="{00000000-0005-0000-0000-00000F210000}"/>
    <cellStyle name="Note 2 3 5 2 2" xfId="8290" xr:uid="{00000000-0005-0000-0000-000010210000}"/>
    <cellStyle name="Note 2 3 5 2 2 2" xfId="16740" xr:uid="{883FF6AA-ADA4-495B-801E-E950465E0ED5}"/>
    <cellStyle name="Note 2 3 5 2 3" xfId="12522" xr:uid="{11B95611-6E37-4AA4-8C45-BB7469C39C12}"/>
    <cellStyle name="Note 2 3 5 3" xfId="6145" xr:uid="{00000000-0005-0000-0000-000011210000}"/>
    <cellStyle name="Note 2 3 5 3 2" xfId="14595" xr:uid="{CD45652B-129B-467D-9400-93CE57290E5C}"/>
    <cellStyle name="Note 2 3 5 4" xfId="10377" xr:uid="{438E710F-19ED-4920-BDF2-5B21DB14DC14}"/>
    <cellStyle name="Note 2 3 6" xfId="2252" xr:uid="{00000000-0005-0000-0000-000012210000}"/>
    <cellStyle name="Note 2 3 6 2" xfId="4481" xr:uid="{00000000-0005-0000-0000-000013210000}"/>
    <cellStyle name="Note 2 3 6 2 2" xfId="8703" xr:uid="{00000000-0005-0000-0000-000014210000}"/>
    <cellStyle name="Note 2 3 6 2 2 2" xfId="17153" xr:uid="{2B40B5B4-1361-4040-9FC1-FC664CC2EDDE}"/>
    <cellStyle name="Note 2 3 6 2 3" xfId="12935" xr:uid="{727AD836-B2CE-49F4-9EEA-76748BFEF58B}"/>
    <cellStyle name="Note 2 3 6 3" xfId="6558" xr:uid="{00000000-0005-0000-0000-000015210000}"/>
    <cellStyle name="Note 2 3 6 3 2" xfId="15008" xr:uid="{4051C5A1-BDCC-4459-BB25-A95DBC61078A}"/>
    <cellStyle name="Note 2 3 6 4" xfId="10790" xr:uid="{9CD72DFD-4468-4E05-AE11-346017DFC1B2}"/>
    <cellStyle name="Note 2 3 7" xfId="2688" xr:uid="{00000000-0005-0000-0000-000016210000}"/>
    <cellStyle name="Note 2 3 7 2" xfId="6971" xr:uid="{00000000-0005-0000-0000-000017210000}"/>
    <cellStyle name="Note 2 3 7 2 2" xfId="15421" xr:uid="{F21751BA-49EA-4193-908E-2150B9157FF3}"/>
    <cellStyle name="Note 2 3 7 3" xfId="11203" xr:uid="{9BA3CA2F-AE0B-45A7-B0CA-93F4DE2393C5}"/>
    <cellStyle name="Note 2 3 8" xfId="2747" xr:uid="{00000000-0005-0000-0000-000018210000}"/>
    <cellStyle name="Note 2 3 9" xfId="2828" xr:uid="{00000000-0005-0000-0000-000019210000}"/>
    <cellStyle name="Note 2 3 9 2" xfId="7051" xr:uid="{00000000-0005-0000-0000-00001A210000}"/>
    <cellStyle name="Note 2 3 9 2 2" xfId="15501" xr:uid="{4E8EAC36-6ADA-49FA-ADE9-952EEC09F463}"/>
    <cellStyle name="Note 2 3 9 3" xfId="11283" xr:uid="{F891AC24-6BA6-45A2-B119-E49EDB34F2D2}"/>
    <cellStyle name="Note 2 4" xfId="551" xr:uid="{00000000-0005-0000-0000-00001B210000}"/>
    <cellStyle name="Note 2 4 10" xfId="9140" xr:uid="{A39E2D4A-93A2-44EC-9D66-95EC93535170}"/>
    <cellStyle name="Note 2 4 2" xfId="1012" xr:uid="{00000000-0005-0000-0000-00001C210000}"/>
    <cellStyle name="Note 2 4 2 2" xfId="3244" xr:uid="{00000000-0005-0000-0000-00001D210000}"/>
    <cellStyle name="Note 2 4 2 2 2" xfId="7466" xr:uid="{00000000-0005-0000-0000-00001E210000}"/>
    <cellStyle name="Note 2 4 2 2 2 2" xfId="15916" xr:uid="{F47C8DA8-DDBD-43CD-A0C1-71327D86AE35}"/>
    <cellStyle name="Note 2 4 2 2 3" xfId="11698" xr:uid="{9430F708-2CCB-4181-9AF4-814E13F5729B}"/>
    <cellStyle name="Note 2 4 2 3" xfId="5321" xr:uid="{00000000-0005-0000-0000-00001F210000}"/>
    <cellStyle name="Note 2 4 2 3 2" xfId="13771" xr:uid="{1CBD1FB1-84EA-4744-A1B9-E6D57E09C81D}"/>
    <cellStyle name="Note 2 4 2 4" xfId="9553" xr:uid="{89CF7700-ECF5-48AE-9D37-E779E399115B}"/>
    <cellStyle name="Note 2 4 3" xfId="1427" xr:uid="{00000000-0005-0000-0000-000020210000}"/>
    <cellStyle name="Note 2 4 3 2" xfId="3657" xr:uid="{00000000-0005-0000-0000-000021210000}"/>
    <cellStyle name="Note 2 4 3 2 2" xfId="7879" xr:uid="{00000000-0005-0000-0000-000022210000}"/>
    <cellStyle name="Note 2 4 3 2 2 2" xfId="16329" xr:uid="{979F50D0-1687-4606-B5F4-C90873340766}"/>
    <cellStyle name="Note 2 4 3 2 3" xfId="12111" xr:uid="{AC2A5F70-DBD1-4F3A-9006-499DDFAEA6B2}"/>
    <cellStyle name="Note 2 4 3 3" xfId="5734" xr:uid="{00000000-0005-0000-0000-000023210000}"/>
    <cellStyle name="Note 2 4 3 3 2" xfId="14184" xr:uid="{1A2A75F0-D8DB-483C-B86C-7CFB1EC0E6E2}"/>
    <cellStyle name="Note 2 4 3 4" xfId="9966" xr:uid="{C494D51C-389C-4FA2-9339-B9163F1C6AAB}"/>
    <cellStyle name="Note 2 4 4" xfId="1841" xr:uid="{00000000-0005-0000-0000-000024210000}"/>
    <cellStyle name="Note 2 4 4 2" xfId="4070" xr:uid="{00000000-0005-0000-0000-000025210000}"/>
    <cellStyle name="Note 2 4 4 2 2" xfId="8292" xr:uid="{00000000-0005-0000-0000-000026210000}"/>
    <cellStyle name="Note 2 4 4 2 2 2" xfId="16742" xr:uid="{CFC7EB66-EC1A-47B1-85E2-6FCE60DE5586}"/>
    <cellStyle name="Note 2 4 4 2 3" xfId="12524" xr:uid="{FDCB955B-5C70-4E97-ACB7-195E0390028C}"/>
    <cellStyle name="Note 2 4 4 3" xfId="6147" xr:uid="{00000000-0005-0000-0000-000027210000}"/>
    <cellStyle name="Note 2 4 4 3 2" xfId="14597" xr:uid="{CAE16E93-E82F-4F47-8718-3E22F449E381}"/>
    <cellStyle name="Note 2 4 4 4" xfId="10379" xr:uid="{C347CB49-152E-4DD5-AD6B-50AC8F1B4527}"/>
    <cellStyle name="Note 2 4 5" xfId="2254" xr:uid="{00000000-0005-0000-0000-000028210000}"/>
    <cellStyle name="Note 2 4 5 2" xfId="4483" xr:uid="{00000000-0005-0000-0000-000029210000}"/>
    <cellStyle name="Note 2 4 5 2 2" xfId="8705" xr:uid="{00000000-0005-0000-0000-00002A210000}"/>
    <cellStyle name="Note 2 4 5 2 2 2" xfId="17155" xr:uid="{15E39DE9-E3E3-431F-A86C-F2B36A8E604C}"/>
    <cellStyle name="Note 2 4 5 2 3" xfId="12937" xr:uid="{6EED9D5D-E8B3-4EC2-B62B-B5F87BA40399}"/>
    <cellStyle name="Note 2 4 5 3" xfId="6560" xr:uid="{00000000-0005-0000-0000-00002B210000}"/>
    <cellStyle name="Note 2 4 5 3 2" xfId="15010" xr:uid="{0F954B28-8F3A-4D97-835A-5DFB1A5D49E0}"/>
    <cellStyle name="Note 2 4 5 4" xfId="10792" xr:uid="{660C4337-CA3A-4E21-838D-56BE264F5860}"/>
    <cellStyle name="Note 2 4 6" xfId="2690" xr:uid="{00000000-0005-0000-0000-00002C210000}"/>
    <cellStyle name="Note 2 4 6 2" xfId="6973" xr:uid="{00000000-0005-0000-0000-00002D210000}"/>
    <cellStyle name="Note 2 4 6 2 2" xfId="15423" xr:uid="{3F13399E-5DDE-4914-AC48-FAA3557C2778}"/>
    <cellStyle name="Note 2 4 6 3" xfId="11205" xr:uid="{55E378FE-FB9B-4C49-A6A1-DA967210F9E8}"/>
    <cellStyle name="Note 2 4 7" xfId="2749" xr:uid="{00000000-0005-0000-0000-00002E210000}"/>
    <cellStyle name="Note 2 4 8" xfId="2830" xr:uid="{00000000-0005-0000-0000-00002F210000}"/>
    <cellStyle name="Note 2 4 8 2" xfId="7053" xr:uid="{00000000-0005-0000-0000-000030210000}"/>
    <cellStyle name="Note 2 4 8 2 2" xfId="15503" xr:uid="{BDB56E8A-6251-426F-B1CA-ED138D22E226}"/>
    <cellStyle name="Note 2 4 8 3" xfId="11285" xr:uid="{AB4F5A82-BA28-4DB6-97B8-7EA3261670F9}"/>
    <cellStyle name="Note 2 4 9" xfId="4908" xr:uid="{00000000-0005-0000-0000-000031210000}"/>
    <cellStyle name="Note 2 4 9 2" xfId="13358" xr:uid="{EC2BAE2D-A20B-4685-B206-407DCAE66F57}"/>
    <cellStyle name="Note 2 5" xfId="552" xr:uid="{00000000-0005-0000-0000-000032210000}"/>
    <cellStyle name="Note 2 5 10" xfId="9141" xr:uid="{8FE32774-AD5B-4D92-A4C4-F35BF87D2E12}"/>
    <cellStyle name="Note 2 5 2" xfId="1013" xr:uid="{00000000-0005-0000-0000-000033210000}"/>
    <cellStyle name="Note 2 5 2 2" xfId="3245" xr:uid="{00000000-0005-0000-0000-000034210000}"/>
    <cellStyle name="Note 2 5 2 2 2" xfId="7467" xr:uid="{00000000-0005-0000-0000-000035210000}"/>
    <cellStyle name="Note 2 5 2 2 2 2" xfId="15917" xr:uid="{6E07DAF0-BBF7-42EB-8C6C-9B2E154E9AC1}"/>
    <cellStyle name="Note 2 5 2 2 3" xfId="11699" xr:uid="{5FE2ABAD-FA73-4A39-9881-6440C10FD994}"/>
    <cellStyle name="Note 2 5 2 3" xfId="5322" xr:uid="{00000000-0005-0000-0000-000036210000}"/>
    <cellStyle name="Note 2 5 2 3 2" xfId="13772" xr:uid="{EB1762E9-CEDD-4E2E-9DDB-B4382DE8CA0C}"/>
    <cellStyle name="Note 2 5 2 4" xfId="9554" xr:uid="{D860E2BB-F402-4AE0-8373-C1216B358633}"/>
    <cellStyle name="Note 2 5 3" xfId="1428" xr:uid="{00000000-0005-0000-0000-000037210000}"/>
    <cellStyle name="Note 2 5 3 2" xfId="3658" xr:uid="{00000000-0005-0000-0000-000038210000}"/>
    <cellStyle name="Note 2 5 3 2 2" xfId="7880" xr:uid="{00000000-0005-0000-0000-000039210000}"/>
    <cellStyle name="Note 2 5 3 2 2 2" xfId="16330" xr:uid="{7D6817B2-4533-45D3-8E20-6E8496CAD555}"/>
    <cellStyle name="Note 2 5 3 2 3" xfId="12112" xr:uid="{C5DD78C4-90BF-4BCC-B049-573D9060757F}"/>
    <cellStyle name="Note 2 5 3 3" xfId="5735" xr:uid="{00000000-0005-0000-0000-00003A210000}"/>
    <cellStyle name="Note 2 5 3 3 2" xfId="14185" xr:uid="{B335FE66-B623-483C-8A16-E5A78980593C}"/>
    <cellStyle name="Note 2 5 3 4" xfId="9967" xr:uid="{423CB689-FF52-455B-8955-6CF027E84F6C}"/>
    <cellStyle name="Note 2 5 4" xfId="1842" xr:uid="{00000000-0005-0000-0000-00003B210000}"/>
    <cellStyle name="Note 2 5 4 2" xfId="4071" xr:uid="{00000000-0005-0000-0000-00003C210000}"/>
    <cellStyle name="Note 2 5 4 2 2" xfId="8293" xr:uid="{00000000-0005-0000-0000-00003D210000}"/>
    <cellStyle name="Note 2 5 4 2 2 2" xfId="16743" xr:uid="{16B1617E-929A-4FC6-95FE-211490E6DB1C}"/>
    <cellStyle name="Note 2 5 4 2 3" xfId="12525" xr:uid="{297E57A0-58CE-4E8B-82DE-BBBA9F533EDE}"/>
    <cellStyle name="Note 2 5 4 3" xfId="6148" xr:uid="{00000000-0005-0000-0000-00003E210000}"/>
    <cellStyle name="Note 2 5 4 3 2" xfId="14598" xr:uid="{E0F53921-D5F7-423F-AC68-C03D883143D5}"/>
    <cellStyle name="Note 2 5 4 4" xfId="10380" xr:uid="{C2D341A3-1A63-4896-BB23-ED233D2260A3}"/>
    <cellStyle name="Note 2 5 5" xfId="2255" xr:uid="{00000000-0005-0000-0000-00003F210000}"/>
    <cellStyle name="Note 2 5 5 2" xfId="4484" xr:uid="{00000000-0005-0000-0000-000040210000}"/>
    <cellStyle name="Note 2 5 5 2 2" xfId="8706" xr:uid="{00000000-0005-0000-0000-000041210000}"/>
    <cellStyle name="Note 2 5 5 2 2 2" xfId="17156" xr:uid="{F489071F-078C-4EE8-97CD-E86305A5B49C}"/>
    <cellStyle name="Note 2 5 5 2 3" xfId="12938" xr:uid="{00E15E06-9359-47DC-BAE9-CB600671C93B}"/>
    <cellStyle name="Note 2 5 5 3" xfId="6561" xr:uid="{00000000-0005-0000-0000-000042210000}"/>
    <cellStyle name="Note 2 5 5 3 2" xfId="15011" xr:uid="{79574A92-7030-4492-8256-DF9B37B81528}"/>
    <cellStyle name="Note 2 5 5 4" xfId="10793" xr:uid="{1E51BD56-5B27-424D-AF1E-B5FEA738C978}"/>
    <cellStyle name="Note 2 5 6" xfId="2691" xr:uid="{00000000-0005-0000-0000-000043210000}"/>
    <cellStyle name="Note 2 5 6 2" xfId="6974" xr:uid="{00000000-0005-0000-0000-000044210000}"/>
    <cellStyle name="Note 2 5 6 2 2" xfId="15424" xr:uid="{1221E0AA-794E-469A-95CB-FF3FDADCB683}"/>
    <cellStyle name="Note 2 5 6 3" xfId="11206" xr:uid="{C573AF5B-BE47-442F-916C-74FF633C7290}"/>
    <cellStyle name="Note 2 5 7" xfId="2750" xr:uid="{00000000-0005-0000-0000-000045210000}"/>
    <cellStyle name="Note 2 5 8" xfId="2831" xr:uid="{00000000-0005-0000-0000-000046210000}"/>
    <cellStyle name="Note 2 5 8 2" xfId="7054" xr:uid="{00000000-0005-0000-0000-000047210000}"/>
    <cellStyle name="Note 2 5 8 2 2" xfId="15504" xr:uid="{C319B1CF-11D5-4857-9F40-D35CAF271088}"/>
    <cellStyle name="Note 2 5 8 3" xfId="11286" xr:uid="{048A49CB-6409-41DA-AA40-C30F41430926}"/>
    <cellStyle name="Note 2 5 9" xfId="4909" xr:uid="{00000000-0005-0000-0000-000048210000}"/>
    <cellStyle name="Note 2 5 9 2" xfId="13359" xr:uid="{E3E84EA5-AA70-48C6-9C62-A3E47FC4F8B6}"/>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0 2 2" xfId="15505" xr:uid="{2183B021-7935-4F2E-B7E8-CEB4F934833D}"/>
    <cellStyle name="Note 3 2 10 3" xfId="11287" xr:uid="{33C734E4-DF0D-4D6F-8806-D1AD7EA054A6}"/>
    <cellStyle name="Note 3 2 11" xfId="4910" xr:uid="{00000000-0005-0000-0000-00004D210000}"/>
    <cellStyle name="Note 3 2 11 2" xfId="13360" xr:uid="{5BF8377C-1F71-4D7C-999D-5B45E7887D38}"/>
    <cellStyle name="Note 3 2 12" xfId="9142" xr:uid="{C2A525BD-7E29-4EE6-B498-3AAD28C40BEE}"/>
    <cellStyle name="Note 3 2 2" xfId="555" xr:uid="{00000000-0005-0000-0000-00004E210000}"/>
    <cellStyle name="Note 3 2 2 10" xfId="4911" xr:uid="{00000000-0005-0000-0000-00004F210000}"/>
    <cellStyle name="Note 3 2 2 10 2" xfId="13361" xr:uid="{872694AE-5062-4671-9983-B15D48FA208D}"/>
    <cellStyle name="Note 3 2 2 11" xfId="9143" xr:uid="{DF01CB96-5173-4274-BBB2-BC6505E3F45E}"/>
    <cellStyle name="Note 3 2 2 2" xfId="556" xr:uid="{00000000-0005-0000-0000-000050210000}"/>
    <cellStyle name="Note 3 2 2 2 10" xfId="9144" xr:uid="{556C1944-7EE1-45CE-9F58-A324BB6E32A2}"/>
    <cellStyle name="Note 3 2 2 2 2" xfId="1016" xr:uid="{00000000-0005-0000-0000-000051210000}"/>
    <cellStyle name="Note 3 2 2 2 2 2" xfId="3248" xr:uid="{00000000-0005-0000-0000-000052210000}"/>
    <cellStyle name="Note 3 2 2 2 2 2 2" xfId="7470" xr:uid="{00000000-0005-0000-0000-000053210000}"/>
    <cellStyle name="Note 3 2 2 2 2 2 2 2" xfId="15920" xr:uid="{B946DA98-8321-4A51-834E-9E16A90CAB6B}"/>
    <cellStyle name="Note 3 2 2 2 2 2 3" xfId="11702" xr:uid="{CA5A0967-522F-4391-946F-B7227CF4F385}"/>
    <cellStyle name="Note 3 2 2 2 2 3" xfId="5325" xr:uid="{00000000-0005-0000-0000-000054210000}"/>
    <cellStyle name="Note 3 2 2 2 2 3 2" xfId="13775" xr:uid="{A0BE1A94-C0B7-47FB-96FD-0B56D2C56304}"/>
    <cellStyle name="Note 3 2 2 2 2 4" xfId="9557" xr:uid="{D102838B-01C7-459E-8AEE-BDE4DA67863F}"/>
    <cellStyle name="Note 3 2 2 2 3" xfId="1431" xr:uid="{00000000-0005-0000-0000-000055210000}"/>
    <cellStyle name="Note 3 2 2 2 3 2" xfId="3661" xr:uid="{00000000-0005-0000-0000-000056210000}"/>
    <cellStyle name="Note 3 2 2 2 3 2 2" xfId="7883" xr:uid="{00000000-0005-0000-0000-000057210000}"/>
    <cellStyle name="Note 3 2 2 2 3 2 2 2" xfId="16333" xr:uid="{70680533-114D-4859-AD12-1B1B50036DA3}"/>
    <cellStyle name="Note 3 2 2 2 3 2 3" xfId="12115" xr:uid="{C7635BDB-E7AB-4E29-9E09-181A76629EF2}"/>
    <cellStyle name="Note 3 2 2 2 3 3" xfId="5738" xr:uid="{00000000-0005-0000-0000-000058210000}"/>
    <cellStyle name="Note 3 2 2 2 3 3 2" xfId="14188" xr:uid="{AE7DFA05-168B-4031-A11A-2BE221A5AA0B}"/>
    <cellStyle name="Note 3 2 2 2 3 4" xfId="9970" xr:uid="{3573DD0A-DDFA-45DC-A6CC-D468908D89F3}"/>
    <cellStyle name="Note 3 2 2 2 4" xfId="1845" xr:uid="{00000000-0005-0000-0000-000059210000}"/>
    <cellStyle name="Note 3 2 2 2 4 2" xfId="4074" xr:uid="{00000000-0005-0000-0000-00005A210000}"/>
    <cellStyle name="Note 3 2 2 2 4 2 2" xfId="8296" xr:uid="{00000000-0005-0000-0000-00005B210000}"/>
    <cellStyle name="Note 3 2 2 2 4 2 2 2" xfId="16746" xr:uid="{F79CFEBA-5343-43C2-8576-D8314C983807}"/>
    <cellStyle name="Note 3 2 2 2 4 2 3" xfId="12528" xr:uid="{D3B783E4-ABF7-4C27-8CD4-62CE30727F4B}"/>
    <cellStyle name="Note 3 2 2 2 4 3" xfId="6151" xr:uid="{00000000-0005-0000-0000-00005C210000}"/>
    <cellStyle name="Note 3 2 2 2 4 3 2" xfId="14601" xr:uid="{A3A40730-D8AC-4594-A9A2-BA00FF8CF161}"/>
    <cellStyle name="Note 3 2 2 2 4 4" xfId="10383" xr:uid="{0AB16869-7FAA-413B-AED2-3EC10286DE4B}"/>
    <cellStyle name="Note 3 2 2 2 5" xfId="2258" xr:uid="{00000000-0005-0000-0000-00005D210000}"/>
    <cellStyle name="Note 3 2 2 2 5 2" xfId="4487" xr:uid="{00000000-0005-0000-0000-00005E210000}"/>
    <cellStyle name="Note 3 2 2 2 5 2 2" xfId="8709" xr:uid="{00000000-0005-0000-0000-00005F210000}"/>
    <cellStyle name="Note 3 2 2 2 5 2 2 2" xfId="17159" xr:uid="{6912A6B0-4770-4565-952E-47C4378A088A}"/>
    <cellStyle name="Note 3 2 2 2 5 2 3" xfId="12941" xr:uid="{089EE301-0495-4A40-8215-D6208A12DC10}"/>
    <cellStyle name="Note 3 2 2 2 5 3" xfId="6564" xr:uid="{00000000-0005-0000-0000-000060210000}"/>
    <cellStyle name="Note 3 2 2 2 5 3 2" xfId="15014" xr:uid="{73C4DB09-8446-4994-8AF1-2E3FB3FA975E}"/>
    <cellStyle name="Note 3 2 2 2 5 4" xfId="10796" xr:uid="{AC17D6E8-A061-4C47-9319-BB61649B64DE}"/>
    <cellStyle name="Note 3 2 2 2 6" xfId="2694" xr:uid="{00000000-0005-0000-0000-000061210000}"/>
    <cellStyle name="Note 3 2 2 2 6 2" xfId="6977" xr:uid="{00000000-0005-0000-0000-000062210000}"/>
    <cellStyle name="Note 3 2 2 2 6 2 2" xfId="15427" xr:uid="{DEE5B8B6-C1C5-4D67-81D2-AFE5F2D97FC9}"/>
    <cellStyle name="Note 3 2 2 2 6 3" xfId="11209" xr:uid="{D18F59FF-3A6A-44B7-9CFD-2DC7FE86138A}"/>
    <cellStyle name="Note 3 2 2 2 7" xfId="2753" xr:uid="{00000000-0005-0000-0000-000063210000}"/>
    <cellStyle name="Note 3 2 2 2 8" xfId="2834" xr:uid="{00000000-0005-0000-0000-000064210000}"/>
    <cellStyle name="Note 3 2 2 2 8 2" xfId="7057" xr:uid="{00000000-0005-0000-0000-000065210000}"/>
    <cellStyle name="Note 3 2 2 2 8 2 2" xfId="15507" xr:uid="{40FA0395-0A72-4C9C-A989-A0CDE491AB1F}"/>
    <cellStyle name="Note 3 2 2 2 8 3" xfId="11289" xr:uid="{F9B25B09-55D6-41A5-8414-CF1CCF51A82F}"/>
    <cellStyle name="Note 3 2 2 2 9" xfId="4912" xr:uid="{00000000-0005-0000-0000-000066210000}"/>
    <cellStyle name="Note 3 2 2 2 9 2" xfId="13362" xr:uid="{7AC62B3F-3412-442A-8CDA-0D4A3E8C7827}"/>
    <cellStyle name="Note 3 2 2 3" xfId="1015" xr:uid="{00000000-0005-0000-0000-000067210000}"/>
    <cellStyle name="Note 3 2 2 3 2" xfId="3247" xr:uid="{00000000-0005-0000-0000-000068210000}"/>
    <cellStyle name="Note 3 2 2 3 2 2" xfId="7469" xr:uid="{00000000-0005-0000-0000-000069210000}"/>
    <cellStyle name="Note 3 2 2 3 2 2 2" xfId="15919" xr:uid="{1BD084EE-7FD7-4B47-879B-2F3D0BE04383}"/>
    <cellStyle name="Note 3 2 2 3 2 3" xfId="11701" xr:uid="{6AF84BD2-2816-43A6-B4D4-316EDE30E341}"/>
    <cellStyle name="Note 3 2 2 3 3" xfId="5324" xr:uid="{00000000-0005-0000-0000-00006A210000}"/>
    <cellStyle name="Note 3 2 2 3 3 2" xfId="13774" xr:uid="{139F2284-EC4E-4806-AFD4-B1500BE9EE00}"/>
    <cellStyle name="Note 3 2 2 3 4" xfId="9556" xr:uid="{681FAE38-8E35-4159-B194-E68F89B42CE7}"/>
    <cellStyle name="Note 3 2 2 4" xfId="1430" xr:uid="{00000000-0005-0000-0000-00006B210000}"/>
    <cellStyle name="Note 3 2 2 4 2" xfId="3660" xr:uid="{00000000-0005-0000-0000-00006C210000}"/>
    <cellStyle name="Note 3 2 2 4 2 2" xfId="7882" xr:uid="{00000000-0005-0000-0000-00006D210000}"/>
    <cellStyle name="Note 3 2 2 4 2 2 2" xfId="16332" xr:uid="{1EDDF696-0A4E-4A94-ABBF-40F4C80EC20D}"/>
    <cellStyle name="Note 3 2 2 4 2 3" xfId="12114" xr:uid="{4B8DD46B-100F-4E09-80C6-D3FE224CF9A8}"/>
    <cellStyle name="Note 3 2 2 4 3" xfId="5737" xr:uid="{00000000-0005-0000-0000-00006E210000}"/>
    <cellStyle name="Note 3 2 2 4 3 2" xfId="14187" xr:uid="{2A152149-49E1-4AFF-82AF-FC48AC1E76C5}"/>
    <cellStyle name="Note 3 2 2 4 4" xfId="9969" xr:uid="{093F6F64-C259-4E15-8C78-6412DF513F5D}"/>
    <cellStyle name="Note 3 2 2 5" xfId="1844" xr:uid="{00000000-0005-0000-0000-00006F210000}"/>
    <cellStyle name="Note 3 2 2 5 2" xfId="4073" xr:uid="{00000000-0005-0000-0000-000070210000}"/>
    <cellStyle name="Note 3 2 2 5 2 2" xfId="8295" xr:uid="{00000000-0005-0000-0000-000071210000}"/>
    <cellStyle name="Note 3 2 2 5 2 2 2" xfId="16745" xr:uid="{43BC00A7-1E23-4E7D-8063-7DCCF90AEE01}"/>
    <cellStyle name="Note 3 2 2 5 2 3" xfId="12527" xr:uid="{1264DFDB-1E0C-4924-B68F-19A4759186AE}"/>
    <cellStyle name="Note 3 2 2 5 3" xfId="6150" xr:uid="{00000000-0005-0000-0000-000072210000}"/>
    <cellStyle name="Note 3 2 2 5 3 2" xfId="14600" xr:uid="{6252A399-9D62-402E-9EF5-AC569509F317}"/>
    <cellStyle name="Note 3 2 2 5 4" xfId="10382" xr:uid="{5FAF3282-478A-4F43-9411-7C47AB99FC16}"/>
    <cellStyle name="Note 3 2 2 6" xfId="2257" xr:uid="{00000000-0005-0000-0000-000073210000}"/>
    <cellStyle name="Note 3 2 2 6 2" xfId="4486" xr:uid="{00000000-0005-0000-0000-000074210000}"/>
    <cellStyle name="Note 3 2 2 6 2 2" xfId="8708" xr:uid="{00000000-0005-0000-0000-000075210000}"/>
    <cellStyle name="Note 3 2 2 6 2 2 2" xfId="17158" xr:uid="{CF903B65-7867-4BDF-91DB-564A9CAA2212}"/>
    <cellStyle name="Note 3 2 2 6 2 3" xfId="12940" xr:uid="{56597C14-BB46-4989-B2E1-DDA19412D135}"/>
    <cellStyle name="Note 3 2 2 6 3" xfId="6563" xr:uid="{00000000-0005-0000-0000-000076210000}"/>
    <cellStyle name="Note 3 2 2 6 3 2" xfId="15013" xr:uid="{2DD583C8-695E-4C9B-96CB-D507BF64C2F7}"/>
    <cellStyle name="Note 3 2 2 6 4" xfId="10795" xr:uid="{EA2B501F-02E9-42D4-8B20-4DF346044CA6}"/>
    <cellStyle name="Note 3 2 2 7" xfId="2693" xr:uid="{00000000-0005-0000-0000-000077210000}"/>
    <cellStyle name="Note 3 2 2 7 2" xfId="6976" xr:uid="{00000000-0005-0000-0000-000078210000}"/>
    <cellStyle name="Note 3 2 2 7 2 2" xfId="15426" xr:uid="{4E5FCD3B-01BE-4B09-9F49-2C2E366637DC}"/>
    <cellStyle name="Note 3 2 2 7 3" xfId="11208" xr:uid="{7AA107E7-E7D7-4949-B36D-C7309D074736}"/>
    <cellStyle name="Note 3 2 2 8" xfId="2752" xr:uid="{00000000-0005-0000-0000-000079210000}"/>
    <cellStyle name="Note 3 2 2 9" xfId="2833" xr:uid="{00000000-0005-0000-0000-00007A210000}"/>
    <cellStyle name="Note 3 2 2 9 2" xfId="7056" xr:uid="{00000000-0005-0000-0000-00007B210000}"/>
    <cellStyle name="Note 3 2 2 9 2 2" xfId="15506" xr:uid="{01922433-8D9C-4EA6-AE7E-05BF13C7BD97}"/>
    <cellStyle name="Note 3 2 2 9 3" xfId="11288" xr:uid="{476E915C-6C73-4371-8C71-9D53C9D1EB70}"/>
    <cellStyle name="Note 3 2 3" xfId="557" xr:uid="{00000000-0005-0000-0000-00007C210000}"/>
    <cellStyle name="Note 3 2 3 10" xfId="9145" xr:uid="{924FBF03-0FE6-42F9-B06C-FF787FB5D68F}"/>
    <cellStyle name="Note 3 2 3 2" xfId="1017" xr:uid="{00000000-0005-0000-0000-00007D210000}"/>
    <cellStyle name="Note 3 2 3 2 2" xfId="3249" xr:uid="{00000000-0005-0000-0000-00007E210000}"/>
    <cellStyle name="Note 3 2 3 2 2 2" xfId="7471" xr:uid="{00000000-0005-0000-0000-00007F210000}"/>
    <cellStyle name="Note 3 2 3 2 2 2 2" xfId="15921" xr:uid="{CC2E3717-1599-4778-B18C-F2F5C4732EFA}"/>
    <cellStyle name="Note 3 2 3 2 2 3" xfId="11703" xr:uid="{39E087C2-A43D-4022-AC20-E94CF5ACA4A4}"/>
    <cellStyle name="Note 3 2 3 2 3" xfId="5326" xr:uid="{00000000-0005-0000-0000-000080210000}"/>
    <cellStyle name="Note 3 2 3 2 3 2" xfId="13776" xr:uid="{C9606BF0-E4BA-456C-AABB-D57BF2CDACEF}"/>
    <cellStyle name="Note 3 2 3 2 4" xfId="9558" xr:uid="{C08DA856-61CA-421D-9857-ACA5D58776BB}"/>
    <cellStyle name="Note 3 2 3 3" xfId="1432" xr:uid="{00000000-0005-0000-0000-000081210000}"/>
    <cellStyle name="Note 3 2 3 3 2" xfId="3662" xr:uid="{00000000-0005-0000-0000-000082210000}"/>
    <cellStyle name="Note 3 2 3 3 2 2" xfId="7884" xr:uid="{00000000-0005-0000-0000-000083210000}"/>
    <cellStyle name="Note 3 2 3 3 2 2 2" xfId="16334" xr:uid="{07FB5ECA-CDDD-4430-8CDC-B9241E9D0DA3}"/>
    <cellStyle name="Note 3 2 3 3 2 3" xfId="12116" xr:uid="{9CF1D7FF-A2D7-4834-A96C-190DB44FB4DD}"/>
    <cellStyle name="Note 3 2 3 3 3" xfId="5739" xr:uid="{00000000-0005-0000-0000-000084210000}"/>
    <cellStyle name="Note 3 2 3 3 3 2" xfId="14189" xr:uid="{06C4AA83-D42D-41DB-8983-07F5051CBCB7}"/>
    <cellStyle name="Note 3 2 3 3 4" xfId="9971" xr:uid="{F011E1F5-F251-4D36-BC1D-959C4F84F2D6}"/>
    <cellStyle name="Note 3 2 3 4" xfId="1846" xr:uid="{00000000-0005-0000-0000-000085210000}"/>
    <cellStyle name="Note 3 2 3 4 2" xfId="4075" xr:uid="{00000000-0005-0000-0000-000086210000}"/>
    <cellStyle name="Note 3 2 3 4 2 2" xfId="8297" xr:uid="{00000000-0005-0000-0000-000087210000}"/>
    <cellStyle name="Note 3 2 3 4 2 2 2" xfId="16747" xr:uid="{BFCCE51F-D152-4D54-90CB-65468940BDF9}"/>
    <cellStyle name="Note 3 2 3 4 2 3" xfId="12529" xr:uid="{B9C0C980-DFD4-47BC-B11E-B6C51CB9BF9D}"/>
    <cellStyle name="Note 3 2 3 4 3" xfId="6152" xr:uid="{00000000-0005-0000-0000-000088210000}"/>
    <cellStyle name="Note 3 2 3 4 3 2" xfId="14602" xr:uid="{16E55F3C-571F-4C10-9F3D-5A7E2CECBCD2}"/>
    <cellStyle name="Note 3 2 3 4 4" xfId="10384" xr:uid="{404D6972-6F6A-4027-93E3-804BDE9CC794}"/>
    <cellStyle name="Note 3 2 3 5" xfId="2259" xr:uid="{00000000-0005-0000-0000-000089210000}"/>
    <cellStyle name="Note 3 2 3 5 2" xfId="4488" xr:uid="{00000000-0005-0000-0000-00008A210000}"/>
    <cellStyle name="Note 3 2 3 5 2 2" xfId="8710" xr:uid="{00000000-0005-0000-0000-00008B210000}"/>
    <cellStyle name="Note 3 2 3 5 2 2 2" xfId="17160" xr:uid="{C9A61FCD-EBD4-4F8E-8BEB-BE738864B084}"/>
    <cellStyle name="Note 3 2 3 5 2 3" xfId="12942" xr:uid="{57D7095E-573B-4C8E-987E-CB98AAE306C8}"/>
    <cellStyle name="Note 3 2 3 5 3" xfId="6565" xr:uid="{00000000-0005-0000-0000-00008C210000}"/>
    <cellStyle name="Note 3 2 3 5 3 2" xfId="15015" xr:uid="{E7642D9B-1754-4C82-A6F6-36E818CC80DA}"/>
    <cellStyle name="Note 3 2 3 5 4" xfId="10797" xr:uid="{808613A9-8454-4505-96C7-2DC8D3AA3A30}"/>
    <cellStyle name="Note 3 2 3 6" xfId="2695" xr:uid="{00000000-0005-0000-0000-00008D210000}"/>
    <cellStyle name="Note 3 2 3 6 2" xfId="6978" xr:uid="{00000000-0005-0000-0000-00008E210000}"/>
    <cellStyle name="Note 3 2 3 6 2 2" xfId="15428" xr:uid="{42641F83-320B-4EDB-8584-83709CCEFE17}"/>
    <cellStyle name="Note 3 2 3 6 3" xfId="11210" xr:uid="{AF2FE4B1-AE96-4266-B92D-23C37C01D0AD}"/>
    <cellStyle name="Note 3 2 3 7" xfId="2754" xr:uid="{00000000-0005-0000-0000-00008F210000}"/>
    <cellStyle name="Note 3 2 3 8" xfId="2835" xr:uid="{00000000-0005-0000-0000-000090210000}"/>
    <cellStyle name="Note 3 2 3 8 2" xfId="7058" xr:uid="{00000000-0005-0000-0000-000091210000}"/>
    <cellStyle name="Note 3 2 3 8 2 2" xfId="15508" xr:uid="{DB686506-CD98-43D2-888E-BBE562BD4336}"/>
    <cellStyle name="Note 3 2 3 8 3" xfId="11290" xr:uid="{2E479FF4-9E31-4188-873B-3714877D8A2C}"/>
    <cellStyle name="Note 3 2 3 9" xfId="4913" xr:uid="{00000000-0005-0000-0000-000092210000}"/>
    <cellStyle name="Note 3 2 3 9 2" xfId="13363" xr:uid="{99F9EFEB-C2BD-43A7-A4C0-D613EFC35E0D}"/>
    <cellStyle name="Note 3 2 4" xfId="1014" xr:uid="{00000000-0005-0000-0000-000093210000}"/>
    <cellStyle name="Note 3 2 4 2" xfId="3246" xr:uid="{00000000-0005-0000-0000-000094210000}"/>
    <cellStyle name="Note 3 2 4 2 2" xfId="7468" xr:uid="{00000000-0005-0000-0000-000095210000}"/>
    <cellStyle name="Note 3 2 4 2 2 2" xfId="15918" xr:uid="{EF8014B3-9B21-4A23-AD01-6D76B97DC3A0}"/>
    <cellStyle name="Note 3 2 4 2 3" xfId="11700" xr:uid="{BF748E97-CA33-4F61-8D0B-14D56168585F}"/>
    <cellStyle name="Note 3 2 4 3" xfId="5323" xr:uid="{00000000-0005-0000-0000-000096210000}"/>
    <cellStyle name="Note 3 2 4 3 2" xfId="13773" xr:uid="{9773133C-2ACD-413E-96E5-69B180BC6164}"/>
    <cellStyle name="Note 3 2 4 4" xfId="9555" xr:uid="{6E31BC2B-28B0-48D6-AE46-D04A1725024B}"/>
    <cellStyle name="Note 3 2 5" xfId="1429" xr:uid="{00000000-0005-0000-0000-000097210000}"/>
    <cellStyle name="Note 3 2 5 2" xfId="3659" xr:uid="{00000000-0005-0000-0000-000098210000}"/>
    <cellStyle name="Note 3 2 5 2 2" xfId="7881" xr:uid="{00000000-0005-0000-0000-000099210000}"/>
    <cellStyle name="Note 3 2 5 2 2 2" xfId="16331" xr:uid="{788FED95-289E-4896-BF9E-2F5F3439D8D7}"/>
    <cellStyle name="Note 3 2 5 2 3" xfId="12113" xr:uid="{7221E049-8CB5-4B22-B9D4-CD2B40F17B0D}"/>
    <cellStyle name="Note 3 2 5 3" xfId="5736" xr:uid="{00000000-0005-0000-0000-00009A210000}"/>
    <cellStyle name="Note 3 2 5 3 2" xfId="14186" xr:uid="{565717E3-3E49-493E-8263-4C47C087C2B4}"/>
    <cellStyle name="Note 3 2 5 4" xfId="9968" xr:uid="{9B809364-6B91-44EC-B04C-66159C80DF2E}"/>
    <cellStyle name="Note 3 2 6" xfId="1843" xr:uid="{00000000-0005-0000-0000-00009B210000}"/>
    <cellStyle name="Note 3 2 6 2" xfId="4072" xr:uid="{00000000-0005-0000-0000-00009C210000}"/>
    <cellStyle name="Note 3 2 6 2 2" xfId="8294" xr:uid="{00000000-0005-0000-0000-00009D210000}"/>
    <cellStyle name="Note 3 2 6 2 2 2" xfId="16744" xr:uid="{69FFC757-0481-41BB-B113-C36870C18452}"/>
    <cellStyle name="Note 3 2 6 2 3" xfId="12526" xr:uid="{6B6EBD77-7988-4C0A-9A99-C5825B1C48CF}"/>
    <cellStyle name="Note 3 2 6 3" xfId="6149" xr:uid="{00000000-0005-0000-0000-00009E210000}"/>
    <cellStyle name="Note 3 2 6 3 2" xfId="14599" xr:uid="{8EE3EE8E-9573-4ACF-99B0-B0BE04C04E9C}"/>
    <cellStyle name="Note 3 2 6 4" xfId="10381" xr:uid="{1F52EED5-B351-4464-AC9B-7D698230391E}"/>
    <cellStyle name="Note 3 2 7" xfId="2256" xr:uid="{00000000-0005-0000-0000-00009F210000}"/>
    <cellStyle name="Note 3 2 7 2" xfId="4485" xr:uid="{00000000-0005-0000-0000-0000A0210000}"/>
    <cellStyle name="Note 3 2 7 2 2" xfId="8707" xr:uid="{00000000-0005-0000-0000-0000A1210000}"/>
    <cellStyle name="Note 3 2 7 2 2 2" xfId="17157" xr:uid="{4E5E79D5-CC9D-40BD-BBE6-F5A43B324DBF}"/>
    <cellStyle name="Note 3 2 7 2 3" xfId="12939" xr:uid="{2B9162A9-5519-4F74-BB7C-FFE420059778}"/>
    <cellStyle name="Note 3 2 7 3" xfId="6562" xr:uid="{00000000-0005-0000-0000-0000A2210000}"/>
    <cellStyle name="Note 3 2 7 3 2" xfId="15012" xr:uid="{7FF3CB10-7D18-466B-A71E-47EDBD342649}"/>
    <cellStyle name="Note 3 2 7 4" xfId="10794" xr:uid="{F20159D4-5FE7-4391-A127-65103C28C8F1}"/>
    <cellStyle name="Note 3 2 8" xfId="2692" xr:uid="{00000000-0005-0000-0000-0000A3210000}"/>
    <cellStyle name="Note 3 2 8 2" xfId="6975" xr:uid="{00000000-0005-0000-0000-0000A4210000}"/>
    <cellStyle name="Note 3 2 8 2 2" xfId="15425" xr:uid="{59CA7FAA-7DC6-47DB-A625-252DD8E1C8CF}"/>
    <cellStyle name="Note 3 2 8 3" xfId="11207" xr:uid="{30B5EF98-F830-4C99-8CFC-1E864ED26205}"/>
    <cellStyle name="Note 3 2 9" xfId="2751" xr:uid="{00000000-0005-0000-0000-0000A5210000}"/>
    <cellStyle name="Note 3 3" xfId="558" xr:uid="{00000000-0005-0000-0000-0000A6210000}"/>
    <cellStyle name="Note 3 3 10" xfId="4914" xr:uid="{00000000-0005-0000-0000-0000A7210000}"/>
    <cellStyle name="Note 3 3 10 2" xfId="13364" xr:uid="{4FA155FC-C39C-4349-9FF9-1B2FDBC4522D}"/>
    <cellStyle name="Note 3 3 11" xfId="9146" xr:uid="{7C6565E5-6F5F-4499-A0B2-6E7CE5742AB3}"/>
    <cellStyle name="Note 3 3 2" xfId="559" xr:uid="{00000000-0005-0000-0000-0000A8210000}"/>
    <cellStyle name="Note 3 3 2 10" xfId="9147" xr:uid="{E112AC4B-1DEA-44D2-B327-6CFD2B61EB3A}"/>
    <cellStyle name="Note 3 3 2 2" xfId="1019" xr:uid="{00000000-0005-0000-0000-0000A9210000}"/>
    <cellStyle name="Note 3 3 2 2 2" xfId="3251" xr:uid="{00000000-0005-0000-0000-0000AA210000}"/>
    <cellStyle name="Note 3 3 2 2 2 2" xfId="7473" xr:uid="{00000000-0005-0000-0000-0000AB210000}"/>
    <cellStyle name="Note 3 3 2 2 2 2 2" xfId="15923" xr:uid="{A203979F-FBE1-494A-B7E8-F923D84830E4}"/>
    <cellStyle name="Note 3 3 2 2 2 3" xfId="11705" xr:uid="{7E9E26B3-36B6-4B7C-A72D-E87013B905DA}"/>
    <cellStyle name="Note 3 3 2 2 3" xfId="5328" xr:uid="{00000000-0005-0000-0000-0000AC210000}"/>
    <cellStyle name="Note 3 3 2 2 3 2" xfId="13778" xr:uid="{1DF8F7AB-AC3F-4F96-A70E-44769018F1C8}"/>
    <cellStyle name="Note 3 3 2 2 4" xfId="9560" xr:uid="{144BBA27-F13F-44F8-B6C8-6422DDC175C6}"/>
    <cellStyle name="Note 3 3 2 3" xfId="1434" xr:uid="{00000000-0005-0000-0000-0000AD210000}"/>
    <cellStyle name="Note 3 3 2 3 2" xfId="3664" xr:uid="{00000000-0005-0000-0000-0000AE210000}"/>
    <cellStyle name="Note 3 3 2 3 2 2" xfId="7886" xr:uid="{00000000-0005-0000-0000-0000AF210000}"/>
    <cellStyle name="Note 3 3 2 3 2 2 2" xfId="16336" xr:uid="{28B216CA-01B4-4CB3-B480-C1AFB783AE8E}"/>
    <cellStyle name="Note 3 3 2 3 2 3" xfId="12118" xr:uid="{54025C68-5800-4F68-B9E0-8C7048096B73}"/>
    <cellStyle name="Note 3 3 2 3 3" xfId="5741" xr:uid="{00000000-0005-0000-0000-0000B0210000}"/>
    <cellStyle name="Note 3 3 2 3 3 2" xfId="14191" xr:uid="{60EACC34-567D-4CDF-86F5-07DDEEFD4D3B}"/>
    <cellStyle name="Note 3 3 2 3 4" xfId="9973" xr:uid="{5EAEAE56-6E04-417B-B0F1-DBB1EE4C5DD0}"/>
    <cellStyle name="Note 3 3 2 4" xfId="1848" xr:uid="{00000000-0005-0000-0000-0000B1210000}"/>
    <cellStyle name="Note 3 3 2 4 2" xfId="4077" xr:uid="{00000000-0005-0000-0000-0000B2210000}"/>
    <cellStyle name="Note 3 3 2 4 2 2" xfId="8299" xr:uid="{00000000-0005-0000-0000-0000B3210000}"/>
    <cellStyle name="Note 3 3 2 4 2 2 2" xfId="16749" xr:uid="{A1FE0052-20D2-4CE0-9D62-A31807476CBB}"/>
    <cellStyle name="Note 3 3 2 4 2 3" xfId="12531" xr:uid="{829AD1FE-D34C-4D33-B64C-DFEC0CAC29DD}"/>
    <cellStyle name="Note 3 3 2 4 3" xfId="6154" xr:uid="{00000000-0005-0000-0000-0000B4210000}"/>
    <cellStyle name="Note 3 3 2 4 3 2" xfId="14604" xr:uid="{68368B6E-3197-4ED2-8C08-6013B70E82D1}"/>
    <cellStyle name="Note 3 3 2 4 4" xfId="10386" xr:uid="{7BCCAA6D-AFA0-4743-926F-350DEF6752E9}"/>
    <cellStyle name="Note 3 3 2 5" xfId="2261" xr:uid="{00000000-0005-0000-0000-0000B5210000}"/>
    <cellStyle name="Note 3 3 2 5 2" xfId="4490" xr:uid="{00000000-0005-0000-0000-0000B6210000}"/>
    <cellStyle name="Note 3 3 2 5 2 2" xfId="8712" xr:uid="{00000000-0005-0000-0000-0000B7210000}"/>
    <cellStyle name="Note 3 3 2 5 2 2 2" xfId="17162" xr:uid="{C3A5CCF7-791B-4102-A2D5-B903EFF5370F}"/>
    <cellStyle name="Note 3 3 2 5 2 3" xfId="12944" xr:uid="{5CB37C43-826C-46A2-9CF2-BB53C41544DF}"/>
    <cellStyle name="Note 3 3 2 5 3" xfId="6567" xr:uid="{00000000-0005-0000-0000-0000B8210000}"/>
    <cellStyle name="Note 3 3 2 5 3 2" xfId="15017" xr:uid="{E912DB2A-6601-420D-BBCF-160859842EE2}"/>
    <cellStyle name="Note 3 3 2 5 4" xfId="10799" xr:uid="{8A08DDA5-378D-40DA-ACB4-DB34EFE58548}"/>
    <cellStyle name="Note 3 3 2 6" xfId="2697" xr:uid="{00000000-0005-0000-0000-0000B9210000}"/>
    <cellStyle name="Note 3 3 2 6 2" xfId="6980" xr:uid="{00000000-0005-0000-0000-0000BA210000}"/>
    <cellStyle name="Note 3 3 2 6 2 2" xfId="15430" xr:uid="{B454F548-D4FF-4B54-ABB0-0DD15651FC7B}"/>
    <cellStyle name="Note 3 3 2 6 3" xfId="11212" xr:uid="{C32DEBC5-5863-4385-92ED-16BC5B3380C7}"/>
    <cellStyle name="Note 3 3 2 7" xfId="2756" xr:uid="{00000000-0005-0000-0000-0000BB210000}"/>
    <cellStyle name="Note 3 3 2 8" xfId="2837" xr:uid="{00000000-0005-0000-0000-0000BC210000}"/>
    <cellStyle name="Note 3 3 2 8 2" xfId="7060" xr:uid="{00000000-0005-0000-0000-0000BD210000}"/>
    <cellStyle name="Note 3 3 2 8 2 2" xfId="15510" xr:uid="{21A5CFE1-72CB-4D3B-9514-B78816BED010}"/>
    <cellStyle name="Note 3 3 2 8 3" xfId="11292" xr:uid="{94916424-9CAF-40EB-98BC-4D9E1D9A09B5}"/>
    <cellStyle name="Note 3 3 2 9" xfId="4915" xr:uid="{00000000-0005-0000-0000-0000BE210000}"/>
    <cellStyle name="Note 3 3 2 9 2" xfId="13365" xr:uid="{891A9053-2C19-4102-84F3-48B63F7A9970}"/>
    <cellStyle name="Note 3 3 3" xfId="1018" xr:uid="{00000000-0005-0000-0000-0000BF210000}"/>
    <cellStyle name="Note 3 3 3 2" xfId="3250" xr:uid="{00000000-0005-0000-0000-0000C0210000}"/>
    <cellStyle name="Note 3 3 3 2 2" xfId="7472" xr:uid="{00000000-0005-0000-0000-0000C1210000}"/>
    <cellStyle name="Note 3 3 3 2 2 2" xfId="15922" xr:uid="{4E1CCC31-19EF-416A-8D24-EB8A2A23A431}"/>
    <cellStyle name="Note 3 3 3 2 3" xfId="11704" xr:uid="{A379B108-4666-4FF6-AA48-FCD118E11E3E}"/>
    <cellStyle name="Note 3 3 3 3" xfId="5327" xr:uid="{00000000-0005-0000-0000-0000C2210000}"/>
    <cellStyle name="Note 3 3 3 3 2" xfId="13777" xr:uid="{A24444E8-9239-4C8C-BE43-DA239EF232D2}"/>
    <cellStyle name="Note 3 3 3 4" xfId="9559" xr:uid="{A9660A9A-251E-44C8-A15D-5738349D4042}"/>
    <cellStyle name="Note 3 3 4" xfId="1433" xr:uid="{00000000-0005-0000-0000-0000C3210000}"/>
    <cellStyle name="Note 3 3 4 2" xfId="3663" xr:uid="{00000000-0005-0000-0000-0000C4210000}"/>
    <cellStyle name="Note 3 3 4 2 2" xfId="7885" xr:uid="{00000000-0005-0000-0000-0000C5210000}"/>
    <cellStyle name="Note 3 3 4 2 2 2" xfId="16335" xr:uid="{B5F69C25-F920-4E42-8025-69D394A17B5F}"/>
    <cellStyle name="Note 3 3 4 2 3" xfId="12117" xr:uid="{CDC3DCA0-028A-45A6-BBD2-BFBECCD5E71F}"/>
    <cellStyle name="Note 3 3 4 3" xfId="5740" xr:uid="{00000000-0005-0000-0000-0000C6210000}"/>
    <cellStyle name="Note 3 3 4 3 2" xfId="14190" xr:uid="{E6F9864E-F4D2-4AE1-B3E1-30D916F60DCC}"/>
    <cellStyle name="Note 3 3 4 4" xfId="9972" xr:uid="{A03E2FCC-51D7-40AD-870B-8F2343BF811E}"/>
    <cellStyle name="Note 3 3 5" xfId="1847" xr:uid="{00000000-0005-0000-0000-0000C7210000}"/>
    <cellStyle name="Note 3 3 5 2" xfId="4076" xr:uid="{00000000-0005-0000-0000-0000C8210000}"/>
    <cellStyle name="Note 3 3 5 2 2" xfId="8298" xr:uid="{00000000-0005-0000-0000-0000C9210000}"/>
    <cellStyle name="Note 3 3 5 2 2 2" xfId="16748" xr:uid="{C2192941-3857-45CE-A2C6-43563EA4472F}"/>
    <cellStyle name="Note 3 3 5 2 3" xfId="12530" xr:uid="{79D179B7-BA20-43F0-AEBA-901E855C859F}"/>
    <cellStyle name="Note 3 3 5 3" xfId="6153" xr:uid="{00000000-0005-0000-0000-0000CA210000}"/>
    <cellStyle name="Note 3 3 5 3 2" xfId="14603" xr:uid="{C703E65F-4B73-4FBE-AE35-770535853234}"/>
    <cellStyle name="Note 3 3 5 4" xfId="10385" xr:uid="{32AF3BDA-2E55-4923-82EB-7AABC721EEB9}"/>
    <cellStyle name="Note 3 3 6" xfId="2260" xr:uid="{00000000-0005-0000-0000-0000CB210000}"/>
    <cellStyle name="Note 3 3 6 2" xfId="4489" xr:uid="{00000000-0005-0000-0000-0000CC210000}"/>
    <cellStyle name="Note 3 3 6 2 2" xfId="8711" xr:uid="{00000000-0005-0000-0000-0000CD210000}"/>
    <cellStyle name="Note 3 3 6 2 2 2" xfId="17161" xr:uid="{CA20C3DE-F173-4795-A773-414DCF1B5F27}"/>
    <cellStyle name="Note 3 3 6 2 3" xfId="12943" xr:uid="{DD60C3CC-D010-43C4-8AD7-1F3A1A3DB746}"/>
    <cellStyle name="Note 3 3 6 3" xfId="6566" xr:uid="{00000000-0005-0000-0000-0000CE210000}"/>
    <cellStyle name="Note 3 3 6 3 2" xfId="15016" xr:uid="{1951DE83-8146-46E0-B3C0-E18E775FA808}"/>
    <cellStyle name="Note 3 3 6 4" xfId="10798" xr:uid="{75DA25F9-2921-43C9-88C9-7481C62CC1AE}"/>
    <cellStyle name="Note 3 3 7" xfId="2696" xr:uid="{00000000-0005-0000-0000-0000CF210000}"/>
    <cellStyle name="Note 3 3 7 2" xfId="6979" xr:uid="{00000000-0005-0000-0000-0000D0210000}"/>
    <cellStyle name="Note 3 3 7 2 2" xfId="15429" xr:uid="{C3E91A15-1F5D-4F1C-8C6F-16C8F802D47D}"/>
    <cellStyle name="Note 3 3 7 3" xfId="11211" xr:uid="{374094B3-85AA-4D6C-AE52-0B28141C625D}"/>
    <cellStyle name="Note 3 3 8" xfId="2755" xr:uid="{00000000-0005-0000-0000-0000D1210000}"/>
    <cellStyle name="Note 3 3 9" xfId="2836" xr:uid="{00000000-0005-0000-0000-0000D2210000}"/>
    <cellStyle name="Note 3 3 9 2" xfId="7059" xr:uid="{00000000-0005-0000-0000-0000D3210000}"/>
    <cellStyle name="Note 3 3 9 2 2" xfId="15509" xr:uid="{69163364-C9F3-41F6-9C10-147F8274EF05}"/>
    <cellStyle name="Note 3 3 9 3" xfId="11291" xr:uid="{F6D2B8FF-E091-4F79-9456-74315A6B0A32}"/>
    <cellStyle name="Note 3 4" xfId="560" xr:uid="{00000000-0005-0000-0000-0000D4210000}"/>
    <cellStyle name="Note 3 4 10" xfId="9148" xr:uid="{5758B6F3-F215-423C-BD27-79D1F60CEBD1}"/>
    <cellStyle name="Note 3 4 2" xfId="1020" xr:uid="{00000000-0005-0000-0000-0000D5210000}"/>
    <cellStyle name="Note 3 4 2 2" xfId="3252" xr:uid="{00000000-0005-0000-0000-0000D6210000}"/>
    <cellStyle name="Note 3 4 2 2 2" xfId="7474" xr:uid="{00000000-0005-0000-0000-0000D7210000}"/>
    <cellStyle name="Note 3 4 2 2 2 2" xfId="15924" xr:uid="{CAE544FD-91BF-4E28-B6B6-79414C282C39}"/>
    <cellStyle name="Note 3 4 2 2 3" xfId="11706" xr:uid="{E7EBB536-06B9-4986-8396-6728980C65DB}"/>
    <cellStyle name="Note 3 4 2 3" xfId="5329" xr:uid="{00000000-0005-0000-0000-0000D8210000}"/>
    <cellStyle name="Note 3 4 2 3 2" xfId="13779" xr:uid="{D8F196CB-D9E2-4B3F-A578-0B67102B4C8D}"/>
    <cellStyle name="Note 3 4 2 4" xfId="9561" xr:uid="{9E981247-C143-400C-BA96-E43CE297AC26}"/>
    <cellStyle name="Note 3 4 3" xfId="1435" xr:uid="{00000000-0005-0000-0000-0000D9210000}"/>
    <cellStyle name="Note 3 4 3 2" xfId="3665" xr:uid="{00000000-0005-0000-0000-0000DA210000}"/>
    <cellStyle name="Note 3 4 3 2 2" xfId="7887" xr:uid="{00000000-0005-0000-0000-0000DB210000}"/>
    <cellStyle name="Note 3 4 3 2 2 2" xfId="16337" xr:uid="{FC160825-6324-4C84-BEC7-1AB1EFE8D859}"/>
    <cellStyle name="Note 3 4 3 2 3" xfId="12119" xr:uid="{3301D8BD-85D8-44ED-A583-6AF1C93E5E14}"/>
    <cellStyle name="Note 3 4 3 3" xfId="5742" xr:uid="{00000000-0005-0000-0000-0000DC210000}"/>
    <cellStyle name="Note 3 4 3 3 2" xfId="14192" xr:uid="{B94EED64-74AA-417B-8661-6F6A54151784}"/>
    <cellStyle name="Note 3 4 3 4" xfId="9974" xr:uid="{06CA5D94-3EB4-4ED4-BE5F-CC9CB8D9A5CB}"/>
    <cellStyle name="Note 3 4 4" xfId="1849" xr:uid="{00000000-0005-0000-0000-0000DD210000}"/>
    <cellStyle name="Note 3 4 4 2" xfId="4078" xr:uid="{00000000-0005-0000-0000-0000DE210000}"/>
    <cellStyle name="Note 3 4 4 2 2" xfId="8300" xr:uid="{00000000-0005-0000-0000-0000DF210000}"/>
    <cellStyle name="Note 3 4 4 2 2 2" xfId="16750" xr:uid="{1E27CD77-C07C-407D-AEB8-F6798F5235F8}"/>
    <cellStyle name="Note 3 4 4 2 3" xfId="12532" xr:uid="{D415715D-0146-4106-BC0E-F37703A56B48}"/>
    <cellStyle name="Note 3 4 4 3" xfId="6155" xr:uid="{00000000-0005-0000-0000-0000E0210000}"/>
    <cellStyle name="Note 3 4 4 3 2" xfId="14605" xr:uid="{D4222315-5D5B-408E-B339-82D08FC33AEC}"/>
    <cellStyle name="Note 3 4 4 4" xfId="10387" xr:uid="{A7C1EE6F-9869-466F-91E0-968B63CB8942}"/>
    <cellStyle name="Note 3 4 5" xfId="2262" xr:uid="{00000000-0005-0000-0000-0000E1210000}"/>
    <cellStyle name="Note 3 4 5 2" xfId="4491" xr:uid="{00000000-0005-0000-0000-0000E2210000}"/>
    <cellStyle name="Note 3 4 5 2 2" xfId="8713" xr:uid="{00000000-0005-0000-0000-0000E3210000}"/>
    <cellStyle name="Note 3 4 5 2 2 2" xfId="17163" xr:uid="{D74C1F75-7DC4-48F5-9738-3B321A3EE723}"/>
    <cellStyle name="Note 3 4 5 2 3" xfId="12945" xr:uid="{D85020B3-B833-4041-8848-2114F2C85A2E}"/>
    <cellStyle name="Note 3 4 5 3" xfId="6568" xr:uid="{00000000-0005-0000-0000-0000E4210000}"/>
    <cellStyle name="Note 3 4 5 3 2" xfId="15018" xr:uid="{9629084E-96E1-4E94-B5C6-17761CBAF2D3}"/>
    <cellStyle name="Note 3 4 5 4" xfId="10800" xr:uid="{A6F54DDE-EA7E-43BD-A552-16466863EEB7}"/>
    <cellStyle name="Note 3 4 6" xfId="2698" xr:uid="{00000000-0005-0000-0000-0000E5210000}"/>
    <cellStyle name="Note 3 4 6 2" xfId="6981" xr:uid="{00000000-0005-0000-0000-0000E6210000}"/>
    <cellStyle name="Note 3 4 6 2 2" xfId="15431" xr:uid="{C8DF0654-46FB-433E-B52E-4370D54FE932}"/>
    <cellStyle name="Note 3 4 6 3" xfId="11213" xr:uid="{0EFE413B-24DB-49B4-A62B-DA1507BB8C6A}"/>
    <cellStyle name="Note 3 4 7" xfId="2757" xr:uid="{00000000-0005-0000-0000-0000E7210000}"/>
    <cellStyle name="Note 3 4 8" xfId="2838" xr:uid="{00000000-0005-0000-0000-0000E8210000}"/>
    <cellStyle name="Note 3 4 8 2" xfId="7061" xr:uid="{00000000-0005-0000-0000-0000E9210000}"/>
    <cellStyle name="Note 3 4 8 2 2" xfId="15511" xr:uid="{50B89049-72E3-438C-B4D5-A2A0220DEC26}"/>
    <cellStyle name="Note 3 4 8 3" xfId="11293" xr:uid="{59126163-F277-4B98-B949-A0D910BD67CD}"/>
    <cellStyle name="Note 3 4 9" xfId="4916" xr:uid="{00000000-0005-0000-0000-0000EA210000}"/>
    <cellStyle name="Note 3 4 9 2" xfId="13366" xr:uid="{57C7FBFB-9D78-4BC6-9EDB-19D6D450143A}"/>
    <cellStyle name="Note 3 5" xfId="561" xr:uid="{00000000-0005-0000-0000-0000EB210000}"/>
    <cellStyle name="Note 3 5 10" xfId="9149" xr:uid="{FEAAACC6-82A8-4AC6-8189-353437062FEE}"/>
    <cellStyle name="Note 3 5 2" xfId="1021" xr:uid="{00000000-0005-0000-0000-0000EC210000}"/>
    <cellStyle name="Note 3 5 2 2" xfId="3253" xr:uid="{00000000-0005-0000-0000-0000ED210000}"/>
    <cellStyle name="Note 3 5 2 2 2" xfId="7475" xr:uid="{00000000-0005-0000-0000-0000EE210000}"/>
    <cellStyle name="Note 3 5 2 2 2 2" xfId="15925" xr:uid="{1C9D9906-591A-4296-8767-35F2CC004EA3}"/>
    <cellStyle name="Note 3 5 2 2 3" xfId="11707" xr:uid="{154A66B8-DA4F-4620-8D7E-0DDA607DEC53}"/>
    <cellStyle name="Note 3 5 2 3" xfId="5330" xr:uid="{00000000-0005-0000-0000-0000EF210000}"/>
    <cellStyle name="Note 3 5 2 3 2" xfId="13780" xr:uid="{C5097E00-48D9-4CE9-B7DC-D8C94458B8B0}"/>
    <cellStyle name="Note 3 5 2 4" xfId="9562" xr:uid="{B7590C61-78B9-4224-8B77-13033866E172}"/>
    <cellStyle name="Note 3 5 3" xfId="1436" xr:uid="{00000000-0005-0000-0000-0000F0210000}"/>
    <cellStyle name="Note 3 5 3 2" xfId="3666" xr:uid="{00000000-0005-0000-0000-0000F1210000}"/>
    <cellStyle name="Note 3 5 3 2 2" xfId="7888" xr:uid="{00000000-0005-0000-0000-0000F2210000}"/>
    <cellStyle name="Note 3 5 3 2 2 2" xfId="16338" xr:uid="{CB294F60-2EDC-4673-82BA-9458582524AC}"/>
    <cellStyle name="Note 3 5 3 2 3" xfId="12120" xr:uid="{AE39E712-5308-4224-9E9C-71B272847DDF}"/>
    <cellStyle name="Note 3 5 3 3" xfId="5743" xr:uid="{00000000-0005-0000-0000-0000F3210000}"/>
    <cellStyle name="Note 3 5 3 3 2" xfId="14193" xr:uid="{B89E2CB1-5BBA-4F03-AC9C-E2823F46AD22}"/>
    <cellStyle name="Note 3 5 3 4" xfId="9975" xr:uid="{ED77BFFD-29C9-4201-A033-3E76DC5F4447}"/>
    <cellStyle name="Note 3 5 4" xfId="1850" xr:uid="{00000000-0005-0000-0000-0000F4210000}"/>
    <cellStyle name="Note 3 5 4 2" xfId="4079" xr:uid="{00000000-0005-0000-0000-0000F5210000}"/>
    <cellStyle name="Note 3 5 4 2 2" xfId="8301" xr:uid="{00000000-0005-0000-0000-0000F6210000}"/>
    <cellStyle name="Note 3 5 4 2 2 2" xfId="16751" xr:uid="{A294DA72-F40C-4461-AB9A-A72C095D95B3}"/>
    <cellStyle name="Note 3 5 4 2 3" xfId="12533" xr:uid="{E1595A1F-A65F-4E78-9CDE-908A412F8C9C}"/>
    <cellStyle name="Note 3 5 4 3" xfId="6156" xr:uid="{00000000-0005-0000-0000-0000F7210000}"/>
    <cellStyle name="Note 3 5 4 3 2" xfId="14606" xr:uid="{C0A1A42D-2050-45F2-AE1E-D119B8FAF7CB}"/>
    <cellStyle name="Note 3 5 4 4" xfId="10388" xr:uid="{4655774E-4309-4C38-9B6C-2D1AD91B5E5C}"/>
    <cellStyle name="Note 3 5 5" xfId="2263" xr:uid="{00000000-0005-0000-0000-0000F8210000}"/>
    <cellStyle name="Note 3 5 5 2" xfId="4492" xr:uid="{00000000-0005-0000-0000-0000F9210000}"/>
    <cellStyle name="Note 3 5 5 2 2" xfId="8714" xr:uid="{00000000-0005-0000-0000-0000FA210000}"/>
    <cellStyle name="Note 3 5 5 2 2 2" xfId="17164" xr:uid="{2E2C4952-3963-4E06-BB8F-73A238EF2553}"/>
    <cellStyle name="Note 3 5 5 2 3" xfId="12946" xr:uid="{440D093D-7AF6-4240-A3CB-AE03069C5382}"/>
    <cellStyle name="Note 3 5 5 3" xfId="6569" xr:uid="{00000000-0005-0000-0000-0000FB210000}"/>
    <cellStyle name="Note 3 5 5 3 2" xfId="15019" xr:uid="{98F6163B-7BE7-4026-B008-BC911D68A756}"/>
    <cellStyle name="Note 3 5 5 4" xfId="10801" xr:uid="{B432FD7C-CB48-48F8-AD7A-8BB7A711D228}"/>
    <cellStyle name="Note 3 5 6" xfId="2699" xr:uid="{00000000-0005-0000-0000-0000FC210000}"/>
    <cellStyle name="Note 3 5 6 2" xfId="6982" xr:uid="{00000000-0005-0000-0000-0000FD210000}"/>
    <cellStyle name="Note 3 5 6 2 2" xfId="15432" xr:uid="{C52884E8-EE06-4976-BF3F-FEDF88B48995}"/>
    <cellStyle name="Note 3 5 6 3" xfId="11214" xr:uid="{DCE40F18-E26E-4157-BAC1-E6F8184FDF3A}"/>
    <cellStyle name="Note 3 5 7" xfId="2758" xr:uid="{00000000-0005-0000-0000-0000FE210000}"/>
    <cellStyle name="Note 3 5 8" xfId="2839" xr:uid="{00000000-0005-0000-0000-0000FF210000}"/>
    <cellStyle name="Note 3 5 8 2" xfId="7062" xr:uid="{00000000-0005-0000-0000-000000220000}"/>
    <cellStyle name="Note 3 5 8 2 2" xfId="15512" xr:uid="{C6295B16-D577-4DF0-AFD7-F740859F60A5}"/>
    <cellStyle name="Note 3 5 8 3" xfId="11294" xr:uid="{2DE09D2D-BB80-4D4F-B0FA-8CACC22A084B}"/>
    <cellStyle name="Note 3 5 9" xfId="4917" xr:uid="{00000000-0005-0000-0000-000001220000}"/>
    <cellStyle name="Note 3 5 9 2" xfId="13367" xr:uid="{EE10F47C-3F45-480C-95D8-B15097782F1E}"/>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3 2" xfId="12950" xr:uid="{B3F94841-19E7-4F64-98BF-9D146AE07462}"/>
    <cellStyle name="Percent 4" xfId="4502" xr:uid="{00000000-0005-0000-0000-000007220000}"/>
    <cellStyle name="Percent 4 2" xfId="8717" xr:uid="{00000000-0005-0000-0000-000008220000}"/>
    <cellStyle name="Percent 4 2 2" xfId="17167" xr:uid="{7C92C393-9E37-40C5-B5C2-27B3677A2E43}"/>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Percent 4 3 2 2 2 2 2" xfId="17183" xr:uid="{5A7F4F1A-7F6A-4D0E-91C5-7A9812C94CF9}"/>
    <cellStyle name="Percent 4 3 2 2 2 3" xfId="17180" xr:uid="{5A3B7018-7586-4CCE-8DF4-A596026549A0}"/>
    <cellStyle name="Percent 4 3 2 2 3" xfId="17176" xr:uid="{8C54DEBD-657B-4624-92EA-24B3A3D12784}"/>
    <cellStyle name="Percent 4 3 2 3" xfId="17173" xr:uid="{00991020-7582-4821-AB21-282008B4AC52}"/>
    <cellStyle name="Percent 4 3 3" xfId="17170" xr:uid="{9D7F2A02-6546-4941-9CA8-FF5229379510}"/>
    <cellStyle name="Percent 4 4" xfId="12953" xr:uid="{F808695B-2EB1-4843-BAD7-83CB750F0B8A}"/>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104775</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topLeftCell="A60" workbookViewId="0">
      <selection activeCell="D7" sqref="D7:AK9"/>
    </sheetView>
  </sheetViews>
  <sheetFormatPr defaultColWidth="0" defaultRowHeight="12.75" zeroHeight="1"/>
  <cols>
    <col min="1" max="5" width="2.42578125" customWidth="1"/>
    <col min="6" max="6" width="3" customWidth="1"/>
    <col min="7" max="36" width="2.42578125" customWidth="1"/>
    <col min="37" max="38" width="2.7109375" customWidth="1"/>
    <col min="39" max="16384" width="2.42578125" hidden="1"/>
  </cols>
  <sheetData>
    <row r="1" spans="1:38">
      <c r="A1" s="1260" t="s">
        <v>550</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row>
    <row r="2" spans="1:38" ht="13.5" thickBot="1">
      <c r="A2" s="1261"/>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row>
    <row r="3" spans="1:38" ht="13.5"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206</v>
      </c>
      <c r="D6" s="2" t="s">
        <v>329</v>
      </c>
      <c r="F6" s="4"/>
      <c r="G6" s="4"/>
      <c r="H6" s="4"/>
      <c r="I6" s="4"/>
      <c r="J6" s="4"/>
      <c r="K6" s="4"/>
      <c r="L6" s="4"/>
      <c r="M6" s="4"/>
      <c r="N6" s="4"/>
      <c r="O6" s="4"/>
      <c r="P6" s="4"/>
      <c r="Q6" s="4"/>
      <c r="R6" s="4"/>
      <c r="S6" s="4"/>
      <c r="T6" s="4"/>
      <c r="U6" s="4"/>
      <c r="V6" s="4"/>
      <c r="W6" s="4"/>
      <c r="X6" s="4"/>
      <c r="Y6" s="4"/>
      <c r="Z6" s="4"/>
      <c r="AA6" s="4"/>
      <c r="AB6" s="4"/>
    </row>
    <row r="7" spans="1:38" ht="13.35" customHeight="1">
      <c r="A7" s="204"/>
      <c r="B7" s="204"/>
      <c r="C7" s="205"/>
      <c r="D7" s="1262" t="s">
        <v>2034</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2" t="s">
        <v>2035</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35" customHeight="1">
      <c r="A15" s="204"/>
      <c r="B15" s="204"/>
      <c r="C15" s="205"/>
      <c r="D15" s="1262" t="s">
        <v>2603</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35"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c r="A18" s="204"/>
      <c r="B18" s="204"/>
      <c r="C18" s="205"/>
      <c r="D18" s="519" t="s">
        <v>2602</v>
      </c>
      <c r="E18" s="441"/>
      <c r="G18" s="441"/>
      <c r="H18" s="441"/>
      <c r="I18" s="441"/>
      <c r="J18" s="1264" t="s">
        <v>2601</v>
      </c>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35" customHeight="1">
      <c r="A20" s="204"/>
      <c r="B20" s="204"/>
      <c r="C20" s="205"/>
      <c r="D20" s="1262" t="s">
        <v>2036</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35"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35" customHeight="1">
      <c r="A30" s="204"/>
      <c r="B30" s="204"/>
      <c r="C30" s="205"/>
      <c r="D30" s="1262" t="s">
        <v>2037</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c r="A31" s="204"/>
      <c r="B31" s="204"/>
      <c r="C31" s="205"/>
      <c r="D31" s="455"/>
      <c r="E31" s="1270" t="s">
        <v>2517</v>
      </c>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1"/>
      <c r="AE31" s="1271"/>
      <c r="AF31" s="1271"/>
      <c r="AG31" s="1271"/>
      <c r="AH31" s="1271"/>
      <c r="AI31" s="1271"/>
      <c r="AJ31" s="1271"/>
      <c r="AK31" s="1271"/>
      <c r="AL31" s="204"/>
    </row>
    <row r="32" spans="1:38">
      <c r="A32" s="4"/>
      <c r="C32" s="2"/>
    </row>
    <row r="33" spans="1:38">
      <c r="A33" s="4"/>
      <c r="D33" s="1263" t="s">
        <v>2141</v>
      </c>
      <c r="E33" s="1263"/>
      <c r="F33" s="1263"/>
      <c r="G33" s="1263"/>
      <c r="H33" s="1263"/>
      <c r="I33" s="1263"/>
      <c r="J33" s="1263"/>
      <c r="K33" s="1263"/>
      <c r="L33" s="1263"/>
      <c r="M33" s="1263"/>
      <c r="N33" s="1263"/>
      <c r="O33" s="1263"/>
      <c r="P33" s="1263"/>
      <c r="Q33" s="1263"/>
      <c r="R33" s="1263"/>
      <c r="S33" s="1263"/>
      <c r="T33" s="1263"/>
      <c r="U33" s="1263"/>
      <c r="V33" s="1263"/>
      <c r="W33" s="1263"/>
      <c r="X33" s="1263"/>
      <c r="Y33" s="1263"/>
      <c r="Z33" s="1263"/>
      <c r="AA33" s="1263"/>
      <c r="AB33" s="1263"/>
      <c r="AC33" s="1263"/>
      <c r="AD33" s="1263"/>
      <c r="AE33" s="1263"/>
      <c r="AF33" s="1263"/>
      <c r="AG33" s="1263"/>
      <c r="AH33" s="1263"/>
      <c r="AI33" s="1263"/>
      <c r="AJ33" s="1263"/>
      <c r="AK33" s="1263"/>
    </row>
    <row r="34" spans="1:38">
      <c r="A34" s="4"/>
      <c r="D34" s="1263"/>
      <c r="E34" s="1263"/>
      <c r="F34" s="1263"/>
      <c r="G34" s="1263"/>
      <c r="H34" s="1263"/>
      <c r="I34" s="1263"/>
      <c r="J34" s="1263"/>
      <c r="K34" s="1263"/>
      <c r="L34" s="1263"/>
      <c r="M34" s="1263"/>
      <c r="N34" s="1263"/>
      <c r="O34" s="1263"/>
      <c r="P34" s="1263"/>
      <c r="Q34" s="1263"/>
      <c r="R34" s="1263"/>
      <c r="S34" s="1263"/>
      <c r="T34" s="1263"/>
      <c r="U34" s="1263"/>
      <c r="V34" s="1263"/>
      <c r="W34" s="1263"/>
      <c r="X34" s="1263"/>
      <c r="Y34" s="1263"/>
      <c r="Z34" s="1263"/>
      <c r="AA34" s="1263"/>
      <c r="AB34" s="1263"/>
      <c r="AC34" s="1263"/>
      <c r="AD34" s="1263"/>
      <c r="AE34" s="1263"/>
      <c r="AF34" s="1263"/>
      <c r="AG34" s="1263"/>
      <c r="AH34" s="1263"/>
      <c r="AI34" s="1263"/>
      <c r="AJ34" s="1263"/>
      <c r="AK34" s="1263"/>
    </row>
    <row r="35" spans="1:38">
      <c r="A35" s="4"/>
      <c r="D35" s="120"/>
      <c r="E35" s="1269" t="s">
        <v>2044</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0"/>
      <c r="E36" s="1269" t="s">
        <v>2045</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340</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35" customHeight="1">
      <c r="A40" s="4"/>
      <c r="B40"/>
      <c r="C40" s="2"/>
      <c r="D40" s="4"/>
      <c r="E40" s="4" t="s">
        <v>653</v>
      </c>
      <c r="F40" s="1262" t="s">
        <v>1164</v>
      </c>
    </row>
    <row r="41" spans="1:38" s="1262" customFormat="1" ht="13.35" customHeight="1">
      <c r="A41" s="4"/>
      <c r="B41"/>
      <c r="C41" s="2"/>
      <c r="D41" s="4"/>
      <c r="E41" s="4"/>
    </row>
    <row r="42" spans="1:38">
      <c r="A42" s="4"/>
      <c r="C42" s="2"/>
      <c r="D42" s="4"/>
      <c r="E42" s="4"/>
      <c r="F42" s="35" t="s">
        <v>687</v>
      </c>
      <c r="G42" s="4" t="s">
        <v>175</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35" customHeight="1">
      <c r="A43" s="4"/>
      <c r="B43"/>
      <c r="C43" s="2"/>
      <c r="D43" s="4"/>
      <c r="E43" s="3" t="s">
        <v>347</v>
      </c>
      <c r="F43" s="1267" t="s">
        <v>1246</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3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c r="A46" s="4"/>
      <c r="C46" s="2"/>
      <c r="D46" s="4"/>
      <c r="E46" s="4"/>
      <c r="F46" s="118" t="s">
        <v>687</v>
      </c>
      <c r="G46" s="3" t="s">
        <v>2038</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348</v>
      </c>
      <c r="F48" s="1262" t="s">
        <v>2039</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35" customHeight="1">
      <c r="A54" s="204"/>
      <c r="B54" s="204"/>
      <c r="C54" s="205"/>
      <c r="D54" s="205"/>
      <c r="E54" s="204"/>
      <c r="F54" s="206" t="s">
        <v>687</v>
      </c>
      <c r="G54" s="1265" t="s">
        <v>1191</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35"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575</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35" customHeight="1">
      <c r="A57" s="204"/>
      <c r="B57" s="205"/>
      <c r="C57" s="205"/>
      <c r="D57" s="205"/>
      <c r="E57" s="204"/>
      <c r="F57" s="206" t="s">
        <v>509</v>
      </c>
      <c r="G57" s="1265" t="s">
        <v>2040</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174</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2" t="s">
        <v>1166</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35" customHeight="1">
      <c r="A67" s="4"/>
      <c r="C67" s="2"/>
      <c r="D67" s="4"/>
      <c r="E67" s="4"/>
      <c r="F67" t="s">
        <v>509</v>
      </c>
      <c r="G67" s="1262" t="s">
        <v>1167</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c r="A69" s="4"/>
      <c r="C69" s="2"/>
      <c r="D69" s="4"/>
      <c r="E69" s="4" t="s">
        <v>347</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687</v>
      </c>
      <c r="G70" s="1262" t="s">
        <v>1168</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c r="A72" s="4"/>
      <c r="C72" s="2"/>
      <c r="D72" s="4"/>
      <c r="E72" s="4"/>
      <c r="F72" s="8" t="s">
        <v>509</v>
      </c>
      <c r="G72" s="1262" t="s">
        <v>1169</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277</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348</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2" t="s">
        <v>1170</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2" t="s">
        <v>1171</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c r="A87" s="4"/>
      <c r="C87" s="2"/>
      <c r="D87" s="4"/>
      <c r="E87" s="4" t="s">
        <v>261</v>
      </c>
      <c r="F87" t="s">
        <v>866</v>
      </c>
      <c r="G87" s="4"/>
      <c r="L87" s="4"/>
      <c r="M87" s="4"/>
      <c r="P87" s="4"/>
      <c r="Q87" s="4"/>
      <c r="R87" s="4"/>
      <c r="S87" s="4"/>
      <c r="T87" s="4"/>
      <c r="U87" s="4"/>
      <c r="V87" s="4"/>
      <c r="W87" s="4"/>
      <c r="X87" s="4"/>
      <c r="Y87" s="4"/>
      <c r="Z87" s="4"/>
      <c r="AA87" s="4"/>
      <c r="AB87" s="4"/>
    </row>
    <row r="88" spans="1:37">
      <c r="A88" s="4"/>
      <c r="C88" s="2"/>
      <c r="D88" s="4"/>
      <c r="E88" s="4"/>
      <c r="G88" s="1272" t="s">
        <v>1172</v>
      </c>
      <c r="H88" s="1272"/>
      <c r="I88" s="1272"/>
      <c r="J88" s="1272"/>
      <c r="K88" s="1272"/>
      <c r="L88" s="1272"/>
      <c r="M88" s="1272"/>
      <c r="N88" s="1272"/>
      <c r="O88" s="1272"/>
      <c r="P88" s="1272"/>
      <c r="Q88" s="1272"/>
      <c r="R88" s="1272"/>
      <c r="S88" s="1272"/>
      <c r="T88" s="1272"/>
      <c r="U88" s="1272"/>
      <c r="V88" s="1272"/>
      <c r="W88" s="1272"/>
      <c r="X88" s="1272"/>
      <c r="Y88" s="1272"/>
      <c r="Z88" s="1272"/>
      <c r="AA88" s="1272"/>
      <c r="AB88" s="1272"/>
      <c r="AC88" s="1272"/>
      <c r="AD88" s="1272"/>
      <c r="AE88" s="1272"/>
      <c r="AF88" s="1272"/>
      <c r="AG88" s="1272"/>
      <c r="AH88" s="1272"/>
      <c r="AI88" s="1272"/>
      <c r="AJ88" s="1272"/>
      <c r="AK88" s="1272"/>
    </row>
    <row r="89" spans="1:37">
      <c r="A89" s="4"/>
      <c r="C89" s="2"/>
      <c r="D89" s="4"/>
      <c r="E89" s="4"/>
      <c r="G89" s="1272"/>
      <c r="H89" s="1272"/>
      <c r="I89" s="1272"/>
      <c r="J89" s="1272"/>
      <c r="K89" s="1272"/>
      <c r="L89" s="1272"/>
      <c r="M89" s="1272"/>
      <c r="N89" s="1272"/>
      <c r="O89" s="1272"/>
      <c r="P89" s="1272"/>
      <c r="Q89" s="1272"/>
      <c r="R89" s="1272"/>
      <c r="S89" s="1272"/>
      <c r="T89" s="1272"/>
      <c r="U89" s="1272"/>
      <c r="V89" s="1272"/>
      <c r="W89" s="1272"/>
      <c r="X89" s="1272"/>
      <c r="Y89" s="1272"/>
      <c r="Z89" s="1272"/>
      <c r="AA89" s="1272"/>
      <c r="AB89" s="1272"/>
      <c r="AC89" s="1272"/>
      <c r="AD89" s="1272"/>
      <c r="AE89" s="1272"/>
      <c r="AF89" s="1272"/>
      <c r="AG89" s="1272"/>
      <c r="AH89" s="1272"/>
      <c r="AI89" s="1272"/>
      <c r="AJ89" s="1272"/>
      <c r="AK89" s="1272"/>
    </row>
    <row r="90" spans="1:37">
      <c r="A90" s="4"/>
      <c r="C90" s="2"/>
      <c r="D90" s="4"/>
      <c r="E90" s="4"/>
      <c r="G90" s="1272"/>
      <c r="H90" s="1272"/>
      <c r="I90" s="1272"/>
      <c r="J90" s="1272"/>
      <c r="K90" s="1272"/>
      <c r="L90" s="1272"/>
      <c r="M90" s="1272"/>
      <c r="N90" s="1272"/>
      <c r="O90" s="1272"/>
      <c r="P90" s="1272"/>
      <c r="Q90" s="1272"/>
      <c r="R90" s="1272"/>
      <c r="S90" s="1272"/>
      <c r="T90" s="1272"/>
      <c r="U90" s="1272"/>
      <c r="V90" s="1272"/>
      <c r="W90" s="1272"/>
      <c r="X90" s="1272"/>
      <c r="Y90" s="1272"/>
      <c r="Z90" s="1272"/>
      <c r="AA90" s="1272"/>
      <c r="AB90" s="1272"/>
      <c r="AC90" s="1272"/>
      <c r="AD90" s="1272"/>
      <c r="AE90" s="1272"/>
      <c r="AF90" s="1272"/>
      <c r="AG90" s="1272"/>
      <c r="AH90" s="1272"/>
      <c r="AI90" s="1272"/>
      <c r="AJ90" s="1272"/>
      <c r="AK90" s="1272"/>
    </row>
    <row r="91" spans="1:37">
      <c r="A91" s="4"/>
      <c r="C91" s="2"/>
      <c r="D91" s="4"/>
      <c r="E91" s="4" t="s">
        <v>262</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2" t="s">
        <v>1173</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c r="A94" s="4"/>
      <c r="C94" s="2"/>
      <c r="D94" s="4"/>
      <c r="E94" s="4" t="s">
        <v>904</v>
      </c>
      <c r="F94" s="204" t="s">
        <v>905</v>
      </c>
      <c r="G94" s="204"/>
      <c r="L94" s="4"/>
      <c r="M94" s="4"/>
      <c r="P94" s="4"/>
      <c r="Q94" s="4"/>
      <c r="R94" s="4"/>
      <c r="S94" s="4"/>
      <c r="T94" s="4"/>
      <c r="U94" s="4"/>
      <c r="V94" s="4"/>
      <c r="W94" s="4"/>
      <c r="X94" s="4"/>
      <c r="Y94" s="4"/>
      <c r="Z94" s="4"/>
      <c r="AA94" s="4"/>
      <c r="AB94" s="4"/>
    </row>
    <row r="95" spans="1:37">
      <c r="A95" s="4"/>
      <c r="C95" s="2"/>
      <c r="D95" s="4"/>
      <c r="E95" s="4"/>
      <c r="G95" s="1262" t="s">
        <v>1174</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c r="A98" s="4"/>
      <c r="D98" s="99"/>
      <c r="E98" s="1273" t="s">
        <v>1175</v>
      </c>
      <c r="F98" s="1273"/>
      <c r="G98" s="1273"/>
      <c r="H98" s="1273"/>
      <c r="I98" s="1273"/>
      <c r="J98" s="1273"/>
      <c r="K98" s="1273"/>
      <c r="L98" s="1273"/>
      <c r="M98" s="1273"/>
      <c r="N98" s="1273"/>
      <c r="O98" s="1273"/>
      <c r="P98" s="1273"/>
      <c r="Q98" s="1273"/>
      <c r="R98" s="1273"/>
      <c r="S98" s="1273"/>
      <c r="T98" s="1273"/>
      <c r="U98" s="1273"/>
      <c r="V98" s="1273"/>
      <c r="W98" s="1273"/>
      <c r="X98" s="1273"/>
      <c r="Y98" s="1273"/>
      <c r="Z98" s="1273"/>
      <c r="AA98" s="1273"/>
      <c r="AB98" s="1273"/>
      <c r="AC98" s="1273"/>
      <c r="AD98" s="1273"/>
      <c r="AE98" s="1273"/>
      <c r="AF98" s="1273"/>
      <c r="AG98" s="1273"/>
      <c r="AH98" s="1273"/>
      <c r="AI98" s="1273"/>
      <c r="AJ98" s="1273"/>
      <c r="AK98" s="1273"/>
    </row>
    <row r="99" spans="1:38">
      <c r="A99" s="4"/>
      <c r="D99" s="99"/>
      <c r="E99" s="1273"/>
      <c r="F99" s="1273"/>
      <c r="G99" s="1273"/>
      <c r="H99" s="1273"/>
      <c r="I99" s="1273"/>
      <c r="J99" s="1273"/>
      <c r="K99" s="1273"/>
      <c r="L99" s="1273"/>
      <c r="M99" s="1273"/>
      <c r="N99" s="1273"/>
      <c r="O99" s="1273"/>
      <c r="P99" s="1273"/>
      <c r="Q99" s="1273"/>
      <c r="R99" s="1273"/>
      <c r="S99" s="1273"/>
      <c r="T99" s="1273"/>
      <c r="U99" s="1273"/>
      <c r="V99" s="1273"/>
      <c r="W99" s="1273"/>
      <c r="X99" s="1273"/>
      <c r="Y99" s="1273"/>
      <c r="Z99" s="1273"/>
      <c r="AA99" s="1273"/>
      <c r="AB99" s="1273"/>
      <c r="AC99" s="1273"/>
      <c r="AD99" s="1273"/>
      <c r="AE99" s="1273"/>
      <c r="AF99" s="1273"/>
      <c r="AG99" s="1273"/>
      <c r="AH99" s="1273"/>
      <c r="AI99" s="1273"/>
      <c r="AJ99" s="1273"/>
      <c r="AK99" s="1273"/>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339</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429</v>
      </c>
      <c r="E103" s="2"/>
      <c r="F103" s="2"/>
      <c r="G103" s="2" t="s">
        <v>1186</v>
      </c>
      <c r="H103" s="2"/>
      <c r="I103" s="2"/>
      <c r="K103" s="2"/>
    </row>
    <row r="104" spans="1:38">
      <c r="B104" s="2"/>
      <c r="C104" s="2"/>
      <c r="D104" s="2" t="s">
        <v>206</v>
      </c>
      <c r="E104" s="2" t="s">
        <v>1188</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1015</v>
      </c>
      <c r="G117" s="4"/>
    </row>
    <row r="118" spans="2:10">
      <c r="F118" s="99" t="s">
        <v>1187</v>
      </c>
      <c r="G118" s="99"/>
    </row>
    <row r="119" spans="2:10">
      <c r="G119" s="99"/>
    </row>
    <row r="120" spans="2:10">
      <c r="E120" s="4" t="s">
        <v>763</v>
      </c>
      <c r="F120" s="98" t="s">
        <v>377</v>
      </c>
    </row>
    <row r="121" spans="2:10">
      <c r="E121" s="4"/>
      <c r="F121" s="4" t="s">
        <v>1007</v>
      </c>
    </row>
    <row r="122" spans="2:10">
      <c r="B122" s="2"/>
      <c r="C122" s="2"/>
      <c r="F122" s="2"/>
    </row>
    <row r="123" spans="2:10">
      <c r="B123" s="2"/>
      <c r="C123" s="2" t="s">
        <v>430</v>
      </c>
      <c r="G123" s="2" t="s">
        <v>378</v>
      </c>
    </row>
    <row r="124" spans="2:10">
      <c r="B124" s="2"/>
      <c r="C124" s="2"/>
      <c r="D124" s="2" t="s">
        <v>206</v>
      </c>
      <c r="E124" s="2" t="s">
        <v>319</v>
      </c>
      <c r="F124" s="2"/>
      <c r="G124" s="2"/>
      <c r="H124" s="2"/>
      <c r="I124" s="2"/>
      <c r="J124" s="2"/>
    </row>
    <row r="125" spans="2:10">
      <c r="B125" s="2"/>
      <c r="C125" s="2"/>
      <c r="E125" s="4" t="s">
        <v>923</v>
      </c>
      <c r="F125" s="4"/>
    </row>
    <row r="126" spans="2:10"/>
    <row r="127" spans="2:10">
      <c r="D127" s="2" t="s">
        <v>340</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514</v>
      </c>
      <c r="E135" s="2" t="s">
        <v>517</v>
      </c>
      <c r="F135" s="2"/>
    </row>
    <row r="136" spans="4:37">
      <c r="E136" s="3" t="s">
        <v>1213</v>
      </c>
      <c r="F136" s="4"/>
    </row>
    <row r="137" spans="4:37">
      <c r="F137" s="4"/>
    </row>
    <row r="138" spans="4:37">
      <c r="D138" s="2" t="s">
        <v>302</v>
      </c>
      <c r="E138" s="2" t="s">
        <v>2041</v>
      </c>
      <c r="F138" s="2"/>
      <c r="G138" s="2"/>
      <c r="H138" s="2"/>
    </row>
    <row r="139" spans="4:37">
      <c r="E139" t="s">
        <v>112</v>
      </c>
      <c r="F139" t="s">
        <v>52</v>
      </c>
    </row>
    <row r="140" spans="4:37">
      <c r="E140" t="s">
        <v>113</v>
      </c>
      <c r="F140" t="s">
        <v>466</v>
      </c>
    </row>
    <row r="141" spans="4:37"/>
    <row r="142" spans="4:37">
      <c r="D142" s="2" t="s">
        <v>428</v>
      </c>
      <c r="E142" s="2" t="s">
        <v>2042</v>
      </c>
    </row>
    <row r="143" spans="4:37">
      <c r="E143" s="204" t="s">
        <v>2043</v>
      </c>
      <c r="F143" s="204"/>
    </row>
    <row r="144" spans="4:37"/>
    <row r="145" spans="3:7">
      <c r="C145" s="2" t="s">
        <v>6</v>
      </c>
      <c r="G145" s="2" t="s">
        <v>379</v>
      </c>
    </row>
    <row r="146" spans="3:7">
      <c r="D146" s="2" t="s">
        <v>206</v>
      </c>
      <c r="E146" s="2" t="s">
        <v>135</v>
      </c>
    </row>
    <row r="147" spans="3:7">
      <c r="E147" t="s">
        <v>797</v>
      </c>
    </row>
    <row r="148" spans="3:7"/>
    <row r="149" spans="3:7">
      <c r="D149" s="2" t="s">
        <v>340</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302</v>
      </c>
      <c r="E161" s="2" t="s">
        <v>380</v>
      </c>
    </row>
    <row r="162" spans="3:20">
      <c r="E162" s="4" t="s">
        <v>929</v>
      </c>
      <c r="F162" s="4"/>
    </row>
    <row r="163" spans="3:20"/>
    <row r="164" spans="3:20">
      <c r="D164" s="2" t="s">
        <v>428</v>
      </c>
      <c r="E164" s="2" t="s">
        <v>171</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296</v>
      </c>
    </row>
    <row r="171" spans="3:20">
      <c r="F171" s="4"/>
    </row>
    <row r="172" spans="3:20">
      <c r="C172" s="2" t="s">
        <v>7</v>
      </c>
      <c r="E172" s="4"/>
      <c r="G172" s="2" t="s">
        <v>381</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206</v>
      </c>
      <c r="E176" s="2" t="s">
        <v>297</v>
      </c>
      <c r="G176" s="4"/>
      <c r="H176" s="4"/>
      <c r="I176" s="4"/>
      <c r="J176" s="4"/>
      <c r="K176" s="4"/>
      <c r="L176" s="4"/>
      <c r="M176" s="4"/>
      <c r="N176" s="4"/>
    </row>
    <row r="177" spans="2:19">
      <c r="E177" t="s">
        <v>112</v>
      </c>
      <c r="F177" s="4" t="s">
        <v>932</v>
      </c>
    </row>
    <row r="178" spans="2:19">
      <c r="F178" s="120" t="s">
        <v>1148</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340</v>
      </c>
      <c r="E183" s="2" t="s">
        <v>1008</v>
      </c>
    </row>
    <row r="184" spans="2:19">
      <c r="B184" s="4"/>
      <c r="C184" s="4"/>
      <c r="E184" s="4" t="s">
        <v>709</v>
      </c>
      <c r="F184" s="4"/>
      <c r="I184" s="4"/>
    </row>
    <row r="185" spans="2:19">
      <c r="B185" s="4"/>
      <c r="C185" s="4"/>
      <c r="E185" s="4" t="s">
        <v>1006</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298</v>
      </c>
      <c r="F188" s="4"/>
      <c r="G188" s="4"/>
      <c r="I188" s="120"/>
    </row>
    <row r="189" spans="2:19">
      <c r="B189" s="4"/>
      <c r="C189" s="4"/>
      <c r="F189" s="120"/>
      <c r="G189" s="4"/>
      <c r="I189" s="120"/>
    </row>
    <row r="190" spans="2:19">
      <c r="D190" s="2" t="s">
        <v>514</v>
      </c>
      <c r="E190" s="2" t="s">
        <v>111</v>
      </c>
    </row>
    <row r="191" spans="2:19">
      <c r="B191" s="4"/>
      <c r="C191" s="2"/>
      <c r="E191" t="s">
        <v>112</v>
      </c>
      <c r="F191" s="4" t="s">
        <v>1016</v>
      </c>
      <c r="G191" s="4"/>
      <c r="H191" s="4"/>
      <c r="I191" s="4"/>
    </row>
    <row r="192" spans="2:19">
      <c r="B192" s="4"/>
      <c r="C192" s="2"/>
      <c r="F192" s="4" t="s">
        <v>653</v>
      </c>
      <c r="G192" s="3" t="s">
        <v>1207</v>
      </c>
    </row>
    <row r="193" spans="2:37">
      <c r="B193" s="4"/>
      <c r="C193" s="4"/>
      <c r="F193" s="4" t="s">
        <v>347</v>
      </c>
      <c r="G193" s="3" t="s">
        <v>1208</v>
      </c>
      <c r="I193" s="4"/>
      <c r="J193" s="4"/>
      <c r="M193" s="4"/>
      <c r="N193" s="4"/>
      <c r="O193" s="4"/>
      <c r="P193" s="4"/>
      <c r="Q193" s="4"/>
      <c r="R193" s="4"/>
      <c r="S193" s="4"/>
    </row>
    <row r="194" spans="2:37">
      <c r="B194" s="4"/>
      <c r="C194" s="4"/>
      <c r="F194" s="4" t="s">
        <v>348</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302</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428</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62" t="s">
        <v>1176</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247</v>
      </c>
      <c r="F211" s="4"/>
      <c r="G211" s="4"/>
      <c r="I211" s="4"/>
      <c r="J211" s="4"/>
      <c r="M211" s="4"/>
      <c r="N211" s="4"/>
      <c r="O211" s="4"/>
      <c r="P211" s="4"/>
      <c r="Q211" s="4"/>
      <c r="R211" s="4"/>
      <c r="S211" s="4"/>
      <c r="T211" s="4"/>
      <c r="U211" s="4"/>
      <c r="V211" s="4"/>
      <c r="W211" s="4"/>
    </row>
    <row r="212" spans="1:38">
      <c r="B212" s="4"/>
      <c r="C212" s="4"/>
      <c r="D212" s="2"/>
      <c r="E212" s="4" t="s">
        <v>298</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178</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429</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430</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326</v>
      </c>
      <c r="F233" s="4"/>
      <c r="J233" s="4"/>
      <c r="K233" s="4"/>
      <c r="M233" s="4"/>
      <c r="N233" s="4"/>
      <c r="O233" s="4"/>
      <c r="P233" s="4"/>
      <c r="Q233" s="4"/>
      <c r="R233" s="4"/>
      <c r="S233" s="4"/>
    </row>
    <row r="234" spans="2:19">
      <c r="B234" s="4"/>
      <c r="C234" s="4"/>
      <c r="E234" t="s">
        <v>112</v>
      </c>
      <c r="F234" s="4" t="s">
        <v>326</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347</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347</v>
      </c>
      <c r="G242" s="136" t="s">
        <v>943</v>
      </c>
      <c r="I242" s="4"/>
      <c r="M242" s="4"/>
      <c r="N242" s="4"/>
      <c r="O242" s="4"/>
      <c r="P242" s="4"/>
      <c r="Q242" s="4"/>
      <c r="R242" s="4"/>
      <c r="S242" s="4"/>
    </row>
    <row r="243" spans="2:21">
      <c r="B243" s="4"/>
      <c r="C243" s="4"/>
      <c r="F243" s="4" t="s">
        <v>348</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327</v>
      </c>
      <c r="H245" s="4"/>
      <c r="I245" s="4"/>
      <c r="M245" s="4"/>
      <c r="N245" s="4"/>
      <c r="O245" s="4"/>
      <c r="P245" s="4"/>
      <c r="Q245" s="4"/>
      <c r="R245" s="4"/>
      <c r="S245" s="4"/>
    </row>
    <row r="246" spans="2:21">
      <c r="B246" s="4"/>
      <c r="C246" s="4"/>
      <c r="D246" s="2"/>
      <c r="E246" s="2"/>
      <c r="F246" t="s">
        <v>653</v>
      </c>
      <c r="G246" s="4" t="s">
        <v>431</v>
      </c>
      <c r="I246" s="4"/>
      <c r="M246" s="4"/>
      <c r="N246" s="4"/>
      <c r="O246" s="4"/>
      <c r="P246" s="4"/>
      <c r="Q246" s="4"/>
      <c r="R246" s="4"/>
      <c r="S246" s="4"/>
    </row>
    <row r="247" spans="2:21">
      <c r="B247" s="4"/>
      <c r="C247" s="4"/>
      <c r="D247" s="2"/>
      <c r="E247" s="2"/>
      <c r="F247" s="4"/>
      <c r="G247" s="4" t="s">
        <v>432</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382</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4" t="s">
        <v>653</v>
      </c>
      <c r="G253" s="204" t="s">
        <v>811</v>
      </c>
      <c r="I253" s="3"/>
      <c r="K253" s="3"/>
      <c r="L253" s="3"/>
      <c r="M253" s="3"/>
      <c r="N253" s="3"/>
      <c r="O253" s="3"/>
      <c r="Q253" s="4"/>
      <c r="R253" s="4"/>
      <c r="S253" s="4"/>
      <c r="T253" s="4"/>
      <c r="U253" s="4"/>
    </row>
    <row r="254" spans="2:21">
      <c r="B254" s="2"/>
      <c r="C254" s="2"/>
      <c r="E254" s="4"/>
      <c r="F254" s="204"/>
      <c r="G254" s="204" t="s">
        <v>812</v>
      </c>
      <c r="I254" s="3"/>
      <c r="K254" s="3"/>
      <c r="L254" s="3"/>
      <c r="M254" s="3"/>
      <c r="N254" s="3"/>
      <c r="O254" s="3"/>
      <c r="P254" s="3"/>
    </row>
    <row r="255" spans="2:21">
      <c r="B255" s="2"/>
      <c r="C255" s="2"/>
      <c r="E255" s="4"/>
      <c r="F255" s="204" t="s">
        <v>347</v>
      </c>
      <c r="G255" s="204" t="s">
        <v>944</v>
      </c>
      <c r="I255" s="4"/>
      <c r="K255" s="4"/>
      <c r="L255" s="4"/>
      <c r="M255" s="4"/>
      <c r="N255" s="4"/>
      <c r="O255" s="4"/>
      <c r="P255" s="3"/>
    </row>
    <row r="256" spans="2:21">
      <c r="B256" s="2"/>
      <c r="C256" s="2"/>
      <c r="E256" s="4"/>
      <c r="F256" s="204"/>
      <c r="G256" s="204"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206</v>
      </c>
      <c r="E258" s="2" t="s">
        <v>383</v>
      </c>
      <c r="G258" s="4"/>
      <c r="H258" s="4"/>
      <c r="I258" s="4"/>
      <c r="J258" s="4"/>
      <c r="K258" s="4"/>
      <c r="L258" s="4"/>
      <c r="M258" s="4"/>
      <c r="N258" s="4"/>
      <c r="O258" s="4"/>
      <c r="P258" s="4"/>
      <c r="Q258" s="4"/>
      <c r="R258" s="4"/>
      <c r="S258" s="4"/>
    </row>
    <row r="259" spans="2:21">
      <c r="B259" s="2"/>
      <c r="C259" s="2"/>
      <c r="E259" s="4" t="s">
        <v>112</v>
      </c>
      <c r="F259" s="4" t="s">
        <v>252</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253</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4"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340</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286</v>
      </c>
      <c r="G268" s="4"/>
    </row>
    <row r="269" spans="2:21">
      <c r="B269" s="2"/>
      <c r="C269" s="2"/>
      <c r="E269" s="4" t="s">
        <v>254</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302</v>
      </c>
      <c r="E276" s="2" t="s">
        <v>287</v>
      </c>
      <c r="K276" s="4"/>
      <c r="L276" s="4"/>
      <c r="M276" s="4"/>
      <c r="N276" s="4"/>
      <c r="O276" s="4"/>
      <c r="P276" s="4"/>
      <c r="Q276" s="4"/>
      <c r="R276" s="4"/>
      <c r="S276" s="4"/>
      <c r="T276" s="4"/>
      <c r="U276" s="4"/>
    </row>
    <row r="277" spans="2:23">
      <c r="B277" s="2"/>
      <c r="D277" s="2"/>
      <c r="E277" t="s">
        <v>255</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428</v>
      </c>
      <c r="E280" s="2" t="s">
        <v>424</v>
      </c>
      <c r="G280" s="4"/>
      <c r="H280" s="4"/>
      <c r="I280" s="4"/>
      <c r="J280" s="4"/>
      <c r="K280" s="4"/>
      <c r="L280" s="4"/>
      <c r="M280" s="4"/>
      <c r="O280" s="4"/>
      <c r="P280" s="4"/>
      <c r="Q280" s="4"/>
      <c r="R280" s="4"/>
      <c r="S280" s="4"/>
    </row>
    <row r="281" spans="2:23">
      <c r="B281" s="2"/>
      <c r="D281" s="2"/>
      <c r="E281" t="s">
        <v>256</v>
      </c>
      <c r="G281" s="4"/>
      <c r="H281" s="4"/>
      <c r="I281" s="4"/>
      <c r="J281" s="4"/>
      <c r="K281" s="4"/>
      <c r="L281" s="4"/>
      <c r="M281" s="4"/>
      <c r="P281" s="4"/>
      <c r="Q281" s="4"/>
      <c r="R281" s="4"/>
      <c r="S281" s="4"/>
    </row>
    <row r="282" spans="2:23">
      <c r="B282" s="2"/>
      <c r="D282" s="2"/>
      <c r="E282" t="s">
        <v>257</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9"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258</v>
      </c>
      <c r="G290" s="4"/>
      <c r="H290" s="4"/>
      <c r="K290" s="4"/>
      <c r="L290" s="4"/>
      <c r="M290" s="4"/>
      <c r="N290" s="4"/>
      <c r="O290" s="4"/>
      <c r="P290" s="4"/>
      <c r="Q290" s="4"/>
      <c r="R290" s="4"/>
      <c r="S290" s="4"/>
      <c r="T290" s="4"/>
      <c r="U290" s="4"/>
      <c r="V290" s="4"/>
      <c r="W290" s="4"/>
    </row>
    <row r="291" spans="2:23">
      <c r="B291" s="2"/>
      <c r="D291" s="4"/>
      <c r="E291" s="4"/>
      <c r="F291" s="4" t="s">
        <v>653</v>
      </c>
      <c r="G291" s="4" t="s">
        <v>259</v>
      </c>
      <c r="K291" s="4"/>
      <c r="L291" s="4"/>
      <c r="M291" s="4"/>
      <c r="N291" s="4"/>
      <c r="O291" s="4"/>
      <c r="P291" s="4"/>
      <c r="Q291" s="4"/>
      <c r="R291" s="4"/>
      <c r="S291" s="4"/>
      <c r="T291" s="4"/>
      <c r="U291" s="4"/>
      <c r="V291" s="4"/>
      <c r="W291" s="4"/>
    </row>
    <row r="292" spans="2:23">
      <c r="B292" s="2"/>
      <c r="D292" s="4"/>
      <c r="E292" s="4"/>
      <c r="F292" s="4" t="s">
        <v>347</v>
      </c>
      <c r="G292" s="4" t="s">
        <v>940</v>
      </c>
      <c r="H292" s="4"/>
      <c r="K292" s="4"/>
      <c r="L292" s="4"/>
      <c r="M292" s="4"/>
      <c r="N292" s="4"/>
      <c r="O292" s="4"/>
      <c r="P292" s="4"/>
      <c r="Q292" s="4"/>
      <c r="R292" s="4"/>
      <c r="S292" s="4"/>
      <c r="T292" s="4"/>
      <c r="U292" s="4"/>
      <c r="V292" s="4"/>
      <c r="W292" s="4"/>
    </row>
    <row r="293" spans="2:23">
      <c r="B293" s="2"/>
      <c r="D293" s="4"/>
      <c r="E293" s="4"/>
      <c r="F293" s="4" t="s">
        <v>348</v>
      </c>
      <c r="G293" s="4" t="s">
        <v>561</v>
      </c>
      <c r="K293" s="4"/>
      <c r="L293" s="4"/>
      <c r="M293" s="4"/>
      <c r="N293" s="4"/>
      <c r="O293" s="4"/>
      <c r="P293" s="4"/>
      <c r="Q293" s="4"/>
      <c r="R293" s="4"/>
      <c r="S293" s="4"/>
      <c r="T293" s="4"/>
      <c r="U293" s="4"/>
      <c r="V293" s="4"/>
      <c r="W293" s="4"/>
    </row>
    <row r="294" spans="2:23">
      <c r="B294" s="2"/>
      <c r="D294" s="4"/>
      <c r="E294" s="4"/>
      <c r="F294" s="4" t="s">
        <v>444</v>
      </c>
      <c r="G294" s="4" t="s">
        <v>260</v>
      </c>
      <c r="H294" s="4"/>
      <c r="K294" s="4"/>
      <c r="L294" s="4"/>
      <c r="M294" s="4"/>
      <c r="N294" s="4"/>
      <c r="O294" s="4"/>
      <c r="P294" s="4"/>
      <c r="Q294" s="4"/>
      <c r="R294" s="4"/>
      <c r="S294" s="4"/>
      <c r="T294" s="4"/>
      <c r="U294" s="4"/>
      <c r="V294" s="4"/>
      <c r="W294" s="4"/>
    </row>
    <row r="295" spans="2:23">
      <c r="B295" s="2"/>
      <c r="D295" s="4"/>
      <c r="E295" s="4"/>
      <c r="F295" s="4" t="s">
        <v>261</v>
      </c>
      <c r="G295" s="4" t="s">
        <v>389</v>
      </c>
      <c r="K295" s="4"/>
      <c r="L295" s="4"/>
      <c r="M295" s="4"/>
      <c r="N295" s="4"/>
      <c r="O295" s="4"/>
      <c r="P295" s="4"/>
      <c r="Q295" s="4"/>
      <c r="R295" s="4"/>
      <c r="S295" s="4"/>
      <c r="T295" s="4"/>
      <c r="U295" s="4"/>
      <c r="V295" s="4"/>
      <c r="W295" s="4"/>
    </row>
    <row r="296" spans="2:23">
      <c r="B296" s="2"/>
      <c r="D296" s="4"/>
      <c r="E296" s="4"/>
      <c r="F296" s="4" t="s">
        <v>262</v>
      </c>
      <c r="G296" s="4" t="s">
        <v>169</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288</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206</v>
      </c>
      <c r="E308" s="2" t="s">
        <v>263</v>
      </c>
      <c r="G308" s="2"/>
      <c r="H308" s="2"/>
      <c r="I308" s="2"/>
      <c r="J308" s="2"/>
      <c r="K308" s="2"/>
      <c r="L308" s="2"/>
      <c r="M308" s="2"/>
      <c r="N308" s="2"/>
      <c r="O308" s="2"/>
      <c r="P308" s="2"/>
      <c r="Q308" s="2"/>
      <c r="R308" s="2"/>
    </row>
    <row r="309" spans="2:23">
      <c r="B309" s="2"/>
      <c r="D309" s="2"/>
      <c r="E309" t="s">
        <v>264</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340</v>
      </c>
      <c r="E314" s="2" t="s">
        <v>751</v>
      </c>
      <c r="G314" s="4"/>
      <c r="H314" s="4"/>
      <c r="I314" s="4"/>
      <c r="J314" s="4"/>
      <c r="K314" s="4"/>
      <c r="P314" s="4"/>
      <c r="Q314" s="4"/>
      <c r="R314" s="4"/>
      <c r="S314" s="4"/>
    </row>
    <row r="315" spans="2:23">
      <c r="B315" s="2"/>
      <c r="D315" s="2"/>
      <c r="E315" t="s">
        <v>265</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249</v>
      </c>
      <c r="D323" s="2" t="s">
        <v>206</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429</v>
      </c>
      <c r="G331" s="2" t="s">
        <v>22</v>
      </c>
      <c r="I331" s="2"/>
      <c r="J331" s="4"/>
      <c r="K331" s="4"/>
      <c r="L331" s="4"/>
      <c r="M331" s="4"/>
      <c r="N331" s="4"/>
      <c r="O331" s="4"/>
      <c r="P331" s="4"/>
      <c r="Q331" s="4"/>
      <c r="R331" s="4"/>
      <c r="S331" s="4"/>
    </row>
    <row r="332" spans="1:38">
      <c r="B332" s="2"/>
      <c r="C332" s="2"/>
      <c r="D332" s="2" t="s">
        <v>206</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2" t="s">
        <v>1155</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c r="B339" s="2"/>
      <c r="F339" s="4"/>
      <c r="H339" s="4"/>
      <c r="I339" s="4"/>
      <c r="J339" s="4"/>
      <c r="K339" s="4"/>
      <c r="L339" s="4"/>
      <c r="M339" s="4"/>
      <c r="N339" s="4"/>
      <c r="O339" s="4"/>
      <c r="P339" s="4"/>
      <c r="Q339" s="4"/>
      <c r="R339" s="4"/>
      <c r="S339" s="4"/>
    </row>
    <row r="340" spans="2:37">
      <c r="B340" s="2"/>
      <c r="C340" s="2" t="s">
        <v>430</v>
      </c>
      <c r="G340" s="2" t="s">
        <v>1228</v>
      </c>
      <c r="I340" s="2"/>
      <c r="J340" s="4"/>
      <c r="K340" s="4"/>
      <c r="L340" s="4"/>
      <c r="M340" s="4"/>
      <c r="N340" s="4"/>
      <c r="O340" s="4"/>
      <c r="P340" s="4"/>
      <c r="Q340" s="4"/>
      <c r="R340" s="4"/>
      <c r="S340" s="4"/>
    </row>
    <row r="341" spans="2:37" ht="13.35" customHeight="1">
      <c r="B341" s="2"/>
      <c r="E341" s="1265" t="s">
        <v>1235</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2" t="s">
        <v>1237</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c r="B350" s="2"/>
      <c r="E350" s="3" t="s">
        <v>113</v>
      </c>
      <c r="F350" s="1262" t="s">
        <v>1236</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35"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3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206</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66" t="s">
        <v>1226</v>
      </c>
      <c r="F365" s="1266"/>
      <c r="G365" s="1266"/>
      <c r="H365" s="1266"/>
      <c r="I365" s="1266"/>
      <c r="J365" s="1266"/>
      <c r="K365" s="1266"/>
      <c r="L365" s="1266"/>
      <c r="M365" s="1266"/>
      <c r="N365" s="1266"/>
      <c r="O365" s="1266"/>
      <c r="P365" s="1266"/>
      <c r="Q365" s="1266"/>
      <c r="R365" s="1266"/>
      <c r="S365" s="1266"/>
      <c r="T365" s="1266"/>
      <c r="U365" s="1266"/>
      <c r="V365" s="1266"/>
      <c r="W365" s="1266"/>
      <c r="X365" s="1266"/>
      <c r="Y365" s="1266"/>
      <c r="Z365" s="1266"/>
      <c r="AA365" s="1266"/>
      <c r="AB365" s="1266"/>
      <c r="AC365" s="1266"/>
      <c r="AD365" s="1266"/>
      <c r="AE365" s="1266"/>
      <c r="AF365" s="1266"/>
      <c r="AG365" s="1266"/>
      <c r="AH365" s="1266"/>
      <c r="AI365" s="1266"/>
      <c r="AJ365" s="1266"/>
      <c r="AK365" s="1266"/>
      <c r="AL365" s="1266"/>
    </row>
    <row r="366" spans="1:38">
      <c r="B366" s="2"/>
      <c r="E366" s="1266"/>
      <c r="F366" s="1266"/>
      <c r="G366" s="1266"/>
      <c r="H366" s="1266"/>
      <c r="I366" s="1266"/>
      <c r="J366" s="1266"/>
      <c r="K366" s="1266"/>
      <c r="L366" s="1266"/>
      <c r="M366" s="1266"/>
      <c r="N366" s="1266"/>
      <c r="O366" s="1266"/>
      <c r="P366" s="1266"/>
      <c r="Q366" s="1266"/>
      <c r="R366" s="1266"/>
      <c r="S366" s="1266"/>
      <c r="T366" s="1266"/>
      <c r="U366" s="1266"/>
      <c r="V366" s="1266"/>
      <c r="W366" s="1266"/>
      <c r="X366" s="1266"/>
      <c r="Y366" s="1266"/>
      <c r="Z366" s="1266"/>
      <c r="AA366" s="1266"/>
      <c r="AB366" s="1266"/>
      <c r="AC366" s="1266"/>
      <c r="AD366" s="1266"/>
      <c r="AE366" s="1266"/>
      <c r="AF366" s="1266"/>
      <c r="AG366" s="1266"/>
      <c r="AH366" s="1266"/>
      <c r="AI366" s="1266"/>
      <c r="AJ366" s="1266"/>
      <c r="AK366" s="1266"/>
      <c r="AL366" s="1266"/>
    </row>
    <row r="367" spans="1:38" s="1268" customFormat="1">
      <c r="A367"/>
      <c r="B367" s="2"/>
      <c r="C367"/>
      <c r="D367"/>
      <c r="E367" s="1267" t="s">
        <v>1258</v>
      </c>
    </row>
    <row r="368" spans="1:38" s="1268"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340</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281</v>
      </c>
      <c r="J374" s="4"/>
      <c r="K374" s="4"/>
      <c r="L374" s="4"/>
      <c r="M374" s="4"/>
      <c r="N374" s="4"/>
      <c r="O374" s="4"/>
      <c r="P374" s="4"/>
      <c r="Q374" s="4"/>
      <c r="R374" s="4"/>
      <c r="S374" s="4"/>
    </row>
    <row r="375" spans="1:38">
      <c r="B375" s="2"/>
      <c r="E375" s="4" t="s">
        <v>112</v>
      </c>
      <c r="F375" s="4" t="s">
        <v>250</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251</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1259</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302</v>
      </c>
      <c r="E383" s="2" t="s">
        <v>283</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2" t="s">
        <v>1269</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428</v>
      </c>
      <c r="E390" s="2" t="s">
        <v>1275</v>
      </c>
      <c r="F390" s="3"/>
      <c r="G390" s="2"/>
      <c r="I390" s="120"/>
      <c r="J390" s="3"/>
      <c r="K390" s="3"/>
      <c r="L390" s="3"/>
      <c r="M390" s="3"/>
      <c r="N390" s="3"/>
      <c r="O390" s="3"/>
      <c r="P390" s="3"/>
      <c r="Q390" s="3"/>
      <c r="R390" s="3"/>
      <c r="S390" s="3"/>
    </row>
    <row r="391" spans="1:38" ht="13.35"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5" workbookViewId="0">
      <selection activeCell="G104" sqref="G104"/>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60" t="s">
        <v>1585</v>
      </c>
      <c r="B1" s="2660"/>
      <c r="C1" s="2660"/>
      <c r="D1" s="2660"/>
      <c r="E1" s="2660"/>
      <c r="F1" s="2660"/>
      <c r="G1" s="2660"/>
      <c r="H1" s="2660"/>
      <c r="I1" s="2660"/>
      <c r="J1" s="2660"/>
    </row>
    <row r="2" spans="1:13" ht="15" customHeight="1" thickBot="1">
      <c r="A2" s="1046"/>
      <c r="B2" s="1046"/>
      <c r="I2" s="1047"/>
      <c r="K2" s="1048"/>
    </row>
    <row r="3" spans="1:13" s="1051" customFormat="1" ht="20.100000000000001" customHeight="1">
      <c r="A3" s="1100"/>
      <c r="B3" s="1101"/>
      <c r="C3" s="1102"/>
      <c r="D3" s="1107"/>
      <c r="E3" s="1102"/>
      <c r="F3" s="1103" t="s">
        <v>1989</v>
      </c>
      <c r="G3" s="1102"/>
      <c r="H3" s="1104">
        <f>E18</f>
        <v>20356000</v>
      </c>
      <c r="I3" s="1105"/>
    </row>
    <row r="4" spans="1:13" s="1051" customFormat="1" ht="20.100000000000001" customHeight="1">
      <c r="B4" s="1094"/>
      <c r="D4" s="1108"/>
      <c r="F4" s="1092" t="s">
        <v>1991</v>
      </c>
      <c r="G4" s="1091" t="s">
        <v>1990</v>
      </c>
      <c r="H4" s="1093">
        <f>I18</f>
        <v>9556866.3424836602</v>
      </c>
      <c r="I4" s="1095"/>
      <c r="K4" s="1055"/>
    </row>
    <row r="5" spans="1:13" s="1051" customFormat="1" ht="20.100000000000001" customHeight="1" thickBot="1">
      <c r="B5" s="1096"/>
      <c r="C5" s="1097"/>
      <c r="D5" s="1109"/>
      <c r="E5" s="1098"/>
      <c r="F5" s="1109" t="s">
        <v>1941</v>
      </c>
      <c r="G5" s="1110"/>
      <c r="H5" s="1106">
        <f>IFERROR(H3/H4,0)</f>
        <v>2.1299868880147836</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3" t="s">
        <v>1939</v>
      </c>
      <c r="C8" s="2664"/>
      <c r="D8" s="2664"/>
      <c r="E8" s="2665"/>
      <c r="G8" s="2666" t="s">
        <v>1940</v>
      </c>
      <c r="H8" s="2667"/>
      <c r="I8" s="2668"/>
      <c r="K8" s="1057"/>
    </row>
    <row r="9" spans="1:13" ht="15" customHeight="1">
      <c r="A9" s="1046"/>
      <c r="B9" s="2661" t="s">
        <v>1973</v>
      </c>
      <c r="C9" s="2661"/>
      <c r="D9" s="2661"/>
      <c r="E9" s="1059">
        <f>G33</f>
        <v>3750000</v>
      </c>
      <c r="G9" s="2669" t="s">
        <v>1971</v>
      </c>
      <c r="H9" s="2669"/>
      <c r="I9" s="1060">
        <f>SUMIF(Application!M554:M565,"Loan, Tax-Exempt",Application!AM554:AM565)</f>
        <v>11757568</v>
      </c>
      <c r="K9" s="1061"/>
      <c r="M9" s="1062"/>
    </row>
    <row r="10" spans="1:13" ht="15" customHeight="1" thickBot="1">
      <c r="A10" s="1046"/>
      <c r="B10" s="2661" t="s">
        <v>1974</v>
      </c>
      <c r="C10" s="2661"/>
      <c r="D10" s="2661"/>
      <c r="E10" s="1060">
        <f>G47</f>
        <v>13085999.999999998</v>
      </c>
      <c r="G10" s="2673" t="s">
        <v>1942</v>
      </c>
      <c r="H10" s="2673"/>
      <c r="I10" s="1140">
        <f>'Basis &amp; Credits'!AB78</f>
        <v>0</v>
      </c>
      <c r="M10" s="1062"/>
    </row>
    <row r="11" spans="1:13" ht="15" customHeight="1">
      <c r="A11" s="1046"/>
      <c r="B11" s="2677" t="s">
        <v>2262</v>
      </c>
      <c r="C11" s="2678"/>
      <c r="D11" s="2679"/>
      <c r="E11" s="1060">
        <f>SUM(E12,E13)</f>
        <v>220000</v>
      </c>
      <c r="G11" s="2676" t="s">
        <v>1982</v>
      </c>
      <c r="H11" s="2676"/>
      <c r="I11" s="1139">
        <f>I9+I10</f>
        <v>11757568</v>
      </c>
      <c r="M11" s="1062"/>
    </row>
    <row r="12" spans="1:13" ht="15" customHeight="1">
      <c r="A12" s="1063"/>
      <c r="B12" s="2662" t="s">
        <v>2264</v>
      </c>
      <c r="C12" s="2662"/>
      <c r="D12" s="2662"/>
      <c r="E12" s="1165">
        <f>G56</f>
        <v>0</v>
      </c>
      <c r="M12" s="1062"/>
    </row>
    <row r="13" spans="1:13" ht="15" customHeight="1">
      <c r="A13" s="1049"/>
      <c r="B13" s="2662" t="s">
        <v>2265</v>
      </c>
      <c r="C13" s="2662"/>
      <c r="D13" s="2662"/>
      <c r="E13" s="1165">
        <f>G65</f>
        <v>220000</v>
      </c>
      <c r="G13" s="2666" t="s">
        <v>2005</v>
      </c>
      <c r="H13" s="2667"/>
      <c r="I13" s="2668"/>
      <c r="M13" s="1062"/>
    </row>
    <row r="14" spans="1:13" ht="15" customHeight="1">
      <c r="A14" s="1049"/>
      <c r="B14" s="2677" t="s">
        <v>2263</v>
      </c>
      <c r="C14" s="2678"/>
      <c r="D14" s="2679"/>
      <c r="E14" s="1167">
        <f>MAX(E15,E16)+E17</f>
        <v>3300000</v>
      </c>
      <c r="G14" s="2669" t="s">
        <v>139</v>
      </c>
      <c r="H14" s="2669"/>
      <c r="I14" s="1064">
        <f>15%*(AND(G120="Yes",G122&lt;&gt;""))</f>
        <v>0.15</v>
      </c>
      <c r="M14" s="1062"/>
    </row>
    <row r="15" spans="1:13" ht="15" customHeight="1">
      <c r="A15" s="1049"/>
      <c r="B15" s="2680" t="s">
        <v>2269</v>
      </c>
      <c r="C15" s="2681"/>
      <c r="D15" s="2682"/>
      <c r="E15" s="1165">
        <f>G80</f>
        <v>0</v>
      </c>
      <c r="G15" s="1137" t="s">
        <v>1983</v>
      </c>
      <c r="H15" s="1137"/>
      <c r="I15" s="1064">
        <f>IF(Application!AJ1032&gt;0,10%,IF(Application!AJ1036&gt;0,5%,0))</f>
        <v>0</v>
      </c>
      <c r="M15" s="1062"/>
    </row>
    <row r="16" spans="1:13" ht="15" customHeight="1">
      <c r="A16" s="1049"/>
      <c r="B16" s="2680" t="s">
        <v>2268</v>
      </c>
      <c r="C16" s="2681"/>
      <c r="D16" s="2682"/>
      <c r="E16" s="1165">
        <f>G90</f>
        <v>1500000</v>
      </c>
      <c r="G16" s="2669" t="s">
        <v>1984</v>
      </c>
      <c r="H16" s="2669"/>
      <c r="I16" s="1064">
        <f>G132</f>
        <v>3.7173202614379085E-2</v>
      </c>
    </row>
    <row r="17" spans="1:21" ht="15" customHeight="1" thickBot="1">
      <c r="A17" s="1049"/>
      <c r="B17" s="2680" t="s">
        <v>2267</v>
      </c>
      <c r="C17" s="2681"/>
      <c r="D17" s="2682"/>
      <c r="E17" s="1165">
        <f>G115</f>
        <v>1800000</v>
      </c>
      <c r="G17" s="2669" t="s">
        <v>2277</v>
      </c>
      <c r="H17" s="2669"/>
      <c r="I17" s="1064">
        <f>IF(AND(G139="Yes",OR(G136,G137)),IF(G143&gt;15%,15%,G143),0)</f>
        <v>0</v>
      </c>
    </row>
    <row r="18" spans="1:21" ht="15" customHeight="1">
      <c r="A18" s="1046"/>
      <c r="B18" s="2672" t="s">
        <v>1938</v>
      </c>
      <c r="C18" s="2672"/>
      <c r="D18" s="2672"/>
      <c r="E18" s="1111">
        <f>SUM(E9:E11,E14)</f>
        <v>20356000</v>
      </c>
      <c r="G18" s="1138" t="s">
        <v>1972</v>
      </c>
      <c r="H18" s="1138"/>
      <c r="I18" s="1112">
        <f>I11-((I11*I14)+(I11*I15)+(I11*I16)+(I11*I17))</f>
        <v>9556866.3424836602</v>
      </c>
      <c r="M18" s="1065">
        <f>SUM(Cdlac[Quantity])</f>
        <v>59</v>
      </c>
      <c r="O18" s="1084" t="s">
        <v>582</v>
      </c>
      <c r="P18" s="1044">
        <f>MATCH(Application!T189,Application!CB160:CB217,0)</f>
        <v>56</v>
      </c>
      <c r="T18" s="1065">
        <f>SUM(Cdlac[Population])</f>
        <v>0</v>
      </c>
    </row>
    <row r="19" spans="1:21" ht="15" customHeight="1">
      <c r="A19" s="1046"/>
      <c r="B19" s="1046"/>
      <c r="C19" s="1046"/>
      <c r="D19" s="1046"/>
      <c r="E19" s="1046"/>
      <c r="L19" s="1044" t="s">
        <v>1934</v>
      </c>
      <c r="M19" s="1044" t="s">
        <v>1933</v>
      </c>
      <c r="N19" s="1044" t="s">
        <v>1945</v>
      </c>
      <c r="O19" s="1044" t="s">
        <v>1946</v>
      </c>
      <c r="P19" s="1044" t="s">
        <v>1935</v>
      </c>
      <c r="Q19" s="1044" t="s">
        <v>2260</v>
      </c>
      <c r="R19" s="1044" t="s">
        <v>1936</v>
      </c>
      <c r="S19" s="1044" t="s">
        <v>1947</v>
      </c>
      <c r="T19" s="1044" t="s">
        <v>1953</v>
      </c>
      <c r="U19" s="1044" t="s">
        <v>384</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6</v>
      </c>
      <c r="N20" s="1071">
        <f>Application!AC718</f>
        <v>0.3</v>
      </c>
      <c r="O20" s="1071">
        <f>IF(Cdlac[[#This Row],[Quantity]]&gt;0,IF(Cdlac[[#This Row],[Federal]],30%,IF(AND(OR(NOT($G$38),$G$38=""),$G$43),40%,Cdlac[[#This Row],[iAMI]])),"")</f>
        <v>0.3</v>
      </c>
      <c r="P20" s="1065" cm="1">
        <f t="array" ref="P20">IF(Cdlac[[#This Row],[Quantity]]&gt;0,INDEX(TcacRents,$P$18,Cdlac[[#This Row],[Bedrooms]]+1)*Cdlac[[#This Row],[AMI]],"")</f>
        <v>841.8</v>
      </c>
      <c r="Q20" s="1164"/>
      <c r="R20" s="1065" cm="1">
        <f t="array" ref="R20">IF(Cdlac[[#This Row],[Quantity]]&gt;0,INDEX(HudFmrs,$P$18,Cdlac[[#This Row],[Bedrooms]]+1),"")</f>
        <v>2147</v>
      </c>
      <c r="S20" s="1065">
        <f>IF(Cdlac[[#This Row],[Quantity]]&gt;0,MAX(0,Cdlac[[#This Row],[Fair Market Rent]]-IF(AND($G$37,$G$38,$G$38&lt;&gt;"",NOT(Cdlac[[#This Row],[Federal]]),Cdlac[[#This Row],[Preservation Rent]]&lt;&gt;""),Cdlac[[#This Row],[Preservation Rent]],Cdlac[[#This Row],[Restricted Rent]])),"")</f>
        <v>1305.2</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2</v>
      </c>
      <c r="M21" s="1065">
        <f>Application!G719</f>
        <v>3</v>
      </c>
      <c r="N21" s="1071">
        <f>Application!AC719</f>
        <v>0.3</v>
      </c>
      <c r="O21" s="1071">
        <f>IF(Cdlac[[#This Row],[Quantity]]&gt;0,IF(Cdlac[[#This Row],[Federal]],30%,IF(AND(OR(NOT($G$38),$G$38=""),$G$43),40%,Cdlac[[#This Row],[iAMI]])),"")</f>
        <v>0.3</v>
      </c>
      <c r="P21" s="1065" cm="1">
        <f t="array" ref="P21">IF(Cdlac[[#This Row],[Quantity]]&gt;0,INDEX(TcacRents,$P$18,Cdlac[[#This Row],[Bedrooms]]+1)*Cdlac[[#This Row],[AMI]],"")</f>
        <v>1011</v>
      </c>
      <c r="Q21" s="1164"/>
      <c r="R21" s="1065" cm="1">
        <f t="array" ref="R21">IF(Cdlac[[#This Row],[Quantity]]&gt;0,INDEX(HudFmrs,$P$18,Cdlac[[#This Row],[Bedrooms]]+1),"")</f>
        <v>2569</v>
      </c>
      <c r="S21" s="1065">
        <f>IF(Cdlac[[#This Row],[Quantity]]&gt;0,MAX(0,Cdlac[[#This Row],[Fair Market Rent]]-IF(AND($G$37,$G$38,$G$38&lt;&gt;"",NOT(Cdlac[[#This Row],[Federal]]),Cdlac[[#This Row],[Preservation Rent]]&lt;&gt;""),Cdlac[[#This Row],[Preservation Rent]],Cdlac[[#This Row],[Restricted Rent]])),"")</f>
        <v>1558</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70" t="s">
        <v>1986</v>
      </c>
      <c r="D22" s="2670" t="s">
        <v>1987</v>
      </c>
      <c r="E22" s="2670" t="s">
        <v>1988</v>
      </c>
      <c r="F22" s="2670" t="s">
        <v>2608</v>
      </c>
      <c r="G22" s="2670" t="s">
        <v>1985</v>
      </c>
      <c r="H22" s="1070"/>
      <c r="I22" s="1069"/>
      <c r="L22" s="1044">
        <f>IFERROR(MIN(4,MATCH(Application!B720,UnitSizes,0)-1),"")</f>
        <v>3</v>
      </c>
      <c r="M22" s="1065">
        <f>Application!G720</f>
        <v>2</v>
      </c>
      <c r="N22" s="1071">
        <f>Application!AC720</f>
        <v>0.3</v>
      </c>
      <c r="O22" s="1071">
        <f>IF(Cdlac[[#This Row],[Quantity]]&gt;0,IF(Cdlac[[#This Row],[Federal]],30%,IF(AND(OR(NOT($G$38),$G$38=""),$G$43),40%,Cdlac[[#This Row],[iAMI]])),"")</f>
        <v>0.3</v>
      </c>
      <c r="P22" s="1065" cm="1">
        <f t="array" ref="P22">IF(Cdlac[[#This Row],[Quantity]]&gt;0,INDEX(TcacRents,$P$18,Cdlac[[#This Row],[Bedrooms]]+1)*Cdlac[[#This Row],[AMI]],"")</f>
        <v>1167.5999999999999</v>
      </c>
      <c r="Q22" s="1164"/>
      <c r="R22" s="1065" cm="1">
        <f t="array" ref="R22">IF(Cdlac[[#This Row],[Quantity]]&gt;0,INDEX(HudFmrs,$P$18,Cdlac[[#This Row],[Bedrooms]]+1),"")</f>
        <v>3505</v>
      </c>
      <c r="S22" s="1065">
        <f>IF(Cdlac[[#This Row],[Quantity]]&gt;0,MAX(0,Cdlac[[#This Row],[Fair Market Rent]]-IF(AND($G$37,$G$38,$G$38&lt;&gt;"",NOT(Cdlac[[#This Row],[Federal]]),Cdlac[[#This Row],[Preservation Rent]]&lt;&gt;""),Cdlac[[#This Row],[Preservation Rent]],Cdlac[[#This Row],[Restricted Rent]])),"")</f>
        <v>2337.4</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71"/>
      <c r="D23" s="2671"/>
      <c r="E23" s="2671"/>
      <c r="F23" s="2671"/>
      <c r="G23" s="2671"/>
      <c r="H23" s="1070"/>
      <c r="I23" s="1069"/>
      <c r="L23" s="1044">
        <f>IFERROR(MIN(4,MATCH(Application!B721,UnitSizes,0)-1),"")</f>
        <v>1</v>
      </c>
      <c r="M23" s="1065">
        <f>Application!G721</f>
        <v>4</v>
      </c>
      <c r="N23" s="1071">
        <f>Application!AC721</f>
        <v>0.4</v>
      </c>
      <c r="O23" s="1071">
        <f>IF(Cdlac[[#This Row],[Quantity]]&gt;0,IF(Cdlac[[#This Row],[Federal]],30%,IF(AND(OR(NOT($G$38),$G$38=""),$G$43),40%,Cdlac[[#This Row],[iAMI]])),"")</f>
        <v>0.4</v>
      </c>
      <c r="P23" s="1065" cm="1">
        <f t="array" ref="P23">IF(Cdlac[[#This Row],[Quantity]]&gt;0,INDEX(TcacRents,$P$18,Cdlac[[#This Row],[Bedrooms]]+1)*Cdlac[[#This Row],[AMI]],"")</f>
        <v>1122.4000000000001</v>
      </c>
      <c r="Q23" s="1164"/>
      <c r="R23" s="1065" cm="1">
        <f t="array" ref="R23">IF(Cdlac[[#This Row],[Quantity]]&gt;0,INDEX(HudFmrs,$P$18,Cdlac[[#This Row],[Bedrooms]]+1),"")</f>
        <v>2147</v>
      </c>
      <c r="S23" s="1065">
        <f>IF(Cdlac[[#This Row],[Quantity]]&gt;0,MAX(0,Cdlac[[#This Row],[Fair Market Rent]]-IF(AND($G$37,$G$38,$G$38&lt;&gt;"",NOT(Cdlac[[#This Row],[Federal]]),Cdlac[[#This Row],[Preservation Rent]]&lt;&gt;""),Cdlac[[#This Row],[Preservation Rent]],Cdlac[[#This Row],[Restricted Rent]])),"")</f>
        <v>1024.5999999999999</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2</v>
      </c>
      <c r="M24" s="1065">
        <f>Application!G722</f>
        <v>4</v>
      </c>
      <c r="N24" s="1071">
        <f>Application!AC722</f>
        <v>0.4</v>
      </c>
      <c r="O24" s="1071">
        <f>IF(Cdlac[[#This Row],[Quantity]]&gt;0,IF(Cdlac[[#This Row],[Federal]],30%,IF(AND(OR(NOT($G$38),$G$38=""),$G$43),40%,Cdlac[[#This Row],[iAMI]])),"")</f>
        <v>0.4</v>
      </c>
      <c r="P24" s="1065" cm="1">
        <f t="array" ref="P24">IF(Cdlac[[#This Row],[Quantity]]&gt;0,INDEX(TcacRents,$P$18,Cdlac[[#This Row],[Bedrooms]]+1)*Cdlac[[#This Row],[AMI]],"")</f>
        <v>1348</v>
      </c>
      <c r="Q24" s="1164"/>
      <c r="R24" s="1065" cm="1">
        <f t="array" ref="R24">IF(Cdlac[[#This Row],[Quantity]]&gt;0,INDEX(HudFmrs,$P$18,Cdlac[[#This Row],[Bedrooms]]+1),"")</f>
        <v>2569</v>
      </c>
      <c r="S24" s="1065">
        <f>IF(Cdlac[[#This Row],[Quantity]]&gt;0,MAX(0,Cdlac[[#This Row],[Fair Market Rent]]-IF(AND($G$37,$G$38,$G$38&lt;&gt;"",NOT(Cdlac[[#This Row],[Federal]]),Cdlac[[#This Row],[Preservation Rent]]&lt;&gt;""),Cdlac[[#This Row],[Preservation Rent]],Cdlac[[#This Row],[Restricted Rent]])),"")</f>
        <v>1221</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12</v>
      </c>
      <c r="F25" s="1072">
        <f>E25</f>
        <v>12</v>
      </c>
      <c r="G25" s="1072">
        <f>D25*F25</f>
        <v>12</v>
      </c>
      <c r="L25" s="1044">
        <f>IFERROR(MIN(4,MATCH(Application!B723,UnitSizes,0)-1),"")</f>
        <v>3</v>
      </c>
      <c r="M25" s="1065">
        <f>Application!G723</f>
        <v>2</v>
      </c>
      <c r="N25" s="1071">
        <f>Application!AC723</f>
        <v>0.4</v>
      </c>
      <c r="O25" s="1071">
        <f>IF(Cdlac[[#This Row],[Quantity]]&gt;0,IF(Cdlac[[#This Row],[Federal]],30%,IF(AND(OR(NOT($G$38),$G$38=""),$G$43),40%,Cdlac[[#This Row],[iAMI]])),"")</f>
        <v>0.4</v>
      </c>
      <c r="P25" s="1065" cm="1">
        <f t="array" ref="P25">IF(Cdlac[[#This Row],[Quantity]]&gt;0,INDEX(TcacRents,$P$18,Cdlac[[#This Row],[Bedrooms]]+1)*Cdlac[[#This Row],[AMI]],"")</f>
        <v>1556.8000000000002</v>
      </c>
      <c r="Q25" s="1164"/>
      <c r="R25" s="1065" cm="1">
        <f t="array" ref="R25">IF(Cdlac[[#This Row],[Quantity]]&gt;0,INDEX(HudFmrs,$P$18,Cdlac[[#This Row],[Bedrooms]]+1),"")</f>
        <v>3505</v>
      </c>
      <c r="S25" s="1065">
        <f>IF(Cdlac[[#This Row],[Quantity]]&gt;0,MAX(0,Cdlac[[#This Row],[Fair Market Rent]]-IF(AND($G$37,$G$38,$G$38&lt;&gt;"",NOT(Cdlac[[#This Row],[Federal]]),Cdlac[[#This Row],[Preservation Rent]]&lt;&gt;""),Cdlac[[#This Row],[Preservation Rent]],Cdlac[[#This Row],[Restricted Rent]])),"")</f>
        <v>1948.1999999999998</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27</v>
      </c>
      <c r="F26" s="1075">
        <f>SUM(E26:E28)-SUM(F27:F28)</f>
        <v>30</v>
      </c>
      <c r="G26" s="1072">
        <f>D26*F26</f>
        <v>37.5</v>
      </c>
      <c r="H26" s="1074"/>
      <c r="I26" s="1074"/>
      <c r="L26" s="1044">
        <f>IFERROR(MIN(4,MATCH(Application!B724,UnitSizes,0)-1),"")</f>
        <v>1</v>
      </c>
      <c r="M26" s="1065">
        <f>Application!G724</f>
        <v>2</v>
      </c>
      <c r="N26" s="1071">
        <f>Application!AC724</f>
        <v>0.45</v>
      </c>
      <c r="O26" s="1071">
        <f>IF(Cdlac[[#This Row],[Quantity]]&gt;0,IF(Cdlac[[#This Row],[Federal]],30%,IF(AND(OR(NOT($G$38),$G$38=""),$G$43),40%,Cdlac[[#This Row],[iAMI]])),"")</f>
        <v>0.45</v>
      </c>
      <c r="P26" s="1065" cm="1">
        <f t="array" ref="P26">IF(Cdlac[[#This Row],[Quantity]]&gt;0,INDEX(TcacRents,$P$18,Cdlac[[#This Row],[Bedrooms]]+1)*Cdlac[[#This Row],[AMI]],"")</f>
        <v>1262.7</v>
      </c>
      <c r="Q26" s="1164"/>
      <c r="R26" s="1065" cm="1">
        <f t="array" ref="R26">IF(Cdlac[[#This Row],[Quantity]]&gt;0,INDEX(HudFmrs,$P$18,Cdlac[[#This Row],[Bedrooms]]+1),"")</f>
        <v>2147</v>
      </c>
      <c r="S26" s="1065">
        <f>IF(Cdlac[[#This Row],[Quantity]]&gt;0,MAX(0,Cdlac[[#This Row],[Fair Market Rent]]-IF(AND($G$37,$G$38,$G$38&lt;&gt;"",NOT(Cdlac[[#This Row],[Federal]]),Cdlac[[#This Row],[Preservation Rent]]&lt;&gt;""),Cdlac[[#This Row],[Preservation Rent]],Cdlac[[#This Row],[Restricted Rent]])),"")</f>
        <v>884.3</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20</v>
      </c>
      <c r="F27" s="1075">
        <f>MIN(E27,ROUNDDOWN(E29*30%,0))</f>
        <v>17</v>
      </c>
      <c r="G27" s="1072">
        <f>D27*F27</f>
        <v>25.5</v>
      </c>
      <c r="H27" s="1074"/>
      <c r="I27" s="1074"/>
      <c r="L27" s="1044">
        <f>IFERROR(MIN(4,MATCH(Application!B725,UnitSizes,0)-1),"")</f>
        <v>2</v>
      </c>
      <c r="M27" s="1065">
        <f>Application!G725</f>
        <v>5</v>
      </c>
      <c r="N27" s="1071">
        <f>Application!AC725</f>
        <v>0.45</v>
      </c>
      <c r="O27" s="1071">
        <f>IF(Cdlac[[#This Row],[Quantity]]&gt;0,IF(Cdlac[[#This Row],[Federal]],30%,IF(AND(OR(NOT($G$38),$G$38=""),$G$43),40%,Cdlac[[#This Row],[iAMI]])),"")</f>
        <v>0.45</v>
      </c>
      <c r="P27" s="1065" cm="1">
        <f t="array" ref="P27">IF(Cdlac[[#This Row],[Quantity]]&gt;0,INDEX(TcacRents,$P$18,Cdlac[[#This Row],[Bedrooms]]+1)*Cdlac[[#This Row],[AMI]],"")</f>
        <v>1516.5</v>
      </c>
      <c r="Q27" s="1164"/>
      <c r="R27" s="1065" cm="1">
        <f t="array" ref="R27">IF(Cdlac[[#This Row],[Quantity]]&gt;0,INDEX(HudFmrs,$P$18,Cdlac[[#This Row],[Bedrooms]]+1),"")</f>
        <v>2569</v>
      </c>
      <c r="S27" s="1065">
        <f>IF(Cdlac[[#This Row],[Quantity]]&gt;0,MAX(0,Cdlac[[#This Row],[Fair Market Rent]]-IF(AND($G$37,$G$38,$G$38&lt;&gt;"",NOT(Cdlac[[#This Row],[Federal]]),Cdlac[[#This Row],[Preservation Rent]]&lt;&gt;""),Cdlac[[#This Row],[Preservation Rent]],Cdlac[[#This Row],[Restricted Rent]])),"")</f>
        <v>1052.5</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3</v>
      </c>
      <c r="M28" s="1065">
        <f>Application!G726</f>
        <v>2</v>
      </c>
      <c r="N28" s="1071">
        <f>Application!AC726</f>
        <v>0.45</v>
      </c>
      <c r="O28" s="1071">
        <f>IF(Cdlac[[#This Row],[Quantity]]&gt;0,IF(Cdlac[[#This Row],[Federal]],30%,IF(AND(OR(NOT($G$38),$G$38=""),$G$43),40%,Cdlac[[#This Row],[iAMI]])),"")</f>
        <v>0.45</v>
      </c>
      <c r="P28" s="1065" cm="1">
        <f t="array" ref="P28">IF(Cdlac[[#This Row],[Quantity]]&gt;0,INDEX(TcacRents,$P$18,Cdlac[[#This Row],[Bedrooms]]+1)*Cdlac[[#This Row],[AMI]],"")</f>
        <v>1751.4</v>
      </c>
      <c r="Q28" s="1164"/>
      <c r="R28" s="1065" cm="1">
        <f t="array" ref="R28">IF(Cdlac[[#This Row],[Quantity]]&gt;0,INDEX(HudFmrs,$P$18,Cdlac[[#This Row],[Bedrooms]]+1),"")</f>
        <v>3505</v>
      </c>
      <c r="S28" s="1065">
        <f>IF(Cdlac[[#This Row],[Quantity]]&gt;0,MAX(0,Cdlac[[#This Row],[Fair Market Rent]]-IF(AND($G$37,$G$38,$G$38&lt;&gt;"",NOT(Cdlac[[#This Row],[Federal]]),Cdlac[[#This Row],[Preservation Rent]]&lt;&gt;""),Cdlac[[#This Row],[Preservation Rent]],Cdlac[[#This Row],[Restricted Rent]])),"")</f>
        <v>1753.6</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84" t="s">
        <v>1586</v>
      </c>
      <c r="D29" s="2685"/>
      <c r="E29" s="1089">
        <f>SUM(E24:E28)</f>
        <v>59</v>
      </c>
      <c r="F29" s="1089">
        <f>SUM(F24:F28)</f>
        <v>59</v>
      </c>
      <c r="G29" s="1090">
        <f>SUMPRODUCT(D24:D28,F24:F28)</f>
        <v>75</v>
      </c>
      <c r="H29" s="1074"/>
      <c r="I29" s="1074"/>
      <c r="L29" s="1044">
        <f>IFERROR(MIN(4,MATCH(Application!B727,UnitSizes,0)-1),"")</f>
        <v>2</v>
      </c>
      <c r="M29" s="1065">
        <f>Application!G727</f>
        <v>10</v>
      </c>
      <c r="N29" s="1071">
        <f>Application!AC727</f>
        <v>0.5</v>
      </c>
      <c r="O29" s="1071">
        <f>IF(Cdlac[[#This Row],[Quantity]]&gt;0,IF(Cdlac[[#This Row],[Federal]],30%,IF(AND(OR(NOT($G$38),$G$38=""),$G$43),40%,Cdlac[[#This Row],[iAMI]])),"")</f>
        <v>0.5</v>
      </c>
      <c r="P29" s="1065" cm="1">
        <f t="array" ref="P29">IF(Cdlac[[#This Row],[Quantity]]&gt;0,INDEX(TcacRents,$P$18,Cdlac[[#This Row],[Bedrooms]]+1)*Cdlac[[#This Row],[AMI]],"")</f>
        <v>1685</v>
      </c>
      <c r="Q29" s="1164"/>
      <c r="R29" s="1065" cm="1">
        <f t="array" ref="R29">IF(Cdlac[[#This Row],[Quantity]]&gt;0,INDEX(HudFmrs,$P$18,Cdlac[[#This Row],[Bedrooms]]+1),"")</f>
        <v>2569</v>
      </c>
      <c r="S29" s="1065">
        <f>IF(Cdlac[[#This Row],[Quantity]]&gt;0,MAX(0,Cdlac[[#This Row],[Fair Market Rent]]-IF(AND($G$37,$G$38,$G$38&lt;&gt;"",NOT(Cdlac[[#This Row],[Federal]]),Cdlac[[#This Row],[Preservation Rent]]&lt;&gt;""),Cdlac[[#This Row],[Preservation Rent]],Cdlac[[#This Row],[Restricted Rent]])),"")</f>
        <v>884</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f>IFERROR(MIN(4,MATCH(Application!B728,UnitSizes,0)-1),"")</f>
        <v>3</v>
      </c>
      <c r="M30" s="1065">
        <f>Application!G728</f>
        <v>6</v>
      </c>
      <c r="N30" s="1071">
        <f>Application!AC728</f>
        <v>0.5</v>
      </c>
      <c r="O30" s="1071">
        <f>IF(Cdlac[[#This Row],[Quantity]]&gt;0,IF(Cdlac[[#This Row],[Federal]],30%,IF(AND(OR(NOT($G$38),$G$38=""),$G$43),40%,Cdlac[[#This Row],[iAMI]])),"")</f>
        <v>0.5</v>
      </c>
      <c r="P30" s="1065" cm="1">
        <f t="array" ref="P30">IF(Cdlac[[#This Row],[Quantity]]&gt;0,INDEX(TcacRents,$P$18,Cdlac[[#This Row],[Bedrooms]]+1)*Cdlac[[#This Row],[AMI]],"")</f>
        <v>1946</v>
      </c>
      <c r="Q30" s="1164"/>
      <c r="R30" s="1065" cm="1">
        <f t="array" ref="R30">IF(Cdlac[[#This Row],[Quantity]]&gt;0,INDEX(HudFmrs,$P$18,Cdlac[[#This Row],[Bedrooms]]+1),"")</f>
        <v>3505</v>
      </c>
      <c r="S30" s="1065">
        <f>IF(Cdlac[[#This Row],[Quantity]]&gt;0,MAX(0,Cdlac[[#This Row],[Fair Market Rent]]-IF(AND($G$37,$G$38,$G$38&lt;&gt;"",NOT(Cdlac[[#This Row],[Federal]]),Cdlac[[#This Row],[Preservation Rent]]&lt;&gt;""),Cdlac[[#This Row],[Preservation Rent]],Cdlac[[#This Row],[Restricted Rent]])),"")</f>
        <v>1559</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0</v>
      </c>
    </row>
    <row r="31" spans="1:21" ht="15" customHeight="1">
      <c r="A31" s="1074"/>
      <c r="E31" s="1117" t="s">
        <v>1985</v>
      </c>
      <c r="G31" s="1114">
        <f>G29</f>
        <v>75</v>
      </c>
      <c r="H31" s="1074"/>
      <c r="I31" s="1074"/>
      <c r="L31" s="1044">
        <f>IFERROR(MIN(4,MATCH(Application!B729,UnitSizes,0)-1),"")</f>
        <v>2</v>
      </c>
      <c r="M31" s="1065">
        <f>Application!G729</f>
        <v>5</v>
      </c>
      <c r="N31" s="1071">
        <f>Application!AC729</f>
        <v>0.55000000000000004</v>
      </c>
      <c r="O31" s="1071">
        <f>IF(Cdlac[[#This Row],[Quantity]]&gt;0,IF(Cdlac[[#This Row],[Federal]],30%,IF(AND(OR(NOT($G$38),$G$38=""),$G$43),40%,Cdlac[[#This Row],[iAMI]])),"")</f>
        <v>0.55000000000000004</v>
      </c>
      <c r="P31" s="1065" cm="1">
        <f t="array" ref="P31">IF(Cdlac[[#This Row],[Quantity]]&gt;0,INDEX(TcacRents,$P$18,Cdlac[[#This Row],[Bedrooms]]+1)*Cdlac[[#This Row],[AMI]],"")</f>
        <v>1853.5000000000002</v>
      </c>
      <c r="Q31" s="1164"/>
      <c r="R31" s="1065" cm="1">
        <f t="array" ref="R31">IF(Cdlac[[#This Row],[Quantity]]&gt;0,INDEX(HudFmrs,$P$18,Cdlac[[#This Row],[Bedrooms]]+1),"")</f>
        <v>2569</v>
      </c>
      <c r="S31" s="1065">
        <f>IF(Cdlac[[#This Row],[Quantity]]&gt;0,MAX(0,Cdlac[[#This Row],[Fair Market Rent]]-IF(AND($G$37,$G$38,$G$38&lt;&gt;"",NOT(Cdlac[[#This Row],[Federal]]),Cdlac[[#This Row],[Preservation Rent]]&lt;&gt;""),Cdlac[[#This Row],[Preservation Rent]],Cdlac[[#This Row],[Restricted Rent]])),"")</f>
        <v>715.49999999999977</v>
      </c>
      <c r="T31" s="1044">
        <f>IF(Cdlac[[#This Row],[Quantity]]&gt;0,AND(Application!AK729&lt;&gt;"N/A",Application!AK729&lt;&gt;"")*Cdlac[[#This Row],[Quantity]],"")</f>
        <v>0</v>
      </c>
      <c r="U31" s="1044" t="b">
        <f>AND('Subsidy Contract Calculation'!F15&gt;0,OR('Subsidy Contract Calculation'!C15="Federal",'Subsidy Contract Calculation'!C15="Local - Approved by ED"),Cdlac[[#This Row],[Quantity]]&gt;0)</f>
        <v>0</v>
      </c>
    </row>
    <row r="32" spans="1:21" ht="15" customHeight="1">
      <c r="A32" s="1074"/>
      <c r="E32" s="1117" t="s">
        <v>1944</v>
      </c>
      <c r="F32" s="1113" t="s">
        <v>1992</v>
      </c>
      <c r="G32" s="1115">
        <v>50000</v>
      </c>
      <c r="H32" s="1074"/>
      <c r="I32" s="1074"/>
      <c r="L32" s="1044">
        <f>IFERROR(MIN(4,MATCH(Application!B730,UnitSizes,0)-1),"")</f>
        <v>3</v>
      </c>
      <c r="M32" s="1065">
        <f>Application!G730</f>
        <v>5</v>
      </c>
      <c r="N32" s="1071">
        <f>Application!AC730</f>
        <v>0.55000000000000004</v>
      </c>
      <c r="O32" s="1071">
        <f>IF(Cdlac[[#This Row],[Quantity]]&gt;0,IF(Cdlac[[#This Row],[Federal]],30%,IF(AND(OR(NOT($G$38),$G$38=""),$G$43),40%,Cdlac[[#This Row],[iAMI]])),"")</f>
        <v>0.55000000000000004</v>
      </c>
      <c r="P32" s="1065" cm="1">
        <f t="array" ref="P32">IF(Cdlac[[#This Row],[Quantity]]&gt;0,INDEX(TcacRents,$P$18,Cdlac[[#This Row],[Bedrooms]]+1)*Cdlac[[#This Row],[AMI]],"")</f>
        <v>2140.6000000000004</v>
      </c>
      <c r="Q32" s="1164"/>
      <c r="R32" s="1065" cm="1">
        <f t="array" ref="R32">IF(Cdlac[[#This Row],[Quantity]]&gt;0,INDEX(HudFmrs,$P$18,Cdlac[[#This Row],[Bedrooms]]+1),"")</f>
        <v>3505</v>
      </c>
      <c r="S32" s="1065">
        <f>IF(Cdlac[[#This Row],[Quantity]]&gt;0,MAX(0,Cdlac[[#This Row],[Fair Market Rent]]-IF(AND($G$37,$G$38,$G$38&lt;&gt;"",NOT(Cdlac[[#This Row],[Federal]]),Cdlac[[#This Row],[Preservation Rent]]&lt;&gt;""),Cdlac[[#This Row],[Preservation Rent]],Cdlac[[#This Row],[Restricted Rent]])),"")</f>
        <v>1364.3999999999996</v>
      </c>
      <c r="T32" s="1044">
        <f>IF(Cdlac[[#This Row],[Quantity]]&gt;0,AND(Application!AK730&lt;&gt;"N/A",Application!AK730&lt;&gt;"")*Cdlac[[#This Row],[Quantity]],"")</f>
        <v>0</v>
      </c>
      <c r="U32" s="1044" t="b">
        <f>AND('Subsidy Contract Calculation'!F16&gt;0,OR('Subsidy Contract Calculation'!C16="Federal",'Subsidy Contract Calculation'!C16="Local - Approved by ED"),Cdlac[[#This Row],[Quantity]]&gt;0)</f>
        <v>0</v>
      </c>
    </row>
    <row r="33" spans="1:21" ht="15" customHeight="1">
      <c r="A33" s="1074"/>
      <c r="E33" s="1118" t="s">
        <v>1978</v>
      </c>
      <c r="F33" s="1046"/>
      <c r="G33" s="1119">
        <f>G32*G31</f>
        <v>3750000</v>
      </c>
      <c r="H33" s="1074"/>
      <c r="I33" s="1074"/>
      <c r="L33" s="1044">
        <f>IFERROR(MIN(4,MATCH(Application!B731,UnitSizes,0)-1),"")</f>
        <v>3</v>
      </c>
      <c r="M33" s="1065">
        <f>Application!G731</f>
        <v>3</v>
      </c>
      <c r="N33" s="1071">
        <f>Application!AC731</f>
        <v>0.6</v>
      </c>
      <c r="O33" s="1071">
        <f>IF(Cdlac[[#This Row],[Quantity]]&gt;0,IF(Cdlac[[#This Row],[Federal]],30%,IF(AND(OR(NOT($G$38),$G$38=""),$G$43),40%,Cdlac[[#This Row],[iAMI]])),"")</f>
        <v>0.6</v>
      </c>
      <c r="P33" s="1065" cm="1">
        <f t="array" ref="P33">IF(Cdlac[[#This Row],[Quantity]]&gt;0,INDEX(TcacRents,$P$18,Cdlac[[#This Row],[Bedrooms]]+1)*Cdlac[[#This Row],[AMI]],"")</f>
        <v>2335.1999999999998</v>
      </c>
      <c r="Q33" s="1164"/>
      <c r="R33" s="1065" cm="1">
        <f t="array" ref="R33">IF(Cdlac[[#This Row],[Quantity]]&gt;0,INDEX(HudFmrs,$P$18,Cdlac[[#This Row],[Bedrooms]]+1),"")</f>
        <v>3505</v>
      </c>
      <c r="S33" s="1065">
        <f>IF(Cdlac[[#This Row],[Quantity]]&gt;0,MAX(0,Cdlac[[#This Row],[Fair Market Rent]]-IF(AND($G$37,$G$38,$G$38&lt;&gt;"",NOT(Cdlac[[#This Row],[Federal]]),Cdlac[[#This Row],[Preservation Rent]]&lt;&gt;""),Cdlac[[#This Row],[Preservation Rent]],Cdlac[[#This Row],[Restricted Rent]])),"")</f>
        <v>1169.8000000000002</v>
      </c>
      <c r="T33" s="1044">
        <f>IF(Cdlac[[#This Row],[Quantity]]&gt;0,AND(Application!AK731&lt;&gt;"N/A",Application!AK731&lt;&gt;"")*Cdlac[[#This Row],[Quantity]],"")</f>
        <v>0</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2258</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2259</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7" t="str">
        <f>IF(AND(G37,G38,G38&lt;&gt;""),"Enter the average rent charged for each unit type over the last three years, as documented with rent rolls or property audits, in cells Q20:Q44","")</f>
        <v/>
      </c>
      <c r="D39" s="2687"/>
      <c r="E39" s="2687"/>
      <c r="F39" s="2687"/>
      <c r="G39" s="2687"/>
      <c r="H39" s="2687"/>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7"/>
      <c r="D40" s="2687"/>
      <c r="E40" s="2687"/>
      <c r="F40" s="2687"/>
      <c r="G40" s="2687"/>
      <c r="H40" s="2687"/>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7"/>
      <c r="D41" s="2687"/>
      <c r="E41" s="2687"/>
      <c r="F41" s="2687"/>
      <c r="G41" s="2687"/>
      <c r="H41" s="2687"/>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2003</v>
      </c>
      <c r="G42" s="1120" cm="1">
        <f t="array" ref="G42">SUMPRODUCT(Cdlac[Quantity],Cdlac[iAMI],IF(Cdlac[Federal],0,1))/SUMIFS(Cdlac[Quantity],Cdlac[Federal],FALSE)</f>
        <v>0.45169491525423733</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1998</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1948</v>
      </c>
      <c r="G45" s="1078">
        <f>IFERROR(SUMPRODUCT(Cdlac[Quantity],Cdlac[Delta]),0)</f>
        <v>72699.999999999985</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2004</v>
      </c>
      <c r="F46" s="1113" t="s">
        <v>1992</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1943</v>
      </c>
      <c r="F47" s="1046"/>
      <c r="G47" s="1123">
        <f>G45*G46</f>
        <v>13085999.999999998</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1993</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1994</v>
      </c>
      <c r="G52" s="1114">
        <f>ROUNDDOWN(E29*50%,0)</f>
        <v>29</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1954</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1944</v>
      </c>
      <c r="F55" s="1113" t="s">
        <v>1992</v>
      </c>
      <c r="G55" s="1124">
        <v>10000</v>
      </c>
      <c r="M55" s="1065"/>
      <c r="N55" s="1071"/>
      <c r="O55" s="1071"/>
      <c r="P55" s="1065"/>
      <c r="Q55" s="1164"/>
      <c r="R55" s="1065"/>
      <c r="S55" s="1065"/>
    </row>
    <row r="56" spans="2:21" ht="15" customHeight="1">
      <c r="E56" s="1118" t="s">
        <v>1977</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1995</v>
      </c>
      <c r="G60" s="1079">
        <f>SUMIFS(Cdlac[Quantity],Cdlac[iAMI],"&lt;=30%")</f>
        <v>11</v>
      </c>
    </row>
    <row r="61" spans="2:21" ht="15" customHeight="1">
      <c r="E61" s="1117" t="s">
        <v>1994</v>
      </c>
      <c r="G61" s="1079">
        <f>ROUNDDOWN(E29*50%,0)</f>
        <v>29</v>
      </c>
    </row>
    <row r="62" spans="2:21" ht="15" customHeight="1">
      <c r="E62" s="1117"/>
      <c r="G62" s="1079"/>
    </row>
    <row r="63" spans="2:21" ht="15" customHeight="1">
      <c r="E63" s="1117" t="s">
        <v>1954</v>
      </c>
      <c r="G63" s="1114">
        <f>MIN(G60:G61)</f>
        <v>11</v>
      </c>
    </row>
    <row r="64" spans="2:21" ht="15" customHeight="1">
      <c r="E64" s="1117" t="s">
        <v>1944</v>
      </c>
      <c r="F64" s="1113" t="s">
        <v>1992</v>
      </c>
      <c r="G64" s="1124">
        <v>20000</v>
      </c>
    </row>
    <row r="65" spans="2:14" ht="15" customHeight="1">
      <c r="E65" s="1118" t="s">
        <v>1976</v>
      </c>
      <c r="F65" s="1046"/>
      <c r="G65" s="1123">
        <f>G63*G64</f>
        <v>220000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1980</v>
      </c>
      <c r="G69" s="1043" t="s">
        <v>545</v>
      </c>
    </row>
    <row r="70" spans="2:14" ht="15" customHeight="1">
      <c r="C70" s="1077" t="s">
        <v>1981</v>
      </c>
      <c r="G70" s="1081" t="str">
        <f>IF(Application!D211="Large Family","Yes","No")</f>
        <v>Yes</v>
      </c>
    </row>
    <row r="71" spans="2:14" ht="15" customHeight="1" thickBot="1">
      <c r="C71" s="1077" t="s">
        <v>1967</v>
      </c>
      <c r="G71" s="1043" t="s">
        <v>669</v>
      </c>
    </row>
    <row r="72" spans="2:14" ht="15" customHeight="1">
      <c r="C72" s="1077" t="s">
        <v>1968</v>
      </c>
      <c r="G72" s="1044" t="str">
        <f>Application!T193</f>
        <v>Low Resource</v>
      </c>
      <c r="L72" s="2657" t="s">
        <v>1969</v>
      </c>
      <c r="M72" s="2658"/>
      <c r="N72" s="1131">
        <v>30000</v>
      </c>
    </row>
    <row r="73" spans="2:14" ht="15" customHeight="1">
      <c r="C73" s="2659" t="s">
        <v>2261</v>
      </c>
      <c r="D73" s="2659"/>
      <c r="E73" s="2659"/>
      <c r="F73" s="2659"/>
      <c r="G73" s="1043" t="s">
        <v>669</v>
      </c>
      <c r="L73" s="2674" t="s">
        <v>1937</v>
      </c>
      <c r="M73" s="2675"/>
      <c r="N73" s="1132">
        <v>20000</v>
      </c>
    </row>
    <row r="74" spans="2:14" ht="15" customHeight="1" thickBot="1">
      <c r="C74" s="2659"/>
      <c r="D74" s="2659"/>
      <c r="E74" s="2659"/>
      <c r="F74" s="2659"/>
      <c r="L74" s="2649" t="s">
        <v>1970</v>
      </c>
      <c r="M74" s="2650"/>
      <c r="N74" s="1133">
        <v>10000</v>
      </c>
    </row>
    <row r="75" spans="2:14" ht="15" customHeight="1">
      <c r="C75" s="1077"/>
    </row>
    <row r="76" spans="2:14" ht="15" customHeight="1">
      <c r="E76" s="1084" t="s">
        <v>1999</v>
      </c>
      <c r="G76" s="1079" t="b">
        <f>OR(AND(COUNTIFS(G70:G71,"Yes")&gt;=1,G69="Yes"),G73="Yes")</f>
        <v>1</v>
      </c>
    </row>
    <row r="77" spans="2:14" ht="15" customHeight="1">
      <c r="E77" s="1084"/>
      <c r="G77" s="1079"/>
    </row>
    <row r="78" spans="2:14" ht="15" customHeight="1">
      <c r="E78" s="1084" t="s">
        <v>1944</v>
      </c>
      <c r="G78" s="1078">
        <f>IFERROR(IF($G$73="Yes",30000,INDEX(N72:N74,MATCH(LEFT(G72,17),L72:L74,0))),0)</f>
        <v>0</v>
      </c>
    </row>
    <row r="79" spans="2:14" ht="15" customHeight="1">
      <c r="E79" s="1084" t="str">
        <f>E96</f>
        <v>Bedroom-Adjusted Low-Income Units</v>
      </c>
      <c r="F79" s="1113" t="s">
        <v>1992</v>
      </c>
      <c r="G79" s="1114">
        <f>G29</f>
        <v>75</v>
      </c>
    </row>
    <row r="80" spans="2:14" ht="15" customHeight="1">
      <c r="D80" s="1046"/>
      <c r="E80" s="1118" t="s">
        <v>2266</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1975</v>
      </c>
      <c r="G84" s="1043" t="s">
        <v>545</v>
      </c>
    </row>
    <row r="85" spans="2:9" ht="15" customHeight="1">
      <c r="F85" s="1116"/>
    </row>
    <row r="86" spans="2:9" ht="15" customHeight="1">
      <c r="E86" s="1084" t="s">
        <v>1999</v>
      </c>
      <c r="G86" s="1079" t="b">
        <f>G84="Yes"</f>
        <v>1</v>
      </c>
    </row>
    <row r="87" spans="2:9" ht="15" customHeight="1"/>
    <row r="88" spans="2:9" ht="15" customHeight="1">
      <c r="E88" s="1084" t="str">
        <f>E96</f>
        <v>Bedroom-Adjusted Low-Income Units</v>
      </c>
      <c r="G88" s="1114">
        <f>G29</f>
        <v>75</v>
      </c>
    </row>
    <row r="89" spans="2:9" ht="15" customHeight="1">
      <c r="E89" s="1084" t="s">
        <v>1944</v>
      </c>
      <c r="F89" s="1113" t="s">
        <v>1992</v>
      </c>
      <c r="G89" s="1050">
        <v>20000</v>
      </c>
    </row>
    <row r="90" spans="2:9" ht="15" customHeight="1">
      <c r="E90" s="1118" t="s">
        <v>2270</v>
      </c>
      <c r="F90" s="1046"/>
      <c r="G90" s="1123">
        <f>G86*G89*G88</f>
        <v>1500000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1955</v>
      </c>
      <c r="G94" s="1114">
        <f>VLOOKUP('Points System'!$H$606,'Points System'!$AO$586:$AP$591,2,FALSE)</f>
        <v>4</v>
      </c>
    </row>
    <row r="95" spans="2:9" ht="15" customHeight="1">
      <c r="E95" s="1084" t="s">
        <v>1944</v>
      </c>
      <c r="F95" s="1113" t="s">
        <v>1992</v>
      </c>
      <c r="G95" s="1076">
        <v>4000</v>
      </c>
    </row>
    <row r="96" spans="2:9" ht="15" customHeight="1" thickBot="1">
      <c r="E96" s="1084" t="s">
        <v>1996</v>
      </c>
      <c r="F96" s="1113" t="s">
        <v>1992</v>
      </c>
      <c r="G96" s="1126">
        <f>G29</f>
        <v>75</v>
      </c>
    </row>
    <row r="97" spans="2:14" ht="15" customHeight="1">
      <c r="E97" s="1118" t="s">
        <v>1961</v>
      </c>
      <c r="F97" s="1046"/>
      <c r="G97" s="1123">
        <f>G94*G95*G96</f>
        <v>1200000</v>
      </c>
      <c r="L97" s="1127" t="str">
        <f>'Points System'!H638</f>
        <v>(i)</v>
      </c>
      <c r="M97" s="2655" t="s">
        <v>1405</v>
      </c>
      <c r="N97" s="2656"/>
    </row>
    <row r="98" spans="2:14" ht="15" customHeight="1">
      <c r="C98" s="1077"/>
      <c r="G98" s="1114"/>
      <c r="L98" s="1128" t="str">
        <f>'Points System'!H650</f>
        <v>N/A</v>
      </c>
      <c r="M98" s="2651" t="s">
        <v>1956</v>
      </c>
      <c r="N98" s="2652"/>
    </row>
    <row r="99" spans="2:14" ht="15" customHeight="1">
      <c r="E99" s="1084" t="s">
        <v>1997</v>
      </c>
      <c r="G99" s="1126">
        <f>COUNTIFS(L97:L104,"(i)")</f>
        <v>2</v>
      </c>
      <c r="L99" s="1128" t="str">
        <f>'Points System'!H685</f>
        <v>(v)</v>
      </c>
      <c r="M99" s="2651" t="s">
        <v>1957</v>
      </c>
      <c r="N99" s="2652"/>
    </row>
    <row r="100" spans="2:14" ht="15" customHeight="1">
      <c r="E100" s="1084" t="s">
        <v>1944</v>
      </c>
      <c r="F100" s="1113" t="s">
        <v>1992</v>
      </c>
      <c r="G100" s="1124">
        <v>4000</v>
      </c>
      <c r="L100" s="1128" t="str">
        <f>IF(OR('Points System'!H709="(ii)",'Points System'!H709="(i)"),"(i)","N/A")</f>
        <v>N/A</v>
      </c>
      <c r="M100" s="2651" t="s">
        <v>1958</v>
      </c>
      <c r="N100" s="2652"/>
    </row>
    <row r="101" spans="2:14" ht="15" customHeight="1">
      <c r="E101" s="1118" t="s">
        <v>1962</v>
      </c>
      <c r="F101" s="1046"/>
      <c r="G101" s="1123">
        <f>G96*G99*G100</f>
        <v>600000</v>
      </c>
      <c r="L101" s="1129" t="str">
        <f>'Points System'!H723</f>
        <v>N/A</v>
      </c>
      <c r="M101" s="2651" t="s">
        <v>1431</v>
      </c>
      <c r="N101" s="2652"/>
    </row>
    <row r="102" spans="2:14" ht="15" customHeight="1">
      <c r="L102" s="1128" t="str">
        <f>'Points System'!H735</f>
        <v>N/A</v>
      </c>
      <c r="M102" s="2651" t="s">
        <v>1959</v>
      </c>
      <c r="N102" s="2652"/>
    </row>
    <row r="103" spans="2:14" ht="15" customHeight="1">
      <c r="C103" s="1080" t="s">
        <v>1964</v>
      </c>
      <c r="L103" s="1128" t="str">
        <f>'Points System'!H751</f>
        <v>(ii)</v>
      </c>
      <c r="M103" s="2651" t="s">
        <v>1960</v>
      </c>
      <c r="N103" s="2652"/>
    </row>
    <row r="104" spans="2:14" ht="15" customHeight="1" thickBot="1">
      <c r="C104" s="1077" t="s">
        <v>1965</v>
      </c>
      <c r="G104" s="1043"/>
      <c r="L104" s="1130" t="str">
        <f>'Points System'!H763</f>
        <v>(i)</v>
      </c>
      <c r="M104" s="2653" t="s">
        <v>1434</v>
      </c>
      <c r="N104" s="2654"/>
    </row>
    <row r="105" spans="2:14" ht="15" customHeight="1">
      <c r="C105" s="1077" t="s">
        <v>1966</v>
      </c>
      <c r="G105" s="1043"/>
    </row>
    <row r="106" spans="2:14" ht="15" customHeight="1">
      <c r="C106" s="1077" t="s">
        <v>2139</v>
      </c>
      <c r="G106" s="1043"/>
    </row>
    <row r="107" spans="2:14" ht="15" customHeight="1">
      <c r="C107" s="1077" t="s">
        <v>2140</v>
      </c>
      <c r="G107" s="1043"/>
    </row>
    <row r="108" spans="2:14" ht="15" customHeight="1"/>
    <row r="109" spans="2:14" ht="15" customHeight="1">
      <c r="B109" s="1078"/>
      <c r="C109" s="1077"/>
      <c r="E109" s="1084" t="s">
        <v>1999</v>
      </c>
      <c r="G109" s="1079" t="b">
        <f>COUNTIFS(G104:G107,"Yes")&gt;=1</f>
        <v>0</v>
      </c>
    </row>
    <row r="110" spans="2:14" ht="15" customHeight="1">
      <c r="E110" s="1077"/>
    </row>
    <row r="111" spans="2:14" ht="15" customHeight="1">
      <c r="E111" s="1084" t="s">
        <v>1996</v>
      </c>
      <c r="F111" s="1113" t="s">
        <v>1992</v>
      </c>
      <c r="G111" s="1114">
        <f>G29</f>
        <v>75</v>
      </c>
    </row>
    <row r="112" spans="2:14" ht="15" customHeight="1">
      <c r="E112" s="1084" t="s">
        <v>1944</v>
      </c>
      <c r="F112" s="1113" t="s">
        <v>1992</v>
      </c>
      <c r="G112" s="1124">
        <v>25000</v>
      </c>
    </row>
    <row r="113" spans="2:9" ht="15" customHeight="1">
      <c r="E113" s="1118" t="s">
        <v>1963</v>
      </c>
      <c r="F113" s="1046"/>
      <c r="G113" s="1123">
        <f>G109*G112*G96</f>
        <v>0</v>
      </c>
    </row>
    <row r="114" spans="2:9" ht="15" customHeight="1">
      <c r="C114" s="1077"/>
      <c r="E114" s="1077"/>
    </row>
    <row r="115" spans="2:9" ht="15" customHeight="1">
      <c r="E115" s="1118" t="s">
        <v>2271</v>
      </c>
      <c r="G115" s="1123">
        <f>G113+G101+G97</f>
        <v>1800000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6" t="s">
        <v>2226</v>
      </c>
      <c r="D119" s="2686"/>
      <c r="E119" s="2686"/>
      <c r="F119" s="2686"/>
    </row>
    <row r="120" spans="2:9" ht="15" customHeight="1">
      <c r="C120" s="2686"/>
      <c r="D120" s="2686"/>
      <c r="E120" s="2686"/>
      <c r="F120" s="2686"/>
      <c r="G120" s="1043" t="s">
        <v>545</v>
      </c>
    </row>
    <row r="121" spans="2:9" ht="15" customHeight="1"/>
    <row r="122" spans="2:9" ht="15" customHeight="1">
      <c r="C122" s="1044" t="s">
        <v>2228</v>
      </c>
      <c r="G122" s="2688" t="s">
        <v>2720</v>
      </c>
      <c r="H122" s="2688"/>
    </row>
    <row r="123" spans="2:9" ht="15" customHeight="1">
      <c r="G123" s="2688"/>
      <c r="H123" s="2688"/>
    </row>
    <row r="124" spans="2:9" ht="15" customHeight="1">
      <c r="G124" s="2689"/>
      <c r="H124" s="2689"/>
    </row>
    <row r="125" spans="2:9" ht="15" customHeight="1">
      <c r="G125" s="1160"/>
      <c r="H125" s="1160"/>
    </row>
    <row r="126" spans="2:9" ht="15" customHeight="1">
      <c r="B126" s="1066" t="s">
        <v>2001</v>
      </c>
      <c r="C126" s="1067"/>
      <c r="D126" s="1067"/>
      <c r="E126" s="1067"/>
      <c r="F126" s="1067"/>
      <c r="G126" s="1067"/>
      <c r="H126" s="1067"/>
      <c r="I126" s="1068"/>
    </row>
    <row r="128" spans="2:9">
      <c r="E128" s="1084" t="s">
        <v>582</v>
      </c>
      <c r="G128" s="1044" t="str">
        <f>IF(Application!T189="","",Application!T189)</f>
        <v>Ventura</v>
      </c>
    </row>
    <row r="129" spans="2:9">
      <c r="E129" s="1084"/>
      <c r="G129" s="1078"/>
    </row>
    <row r="130" spans="2:9">
      <c r="E130" s="1084" t="str">
        <f>"2-Bedroom "&amp;G128&amp;" County Basis Limit"</f>
        <v>2-Bedroom Ventura County Basis Limit</v>
      </c>
      <c r="G130" s="1078">
        <f>Application!R988</f>
        <v>562400</v>
      </c>
    </row>
    <row r="131" spans="2:9">
      <c r="E131" s="1084" t="s">
        <v>2000</v>
      </c>
      <c r="G131" s="1078">
        <f>MEDIAN((Application!CU160:CU217))</f>
        <v>489600</v>
      </c>
    </row>
    <row r="132" spans="2:9" ht="15">
      <c r="D132" s="1046"/>
      <c r="E132" s="1118" t="s">
        <v>2002</v>
      </c>
      <c r="F132" s="1134"/>
      <c r="G132" s="1135">
        <f>((G130-G131)/G131)*0.25</f>
        <v>3.7173202614379085E-2</v>
      </c>
      <c r="H132" s="1042"/>
      <c r="I132" s="1042"/>
    </row>
    <row r="133" spans="2:9">
      <c r="D133" s="1045"/>
      <c r="E133" s="1045"/>
    </row>
    <row r="134" spans="2:9" ht="15">
      <c r="B134" s="1066" t="s">
        <v>2272</v>
      </c>
      <c r="C134" s="1067"/>
      <c r="D134" s="1067"/>
      <c r="E134" s="1067"/>
      <c r="F134" s="1067"/>
      <c r="G134" s="1067"/>
      <c r="H134" s="1067"/>
      <c r="I134" s="1068"/>
    </row>
    <row r="136" spans="2:9">
      <c r="E136" s="1084" t="s">
        <v>2258</v>
      </c>
      <c r="G136" s="1044" t="b">
        <f>G37</f>
        <v>0</v>
      </c>
    </row>
    <row r="137" spans="2:9">
      <c r="E137" s="1084" t="s">
        <v>2273</v>
      </c>
      <c r="G137" s="1044" t="b">
        <f>OR('Points System'!B52="Yes", 'Points System'!B56="Yes",'Points System'!B58="Yes")</f>
        <v>0</v>
      </c>
    </row>
    <row r="138" spans="2:9">
      <c r="C138" s="2683" t="s">
        <v>2274</v>
      </c>
      <c r="D138" s="2683"/>
      <c r="E138" s="2683"/>
      <c r="F138" s="2683"/>
    </row>
    <row r="139" spans="2:9">
      <c r="B139" s="1045"/>
      <c r="C139" s="2683"/>
      <c r="D139" s="2683"/>
      <c r="E139" s="2683"/>
      <c r="F139" s="2683"/>
      <c r="G139" s="1043"/>
    </row>
    <row r="140" spans="2:9">
      <c r="B140" s="1045"/>
      <c r="C140" s="1045"/>
      <c r="D140" s="1045"/>
      <c r="E140" s="1045"/>
      <c r="F140" s="1045"/>
    </row>
    <row r="141" spans="2:9" ht="14.25" customHeight="1">
      <c r="E141" s="1084" t="s">
        <v>2276</v>
      </c>
      <c r="G141" s="1169"/>
    </row>
    <row r="143" spans="2:9">
      <c r="E143" s="1084" t="s">
        <v>2278</v>
      </c>
      <c r="G143" s="1168">
        <f>IF(I9=0,0,G141/I9)</f>
        <v>0</v>
      </c>
    </row>
    <row r="144" spans="2:9">
      <c r="E144" s="1084" t="s">
        <v>2275</v>
      </c>
      <c r="G144" s="1166">
        <f>I9*0.15</f>
        <v>1763635.2</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5"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90" t="s">
        <v>909</v>
      </c>
      <c r="B1" s="2690"/>
      <c r="C1" s="2690"/>
      <c r="D1" s="2690"/>
      <c r="E1" s="2690"/>
      <c r="F1" s="2690"/>
      <c r="G1" s="2690"/>
      <c r="H1" s="2690"/>
      <c r="I1" s="2690"/>
      <c r="J1" s="2690"/>
      <c r="K1" s="204"/>
      <c r="L1" s="204"/>
    </row>
    <row r="2" spans="1:12">
      <c r="A2" s="210"/>
      <c r="B2" s="210"/>
      <c r="C2" s="210"/>
      <c r="D2" s="210"/>
      <c r="E2" s="210"/>
      <c r="F2" s="210"/>
      <c r="G2" s="210"/>
      <c r="H2" s="210"/>
      <c r="I2" s="210"/>
      <c r="J2" s="210"/>
    </row>
    <row r="3" spans="1:12" ht="100.5">
      <c r="A3" s="426" t="s">
        <v>910</v>
      </c>
      <c r="B3" s="426" t="s">
        <v>2253</v>
      </c>
      <c r="C3" s="426" t="s">
        <v>2254</v>
      </c>
      <c r="D3" s="1146" t="s">
        <v>2255</v>
      </c>
      <c r="E3" s="204"/>
      <c r="F3" s="1146" t="s">
        <v>911</v>
      </c>
      <c r="G3" s="426" t="s">
        <v>912</v>
      </c>
      <c r="H3" s="427"/>
      <c r="I3" s="426" t="s">
        <v>913</v>
      </c>
      <c r="J3" s="426" t="s">
        <v>914</v>
      </c>
      <c r="K3" s="204"/>
      <c r="L3" s="305"/>
    </row>
    <row r="4" spans="1:12">
      <c r="A4" s="428" t="str">
        <f>Application!B718</f>
        <v>1 Bedroom</v>
      </c>
      <c r="B4" s="1082">
        <f>Application!G718</f>
        <v>6</v>
      </c>
      <c r="C4" s="1162"/>
      <c r="D4" s="428">
        <f>Application!O718</f>
        <v>820.44</v>
      </c>
      <c r="E4" s="429"/>
      <c r="F4" s="1083"/>
      <c r="G4" s="428">
        <f>F4*B4</f>
        <v>0</v>
      </c>
      <c r="H4" s="429"/>
      <c r="I4" s="428" t="str">
        <f t="shared" ref="I4:I27" si="0">IF(F4=0,"",(F4-D4))</f>
        <v/>
      </c>
      <c r="J4" s="428" t="str">
        <f t="shared" ref="J4:J27" si="1">IF(F4=0,"",(I4*B4))</f>
        <v/>
      </c>
      <c r="K4" s="204"/>
      <c r="L4" s="305"/>
    </row>
    <row r="5" spans="1:12">
      <c r="A5" s="428" t="str">
        <f>Application!B719</f>
        <v>2 Bedrooms</v>
      </c>
      <c r="B5" s="1082">
        <f>Application!G719</f>
        <v>3</v>
      </c>
      <c r="C5" s="1162"/>
      <c r="D5" s="428">
        <f>Application!O719</f>
        <v>988.62</v>
      </c>
      <c r="E5" s="429"/>
      <c r="F5" s="1083"/>
      <c r="G5" s="428">
        <f t="shared" ref="G5:G38" si="2">F5*B5</f>
        <v>0</v>
      </c>
      <c r="H5" s="429"/>
      <c r="I5" s="428" t="str">
        <f t="shared" si="0"/>
        <v/>
      </c>
      <c r="J5" s="428" t="str">
        <f t="shared" si="1"/>
        <v/>
      </c>
      <c r="K5" s="204"/>
      <c r="L5" s="305"/>
    </row>
    <row r="6" spans="1:12">
      <c r="A6" s="428" t="str">
        <f>Application!B720</f>
        <v>3 Bedrooms</v>
      </c>
      <c r="B6" s="1082">
        <f>Application!G720</f>
        <v>2</v>
      </c>
      <c r="C6" s="1162"/>
      <c r="D6" s="428">
        <f>Application!O720</f>
        <v>1138.8800000000001</v>
      </c>
      <c r="E6" s="429"/>
      <c r="F6" s="1083"/>
      <c r="G6" s="428">
        <f t="shared" si="2"/>
        <v>0</v>
      </c>
      <c r="H6" s="429"/>
      <c r="I6" s="428" t="str">
        <f t="shared" si="0"/>
        <v/>
      </c>
      <c r="J6" s="428" t="str">
        <f t="shared" si="1"/>
        <v/>
      </c>
      <c r="K6" s="204"/>
      <c r="L6" s="305"/>
    </row>
    <row r="7" spans="1:12">
      <c r="A7" s="428" t="str">
        <f>Application!B721</f>
        <v>1 Bedroom</v>
      </c>
      <c r="B7" s="1082">
        <f>Application!G721</f>
        <v>4</v>
      </c>
      <c r="C7" s="1162"/>
      <c r="D7" s="428">
        <f>Application!O721</f>
        <v>1101.44</v>
      </c>
      <c r="E7" s="429"/>
      <c r="F7" s="1083"/>
      <c r="G7" s="428">
        <f t="shared" si="2"/>
        <v>0</v>
      </c>
      <c r="H7" s="429"/>
      <c r="I7" s="428" t="str">
        <f t="shared" si="0"/>
        <v/>
      </c>
      <c r="J7" s="428" t="str">
        <f t="shared" si="1"/>
        <v/>
      </c>
      <c r="K7" s="204"/>
      <c r="L7" s="305"/>
    </row>
    <row r="8" spans="1:12">
      <c r="A8" s="428" t="str">
        <f>Application!B722</f>
        <v>2 Bedrooms</v>
      </c>
      <c r="B8" s="1082">
        <f>Application!G722</f>
        <v>4</v>
      </c>
      <c r="C8" s="1162"/>
      <c r="D8" s="428">
        <f>Application!O722</f>
        <v>1325.62</v>
      </c>
      <c r="E8" s="429"/>
      <c r="F8" s="1083"/>
      <c r="G8" s="428">
        <f t="shared" si="2"/>
        <v>0</v>
      </c>
      <c r="H8" s="429"/>
      <c r="I8" s="428" t="str">
        <f t="shared" si="0"/>
        <v/>
      </c>
      <c r="J8" s="428" t="str">
        <f t="shared" si="1"/>
        <v/>
      </c>
      <c r="K8" s="204"/>
      <c r="L8" s="305"/>
    </row>
    <row r="9" spans="1:12">
      <c r="A9" s="428" t="str">
        <f>Application!B723</f>
        <v>3 Bedrooms</v>
      </c>
      <c r="B9" s="1082">
        <f>Application!G723</f>
        <v>2</v>
      </c>
      <c r="C9" s="1162"/>
      <c r="D9" s="428">
        <f>Application!O723</f>
        <v>1528.88</v>
      </c>
      <c r="E9" s="429"/>
      <c r="F9" s="1083"/>
      <c r="G9" s="428">
        <f t="shared" si="2"/>
        <v>0</v>
      </c>
      <c r="H9" s="429"/>
      <c r="I9" s="428" t="str">
        <f t="shared" si="0"/>
        <v/>
      </c>
      <c r="J9" s="428" t="str">
        <f t="shared" si="1"/>
        <v/>
      </c>
      <c r="K9" s="204"/>
      <c r="L9" s="305"/>
    </row>
    <row r="10" spans="1:12">
      <c r="A10" s="428" t="str">
        <f>Application!B724</f>
        <v>1 Bedroom</v>
      </c>
      <c r="B10" s="1082">
        <f>Application!G724</f>
        <v>2</v>
      </c>
      <c r="C10" s="1162"/>
      <c r="D10" s="428">
        <f>Application!O724</f>
        <v>1241.44</v>
      </c>
      <c r="E10" s="429"/>
      <c r="F10" s="1083"/>
      <c r="G10" s="428">
        <f t="shared" si="2"/>
        <v>0</v>
      </c>
      <c r="H10" s="429"/>
      <c r="I10" s="428" t="str">
        <f t="shared" si="0"/>
        <v/>
      </c>
      <c r="J10" s="428" t="str">
        <f t="shared" si="1"/>
        <v/>
      </c>
      <c r="K10" s="204"/>
      <c r="L10" s="305"/>
    </row>
    <row r="11" spans="1:12">
      <c r="A11" s="428" t="str">
        <f>Application!B725</f>
        <v>2 Bedrooms</v>
      </c>
      <c r="B11" s="1082">
        <f>Application!G725</f>
        <v>5</v>
      </c>
      <c r="C11" s="1162"/>
      <c r="D11" s="428">
        <f>Application!O725</f>
        <v>1493.62</v>
      </c>
      <c r="E11" s="429"/>
      <c r="F11" s="1083"/>
      <c r="G11" s="428">
        <f t="shared" si="2"/>
        <v>0</v>
      </c>
      <c r="H11" s="429"/>
      <c r="I11" s="428" t="str">
        <f t="shared" si="0"/>
        <v/>
      </c>
      <c r="J11" s="428" t="str">
        <f t="shared" si="1"/>
        <v/>
      </c>
      <c r="K11" s="204"/>
      <c r="L11" s="305"/>
    </row>
    <row r="12" spans="1:12">
      <c r="A12" s="428" t="str">
        <f>Application!B726</f>
        <v>3 Bedrooms</v>
      </c>
      <c r="B12" s="1082">
        <f>Application!G726</f>
        <v>2</v>
      </c>
      <c r="C12" s="1162"/>
      <c r="D12" s="428">
        <f>Application!O726</f>
        <v>1722.88</v>
      </c>
      <c r="E12" s="429"/>
      <c r="F12" s="1083"/>
      <c r="G12" s="428">
        <f t="shared" si="2"/>
        <v>0</v>
      </c>
      <c r="H12" s="429"/>
      <c r="I12" s="428" t="str">
        <f t="shared" si="0"/>
        <v/>
      </c>
      <c r="J12" s="428" t="str">
        <f t="shared" si="1"/>
        <v/>
      </c>
      <c r="K12" s="204"/>
      <c r="L12" s="305"/>
    </row>
    <row r="13" spans="1:12">
      <c r="A13" s="428" t="str">
        <f>Application!B727</f>
        <v>2 Bedrooms</v>
      </c>
      <c r="B13" s="1082">
        <f>Application!G727</f>
        <v>10</v>
      </c>
      <c r="C13" s="1162"/>
      <c r="D13" s="428">
        <f>Application!O727</f>
        <v>1662.62</v>
      </c>
      <c r="E13" s="429"/>
      <c r="F13" s="1083"/>
      <c r="G13" s="428">
        <f t="shared" si="2"/>
        <v>0</v>
      </c>
      <c r="H13" s="429"/>
      <c r="I13" s="428" t="str">
        <f t="shared" si="0"/>
        <v/>
      </c>
      <c r="J13" s="428" t="str">
        <f t="shared" si="1"/>
        <v/>
      </c>
      <c r="K13" s="204"/>
      <c r="L13" s="305"/>
    </row>
    <row r="14" spans="1:12">
      <c r="A14" s="428" t="str">
        <f>Application!B728</f>
        <v>3 Bedrooms</v>
      </c>
      <c r="B14" s="1082">
        <f>Application!G728</f>
        <v>6</v>
      </c>
      <c r="C14" s="1162"/>
      <c r="D14" s="428">
        <f>Application!O728</f>
        <v>1917.88</v>
      </c>
      <c r="E14" s="429"/>
      <c r="F14" s="1083"/>
      <c r="G14" s="428">
        <f t="shared" si="2"/>
        <v>0</v>
      </c>
      <c r="H14" s="429"/>
      <c r="I14" s="428" t="str">
        <f t="shared" si="0"/>
        <v/>
      </c>
      <c r="J14" s="428" t="str">
        <f t="shared" si="1"/>
        <v/>
      </c>
      <c r="K14" s="204"/>
      <c r="L14" s="305"/>
    </row>
    <row r="15" spans="1:12">
      <c r="A15" s="428" t="str">
        <f>Application!B729</f>
        <v>2 Bedrooms</v>
      </c>
      <c r="B15" s="1082">
        <f>Application!G729</f>
        <v>5</v>
      </c>
      <c r="C15" s="1162"/>
      <c r="D15" s="428">
        <f>Application!O729</f>
        <v>1830.62</v>
      </c>
      <c r="E15" s="429"/>
      <c r="F15" s="1083"/>
      <c r="G15" s="428">
        <f t="shared" si="2"/>
        <v>0</v>
      </c>
      <c r="H15" s="429"/>
      <c r="I15" s="428" t="str">
        <f t="shared" si="0"/>
        <v/>
      </c>
      <c r="J15" s="428" t="str">
        <f t="shared" si="1"/>
        <v/>
      </c>
      <c r="K15" s="204"/>
      <c r="L15" s="305"/>
    </row>
    <row r="16" spans="1:12">
      <c r="A16" s="428" t="str">
        <f>Application!B730</f>
        <v>3 Bedrooms</v>
      </c>
      <c r="B16" s="1082">
        <f>Application!G730</f>
        <v>5</v>
      </c>
      <c r="C16" s="1162"/>
      <c r="D16" s="428">
        <f>Application!O730</f>
        <v>2111.88</v>
      </c>
      <c r="E16" s="429"/>
      <c r="F16" s="1083"/>
      <c r="G16" s="428">
        <f t="shared" si="2"/>
        <v>0</v>
      </c>
      <c r="H16" s="429"/>
      <c r="I16" s="428" t="str">
        <f t="shared" si="0"/>
        <v/>
      </c>
      <c r="J16" s="428" t="str">
        <f t="shared" si="1"/>
        <v/>
      </c>
      <c r="K16" s="204"/>
      <c r="L16" s="305"/>
    </row>
    <row r="17" spans="1:12">
      <c r="A17" s="428" t="str">
        <f>Application!B731</f>
        <v>3 Bedrooms</v>
      </c>
      <c r="B17" s="1082">
        <f>Application!G731</f>
        <v>3</v>
      </c>
      <c r="C17" s="1162"/>
      <c r="D17" s="428">
        <f>Application!O731</f>
        <v>2306.88</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915</v>
      </c>
      <c r="B40" s="431"/>
      <c r="C40" s="431"/>
      <c r="D40" s="432">
        <f>Application!O753</f>
        <v>91095.62000000001</v>
      </c>
      <c r="E40" s="429"/>
      <c r="F40" s="429"/>
      <c r="G40" s="432">
        <f>SUM(G4:G38)*12</f>
        <v>0</v>
      </c>
      <c r="H40" s="433"/>
      <c r="I40" s="431"/>
      <c r="J40" s="432">
        <f>SUM(J4:J38)*12</f>
        <v>0</v>
      </c>
      <c r="K40" s="204"/>
      <c r="L40" s="306"/>
    </row>
    <row r="41" spans="1:12" ht="15">
      <c r="A41" s="430"/>
      <c r="B41" s="431"/>
      <c r="C41" s="431"/>
      <c r="D41" s="433"/>
      <c r="E41" s="429"/>
      <c r="F41" s="429"/>
      <c r="G41" s="433"/>
      <c r="H41" s="433"/>
      <c r="I41" s="431"/>
      <c r="J41" s="433"/>
      <c r="K41" s="204"/>
      <c r="L41" s="306"/>
    </row>
    <row r="42" spans="1:12">
      <c r="A42" s="304" t="s">
        <v>2256</v>
      </c>
    </row>
    <row r="43" spans="1:12">
      <c r="A43" s="2691" t="s">
        <v>2495</v>
      </c>
      <c r="B43" s="2691"/>
      <c r="C43" s="2691"/>
      <c r="D43" s="2691"/>
      <c r="E43" s="2691"/>
      <c r="F43" s="2691"/>
      <c r="G43" s="2691"/>
      <c r="H43" s="2691"/>
      <c r="I43" s="2691"/>
      <c r="J43" s="2691"/>
    </row>
    <row r="44" spans="1:12">
      <c r="A44" s="2691"/>
      <c r="B44" s="2691"/>
      <c r="C44" s="2691"/>
      <c r="D44" s="2691"/>
      <c r="E44" s="2691"/>
      <c r="F44" s="2691"/>
      <c r="G44" s="2691"/>
      <c r="H44" s="2691"/>
      <c r="I44" s="2691"/>
      <c r="J44" s="2691"/>
    </row>
    <row r="45" spans="1:12">
      <c r="A45" s="2691" t="s">
        <v>2257</v>
      </c>
      <c r="B45" s="2691"/>
      <c r="C45" s="2691"/>
      <c r="D45" s="2691"/>
      <c r="E45" s="2691"/>
      <c r="F45" s="2691"/>
      <c r="G45" s="2691"/>
      <c r="H45" s="2691"/>
      <c r="I45" s="2691"/>
      <c r="J45" s="2691"/>
    </row>
    <row r="46" spans="1:12">
      <c r="A46" s="2691"/>
      <c r="B46" s="2691"/>
      <c r="C46" s="2691"/>
      <c r="D46" s="2691"/>
      <c r="E46" s="2691"/>
      <c r="F46" s="2691"/>
      <c r="G46" s="2691"/>
      <c r="H46" s="2691"/>
      <c r="I46" s="2691"/>
      <c r="J46" s="2691"/>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43" workbookViewId="0">
      <selection activeCell="E17" sqref="E17"/>
    </sheetView>
  </sheetViews>
  <sheetFormatPr defaultColWidth="0" defaultRowHeight="12.75" zeroHeight="1"/>
  <cols>
    <col min="1" max="1" width="3.7109375" customWidth="1"/>
    <col min="2" max="2" width="30.42578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2093</v>
      </c>
      <c r="B1" s="211"/>
    </row>
    <row r="2" spans="1:34"/>
    <row r="3" spans="1:34" ht="15.75">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4.25">
      <c r="A4" s="219" t="s">
        <v>837</v>
      </c>
      <c r="C4" s="237">
        <v>1.0249999999999999</v>
      </c>
      <c r="E4" s="219">
        <f>Application!Y801</f>
        <v>1093147.4400000002</v>
      </c>
      <c r="G4" s="219">
        <f>E4*$C$4</f>
        <v>1120476.1260000002</v>
      </c>
      <c r="I4" s="219">
        <f>G4*$C$4</f>
        <v>1148488.0291500001</v>
      </c>
      <c r="K4" s="219">
        <f>I4*$C$4</f>
        <v>1177200.2298787499</v>
      </c>
      <c r="M4" s="219">
        <f>K4*$C$4</f>
        <v>1206630.2356257185</v>
      </c>
      <c r="O4" s="219">
        <f>M4*$C$4</f>
        <v>1236795.9915163612</v>
      </c>
      <c r="Q4" s="219">
        <f>O4*$C$4</f>
        <v>1267715.8913042701</v>
      </c>
      <c r="S4" s="219">
        <f>Q4*$C$4</f>
        <v>1299408.7885868768</v>
      </c>
      <c r="U4" s="219">
        <f>S4*$C$4</f>
        <v>1331894.0083015487</v>
      </c>
      <c r="W4" s="219">
        <f>U4*$C$4</f>
        <v>1365191.3585090872</v>
      </c>
      <c r="Y4" s="219">
        <f>W4*$C$4</f>
        <v>1399321.1424718143</v>
      </c>
      <c r="AA4" s="219">
        <f>Y4*$C$4</f>
        <v>1434304.1710336094</v>
      </c>
      <c r="AC4" s="219">
        <f>AA4*$C$4</f>
        <v>1470161.7753094495</v>
      </c>
      <c r="AE4" s="219">
        <f>AC4*$C$4</f>
        <v>1506915.8196921856</v>
      </c>
      <c r="AG4" s="219">
        <f>AE4*$C$4</f>
        <v>1544588.7151844902</v>
      </c>
    </row>
    <row r="5" spans="1:34" s="210" customFormat="1" ht="14.25">
      <c r="B5" s="210" t="s">
        <v>838</v>
      </c>
      <c r="C5" s="238">
        <f>IF(Application!$D$211="Special Needs",(((0.1*Application!$T$212)+(0.05*(1-Application!$T$212)))),0.05)</f>
        <v>0.05</v>
      </c>
      <c r="E5" s="221">
        <f>-E4*$C$5</f>
        <v>-54657.37200000001</v>
      </c>
      <c r="F5" s="221"/>
      <c r="G5" s="221">
        <f>-G4*$C$5</f>
        <v>-56023.806300000011</v>
      </c>
      <c r="H5" s="221"/>
      <c r="I5" s="221">
        <f>-I4*$C$5</f>
        <v>-57424.401457500004</v>
      </c>
      <c r="J5" s="221"/>
      <c r="K5" s="221">
        <f>-K4*$C$5</f>
        <v>-58860.011493937498</v>
      </c>
      <c r="L5" s="221"/>
      <c r="M5" s="221">
        <f>-M4*$C$5</f>
        <v>-60331.511781285924</v>
      </c>
      <c r="N5" s="221"/>
      <c r="O5" s="221">
        <f>-O4*$C$5</f>
        <v>-61839.799575818062</v>
      </c>
      <c r="P5" s="221"/>
      <c r="Q5" s="221">
        <f>-Q4*$C$5</f>
        <v>-63385.794565213509</v>
      </c>
      <c r="R5" s="221"/>
      <c r="S5" s="221">
        <f>-S4*$C$5</f>
        <v>-64970.439429343845</v>
      </c>
      <c r="T5" s="221"/>
      <c r="U5" s="221">
        <f>-U4*$C$5</f>
        <v>-66594.70041507743</v>
      </c>
      <c r="V5" s="221"/>
      <c r="W5" s="221">
        <f>-W4*$C$5</f>
        <v>-68259.567925454365</v>
      </c>
      <c r="X5" s="221"/>
      <c r="Y5" s="221">
        <f>-Y4*$C$5</f>
        <v>-69966.057123590712</v>
      </c>
      <c r="Z5" s="221"/>
      <c r="AA5" s="221">
        <f>-AA4*$C$5</f>
        <v>-71715.20855168048</v>
      </c>
      <c r="AB5" s="221"/>
      <c r="AC5" s="221">
        <f>-AC4*$C$5</f>
        <v>-73508.088765472479</v>
      </c>
      <c r="AD5" s="221"/>
      <c r="AE5" s="221">
        <f>-AE4*$C$5</f>
        <v>-75345.790984609281</v>
      </c>
      <c r="AF5" s="221"/>
      <c r="AG5" s="221">
        <f>-AG4*$C$5</f>
        <v>-77229.435759224507</v>
      </c>
    </row>
    <row r="6" spans="1:34" s="210" customFormat="1" ht="14.25">
      <c r="A6" s="210" t="s">
        <v>836</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25">
      <c r="B7" s="210" t="s">
        <v>838</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25">
      <c r="A8" s="210" t="s">
        <v>287</v>
      </c>
      <c r="C8" s="237">
        <v>1.0249999999999999</v>
      </c>
      <c r="E8" s="222">
        <f>Application!Z817</f>
        <v>4680</v>
      </c>
      <c r="F8" s="222"/>
      <c r="G8" s="222">
        <f>E8*$C$8</f>
        <v>4797</v>
      </c>
      <c r="H8" s="222"/>
      <c r="I8" s="222">
        <f>G8*$C$8</f>
        <v>4916.9249999999993</v>
      </c>
      <c r="J8" s="222"/>
      <c r="K8" s="222">
        <f>I8*$C$8</f>
        <v>5039.8481249999986</v>
      </c>
      <c r="L8" s="222"/>
      <c r="M8" s="222">
        <f>K8*$C$8</f>
        <v>5165.8443281249984</v>
      </c>
      <c r="N8" s="222"/>
      <c r="O8" s="222">
        <f>M8*$C$8</f>
        <v>5294.990436328123</v>
      </c>
      <c r="P8" s="222"/>
      <c r="Q8" s="222">
        <f>O8*$C$8</f>
        <v>5427.3651972363259</v>
      </c>
      <c r="R8" s="222"/>
      <c r="S8" s="222">
        <f>Q8*$C$8</f>
        <v>5563.049327167234</v>
      </c>
      <c r="T8" s="222"/>
      <c r="U8" s="222">
        <f>S8*$C$8</f>
        <v>5702.1255603464142</v>
      </c>
      <c r="V8" s="222"/>
      <c r="W8" s="222">
        <f>U8*$C$8</f>
        <v>5844.6786993550741</v>
      </c>
      <c r="X8" s="222"/>
      <c r="Y8" s="222">
        <f>W8*$C$8</f>
        <v>5990.7956668389506</v>
      </c>
      <c r="Z8" s="222"/>
      <c r="AA8" s="222">
        <f>Y8*$C$8</f>
        <v>6140.5655585099239</v>
      </c>
      <c r="AB8" s="222"/>
      <c r="AC8" s="222">
        <f>AA8*$C$8</f>
        <v>6294.0796974726718</v>
      </c>
      <c r="AD8" s="222"/>
      <c r="AE8" s="222">
        <f>AC8*$C$8</f>
        <v>6451.4316899094883</v>
      </c>
      <c r="AF8" s="222"/>
      <c r="AG8" s="222">
        <f>AE8*$C$8</f>
        <v>6612.7174821572253</v>
      </c>
    </row>
    <row r="9" spans="1:34" s="210" customFormat="1" ht="14.25">
      <c r="B9" s="210" t="s">
        <v>838</v>
      </c>
      <c r="C9" s="238">
        <f>IF(Application!$D$211="Special Needs",(((0.1*Application!$T$212)+(0.05*(1-Application!$T$212)))),0.05)</f>
        <v>0.05</v>
      </c>
      <c r="E9" s="221">
        <f>-E8*$C$9</f>
        <v>-234</v>
      </c>
      <c r="F9" s="221"/>
      <c r="G9" s="221">
        <f>-G8*$C$9</f>
        <v>-239.85000000000002</v>
      </c>
      <c r="H9" s="221"/>
      <c r="I9" s="221">
        <f>-I8*$C$9</f>
        <v>-245.84624999999997</v>
      </c>
      <c r="J9" s="221"/>
      <c r="K9" s="221">
        <f>-K8*$C$9</f>
        <v>-251.99240624999993</v>
      </c>
      <c r="L9" s="221"/>
      <c r="M9" s="221">
        <f>-M8*$C$9</f>
        <v>-258.29221640624991</v>
      </c>
      <c r="N9" s="221"/>
      <c r="O9" s="221">
        <f>-O8*$C$9</f>
        <v>-264.74952181640617</v>
      </c>
      <c r="P9" s="221"/>
      <c r="Q9" s="221">
        <f>-Q8*$C$9</f>
        <v>-271.36825986181628</v>
      </c>
      <c r="R9" s="221"/>
      <c r="S9" s="221">
        <f>-S8*$C$9</f>
        <v>-278.15246635836172</v>
      </c>
      <c r="T9" s="221"/>
      <c r="U9" s="221">
        <f>-U8*$C$9</f>
        <v>-285.10627801732073</v>
      </c>
      <c r="V9" s="221"/>
      <c r="W9" s="221">
        <f>-W8*$C$9</f>
        <v>-292.23393496775373</v>
      </c>
      <c r="X9" s="221"/>
      <c r="Y9" s="221">
        <f>-Y8*$C$9</f>
        <v>-299.53978334194755</v>
      </c>
      <c r="Z9" s="221"/>
      <c r="AA9" s="221">
        <f>-AA8*$C$9</f>
        <v>-307.02827792549624</v>
      </c>
      <c r="AB9" s="221"/>
      <c r="AC9" s="221">
        <f>-AC8*$C$9</f>
        <v>-314.7039848736336</v>
      </c>
      <c r="AD9" s="221"/>
      <c r="AE9" s="221">
        <f>-AE8*$C$9</f>
        <v>-322.57158449547444</v>
      </c>
      <c r="AF9" s="221"/>
      <c r="AG9" s="221">
        <f>-AG8*$C$9</f>
        <v>-330.6358741078613</v>
      </c>
    </row>
    <row r="10" spans="1:34" s="210" customFormat="1" ht="14.25">
      <c r="A10" s="1143" t="s">
        <v>2222</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859</v>
      </c>
      <c r="C11" s="216"/>
      <c r="E11" s="223">
        <f>SUM(E4:E10)</f>
        <v>1042936.0680000002</v>
      </c>
      <c r="G11" s="223">
        <f>SUM(G4:G10)</f>
        <v>1069009.4697</v>
      </c>
      <c r="I11" s="223">
        <f>SUM(I4:I10)</f>
        <v>1095734.7064425002</v>
      </c>
      <c r="K11" s="223">
        <f>SUM(K4:K10)</f>
        <v>1123128.0741035624</v>
      </c>
      <c r="M11" s="223">
        <f>SUM(M4:M10)</f>
        <v>1151206.2759561513</v>
      </c>
      <c r="O11" s="223">
        <f>SUM(O4:O10)</f>
        <v>1179986.432855055</v>
      </c>
      <c r="Q11" s="223">
        <f>SUM(Q4:Q10)</f>
        <v>1209486.0936764311</v>
      </c>
      <c r="S11" s="223">
        <f>SUM(S4:S10)</f>
        <v>1239723.2460183417</v>
      </c>
      <c r="U11" s="223">
        <f>SUM(U4:U10)</f>
        <v>1270716.3271688004</v>
      </c>
      <c r="W11" s="223">
        <f>SUM(W4:W10)</f>
        <v>1302484.2353480202</v>
      </c>
      <c r="Y11" s="223">
        <f>SUM(Y4:Y10)</f>
        <v>1335046.3412317205</v>
      </c>
      <c r="AA11" s="223">
        <f>SUM(AA4:AA10)</f>
        <v>1368422.4997625134</v>
      </c>
      <c r="AC11" s="223">
        <f>SUM(AC4:AC10)</f>
        <v>1402633.0622565763</v>
      </c>
      <c r="AE11" s="223">
        <f>SUM(AE4:AE10)</f>
        <v>1437698.8888129904</v>
      </c>
      <c r="AG11" s="223">
        <f>SUM(AG4:AG10)</f>
        <v>1473641.3610333151</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841</v>
      </c>
      <c r="C15" s="176"/>
      <c r="E15" s="219">
        <f>Application!W847</f>
        <v>46530</v>
      </c>
      <c r="G15" s="219">
        <f>E15*$C$14</f>
        <v>48158.549999999996</v>
      </c>
      <c r="I15" s="219">
        <f>G15*$C$14</f>
        <v>49844.099249999992</v>
      </c>
      <c r="K15" s="219">
        <f>I15*$C$14</f>
        <v>51588.642723749988</v>
      </c>
      <c r="M15" s="219">
        <f>K15*$C$14</f>
        <v>53394.245219081233</v>
      </c>
      <c r="O15" s="219">
        <f>M15*$C$14</f>
        <v>55263.043801749074</v>
      </c>
      <c r="Q15" s="219">
        <f>O15*$C$14</f>
        <v>57197.250334810291</v>
      </c>
      <c r="S15" s="219">
        <f>Q15*$C$14</f>
        <v>59199.154096528648</v>
      </c>
      <c r="U15" s="219">
        <f>S15*$C$14</f>
        <v>61271.124489907146</v>
      </c>
      <c r="W15" s="219">
        <f>U15*$C$14</f>
        <v>63415.613847053894</v>
      </c>
      <c r="Y15" s="219">
        <f>W15*$C$14</f>
        <v>65635.160331700768</v>
      </c>
      <c r="AA15" s="219">
        <f>Y15*$C$14</f>
        <v>67932.390943310296</v>
      </c>
      <c r="AC15" s="219">
        <f>AA15*$C$14</f>
        <v>70310.024626326151</v>
      </c>
      <c r="AE15" s="219">
        <f>AC15*$C$14</f>
        <v>72770.875488247562</v>
      </c>
      <c r="AG15" s="219">
        <f>AE15*$C$14</f>
        <v>75317.856130336222</v>
      </c>
    </row>
    <row r="16" spans="1:34" s="210" customFormat="1" ht="14.25">
      <c r="A16" s="210" t="s">
        <v>343</v>
      </c>
      <c r="C16" s="233"/>
      <c r="E16" s="222">
        <f>Application!W849</f>
        <v>59760</v>
      </c>
      <c r="F16" s="222"/>
      <c r="G16" s="222">
        <f t="shared" ref="G16:AG21" si="0">E16*$C$14</f>
        <v>61851.6</v>
      </c>
      <c r="H16" s="222"/>
      <c r="I16" s="222">
        <f t="shared" si="0"/>
        <v>64016.405999999995</v>
      </c>
      <c r="J16" s="222"/>
      <c r="K16" s="222">
        <f t="shared" si="0"/>
        <v>66256.980209999994</v>
      </c>
      <c r="L16" s="222"/>
      <c r="M16" s="222">
        <f t="shared" si="0"/>
        <v>68575.974517349983</v>
      </c>
      <c r="N16" s="222"/>
      <c r="O16" s="222">
        <f t="shared" si="0"/>
        <v>70976.133625457223</v>
      </c>
      <c r="P16" s="222"/>
      <c r="Q16" s="222">
        <f t="shared" si="0"/>
        <v>73460.298302348223</v>
      </c>
      <c r="R16" s="222"/>
      <c r="S16" s="222">
        <f t="shared" si="0"/>
        <v>76031.408742930405</v>
      </c>
      <c r="T16" s="222"/>
      <c r="U16" s="222">
        <f t="shared" si="0"/>
        <v>78692.50804893297</v>
      </c>
      <c r="V16" s="222"/>
      <c r="W16" s="222">
        <f t="shared" si="0"/>
        <v>81446.745830645625</v>
      </c>
      <c r="X16" s="222"/>
      <c r="Y16" s="222">
        <f t="shared" si="0"/>
        <v>84297.381934718214</v>
      </c>
      <c r="Z16" s="222"/>
      <c r="AA16" s="222">
        <f t="shared" si="0"/>
        <v>87247.79030243335</v>
      </c>
      <c r="AB16" s="222"/>
      <c r="AC16" s="222">
        <f t="shared" si="0"/>
        <v>90301.462963018508</v>
      </c>
      <c r="AD16" s="222"/>
      <c r="AE16" s="222">
        <f t="shared" si="0"/>
        <v>93462.014166724155</v>
      </c>
      <c r="AF16" s="222"/>
      <c r="AG16" s="222">
        <f t="shared" si="0"/>
        <v>96733.184662559492</v>
      </c>
    </row>
    <row r="17" spans="1:33" s="210" customFormat="1" ht="14.25">
      <c r="A17" s="210" t="s">
        <v>561</v>
      </c>
      <c r="C17" s="233"/>
      <c r="E17" s="222">
        <f>Application!W855</f>
        <v>78000</v>
      </c>
      <c r="F17" s="222"/>
      <c r="G17" s="222">
        <f t="shared" si="0"/>
        <v>80730</v>
      </c>
      <c r="H17" s="222"/>
      <c r="I17" s="222">
        <f t="shared" si="0"/>
        <v>83555.549999999988</v>
      </c>
      <c r="J17" s="222"/>
      <c r="K17" s="222">
        <f t="shared" si="0"/>
        <v>86479.994249999974</v>
      </c>
      <c r="L17" s="222"/>
      <c r="M17" s="222">
        <f t="shared" si="0"/>
        <v>89506.794048749973</v>
      </c>
      <c r="N17" s="222"/>
      <c r="O17" s="222">
        <f t="shared" si="0"/>
        <v>92639.531840456213</v>
      </c>
      <c r="P17" s="222"/>
      <c r="Q17" s="222">
        <f t="shared" si="0"/>
        <v>95881.915454872171</v>
      </c>
      <c r="R17" s="222"/>
      <c r="S17" s="222">
        <f t="shared" si="0"/>
        <v>99237.782495792693</v>
      </c>
      <c r="T17" s="222"/>
      <c r="U17" s="222">
        <f t="shared" si="0"/>
        <v>102711.10488314542</v>
      </c>
      <c r="V17" s="222"/>
      <c r="W17" s="222">
        <f t="shared" si="0"/>
        <v>106305.9935540555</v>
      </c>
      <c r="X17" s="222"/>
      <c r="Y17" s="222">
        <f t="shared" si="0"/>
        <v>110026.70332844743</v>
      </c>
      <c r="Z17" s="222"/>
      <c r="AA17" s="222">
        <f t="shared" si="0"/>
        <v>113877.63794494308</v>
      </c>
      <c r="AB17" s="222"/>
      <c r="AC17" s="222">
        <f t="shared" si="0"/>
        <v>117863.35527301609</v>
      </c>
      <c r="AD17" s="222"/>
      <c r="AE17" s="222">
        <f t="shared" si="0"/>
        <v>121988.57270757164</v>
      </c>
      <c r="AF17" s="222"/>
      <c r="AG17" s="222">
        <f t="shared" si="0"/>
        <v>126258.17275233664</v>
      </c>
    </row>
    <row r="18" spans="1:33" s="210" customFormat="1" ht="14.25">
      <c r="A18" s="210" t="s">
        <v>842</v>
      </c>
      <c r="C18" s="233"/>
      <c r="E18" s="222">
        <f>Application!W862</f>
        <v>181608</v>
      </c>
      <c r="F18" s="222"/>
      <c r="G18" s="222">
        <f t="shared" si="0"/>
        <v>187964.28</v>
      </c>
      <c r="H18" s="222"/>
      <c r="I18" s="222">
        <f t="shared" si="0"/>
        <v>194543.02979999999</v>
      </c>
      <c r="J18" s="222"/>
      <c r="K18" s="222">
        <f t="shared" si="0"/>
        <v>201352.03584299996</v>
      </c>
      <c r="L18" s="222"/>
      <c r="M18" s="222">
        <f t="shared" si="0"/>
        <v>208399.35709750495</v>
      </c>
      <c r="N18" s="222"/>
      <c r="O18" s="222">
        <f t="shared" si="0"/>
        <v>215693.33459591761</v>
      </c>
      <c r="P18" s="222"/>
      <c r="Q18" s="222">
        <f t="shared" si="0"/>
        <v>223242.60130677471</v>
      </c>
      <c r="R18" s="222"/>
      <c r="S18" s="222">
        <f t="shared" si="0"/>
        <v>231056.0923525118</v>
      </c>
      <c r="T18" s="222"/>
      <c r="U18" s="222">
        <f t="shared" si="0"/>
        <v>239143.0555848497</v>
      </c>
      <c r="V18" s="222"/>
      <c r="W18" s="222">
        <f t="shared" si="0"/>
        <v>247513.06253031941</v>
      </c>
      <c r="X18" s="222"/>
      <c r="Y18" s="222">
        <f t="shared" si="0"/>
        <v>256176.01971888056</v>
      </c>
      <c r="Z18" s="222"/>
      <c r="AA18" s="222">
        <f t="shared" si="0"/>
        <v>265142.18040904135</v>
      </c>
      <c r="AB18" s="222"/>
      <c r="AC18" s="222">
        <f t="shared" si="0"/>
        <v>274422.1567233578</v>
      </c>
      <c r="AD18" s="222"/>
      <c r="AE18" s="222">
        <f t="shared" si="0"/>
        <v>284026.93220867531</v>
      </c>
      <c r="AF18" s="222"/>
      <c r="AG18" s="222">
        <f t="shared" si="0"/>
        <v>293967.8748359789</v>
      </c>
    </row>
    <row r="19" spans="1:33" s="210" customFormat="1" ht="14.25">
      <c r="A19" s="210" t="s">
        <v>155</v>
      </c>
      <c r="C19" s="233"/>
      <c r="E19" s="222">
        <f>Application!W863</f>
        <v>48015</v>
      </c>
      <c r="F19" s="222"/>
      <c r="G19" s="222">
        <f t="shared" si="0"/>
        <v>49695.524999999994</v>
      </c>
      <c r="H19" s="222"/>
      <c r="I19" s="222">
        <f t="shared" si="0"/>
        <v>51434.868374999991</v>
      </c>
      <c r="J19" s="222"/>
      <c r="K19" s="222">
        <f t="shared" si="0"/>
        <v>53235.088768124988</v>
      </c>
      <c r="L19" s="222"/>
      <c r="M19" s="222">
        <f t="shared" si="0"/>
        <v>55098.316875009361</v>
      </c>
      <c r="N19" s="222"/>
      <c r="O19" s="222">
        <f t="shared" si="0"/>
        <v>57026.757965634686</v>
      </c>
      <c r="P19" s="222"/>
      <c r="Q19" s="222">
        <f t="shared" si="0"/>
        <v>59022.694494431897</v>
      </c>
      <c r="R19" s="222"/>
      <c r="S19" s="222">
        <f t="shared" si="0"/>
        <v>61088.48880173701</v>
      </c>
      <c r="T19" s="222"/>
      <c r="U19" s="222">
        <f t="shared" si="0"/>
        <v>63226.585909797803</v>
      </c>
      <c r="V19" s="222"/>
      <c r="W19" s="222">
        <f t="shared" si="0"/>
        <v>65439.516416640719</v>
      </c>
      <c r="X19" s="222"/>
      <c r="Y19" s="222">
        <f t="shared" si="0"/>
        <v>67729.899491223143</v>
      </c>
      <c r="Z19" s="222"/>
      <c r="AA19" s="222">
        <f t="shared" si="0"/>
        <v>70100.445973415946</v>
      </c>
      <c r="AB19" s="222"/>
      <c r="AC19" s="222">
        <f t="shared" si="0"/>
        <v>72553.961582485499</v>
      </c>
      <c r="AD19" s="222"/>
      <c r="AE19" s="222">
        <f t="shared" si="0"/>
        <v>75093.350237872481</v>
      </c>
      <c r="AF19" s="222"/>
      <c r="AG19" s="222">
        <f t="shared" si="0"/>
        <v>77721.617496198014</v>
      </c>
    </row>
    <row r="20" spans="1:33" s="210" customFormat="1" ht="14.25">
      <c r="A20" s="210" t="s">
        <v>389</v>
      </c>
      <c r="C20" s="233"/>
      <c r="E20" s="222">
        <f>Application!W872</f>
        <v>66697</v>
      </c>
      <c r="F20" s="222"/>
      <c r="G20" s="222">
        <f t="shared" si="0"/>
        <v>69031.39499999999</v>
      </c>
      <c r="H20" s="222"/>
      <c r="I20" s="222">
        <f t="shared" si="0"/>
        <v>71447.493824999983</v>
      </c>
      <c r="J20" s="222"/>
      <c r="K20" s="222">
        <f t="shared" si="0"/>
        <v>73948.156108874973</v>
      </c>
      <c r="L20" s="222"/>
      <c r="M20" s="222">
        <f t="shared" si="0"/>
        <v>76536.341572685589</v>
      </c>
      <c r="N20" s="222"/>
      <c r="O20" s="222">
        <f t="shared" si="0"/>
        <v>79215.113527729583</v>
      </c>
      <c r="P20" s="222"/>
      <c r="Q20" s="222">
        <f t="shared" si="0"/>
        <v>81987.642501200113</v>
      </c>
      <c r="R20" s="222"/>
      <c r="S20" s="222">
        <f t="shared" si="0"/>
        <v>84857.209988742106</v>
      </c>
      <c r="T20" s="222"/>
      <c r="U20" s="222">
        <f t="shared" si="0"/>
        <v>87827.212338348079</v>
      </c>
      <c r="V20" s="222"/>
      <c r="W20" s="222">
        <f t="shared" si="0"/>
        <v>90901.164770190255</v>
      </c>
      <c r="X20" s="222"/>
      <c r="Y20" s="222">
        <f t="shared" si="0"/>
        <v>94082.705537146903</v>
      </c>
      <c r="Z20" s="222"/>
      <c r="AA20" s="222">
        <f t="shared" si="0"/>
        <v>97375.600230947035</v>
      </c>
      <c r="AB20" s="222"/>
      <c r="AC20" s="222">
        <f t="shared" si="0"/>
        <v>100783.74623903018</v>
      </c>
      <c r="AD20" s="222"/>
      <c r="AE20" s="222">
        <f t="shared" si="0"/>
        <v>104311.17735739623</v>
      </c>
      <c r="AF20" s="222"/>
      <c r="AG20" s="222">
        <f t="shared" si="0"/>
        <v>107962.06856490509</v>
      </c>
    </row>
    <row r="21" spans="1:33" s="210" customFormat="1" ht="14.25">
      <c r="A21" s="226" t="s">
        <v>962</v>
      </c>
      <c r="B21" s="226"/>
      <c r="C21" s="233"/>
      <c r="E21" s="232">
        <f>Application!W879</f>
        <v>5000</v>
      </c>
      <c r="F21" s="222"/>
      <c r="G21" s="232">
        <f t="shared" si="0"/>
        <v>5175</v>
      </c>
      <c r="H21" s="222"/>
      <c r="I21" s="232">
        <f t="shared" si="0"/>
        <v>5356.125</v>
      </c>
      <c r="J21" s="222"/>
      <c r="K21" s="232">
        <f t="shared" si="0"/>
        <v>5543.5893749999996</v>
      </c>
      <c r="L21" s="222"/>
      <c r="M21" s="232">
        <f t="shared" si="0"/>
        <v>5737.615003124999</v>
      </c>
      <c r="N21" s="222"/>
      <c r="O21" s="232">
        <f t="shared" si="0"/>
        <v>5938.4315282343732</v>
      </c>
      <c r="P21" s="222"/>
      <c r="Q21" s="232">
        <f t="shared" si="0"/>
        <v>6146.276631722576</v>
      </c>
      <c r="R21" s="222"/>
      <c r="S21" s="232">
        <f t="shared" si="0"/>
        <v>6361.3963138328654</v>
      </c>
      <c r="T21" s="222"/>
      <c r="U21" s="232">
        <f t="shared" si="0"/>
        <v>6584.0451848170151</v>
      </c>
      <c r="V21" s="222"/>
      <c r="W21" s="232">
        <f t="shared" si="0"/>
        <v>6814.4867662856104</v>
      </c>
      <c r="X21" s="222"/>
      <c r="Y21" s="232">
        <f t="shared" si="0"/>
        <v>7052.9938031056063</v>
      </c>
      <c r="Z21" s="222"/>
      <c r="AA21" s="232">
        <f t="shared" si="0"/>
        <v>7299.8485862143016</v>
      </c>
      <c r="AB21" s="222"/>
      <c r="AC21" s="232">
        <f t="shared" si="0"/>
        <v>7555.3432867318015</v>
      </c>
      <c r="AD21" s="222"/>
      <c r="AE21" s="232">
        <f t="shared" si="0"/>
        <v>7819.7803017674141</v>
      </c>
      <c r="AF21" s="222"/>
      <c r="AG21" s="232">
        <f t="shared" si="0"/>
        <v>8093.472612329273</v>
      </c>
    </row>
    <row r="22" spans="1:33" s="223" customFormat="1" ht="15">
      <c r="A22" s="223" t="s">
        <v>843</v>
      </c>
      <c r="C22" s="233"/>
      <c r="E22" s="223">
        <f>SUM(E15:E21)</f>
        <v>485610</v>
      </c>
      <c r="G22" s="223">
        <f>SUM(G15:G21)</f>
        <v>502606.35</v>
      </c>
      <c r="I22" s="223">
        <f>SUM(I15:I21)</f>
        <v>520197.57224999997</v>
      </c>
      <c r="K22" s="223">
        <f>SUM(K15:K21)</f>
        <v>538404.48727874993</v>
      </c>
      <c r="M22" s="223">
        <f>SUM(M15:M21)</f>
        <v>557248.64433350612</v>
      </c>
      <c r="O22" s="223">
        <f>SUM(O15:O21)</f>
        <v>576752.3468851787</v>
      </c>
      <c r="Q22" s="223">
        <f>SUM(Q15:Q21)</f>
        <v>596938.67902616004</v>
      </c>
      <c r="S22" s="223">
        <f>SUM(S15:S21)</f>
        <v>617831.53279207554</v>
      </c>
      <c r="U22" s="223">
        <f>SUM(U15:U21)</f>
        <v>639455.63643979817</v>
      </c>
      <c r="W22" s="223">
        <f>SUM(W15:W21)</f>
        <v>661836.58371519099</v>
      </c>
      <c r="Y22" s="223">
        <f>SUM(Y15:Y21)</f>
        <v>685000.86414522259</v>
      </c>
      <c r="AA22" s="223">
        <f>SUM(AA15:AA21)</f>
        <v>708975.89439030539</v>
      </c>
      <c r="AC22" s="223">
        <f>SUM(AC15:AC21)</f>
        <v>733790.05069396598</v>
      </c>
      <c r="AE22" s="223">
        <f>SUM(AE15:AE21)</f>
        <v>759472.70246825472</v>
      </c>
      <c r="AG22" s="223">
        <f>SUM(AG15:AG21)</f>
        <v>786054.2470546437</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1682</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1159</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845</v>
      </c>
      <c r="C27" s="237">
        <v>1.0349999999999999</v>
      </c>
      <c r="E27" s="222">
        <f>Application!AC888</f>
        <v>36266</v>
      </c>
      <c r="F27" s="222"/>
      <c r="G27" s="222">
        <f>E27*$C$27</f>
        <v>37535.31</v>
      </c>
      <c r="H27" s="222"/>
      <c r="I27" s="222">
        <f>G27*$C$27</f>
        <v>38849.045849999995</v>
      </c>
      <c r="J27" s="222"/>
      <c r="K27" s="222">
        <f>I27*$C$27</f>
        <v>40208.762454749995</v>
      </c>
      <c r="L27" s="222"/>
      <c r="M27" s="222">
        <f>K27*$C$27</f>
        <v>41616.069140666244</v>
      </c>
      <c r="N27" s="222"/>
      <c r="O27" s="222">
        <f>M27*$C$27</f>
        <v>43072.631560589558</v>
      </c>
      <c r="P27" s="222"/>
      <c r="Q27" s="222">
        <f>O27*$C$27</f>
        <v>44580.17366521019</v>
      </c>
      <c r="R27" s="222"/>
      <c r="S27" s="222">
        <f>Q27*$C$27</f>
        <v>46140.479743492542</v>
      </c>
      <c r="T27" s="222"/>
      <c r="U27" s="222">
        <f>S27*$C$27</f>
        <v>47755.396534514781</v>
      </c>
      <c r="V27" s="222"/>
      <c r="W27" s="222">
        <f>U27*$C$27</f>
        <v>49426.835413222798</v>
      </c>
      <c r="X27" s="222"/>
      <c r="Y27" s="222">
        <f>W27*$C$27</f>
        <v>51156.774652685592</v>
      </c>
      <c r="Z27" s="222"/>
      <c r="AA27" s="222">
        <f>Y27*$C$27</f>
        <v>52947.261765529583</v>
      </c>
      <c r="AB27" s="222"/>
      <c r="AC27" s="222">
        <f>AA27*$C$27</f>
        <v>54800.415927323113</v>
      </c>
      <c r="AD27" s="222"/>
      <c r="AE27" s="222">
        <f>AC27*$C$27</f>
        <v>56718.430484779419</v>
      </c>
      <c r="AF27" s="222"/>
      <c r="AG27" s="222">
        <f>AE27*$C$27</f>
        <v>58703.575551746697</v>
      </c>
    </row>
    <row r="28" spans="1:33" s="210" customFormat="1" ht="14.25">
      <c r="A28" s="210" t="s">
        <v>846</v>
      </c>
      <c r="C28" s="237"/>
      <c r="E28" s="222">
        <f>Application!AC889</f>
        <v>30000</v>
      </c>
      <c r="F28" s="222"/>
      <c r="G28" s="222">
        <f>$E$28</f>
        <v>30000</v>
      </c>
      <c r="H28" s="222"/>
      <c r="I28" s="222">
        <f>$E$28</f>
        <v>30000</v>
      </c>
      <c r="J28" s="222"/>
      <c r="K28" s="222">
        <f>$E$28</f>
        <v>30000</v>
      </c>
      <c r="L28" s="222"/>
      <c r="M28" s="222">
        <f>$E$28</f>
        <v>30000</v>
      </c>
      <c r="N28" s="222"/>
      <c r="O28" s="222">
        <f>$E$28</f>
        <v>30000</v>
      </c>
      <c r="P28" s="222"/>
      <c r="Q28" s="222">
        <f>$E$28</f>
        <v>30000</v>
      </c>
      <c r="R28" s="222"/>
      <c r="S28" s="222">
        <f>$E$28</f>
        <v>30000</v>
      </c>
      <c r="T28" s="222"/>
      <c r="U28" s="222">
        <f>$E$28</f>
        <v>30000</v>
      </c>
      <c r="V28" s="222"/>
      <c r="W28" s="222">
        <f>$E$28</f>
        <v>30000</v>
      </c>
      <c r="X28" s="222"/>
      <c r="Y28" s="222">
        <f>$E$28</f>
        <v>30000</v>
      </c>
      <c r="Z28" s="222"/>
      <c r="AA28" s="222">
        <f>$E$28</f>
        <v>30000</v>
      </c>
      <c r="AB28" s="222"/>
      <c r="AC28" s="222">
        <f>$E$28</f>
        <v>30000</v>
      </c>
      <c r="AD28" s="222"/>
      <c r="AE28" s="222">
        <f>$E$28</f>
        <v>30000</v>
      </c>
      <c r="AF28" s="222"/>
      <c r="AG28" s="222">
        <f>$E$28</f>
        <v>30000</v>
      </c>
    </row>
    <row r="29" spans="1:33" s="210" customFormat="1" ht="14.25">
      <c r="A29" s="210" t="s">
        <v>1680</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25">
      <c r="A30" s="210" t="s">
        <v>844</v>
      </c>
      <c r="C30" s="237">
        <v>1.02</v>
      </c>
      <c r="E30" s="222">
        <f>Application!AC891</f>
        <v>9279</v>
      </c>
      <c r="F30" s="222"/>
      <c r="G30" s="222">
        <f>E30*$C$30</f>
        <v>9464.58</v>
      </c>
      <c r="H30" s="222"/>
      <c r="I30" s="222">
        <f>G30*$C$30</f>
        <v>9653.8716000000004</v>
      </c>
      <c r="J30" s="222"/>
      <c r="K30" s="222">
        <f>I30*$C$30</f>
        <v>9846.9490320000004</v>
      </c>
      <c r="L30" s="222"/>
      <c r="M30" s="222">
        <f>K30*$C$30</f>
        <v>10043.88801264</v>
      </c>
      <c r="N30" s="222"/>
      <c r="O30" s="222">
        <f>M30*$C$30</f>
        <v>10244.765772892801</v>
      </c>
      <c r="P30" s="222"/>
      <c r="Q30" s="222">
        <f>O30*$C$30</f>
        <v>10449.661088350656</v>
      </c>
      <c r="R30" s="222"/>
      <c r="S30" s="222">
        <f>Q30*$C$30</f>
        <v>10658.65431011767</v>
      </c>
      <c r="T30" s="222"/>
      <c r="U30" s="222">
        <f>S30*$C$30</f>
        <v>10871.827396320024</v>
      </c>
      <c r="V30" s="222"/>
      <c r="W30" s="222">
        <f>U30*$C$30</f>
        <v>11089.263944246426</v>
      </c>
      <c r="X30" s="222"/>
      <c r="Y30" s="222">
        <f>W30*$C$30</f>
        <v>11311.049223131355</v>
      </c>
      <c r="Z30" s="222"/>
      <c r="AA30" s="222">
        <f>Y30*$C$30</f>
        <v>11537.270207593981</v>
      </c>
      <c r="AB30" s="222"/>
      <c r="AC30" s="222">
        <f>AA30*$C$30</f>
        <v>11768.015611745861</v>
      </c>
      <c r="AD30" s="222"/>
      <c r="AE30" s="222">
        <f>AC30*$C$30</f>
        <v>12003.375923980779</v>
      </c>
      <c r="AF30" s="222"/>
      <c r="AG30" s="222">
        <f>AE30*$C$30</f>
        <v>12243.443442460395</v>
      </c>
    </row>
    <row r="31" spans="1:33" s="210" customFormat="1" ht="14.25">
      <c r="A31" s="210" t="s">
        <v>1681</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(Specify): Issuer and trustee fees</v>
      </c>
      <c r="C32" s="316">
        <v>1</v>
      </c>
      <c r="E32" s="222">
        <f>Application!AC894</f>
        <v>7000</v>
      </c>
      <c r="F32" s="222"/>
      <c r="G32" s="222">
        <f>E32*$C$32</f>
        <v>7000</v>
      </c>
      <c r="H32" s="222"/>
      <c r="I32" s="222">
        <f>G32*$C$32</f>
        <v>7000</v>
      </c>
      <c r="J32" s="222"/>
      <c r="K32" s="222">
        <f>I32*$C$32</f>
        <v>7000</v>
      </c>
      <c r="L32" s="222"/>
      <c r="M32" s="222">
        <f>K32*$C$32</f>
        <v>7000</v>
      </c>
      <c r="N32" s="222"/>
      <c r="O32" s="222">
        <f>M32*$C$32</f>
        <v>7000</v>
      </c>
      <c r="P32" s="222"/>
      <c r="Q32" s="222">
        <f>O32*$C$32</f>
        <v>7000</v>
      </c>
      <c r="R32" s="222"/>
      <c r="S32" s="222">
        <f>Q32*$C$32</f>
        <v>7000</v>
      </c>
      <c r="T32" s="222"/>
      <c r="U32" s="222">
        <f>S32*$C$32</f>
        <v>7000</v>
      </c>
      <c r="V32" s="222"/>
      <c r="W32" s="222">
        <f>U32*$C$32</f>
        <v>7000</v>
      </c>
      <c r="X32" s="222"/>
      <c r="Y32" s="222">
        <f>W32*$C$32</f>
        <v>7000</v>
      </c>
      <c r="Z32" s="222"/>
      <c r="AA32" s="222">
        <f>Y32*$C$32</f>
        <v>7000</v>
      </c>
      <c r="AB32" s="222"/>
      <c r="AC32" s="222">
        <f>AA32*$C$32</f>
        <v>7000</v>
      </c>
      <c r="AD32" s="222"/>
      <c r="AE32" s="222">
        <f>AC32*$C$32</f>
        <v>7000</v>
      </c>
      <c r="AF32" s="222"/>
      <c r="AG32" s="222">
        <f>AE32*$C$32</f>
        <v>7000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177</v>
      </c>
      <c r="C35" s="224"/>
      <c r="E35" s="223">
        <f>SUM(E22:E33)</f>
        <v>568155</v>
      </c>
      <c r="G35" s="223">
        <f>SUM(G22:G33)</f>
        <v>586606.23999999987</v>
      </c>
      <c r="I35" s="223">
        <f>SUM(I22:I33)</f>
        <v>605700.48969999992</v>
      </c>
      <c r="K35" s="223">
        <f>SUM(K22:K33)</f>
        <v>625460.19876549998</v>
      </c>
      <c r="M35" s="223">
        <f>SUM(M22:M33)</f>
        <v>645908.60148681235</v>
      </c>
      <c r="O35" s="223">
        <f>SUM(O22:O33)</f>
        <v>667069.74421866098</v>
      </c>
      <c r="Q35" s="223">
        <f>SUM(Q22:Q33)</f>
        <v>688968.51377972087</v>
      </c>
      <c r="S35" s="223">
        <f>SUM(S22:S33)</f>
        <v>711630.6668456858</v>
      </c>
      <c r="U35" s="223">
        <f>SUM(U22:U33)</f>
        <v>735082.86037063296</v>
      </c>
      <c r="W35" s="223">
        <f>SUM(W22:W33)</f>
        <v>759352.68307266023</v>
      </c>
      <c r="Y35" s="223">
        <f>SUM(Y22:Y33)</f>
        <v>784468.68802103959</v>
      </c>
      <c r="AA35" s="223">
        <f>SUM(AA22:AA33)</f>
        <v>810460.42636342905</v>
      </c>
      <c r="AC35" s="223">
        <f>SUM(AC22:AC33)</f>
        <v>837358.48223303503</v>
      </c>
      <c r="AE35" s="223">
        <f>SUM(AE22:AE33)</f>
        <v>865194.50887701486</v>
      </c>
      <c r="AG35" s="223">
        <f>SUM(AG22:AG33)</f>
        <v>894001.26604885072</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847</v>
      </c>
      <c r="C37" s="224"/>
      <c r="E37" s="223">
        <f>E11-E35</f>
        <v>474781.0680000002</v>
      </c>
      <c r="G37" s="223">
        <f>G11-G35</f>
        <v>482403.22970000014</v>
      </c>
      <c r="I37" s="223">
        <f>I11-I35</f>
        <v>490034.21674250031</v>
      </c>
      <c r="K37" s="223">
        <f>K11-K35</f>
        <v>497667.87533806241</v>
      </c>
      <c r="M37" s="223">
        <f>M11-M35</f>
        <v>505297.67446933896</v>
      </c>
      <c r="O37" s="223">
        <f>O11-O35</f>
        <v>512916.68863639398</v>
      </c>
      <c r="Q37" s="223">
        <f>Q11-Q35</f>
        <v>520517.57989671023</v>
      </c>
      <c r="S37" s="223">
        <f>S11-S35</f>
        <v>528092.57917265594</v>
      </c>
      <c r="U37" s="223">
        <f>U11-U35</f>
        <v>535633.46679816744</v>
      </c>
      <c r="W37" s="223">
        <f>W11-W35</f>
        <v>543131.55227535998</v>
      </c>
      <c r="Y37" s="223">
        <f>Y11-Y35</f>
        <v>550577.65321068093</v>
      </c>
      <c r="AA37" s="223">
        <f>AA11-AA35</f>
        <v>557962.07339908439</v>
      </c>
      <c r="AC37" s="223">
        <f>AC11-AC35</f>
        <v>565274.58002354123</v>
      </c>
      <c r="AE37" s="223">
        <f>AE11-AE35</f>
        <v>572504.37993597554</v>
      </c>
      <c r="AG37" s="223">
        <f>AG11-AG35</f>
        <v>579640.09498446435</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Chase Bank</v>
      </c>
      <c r="B40" s="226"/>
      <c r="C40" s="220"/>
      <c r="E40" s="222">
        <f>Application!AF627</f>
        <v>347134</v>
      </c>
      <c r="F40" s="222"/>
      <c r="G40" s="222">
        <f>$E$40</f>
        <v>347134</v>
      </c>
      <c r="H40" s="222"/>
      <c r="I40" s="222">
        <f>$E$40</f>
        <v>347134</v>
      </c>
      <c r="J40" s="222"/>
      <c r="K40" s="222">
        <f>$E$40</f>
        <v>347134</v>
      </c>
      <c r="L40" s="222"/>
      <c r="M40" s="222">
        <f>$E$40</f>
        <v>347134</v>
      </c>
      <c r="N40" s="222"/>
      <c r="O40" s="222">
        <f>$E$40</f>
        <v>347134</v>
      </c>
      <c r="P40" s="222"/>
      <c r="Q40" s="222">
        <f>$E$40</f>
        <v>347134</v>
      </c>
      <c r="R40" s="222"/>
      <c r="S40" s="222">
        <f>$E$40</f>
        <v>347134</v>
      </c>
      <c r="T40" s="222"/>
      <c r="U40" s="222">
        <f>$E$40</f>
        <v>347134</v>
      </c>
      <c r="V40" s="222"/>
      <c r="W40" s="222">
        <f>$E$40</f>
        <v>347134</v>
      </c>
      <c r="X40" s="222"/>
      <c r="Y40" s="222">
        <f>$E$40</f>
        <v>347134</v>
      </c>
      <c r="Z40" s="222"/>
      <c r="AA40" s="222">
        <f>$E$40</f>
        <v>347134</v>
      </c>
      <c r="AB40" s="222"/>
      <c r="AC40" s="222">
        <f>$E$40</f>
        <v>347134</v>
      </c>
      <c r="AD40" s="222"/>
      <c r="AE40" s="222">
        <f>$E$40</f>
        <v>347134</v>
      </c>
      <c r="AF40" s="222"/>
      <c r="AG40" s="222">
        <f>$E$40</f>
        <v>347134</v>
      </c>
    </row>
    <row r="41" spans="1:33" s="210" customFormat="1" ht="14.25">
      <c r="A41" s="225" t="s">
        <v>2732</v>
      </c>
      <c r="B41" s="226"/>
      <c r="C41" s="220"/>
      <c r="E41" s="222">
        <v>64784</v>
      </c>
      <c r="F41" s="222"/>
      <c r="G41" s="222">
        <f>$E$41</f>
        <v>64784</v>
      </c>
      <c r="H41" s="222"/>
      <c r="I41" s="222">
        <f>$E$41</f>
        <v>64784</v>
      </c>
      <c r="J41" s="222"/>
      <c r="K41" s="222">
        <f>$E$41</f>
        <v>64784</v>
      </c>
      <c r="L41" s="222"/>
      <c r="M41" s="222">
        <f>$E$41</f>
        <v>64784</v>
      </c>
      <c r="N41" s="222"/>
      <c r="O41" s="222">
        <f>$E$41</f>
        <v>64784</v>
      </c>
      <c r="P41" s="222"/>
      <c r="Q41" s="222">
        <f>$E$41</f>
        <v>64784</v>
      </c>
      <c r="R41" s="222"/>
      <c r="S41" s="222">
        <f>$E$41</f>
        <v>64784</v>
      </c>
      <c r="T41" s="222"/>
      <c r="U41" s="222">
        <f>$E$41</f>
        <v>64784</v>
      </c>
      <c r="V41" s="222"/>
      <c r="W41" s="222">
        <f>$E$41</f>
        <v>64784</v>
      </c>
      <c r="X41" s="222"/>
      <c r="Y41" s="222">
        <f>$E$41</f>
        <v>64784</v>
      </c>
      <c r="Z41" s="222"/>
      <c r="AA41" s="222">
        <f>$E$41</f>
        <v>64784</v>
      </c>
      <c r="AB41" s="222"/>
      <c r="AC41" s="222">
        <f>$E$41</f>
        <v>64784</v>
      </c>
      <c r="AD41" s="222"/>
      <c r="AE41" s="222">
        <f>$E$41</f>
        <v>64784</v>
      </c>
      <c r="AF41" s="222"/>
      <c r="AG41" s="222">
        <f>$E$41</f>
        <v>64784</v>
      </c>
    </row>
    <row r="42" spans="1:33" s="210" customFormat="1" ht="14.25">
      <c r="A42" s="225"/>
      <c r="B42" s="226"/>
      <c r="C42" s="220"/>
      <c r="E42" s="232">
        <v>0</v>
      </c>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848</v>
      </c>
      <c r="C43" s="224"/>
      <c r="E43" s="223">
        <f>SUM(E40:E42)</f>
        <v>411918</v>
      </c>
      <c r="G43" s="223">
        <f>SUM(G40:G42)</f>
        <v>411918</v>
      </c>
      <c r="I43" s="223">
        <f>SUM(I40:I42)</f>
        <v>411918</v>
      </c>
      <c r="K43" s="223">
        <f>SUM(K40:K42)</f>
        <v>411918</v>
      </c>
      <c r="M43" s="223">
        <f>SUM(M40:M42)</f>
        <v>411918</v>
      </c>
      <c r="O43" s="223">
        <f>SUM(O40:O42)</f>
        <v>411918</v>
      </c>
      <c r="Q43" s="223">
        <f>SUM(Q40:Q42)</f>
        <v>411918</v>
      </c>
      <c r="S43" s="223">
        <f>SUM(S40:S42)</f>
        <v>411918</v>
      </c>
      <c r="U43" s="223">
        <f>SUM(U40:U42)</f>
        <v>411918</v>
      </c>
      <c r="W43" s="223">
        <f>SUM(W40:W42)</f>
        <v>411918</v>
      </c>
      <c r="Y43" s="223">
        <f>SUM(Y40:Y42)</f>
        <v>411918</v>
      </c>
      <c r="AA43" s="223">
        <f>SUM(AA40:AA42)</f>
        <v>411918</v>
      </c>
      <c r="AC43" s="223">
        <f>SUM(AC40:AC42)</f>
        <v>411918</v>
      </c>
      <c r="AE43" s="223">
        <f>SUM(AE40:AE42)</f>
        <v>411918</v>
      </c>
      <c r="AG43" s="223">
        <f>SUM(AG40:AG42)</f>
        <v>411918</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849</v>
      </c>
      <c r="C45" s="224"/>
      <c r="E45" s="223">
        <f>E37-E43</f>
        <v>62863.068000000203</v>
      </c>
      <c r="G45" s="223">
        <f>G37-G43</f>
        <v>70485.229700000142</v>
      </c>
      <c r="I45" s="223">
        <f>I37-I43</f>
        <v>78116.216742500314</v>
      </c>
      <c r="K45" s="223">
        <f>K37-K43</f>
        <v>85749.875338062411</v>
      </c>
      <c r="M45" s="223">
        <f>M37-M43</f>
        <v>93379.674469338963</v>
      </c>
      <c r="O45" s="223">
        <f>O37-O43</f>
        <v>100998.68863639398</v>
      </c>
      <c r="Q45" s="223">
        <f>Q37-Q43</f>
        <v>108599.57989671023</v>
      </c>
      <c r="S45" s="223">
        <f>S37-S43</f>
        <v>116174.57917265594</v>
      </c>
      <c r="U45" s="223">
        <f>U37-U43</f>
        <v>123715.46679816744</v>
      </c>
      <c r="W45" s="223">
        <f>W37-W43</f>
        <v>131213.55227535998</v>
      </c>
      <c r="Y45" s="223">
        <f>Y37-Y43</f>
        <v>138659.65321068093</v>
      </c>
      <c r="AA45" s="223">
        <f>AA37-AA43</f>
        <v>146044.07339908439</v>
      </c>
      <c r="AC45" s="223">
        <f>AC37-AC43</f>
        <v>153356.58002354123</v>
      </c>
      <c r="AE45" s="223">
        <f>AE37-AE43</f>
        <v>160586.37993597554</v>
      </c>
      <c r="AG45" s="223">
        <f>AG37-AG43</f>
        <v>167722.09498446435</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851</v>
      </c>
      <c r="C47" s="220"/>
      <c r="E47" s="227">
        <f>E45/(E4+E6+E8)</f>
        <v>5.7261337902066098E-2</v>
      </c>
      <c r="G47" s="227">
        <f>G45/(G4+G6+G8)</f>
        <v>6.2638330260808284E-2</v>
      </c>
      <c r="I47" s="227">
        <f>I45/(I4+I6+I8)</f>
        <v>6.7726618011683448E-2</v>
      </c>
      <c r="K47" s="227">
        <f>K45/(K4+K6+K8)</f>
        <v>7.2531693801866207E-2</v>
      </c>
      <c r="M47" s="227">
        <f>M45/(M4+M6+M8)</f>
        <v>7.7058901257458873E-2</v>
      </c>
      <c r="O47" s="227">
        <f>O45/(O4+O6+O8)</f>
        <v>8.1313438471000005E-2</v>
      </c>
      <c r="Q47" s="227">
        <f>Q45/(Q4+Q6+Q8)</f>
        <v>8.5300361402481123E-2</v>
      </c>
      <c r="S47" s="227">
        <f>S45/(S4+S6+S8)</f>
        <v>8.9024587195963789E-2</v>
      </c>
      <c r="U47" s="227">
        <f>U45/(U4+U6+U8)</f>
        <v>9.2490897413838424E-2</v>
      </c>
      <c r="W47" s="227">
        <f>W45/(W4+W6+W8)</f>
        <v>9.5703941190723951E-2</v>
      </c>
      <c r="Y47" s="227">
        <f>Y45/(Y4+Y6+Y8)</f>
        <v>9.8668238308952771E-2</v>
      </c>
      <c r="AA47" s="227">
        <f>AA45/(AA4+AA6+AA8)</f>
        <v>0.10138818219753658</v>
      </c>
      <c r="AC47" s="227">
        <f>AC45/(AC4+AC6+AC8)</f>
        <v>0.1038680428564674</v>
      </c>
      <c r="AE47" s="227">
        <f>AE45/(AE4+AE6+AE8)</f>
        <v>0.10611196970815823</v>
      </c>
      <c r="AG47" s="227">
        <f>AG45/(AG4+AG6+AG8)</f>
        <v>0.1081239943777874</v>
      </c>
    </row>
    <row r="48" spans="1:33" s="227" customFormat="1" ht="14.25">
      <c r="A48" s="227" t="s">
        <v>852</v>
      </c>
      <c r="C48" s="220"/>
      <c r="E48" s="227">
        <f>E45/E43</f>
        <v>0.15261063609747622</v>
      </c>
      <c r="G48" s="227">
        <f>G45/G43</f>
        <v>0.17111471142314766</v>
      </c>
      <c r="I48" s="227">
        <f>I45/I43</f>
        <v>0.18964021174724172</v>
      </c>
      <c r="K48" s="227">
        <f>K45/K43</f>
        <v>0.20817219771425965</v>
      </c>
      <c r="M48" s="227">
        <f>M45/M43</f>
        <v>0.22669481418471385</v>
      </c>
      <c r="O48" s="227">
        <f>O45/O43</f>
        <v>0.24519124834650097</v>
      </c>
      <c r="Q48" s="227">
        <f>Q45/Q43</f>
        <v>0.26364368611400868</v>
      </c>
      <c r="S48" s="227">
        <f>S45/S43</f>
        <v>0.28203326674885765</v>
      </c>
      <c r="U48" s="227">
        <f>U45/U43</f>
        <v>0.30034003563371214</v>
      </c>
      <c r="W48" s="227">
        <f>W45/W43</f>
        <v>0.31854289512805944</v>
      </c>
      <c r="Y48" s="227">
        <f>Y45/Y43</f>
        <v>0.33661955343219024</v>
      </c>
      <c r="AA48" s="227">
        <f>AA45/AA43</f>
        <v>0.35454647138285872</v>
      </c>
      <c r="AC48" s="227">
        <f>AC45/AC43</f>
        <v>0.37229880710127072</v>
      </c>
      <c r="AE48" s="227">
        <f>AE45/AE43</f>
        <v>0.38985035841108068</v>
      </c>
      <c r="AG48" s="227">
        <f>AG45/AG43</f>
        <v>0.40717350294103277</v>
      </c>
    </row>
    <row r="49" spans="1:34" s="228" customFormat="1" ht="14.25">
      <c r="A49" s="228" t="s">
        <v>850</v>
      </c>
      <c r="C49" s="229"/>
      <c r="E49" s="228">
        <f>E37/E43</f>
        <v>1.1526106360974762</v>
      </c>
      <c r="G49" s="228">
        <f>G37/G43</f>
        <v>1.1711147114231477</v>
      </c>
      <c r="I49" s="228">
        <f>I37/I43</f>
        <v>1.1896402117472418</v>
      </c>
      <c r="K49" s="228">
        <f>K37/K43</f>
        <v>1.2081721977142597</v>
      </c>
      <c r="M49" s="228">
        <f>M37/M43</f>
        <v>1.2266948141847138</v>
      </c>
      <c r="O49" s="228">
        <f>O37/O43</f>
        <v>1.2451912483465009</v>
      </c>
      <c r="Q49" s="228">
        <f>Q37/Q43</f>
        <v>1.2636436861140088</v>
      </c>
      <c r="S49" s="228">
        <f>S37/S43</f>
        <v>1.2820332667488576</v>
      </c>
      <c r="U49" s="228">
        <f>U37/U43</f>
        <v>1.3003400356337123</v>
      </c>
      <c r="W49" s="228">
        <f>W37/W43</f>
        <v>1.3185428951280593</v>
      </c>
      <c r="Y49" s="228">
        <f>Y37/Y43</f>
        <v>1.3366195534321903</v>
      </c>
      <c r="AA49" s="228">
        <f>AA37/AA43</f>
        <v>1.3545464713828588</v>
      </c>
      <c r="AC49" s="228">
        <f>AC37/AC43</f>
        <v>1.3722988071012707</v>
      </c>
      <c r="AE49" s="228">
        <f>AE37/AE43</f>
        <v>1.3898503584110806</v>
      </c>
      <c r="AG49" s="228">
        <f>AG37/AG43</f>
        <v>1.4071735029410328</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862</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4" t="s">
        <v>2735</v>
      </c>
      <c r="B52" s="2694"/>
      <c r="C52" s="2694"/>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854</v>
      </c>
      <c r="C53" s="963">
        <v>1.0349999999999999</v>
      </c>
      <c r="E53" s="964"/>
      <c r="G53" s="960">
        <f t="shared" ref="G53:AG57" si="1">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855</v>
      </c>
      <c r="C54" s="958"/>
      <c r="E54" s="965"/>
      <c r="F54" s="960"/>
      <c r="G54" s="960">
        <f t="shared" si="1"/>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856</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853</v>
      </c>
      <c r="C58" s="961"/>
      <c r="E58" s="960">
        <f>SUM(E53:E57)</f>
        <v>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858</v>
      </c>
      <c r="C60" s="969"/>
      <c r="E60" s="962">
        <f>E45-E58</f>
        <v>62863.068000000203</v>
      </c>
      <c r="G60" s="962">
        <f>G45-G58</f>
        <v>70485.229700000142</v>
      </c>
      <c r="I60" s="962">
        <f>I45-I58</f>
        <v>78116.216742500314</v>
      </c>
      <c r="K60" s="962">
        <f>K45-K58</f>
        <v>85749.875338062411</v>
      </c>
      <c r="M60" s="962">
        <f>M45-M58</f>
        <v>93379.674469338963</v>
      </c>
      <c r="O60" s="962">
        <f>O45-O58</f>
        <v>100998.68863639398</v>
      </c>
      <c r="Q60" s="962">
        <f>Q45-Q58</f>
        <v>108599.57989671023</v>
      </c>
      <c r="S60" s="962">
        <f>S45-S58</f>
        <v>116174.57917265594</v>
      </c>
      <c r="U60" s="962">
        <f>U45-U58</f>
        <v>123715.46679816744</v>
      </c>
      <c r="W60" s="962">
        <f>W45-W58</f>
        <v>131213.55227535998</v>
      </c>
      <c r="Y60" s="962">
        <f>Y45-Y58</f>
        <v>138659.65321068093</v>
      </c>
      <c r="AA60" s="962">
        <f>AA45-AA58</f>
        <v>146044.07339908439</v>
      </c>
      <c r="AC60" s="962">
        <f>AC45-AC58</f>
        <v>153356.58002354123</v>
      </c>
      <c r="AE60" s="962">
        <f>AE45-AE58</f>
        <v>160586.37993597554</v>
      </c>
      <c r="AG60" s="962">
        <f>AG45-AG58</f>
        <v>167722.09498446435</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857</v>
      </c>
      <c r="C62" s="959">
        <v>0</v>
      </c>
      <c r="E62" s="964"/>
      <c r="G62" s="962">
        <f>G60*$C$62</f>
        <v>0</v>
      </c>
      <c r="I62" s="962">
        <f>I60*$C$62</f>
        <v>0</v>
      </c>
      <c r="K62" s="962">
        <f>K60*$C$62</f>
        <v>0</v>
      </c>
      <c r="M62" s="962">
        <f>M60*$C$62</f>
        <v>0</v>
      </c>
      <c r="O62" s="962">
        <f>O60*$C$62</f>
        <v>0</v>
      </c>
      <c r="Q62" s="962">
        <f>Q60*$C$62</f>
        <v>0</v>
      </c>
      <c r="S62" s="962">
        <f>S60*$C$62</f>
        <v>0</v>
      </c>
      <c r="U62" s="962">
        <f>U60*$C$62</f>
        <v>0</v>
      </c>
      <c r="W62" s="962">
        <f>W60*$C$62</f>
        <v>0</v>
      </c>
      <c r="Y62" s="962">
        <f>Y60*$C$62</f>
        <v>0</v>
      </c>
      <c r="AA62" s="962">
        <f>AA60*$C$62</f>
        <v>0</v>
      </c>
      <c r="AC62" s="962">
        <f>AC60*$C$62</f>
        <v>0</v>
      </c>
      <c r="AE62" s="962">
        <f>AE60*$C$62</f>
        <v>0</v>
      </c>
      <c r="AG62" s="962">
        <f>AG60*$C$62</f>
        <v>0</v>
      </c>
    </row>
    <row r="63" spans="1:34" s="962" customFormat="1">
      <c r="A63" s="2694" t="s">
        <v>2735</v>
      </c>
      <c r="B63" s="2694"/>
      <c r="C63" s="2694"/>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861</v>
      </c>
      <c r="C65" s="959">
        <v>0</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t="s">
        <v>2732</v>
      </c>
      <c r="C66" s="963"/>
      <c r="E66" s="964"/>
      <c r="G66" s="960">
        <f>G60*$C$65</f>
        <v>0</v>
      </c>
      <c r="I66" s="960">
        <f>I60*$C$65</f>
        <v>0</v>
      </c>
      <c r="K66" s="960">
        <f>K60*$C$65</f>
        <v>0</v>
      </c>
      <c r="M66" s="960">
        <f>M60*$C$65</f>
        <v>0</v>
      </c>
      <c r="O66" s="960">
        <f>O60*$C$65</f>
        <v>0</v>
      </c>
      <c r="Q66" s="960">
        <f>Q60*$C$65</f>
        <v>0</v>
      </c>
      <c r="S66" s="960">
        <f>S60*$C$65</f>
        <v>0</v>
      </c>
      <c r="U66" s="960">
        <f>U60*$C$65</f>
        <v>0</v>
      </c>
      <c r="W66" s="960">
        <f>W60*$C$65</f>
        <v>0</v>
      </c>
      <c r="Y66" s="960">
        <f>Y60*$C$65</f>
        <v>0</v>
      </c>
      <c r="AA66" s="960">
        <f>AA60*$C$65</f>
        <v>0</v>
      </c>
      <c r="AC66" s="960">
        <f>AC60*$C$65</f>
        <v>0</v>
      </c>
      <c r="AE66" s="960">
        <f>AE60*$C$65</f>
        <v>0</v>
      </c>
      <c r="AG66" s="960">
        <f>AG60*$C$65</f>
        <v>0</v>
      </c>
    </row>
    <row r="67" spans="1:34" s="960" customFormat="1">
      <c r="A67" s="965"/>
      <c r="B67" s="965" t="s">
        <v>2733</v>
      </c>
      <c r="C67" s="970"/>
      <c r="E67" s="964"/>
      <c r="G67" s="960">
        <f>G60*$C$65</f>
        <v>0</v>
      </c>
      <c r="I67" s="960">
        <f>I60*$C$65</f>
        <v>0</v>
      </c>
      <c r="K67" s="960">
        <f>K60*$C$65</f>
        <v>0</v>
      </c>
      <c r="M67" s="960">
        <f>M60*$C$65</f>
        <v>0</v>
      </c>
      <c r="O67" s="960">
        <f>O60*$C$65</f>
        <v>0</v>
      </c>
      <c r="Q67" s="960">
        <f>Q60*$C$65</f>
        <v>0</v>
      </c>
      <c r="S67" s="960">
        <f>S60*$C$65</f>
        <v>0</v>
      </c>
      <c r="U67" s="960">
        <f>U60*$C$65</f>
        <v>0</v>
      </c>
      <c r="W67" s="960">
        <f>W60*$C$65</f>
        <v>0</v>
      </c>
      <c r="Y67" s="960">
        <f>Y60*$C$65</f>
        <v>0</v>
      </c>
      <c r="AA67" s="960">
        <f>AA60*$C$65</f>
        <v>0</v>
      </c>
      <c r="AC67" s="960">
        <f>AC60*$C$65</f>
        <v>0</v>
      </c>
      <c r="AE67" s="960">
        <f>AE60*$C$65</f>
        <v>0</v>
      </c>
      <c r="AG67" s="960">
        <f>AG60*$C$65</f>
        <v>0</v>
      </c>
    </row>
    <row r="68" spans="1:34" s="960" customFormat="1">
      <c r="A68" s="965"/>
      <c r="B68" s="965" t="s">
        <v>2734</v>
      </c>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853</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1723</v>
      </c>
      <c r="C72" s="970"/>
      <c r="E72" s="962">
        <f>E60-E62-E70</f>
        <v>62863.068000000203</v>
      </c>
      <c r="G72" s="962">
        <f>G60-G62-G70</f>
        <v>70485.229700000142</v>
      </c>
      <c r="I72" s="962">
        <f>I60-I62-I70</f>
        <v>78116.216742500314</v>
      </c>
      <c r="K72" s="962">
        <f>K60-K62-K70</f>
        <v>85749.875338062411</v>
      </c>
      <c r="M72" s="962">
        <f>M60-M62-M70</f>
        <v>93379.674469338963</v>
      </c>
      <c r="O72" s="962">
        <f>O60-O62-O70</f>
        <v>100998.68863639398</v>
      </c>
      <c r="Q72" s="962">
        <f>Q60-Q62-Q70</f>
        <v>108599.57989671023</v>
      </c>
      <c r="S72" s="962">
        <f>S60-S62-S70</f>
        <v>116174.57917265594</v>
      </c>
      <c r="U72" s="962">
        <f>U60-U62-U70</f>
        <v>123715.46679816744</v>
      </c>
      <c r="W72" s="962">
        <f>W60-W62-W70</f>
        <v>131213.55227535998</v>
      </c>
      <c r="Y72" s="962">
        <f>Y60-Y62-Y70</f>
        <v>138659.65321068093</v>
      </c>
      <c r="AA72" s="962">
        <f>AA60-AA62-AA70</f>
        <v>146044.07339908439</v>
      </c>
      <c r="AC72" s="962">
        <f>AC60-AC62-AC70</f>
        <v>153356.58002354123</v>
      </c>
      <c r="AE72" s="962">
        <f>AE60-AE62-AE70</f>
        <v>160586.37993597554</v>
      </c>
      <c r="AG72" s="962">
        <f>AG60-AG62-AG70</f>
        <v>167722.09498446435</v>
      </c>
    </row>
    <row r="73" spans="1:34" s="960" customFormat="1">
      <c r="A73" s="529"/>
      <c r="C73" s="970"/>
    </row>
    <row r="74" spans="1:34" s="217" customFormat="1">
      <c r="A74" s="529"/>
      <c r="C74" s="183"/>
    </row>
    <row r="75" spans="1:34" s="217" customFormat="1">
      <c r="A75" s="960" t="s">
        <v>1722</v>
      </c>
      <c r="C75" s="183"/>
    </row>
    <row r="76" spans="1:34" s="217" customFormat="1">
      <c r="C76" s="183"/>
    </row>
    <row r="77" spans="1:34" s="234" customFormat="1" ht="30" customHeight="1">
      <c r="A77" s="2692" t="s">
        <v>1721</v>
      </c>
      <c r="B77" s="2693"/>
      <c r="C77" s="2693"/>
      <c r="D77" s="2693"/>
      <c r="E77" s="2693"/>
      <c r="F77" s="2693"/>
      <c r="G77" s="2693"/>
      <c r="H77" s="2693"/>
      <c r="I77" s="2693"/>
      <c r="J77" s="2693"/>
      <c r="K77" s="2693"/>
      <c r="L77" s="2693"/>
      <c r="M77" s="2693"/>
      <c r="N77" s="2693"/>
      <c r="O77" s="2693"/>
      <c r="P77" s="2693"/>
      <c r="Q77" s="2693"/>
      <c r="R77" s="2693"/>
      <c r="S77" s="2693"/>
      <c r="T77" s="2693"/>
      <c r="U77" s="2693"/>
      <c r="V77" s="2693"/>
      <c r="W77" s="2693"/>
      <c r="X77" s="2693"/>
      <c r="Y77" s="2693"/>
      <c r="Z77" s="2693"/>
      <c r="AA77" s="2693"/>
      <c r="AB77" s="2693"/>
      <c r="AC77" s="2693"/>
      <c r="AD77" s="2693"/>
      <c r="AE77" s="2693"/>
      <c r="AF77" s="2693"/>
      <c r="AG77" s="2693"/>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topLeftCell="A9" workbookViewId="0"/>
  </sheetViews>
  <sheetFormatPr defaultColWidth="0" defaultRowHeight="12.75" zeroHeight="1"/>
  <cols>
    <col min="1" max="1" width="161.7109375" customWidth="1"/>
    <col min="2" max="16384" width="8.85546875" hidden="1"/>
  </cols>
  <sheetData>
    <row r="1" spans="1:1" ht="47.25">
      <c r="A1" s="313" t="s">
        <v>971</v>
      </c>
    </row>
    <row r="2" spans="1:1" ht="15.75">
      <c r="A2" s="314"/>
    </row>
    <row r="3" spans="1:1" ht="15.75">
      <c r="A3" s="315" t="s">
        <v>966</v>
      </c>
    </row>
    <row r="4" spans="1:1" ht="15.75">
      <c r="A4" s="315" t="s">
        <v>967</v>
      </c>
    </row>
    <row r="5" spans="1:1" ht="15.75">
      <c r="A5" s="315" t="s">
        <v>968</v>
      </c>
    </row>
    <row r="6" spans="1:1" ht="15.75">
      <c r="A6" s="315" t="s">
        <v>970</v>
      </c>
    </row>
    <row r="7" spans="1:1" ht="15.75">
      <c r="A7" s="315" t="s">
        <v>969</v>
      </c>
    </row>
    <row r="8" spans="1:1" ht="15.75">
      <c r="A8" s="346" t="s">
        <v>1024</v>
      </c>
    </row>
    <row r="9" spans="1:1" ht="15.75">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1217</v>
      </c>
      <c r="D1" s="280"/>
    </row>
    <row r="2" spans="1:6" s="275" customFormat="1">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c r="A4" s="264" t="s">
        <v>26</v>
      </c>
      <c r="B4" s="264"/>
      <c r="C4" s="264"/>
      <c r="D4" s="264"/>
      <c r="E4" s="282"/>
      <c r="F4" s="264"/>
    </row>
    <row r="5" spans="1:6" s="352" customFormat="1">
      <c r="A5" s="364" t="s">
        <v>27</v>
      </c>
      <c r="B5" s="266">
        <f>'Sources and Uses Budget'!$C4</f>
        <v>1631453</v>
      </c>
      <c r="C5" s="266">
        <f>'Sources and Uses Budget'!$C4</f>
        <v>1631453</v>
      </c>
      <c r="D5" s="270">
        <f>C5-B5</f>
        <v>0</v>
      </c>
      <c r="E5" s="268"/>
      <c r="F5" s="267"/>
    </row>
    <row r="6" spans="1:6" s="352" customFormat="1">
      <c r="A6" s="364" t="s">
        <v>28</v>
      </c>
      <c r="B6" s="266">
        <f>'Sources and Uses Budget'!$C5</f>
        <v>22500</v>
      </c>
      <c r="C6" s="266">
        <f>'Sources and Uses Budget'!$C5</f>
        <v>22500</v>
      </c>
      <c r="D6" s="270">
        <f t="shared" ref="D6:D77" si="0">C6-B6</f>
        <v>0</v>
      </c>
      <c r="E6" s="268"/>
      <c r="F6" s="267"/>
    </row>
    <row r="7" spans="1:6" s="352" customFormat="1">
      <c r="A7" s="364" t="s">
        <v>29</v>
      </c>
      <c r="B7" s="266">
        <f>'Sources and Uses Budget'!$C6</f>
        <v>10000</v>
      </c>
      <c r="C7" s="266">
        <f>'Sources and Uses Budget'!$C6</f>
        <v>10000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1663953</v>
      </c>
      <c r="C9" s="270">
        <f>SUM(C5:C8)</f>
        <v>1663953</v>
      </c>
      <c r="D9" s="270">
        <f t="shared" si="0"/>
        <v>0</v>
      </c>
      <c r="E9" s="268"/>
      <c r="F9" s="267"/>
    </row>
    <row r="10" spans="1:6" s="352" customFormat="1">
      <c r="A10" s="364" t="s">
        <v>594</v>
      </c>
      <c r="B10" s="266">
        <f>'Sources and Uses Budget'!$C9</f>
        <v>0</v>
      </c>
      <c r="C10" s="266">
        <f>'Sources and Uses Budget'!$C9</f>
        <v>0</v>
      </c>
      <c r="D10" s="270">
        <f t="shared" si="0"/>
        <v>0</v>
      </c>
      <c r="E10" s="268"/>
      <c r="F10" s="267"/>
    </row>
    <row r="11" spans="1:6" s="352" customFormat="1">
      <c r="A11" s="364" t="s">
        <v>595</v>
      </c>
      <c r="B11" s="266">
        <f>'Sources and Uses Budget'!$C10</f>
        <v>773950</v>
      </c>
      <c r="C11" s="266">
        <f>'Sources and Uses Budget'!$C10</f>
        <v>773950</v>
      </c>
      <c r="D11" s="270">
        <f t="shared" si="0"/>
        <v>0</v>
      </c>
      <c r="E11" s="268"/>
      <c r="F11" s="267"/>
    </row>
    <row r="12" spans="1:6" s="352" customFormat="1">
      <c r="A12" s="365" t="s">
        <v>596</v>
      </c>
      <c r="B12" s="270">
        <f>SUM(B10:B11)</f>
        <v>773950</v>
      </c>
      <c r="C12" s="270">
        <f>SUM(C10:C11)</f>
        <v>773950</v>
      </c>
      <c r="D12" s="270">
        <f t="shared" si="0"/>
        <v>0</v>
      </c>
      <c r="E12" s="268"/>
      <c r="F12" s="267"/>
    </row>
    <row r="13" spans="1:6" s="352" customFormat="1">
      <c r="A13" s="365" t="s">
        <v>84</v>
      </c>
      <c r="B13" s="270">
        <f>SUM(B9+B12)</f>
        <v>2437903</v>
      </c>
      <c r="C13" s="270">
        <f>SUM(C9+C12)</f>
        <v>2437903</v>
      </c>
      <c r="D13" s="270">
        <f t="shared" si="0"/>
        <v>0</v>
      </c>
      <c r="E13" s="268"/>
      <c r="F13" s="267"/>
    </row>
    <row r="14" spans="1:6" s="352" customFormat="1">
      <c r="A14" s="366" t="s">
        <v>902</v>
      </c>
      <c r="B14" s="266">
        <f>'Sources and Uses Budget'!$C13</f>
        <v>375000</v>
      </c>
      <c r="C14" s="266">
        <f>'Sources and Uses Budget'!$C13</f>
        <v>375000</v>
      </c>
      <c r="D14" s="270">
        <f t="shared" si="0"/>
        <v>0</v>
      </c>
      <c r="E14" s="268"/>
      <c r="F14" s="267"/>
    </row>
    <row r="15" spans="1:6" s="352" customFormat="1" ht="24">
      <c r="A15" s="364" t="s">
        <v>903</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1640</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598</v>
      </c>
      <c r="B30" s="266">
        <f>'Sources and Uses Budget'!$C29</f>
        <v>0</v>
      </c>
      <c r="C30" s="266">
        <f>'Sources and Uses Budget'!$C29</f>
        <v>0</v>
      </c>
      <c r="D30" s="270">
        <f t="shared" si="0"/>
        <v>0</v>
      </c>
      <c r="E30" s="268"/>
      <c r="F30" s="267"/>
    </row>
    <row r="31" spans="1:6" s="352" customFormat="1">
      <c r="A31" s="145" t="s">
        <v>599</v>
      </c>
      <c r="B31" s="266">
        <f>'Sources and Uses Budget'!$C30</f>
        <v>20598857</v>
      </c>
      <c r="C31" s="266">
        <f>'Sources and Uses Budget'!$C30</f>
        <v>20598857</v>
      </c>
      <c r="D31" s="270">
        <f t="shared" si="0"/>
        <v>0</v>
      </c>
      <c r="E31" s="268"/>
      <c r="F31" s="267"/>
    </row>
    <row r="32" spans="1:6" s="352" customFormat="1">
      <c r="A32" s="145" t="s">
        <v>600</v>
      </c>
      <c r="B32" s="266">
        <f>'Sources and Uses Budget'!$C31</f>
        <v>1303496</v>
      </c>
      <c r="C32" s="266">
        <f>'Sources and Uses Budget'!$C31</f>
        <v>1303496</v>
      </c>
      <c r="D32" s="270">
        <f t="shared" si="0"/>
        <v>0</v>
      </c>
      <c r="E32" s="268"/>
      <c r="F32" s="267"/>
    </row>
    <row r="33" spans="1:6" s="352" customFormat="1">
      <c r="A33" s="145" t="s">
        <v>137</v>
      </c>
      <c r="B33" s="266">
        <f>'Sources and Uses Budget'!$C32</f>
        <v>921137</v>
      </c>
      <c r="C33" s="266">
        <f>'Sources and Uses Budget'!$C32</f>
        <v>921137</v>
      </c>
      <c r="D33" s="270">
        <f t="shared" si="0"/>
        <v>0</v>
      </c>
      <c r="E33" s="268"/>
      <c r="F33" s="267"/>
    </row>
    <row r="34" spans="1:6" s="352" customFormat="1">
      <c r="A34" s="145" t="s">
        <v>138</v>
      </c>
      <c r="B34" s="266">
        <f>'Sources and Uses Budget'!$C33</f>
        <v>921138</v>
      </c>
      <c r="C34" s="266">
        <f>'Sources and Uses Budget'!$C33</f>
        <v>921138</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0</v>
      </c>
      <c r="C36" s="266">
        <f>'Sources and Uses Budget'!$C35</f>
        <v>0</v>
      </c>
      <c r="D36" s="270">
        <f t="shared" si="0"/>
        <v>0</v>
      </c>
      <c r="E36" s="268"/>
      <c r="F36" s="267"/>
    </row>
    <row r="37" spans="1:6" s="352" customFormat="1">
      <c r="A37" s="283" t="s">
        <v>1640</v>
      </c>
      <c r="B37" s="266">
        <f>'Sources and Uses Budget'!$C36</f>
        <v>50000</v>
      </c>
      <c r="C37" s="266">
        <f>'Sources and Uses Budget'!$C36</f>
        <v>50000</v>
      </c>
      <c r="D37" s="270"/>
      <c r="E37" s="268"/>
      <c r="F37" s="267"/>
    </row>
    <row r="38" spans="1:6" s="352" customFormat="1">
      <c r="A38" s="155" t="str">
        <f>'Sources and Uses Budget'!A37</f>
        <v>Rough Grading</v>
      </c>
      <c r="B38" s="266">
        <f>'Sources and Uses Budget'!$C37</f>
        <v>329640</v>
      </c>
      <c r="C38" s="266">
        <f>'Sources and Uses Budget'!$C37</f>
        <v>329640</v>
      </c>
      <c r="D38" s="270">
        <f t="shared" si="0"/>
        <v>0</v>
      </c>
      <c r="E38" s="268"/>
      <c r="F38" s="267"/>
    </row>
    <row r="39" spans="1:6" s="352" customFormat="1">
      <c r="A39" s="271" t="s">
        <v>143</v>
      </c>
      <c r="B39" s="270">
        <f>SUM(B30:B38)</f>
        <v>24124268</v>
      </c>
      <c r="C39" s="270">
        <f>SUM(C30:C38)</f>
        <v>24124268</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850000</v>
      </c>
      <c r="C41" s="266">
        <f>'Sources and Uses Budget'!$C40</f>
        <v>850000</v>
      </c>
      <c r="D41" s="270">
        <f t="shared" si="0"/>
        <v>0</v>
      </c>
      <c r="E41" s="268"/>
      <c r="F41" s="267"/>
    </row>
    <row r="42" spans="1:6" s="352" customFormat="1">
      <c r="A42" s="269" t="s">
        <v>146</v>
      </c>
      <c r="B42" s="266">
        <f>'Sources and Uses Budget'!$C41</f>
        <v>250000</v>
      </c>
      <c r="C42" s="266">
        <f>'Sources and Uses Budget'!$C41</f>
        <v>250000</v>
      </c>
      <c r="D42" s="270">
        <f t="shared" si="0"/>
        <v>0</v>
      </c>
      <c r="E42" s="268"/>
      <c r="F42" s="267"/>
    </row>
    <row r="43" spans="1:6" s="352" customFormat="1">
      <c r="A43" s="271" t="s">
        <v>147</v>
      </c>
      <c r="B43" s="270">
        <f>SUM(B41:B42)</f>
        <v>1100000</v>
      </c>
      <c r="C43" s="270">
        <f>SUM(C41:C42)</f>
        <v>1100000</v>
      </c>
      <c r="D43" s="270">
        <f t="shared" si="0"/>
        <v>0</v>
      </c>
      <c r="E43" s="268"/>
      <c r="F43" s="267"/>
    </row>
    <row r="44" spans="1:6" s="352" customFormat="1">
      <c r="A44" s="271" t="s">
        <v>148</v>
      </c>
      <c r="B44" s="266">
        <f>'Sources and Uses Budget'!$C43</f>
        <v>315000</v>
      </c>
      <c r="C44" s="266">
        <f>'Sources and Uses Budget'!$C43</f>
        <v>315000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1669476</v>
      </c>
      <c r="C46" s="266">
        <f>'Sources and Uses Budget'!$C45</f>
        <v>1669476</v>
      </c>
      <c r="D46" s="270">
        <f t="shared" si="0"/>
        <v>0</v>
      </c>
      <c r="E46" s="268"/>
      <c r="F46" s="267"/>
    </row>
    <row r="47" spans="1:6" s="352" customFormat="1">
      <c r="A47" s="145" t="s">
        <v>151</v>
      </c>
      <c r="B47" s="266">
        <f>'Sources and Uses Budget'!$C46</f>
        <v>190703</v>
      </c>
      <c r="C47" s="266">
        <f>'Sources and Uses Budget'!$C46</f>
        <v>190703</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104857</v>
      </c>
      <c r="C50" s="266">
        <f>'Sources and Uses Budget'!$C49</f>
        <v>104857</v>
      </c>
      <c r="D50" s="270">
        <f t="shared" si="0"/>
        <v>0</v>
      </c>
      <c r="E50" s="268"/>
      <c r="F50" s="267"/>
    </row>
    <row r="51" spans="1:6" s="352" customFormat="1">
      <c r="A51" s="145" t="s">
        <v>156</v>
      </c>
      <c r="B51" s="266">
        <f>'Sources and Uses Budget'!$C50</f>
        <v>110000</v>
      </c>
      <c r="C51" s="266">
        <f>'Sources and Uses Budget'!$C50</f>
        <v>110000</v>
      </c>
      <c r="D51" s="270">
        <f t="shared" si="0"/>
        <v>0</v>
      </c>
      <c r="E51" s="268"/>
      <c r="F51" s="267"/>
    </row>
    <row r="52" spans="1:6" s="352" customFormat="1">
      <c r="A52" s="283" t="s">
        <v>154</v>
      </c>
      <c r="B52" s="266">
        <f>'Sources and Uses Budget'!$C51</f>
        <v>40000</v>
      </c>
      <c r="C52" s="266">
        <f>'Sources and Uses Budget'!$C51</f>
        <v>40000</v>
      </c>
      <c r="D52" s="270">
        <f t="shared" si="0"/>
        <v>0</v>
      </c>
      <c r="E52" s="268"/>
      <c r="F52" s="267"/>
    </row>
    <row r="53" spans="1:6" s="352" customFormat="1">
      <c r="A53" s="145" t="s">
        <v>155</v>
      </c>
      <c r="B53" s="266">
        <f>'Sources and Uses Budget'!$C52</f>
        <v>1000757</v>
      </c>
      <c r="C53" s="266">
        <f>'Sources and Uses Budget'!$C52</f>
        <v>1000757</v>
      </c>
      <c r="D53" s="270">
        <f t="shared" si="0"/>
        <v>0</v>
      </c>
      <c r="E53" s="268"/>
      <c r="F53" s="267"/>
    </row>
    <row r="54" spans="1:6" s="352" customFormat="1">
      <c r="A54" s="155" t="str">
        <f>'Sources and Uses Budget'!A53</f>
        <v>Lender Expenses</v>
      </c>
      <c r="B54" s="266">
        <f>'Sources and Uses Budget'!$C53</f>
        <v>35000</v>
      </c>
      <c r="C54" s="266">
        <f>'Sources and Uses Budget'!$C53</f>
        <v>35000</v>
      </c>
      <c r="D54" s="270">
        <f t="shared" si="0"/>
        <v>0</v>
      </c>
      <c r="E54" s="268"/>
      <c r="F54" s="267"/>
    </row>
    <row r="55" spans="1:6" s="353" customFormat="1">
      <c r="A55" s="271" t="s">
        <v>157</v>
      </c>
      <c r="B55" s="273">
        <f>SUM(B46:B54)</f>
        <v>3150793</v>
      </c>
      <c r="C55" s="273">
        <f>SUM(C46:C54)</f>
        <v>3150793</v>
      </c>
      <c r="D55" s="270">
        <f t="shared" si="0"/>
        <v>0</v>
      </c>
      <c r="E55" s="268"/>
      <c r="F55" s="267"/>
    </row>
    <row r="56" spans="1:6" s="352" customFormat="1">
      <c r="A56" s="264" t="s">
        <v>417</v>
      </c>
      <c r="B56" s="264"/>
      <c r="C56" s="264"/>
      <c r="D56" s="264"/>
      <c r="E56" s="282"/>
      <c r="F56" s="264"/>
    </row>
    <row r="57" spans="1:6" s="352" customFormat="1">
      <c r="A57" s="269" t="s">
        <v>158</v>
      </c>
      <c r="B57" s="266">
        <f>'Sources and Uses Budget'!$C56</f>
        <v>0</v>
      </c>
      <c r="C57" s="266">
        <f>'Sources and Uses Budget'!$C56</f>
        <v>0</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25000</v>
      </c>
      <c r="C59" s="266">
        <f>'Sources and Uses Budget'!$C58</f>
        <v>25000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Lender Expenses</v>
      </c>
      <c r="B62" s="266">
        <f>'Sources and Uses Budget'!$C61</f>
        <v>10000</v>
      </c>
      <c r="C62" s="266">
        <f>'Sources and Uses Budget'!$C61</f>
        <v>10000</v>
      </c>
      <c r="D62" s="270">
        <f t="shared" si="0"/>
        <v>0</v>
      </c>
      <c r="E62" s="268"/>
      <c r="F62" s="267"/>
    </row>
    <row r="63" spans="1:6" s="352" customFormat="1" ht="13.7" customHeight="1">
      <c r="A63" s="271" t="s">
        <v>300</v>
      </c>
      <c r="B63" s="270">
        <f>SUM(B57:B62)</f>
        <v>35000</v>
      </c>
      <c r="C63" s="270">
        <f>SUM(C57:C62)</f>
        <v>35000</v>
      </c>
      <c r="D63" s="270">
        <f t="shared" si="0"/>
        <v>0</v>
      </c>
      <c r="E63" s="268"/>
      <c r="F63" s="267"/>
    </row>
    <row r="64" spans="1:6" s="352" customFormat="1">
      <c r="A64" s="274" t="s">
        <v>301</v>
      </c>
      <c r="B64" s="270">
        <f>SUM(B9+B12+B14+B15+B17+B26+B28+B39+B43+B44+B55+B63)</f>
        <v>31537964</v>
      </c>
      <c r="C64" s="270">
        <f>SUM(C9+C12+C14+C15+C17+C26+C28+C39+C43+C44+C55+C63)</f>
        <v>31537964</v>
      </c>
      <c r="D64" s="270">
        <f t="shared" si="0"/>
        <v>0</v>
      </c>
      <c r="E64" s="268"/>
      <c r="F64" s="267"/>
    </row>
    <row r="65" spans="1:6" s="352" customFormat="1" ht="24">
      <c r="A65" s="141" t="s">
        <v>1644</v>
      </c>
      <c r="B65" s="264"/>
      <c r="C65" s="264"/>
      <c r="D65" s="264"/>
      <c r="E65" s="282"/>
      <c r="F65" s="264"/>
    </row>
    <row r="66" spans="1:6" s="352" customFormat="1">
      <c r="A66" s="145" t="s">
        <v>170</v>
      </c>
      <c r="B66" s="266">
        <f>'Sources and Uses Budget'!$C65</f>
        <v>85000</v>
      </c>
      <c r="C66" s="266">
        <f>'Sources and Uses Budget'!$C65</f>
        <v>85000</v>
      </c>
      <c r="D66" s="270">
        <f t="shared" si="0"/>
        <v>0</v>
      </c>
      <c r="E66" s="268"/>
      <c r="F66" s="267"/>
    </row>
    <row r="67" spans="1:6" s="352" customFormat="1" ht="24">
      <c r="A67" s="283" t="s">
        <v>1641</v>
      </c>
      <c r="B67" s="266">
        <f>'Sources and Uses Budget'!$C66</f>
        <v>0</v>
      </c>
      <c r="C67" s="266">
        <f>'Sources and Uses Budget'!$C66</f>
        <v>0</v>
      </c>
      <c r="D67" s="270"/>
      <c r="E67" s="268"/>
      <c r="F67" s="267"/>
    </row>
    <row r="68" spans="1:6" s="352" customFormat="1" ht="24">
      <c r="A68" s="283" t="s">
        <v>1642</v>
      </c>
      <c r="B68" s="266">
        <f>'Sources and Uses Budget'!$C67</f>
        <v>0</v>
      </c>
      <c r="C68" s="266">
        <f>'Sources and Uses Budget'!$C67</f>
        <v>0</v>
      </c>
      <c r="D68" s="270"/>
      <c r="E68" s="268"/>
      <c r="F68" s="267"/>
    </row>
    <row r="69" spans="1:6" s="352" customFormat="1">
      <c r="A69" s="283" t="s">
        <v>1648</v>
      </c>
      <c r="B69" s="266">
        <f>'Sources and Uses Budget'!$C68</f>
        <v>0</v>
      </c>
      <c r="C69" s="266">
        <f>'Sources and Uses Budget'!$C68</f>
        <v>0</v>
      </c>
      <c r="D69" s="270"/>
      <c r="E69" s="268"/>
      <c r="F69" s="267"/>
    </row>
    <row r="70" spans="1:6" s="352" customFormat="1">
      <c r="A70" s="155" t="str">
        <f>'Sources and Uses Budget'!A69</f>
        <v>Owner Legal</v>
      </c>
      <c r="B70" s="266">
        <f>'Sources and Uses Budget'!$C69</f>
        <v>100000</v>
      </c>
      <c r="C70" s="266">
        <f>'Sources and Uses Budget'!$C69</f>
        <v>100000</v>
      </c>
      <c r="D70" s="270">
        <f t="shared" si="0"/>
        <v>0</v>
      </c>
      <c r="E70" s="268"/>
      <c r="F70" s="267"/>
    </row>
    <row r="71" spans="1:6" s="352" customFormat="1">
      <c r="A71" s="149" t="s">
        <v>1645</v>
      </c>
      <c r="B71" s="270">
        <f>SUM(B66:B70)</f>
        <v>185000</v>
      </c>
      <c r="C71" s="270">
        <f>SUM(C66:C70)</f>
        <v>185000</v>
      </c>
      <c r="D71" s="270">
        <f t="shared" si="0"/>
        <v>0</v>
      </c>
      <c r="E71" s="268"/>
      <c r="F71" s="267"/>
    </row>
    <row r="72" spans="1:6" s="352" customFormat="1">
      <c r="A72" s="264" t="s">
        <v>602</v>
      </c>
      <c r="B72" s="264"/>
      <c r="C72" s="264"/>
      <c r="D72" s="264"/>
      <c r="E72" s="282"/>
      <c r="F72" s="264"/>
    </row>
    <row r="73" spans="1:6" s="352" customFormat="1">
      <c r="A73" s="269" t="s">
        <v>603</v>
      </c>
      <c r="B73" s="266">
        <f>'Sources and Uses Budget'!$C72</f>
        <v>0</v>
      </c>
      <c r="C73" s="266">
        <f>'Sources and Uses Budget'!$C72</f>
        <v>0</v>
      </c>
      <c r="D73" s="270">
        <f t="shared" si="0"/>
        <v>0</v>
      </c>
      <c r="E73" s="268"/>
      <c r="F73" s="267"/>
    </row>
    <row r="74" spans="1:6" s="352" customFormat="1">
      <c r="A74" s="269" t="s">
        <v>604</v>
      </c>
      <c r="B74" s="266">
        <f>'Sources and Uses Budget'!$C73</f>
        <v>0</v>
      </c>
      <c r="C74" s="266">
        <f>'Sources and Uses Budget'!$C73</f>
        <v>0</v>
      </c>
      <c r="D74" s="270">
        <f t="shared" si="0"/>
        <v>0</v>
      </c>
      <c r="E74" s="268"/>
      <c r="F74" s="267"/>
    </row>
    <row r="75" spans="1:6" s="352" customFormat="1">
      <c r="A75" s="287" t="s">
        <v>986</v>
      </c>
      <c r="B75" s="266">
        <f>'Sources and Uses Budget'!$C74</f>
        <v>0</v>
      </c>
      <c r="C75" s="266">
        <f>'Sources and Uses Budget'!$C74</f>
        <v>0</v>
      </c>
      <c r="D75" s="270">
        <f t="shared" si="0"/>
        <v>0</v>
      </c>
      <c r="E75" s="268"/>
      <c r="F75" s="267"/>
    </row>
    <row r="76" spans="1:6" s="352" customFormat="1">
      <c r="A76" s="269" t="s">
        <v>605</v>
      </c>
      <c r="B76" s="266">
        <f>'Sources and Uses Budget'!$C75</f>
        <v>245014</v>
      </c>
      <c r="C76" s="266">
        <f>'Sources and Uses Budget'!$C75</f>
        <v>245014</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606</v>
      </c>
      <c r="B78" s="270">
        <f>SUM(B73:B77)</f>
        <v>245014</v>
      </c>
      <c r="C78" s="270">
        <f>SUM(C73:C77)</f>
        <v>245014</v>
      </c>
      <c r="D78" s="270">
        <f t="shared" ref="D78:D106" si="1">C78-B78</f>
        <v>0</v>
      </c>
      <c r="E78" s="268"/>
      <c r="F78" s="267"/>
    </row>
    <row r="79" spans="1:6" s="352" customFormat="1">
      <c r="A79" s="264" t="s">
        <v>1210</v>
      </c>
      <c r="B79" s="264"/>
      <c r="C79" s="264"/>
      <c r="D79" s="264"/>
      <c r="E79" s="282"/>
      <c r="F79" s="264"/>
    </row>
    <row r="80" spans="1:6" s="352" customFormat="1">
      <c r="A80" s="510" t="s">
        <v>1212</v>
      </c>
      <c r="B80" s="266">
        <f>'Sources and Uses Budget'!$C79</f>
        <v>1243536</v>
      </c>
      <c r="C80" s="266">
        <f>'Sources and Uses Budget'!$C79</f>
        <v>1243536</v>
      </c>
      <c r="D80" s="270">
        <f t="shared" si="1"/>
        <v>0</v>
      </c>
      <c r="E80" s="268"/>
      <c r="F80" s="267"/>
    </row>
    <row r="81" spans="1:6" s="352" customFormat="1">
      <c r="A81" s="510" t="s">
        <v>58</v>
      </c>
      <c r="B81" s="266">
        <f>'Sources and Uses Budget'!$C80</f>
        <v>270875</v>
      </c>
      <c r="C81" s="266">
        <f>'Sources and Uses Budget'!$C80</f>
        <v>270875</v>
      </c>
      <c r="D81" s="270">
        <f>C81-B81</f>
        <v>0</v>
      </c>
      <c r="E81" s="268"/>
      <c r="F81" s="267"/>
    </row>
    <row r="82" spans="1:6" s="352" customFormat="1">
      <c r="A82" s="271" t="s">
        <v>1209</v>
      </c>
      <c r="B82" s="270">
        <f>SUM(B80:B81)</f>
        <v>1514411</v>
      </c>
      <c r="C82" s="270">
        <f>SUM(C80:C81)</f>
        <v>1514411</v>
      </c>
      <c r="D82" s="270">
        <f t="shared" si="1"/>
        <v>0</v>
      </c>
      <c r="E82" s="268"/>
      <c r="F82" s="267"/>
    </row>
    <row r="83" spans="1:6" s="352" customFormat="1">
      <c r="A83" s="264" t="s">
        <v>765</v>
      </c>
      <c r="B83" s="264"/>
      <c r="C83" s="264"/>
      <c r="D83" s="264"/>
      <c r="E83" s="282"/>
      <c r="F83" s="264"/>
    </row>
    <row r="84" spans="1:6" s="352" customFormat="1" ht="13.7" customHeight="1">
      <c r="A84" s="269" t="s">
        <v>766</v>
      </c>
      <c r="B84" s="266">
        <f>'Sources and Uses Budget'!$C83</f>
        <v>61948</v>
      </c>
      <c r="C84" s="266">
        <f>'Sources and Uses Budget'!$C83</f>
        <v>61948</v>
      </c>
      <c r="D84" s="270">
        <f t="shared" si="1"/>
        <v>0</v>
      </c>
      <c r="E84" s="268"/>
      <c r="F84" s="267"/>
    </row>
    <row r="85" spans="1:6" s="352" customFormat="1">
      <c r="A85" s="269" t="s">
        <v>767</v>
      </c>
      <c r="B85" s="266">
        <f>'Sources and Uses Budget'!$C84</f>
        <v>50000</v>
      </c>
      <c r="C85" s="266">
        <f>'Sources and Uses Budget'!$C84</f>
        <v>50000</v>
      </c>
      <c r="D85" s="270">
        <f t="shared" si="1"/>
        <v>0</v>
      </c>
      <c r="E85" s="268"/>
      <c r="F85" s="267"/>
    </row>
    <row r="86" spans="1:6" s="352" customFormat="1">
      <c r="A86" s="269" t="s">
        <v>768</v>
      </c>
      <c r="B86" s="266">
        <f>'Sources and Uses Budget'!$C85</f>
        <v>849243</v>
      </c>
      <c r="C86" s="266">
        <f>'Sources and Uses Budget'!$C85</f>
        <v>849243</v>
      </c>
      <c r="D86" s="270">
        <f t="shared" si="1"/>
        <v>0</v>
      </c>
      <c r="E86" s="268"/>
      <c r="F86" s="267"/>
    </row>
    <row r="87" spans="1:6" s="352" customFormat="1">
      <c r="A87" s="269" t="s">
        <v>769</v>
      </c>
      <c r="B87" s="266">
        <f>'Sources and Uses Budget'!$C86</f>
        <v>500000</v>
      </c>
      <c r="C87" s="266">
        <f>'Sources and Uses Budget'!$C86</f>
        <v>500000</v>
      </c>
      <c r="D87" s="270">
        <f t="shared" si="1"/>
        <v>0</v>
      </c>
      <c r="E87" s="268"/>
      <c r="F87" s="267"/>
    </row>
    <row r="88" spans="1:6" s="352" customFormat="1">
      <c r="A88" s="269" t="s">
        <v>770</v>
      </c>
      <c r="B88" s="266">
        <f>'Sources and Uses Budget'!$C87</f>
        <v>0</v>
      </c>
      <c r="C88" s="266">
        <f>'Sources and Uses Budget'!$C87</f>
        <v>0</v>
      </c>
      <c r="D88" s="270">
        <f t="shared" si="1"/>
        <v>0</v>
      </c>
      <c r="E88" s="268"/>
      <c r="F88" s="267"/>
    </row>
    <row r="89" spans="1:6" s="352" customFormat="1">
      <c r="A89" s="269" t="s">
        <v>771</v>
      </c>
      <c r="B89" s="266">
        <f>'Sources and Uses Budget'!$C88</f>
        <v>90000</v>
      </c>
      <c r="C89" s="266">
        <f>'Sources and Uses Budget'!$C88</f>
        <v>90000</v>
      </c>
      <c r="D89" s="270">
        <f t="shared" si="1"/>
        <v>0</v>
      </c>
      <c r="E89" s="268"/>
      <c r="F89" s="267"/>
    </row>
    <row r="90" spans="1:6" s="352" customFormat="1">
      <c r="A90" s="269" t="s">
        <v>772</v>
      </c>
      <c r="B90" s="266">
        <f>'Sources and Uses Budget'!$C89</f>
        <v>100000</v>
      </c>
      <c r="C90" s="266">
        <f>'Sources and Uses Budget'!$C89</f>
        <v>100000</v>
      </c>
      <c r="D90" s="270">
        <f t="shared" si="1"/>
        <v>0</v>
      </c>
      <c r="E90" s="268"/>
      <c r="F90" s="267"/>
    </row>
    <row r="91" spans="1:6" s="352" customFormat="1">
      <c r="A91" s="269" t="s">
        <v>773</v>
      </c>
      <c r="B91" s="266">
        <f>'Sources and Uses Budget'!$C90</f>
        <v>30000</v>
      </c>
      <c r="C91" s="266">
        <f>'Sources and Uses Budget'!$C90</f>
        <v>30000</v>
      </c>
      <c r="D91" s="270">
        <f t="shared" si="1"/>
        <v>0</v>
      </c>
      <c r="E91" s="268"/>
      <c r="F91" s="267"/>
    </row>
    <row r="92" spans="1:6" s="352" customFormat="1">
      <c r="A92" s="269" t="s">
        <v>371</v>
      </c>
      <c r="B92" s="266">
        <f>'Sources and Uses Budget'!$C91</f>
        <v>0</v>
      </c>
      <c r="C92" s="266">
        <f>'Sources and Uses Budget'!$C91</f>
        <v>0</v>
      </c>
      <c r="D92" s="270">
        <f t="shared" si="1"/>
        <v>0</v>
      </c>
      <c r="E92" s="268"/>
      <c r="F92" s="267"/>
    </row>
    <row r="93" spans="1:6" s="352" customFormat="1">
      <c r="A93" s="510" t="s">
        <v>1211</v>
      </c>
      <c r="B93" s="266">
        <f>'Sources and Uses Budget'!$C92</f>
        <v>10000</v>
      </c>
      <c r="C93" s="266">
        <f>'Sources and Uses Budget'!$C92</f>
        <v>10000</v>
      </c>
      <c r="D93" s="270">
        <f t="shared" si="1"/>
        <v>0</v>
      </c>
      <c r="E93" s="268"/>
      <c r="F93" s="267"/>
    </row>
    <row r="94" spans="1:6" s="352" customFormat="1">
      <c r="A94" s="272" t="s">
        <v>34</v>
      </c>
      <c r="B94" s="266">
        <f>'Sources and Uses Budget'!$C93</f>
        <v>60000</v>
      </c>
      <c r="C94" s="266">
        <f>'Sources and Uses Budget'!$C93</f>
        <v>60000</v>
      </c>
      <c r="D94" s="270">
        <f t="shared" si="1"/>
        <v>0</v>
      </c>
      <c r="E94" s="268"/>
      <c r="F94" s="267"/>
    </row>
    <row r="95" spans="1:6" s="352" customFormat="1">
      <c r="A95" s="272" t="s">
        <v>34</v>
      </c>
      <c r="B95" s="266">
        <f>'Sources and Uses Budget'!$C94</f>
        <v>550000</v>
      </c>
      <c r="C95" s="266">
        <f>'Sources and Uses Budget'!$C94</f>
        <v>550000</v>
      </c>
      <c r="D95" s="270">
        <f t="shared" si="1"/>
        <v>0</v>
      </c>
      <c r="E95" s="268"/>
      <c r="F95" s="267"/>
    </row>
    <row r="96" spans="1:6" s="352" customFormat="1">
      <c r="A96" s="272" t="s">
        <v>34</v>
      </c>
      <c r="B96" s="266">
        <f>'Sources and Uses Budget'!$C95</f>
        <v>225000</v>
      </c>
      <c r="C96" s="266">
        <f>'Sources and Uses Budget'!$C95</f>
        <v>225000</v>
      </c>
      <c r="D96" s="270">
        <f t="shared" si="1"/>
        <v>0</v>
      </c>
      <c r="E96" s="268"/>
      <c r="F96" s="267"/>
    </row>
    <row r="97" spans="1:6" s="352" customFormat="1">
      <c r="A97" s="271" t="s">
        <v>774</v>
      </c>
      <c r="B97" s="270">
        <f>SUM(B84:B96)</f>
        <v>2526191</v>
      </c>
      <c r="C97" s="270">
        <f>SUM(C84:C96)</f>
        <v>2526191</v>
      </c>
      <c r="D97" s="270">
        <f t="shared" si="1"/>
        <v>0</v>
      </c>
      <c r="E97" s="268"/>
      <c r="F97" s="267"/>
    </row>
    <row r="98" spans="1:6" s="352" customFormat="1">
      <c r="A98" s="271" t="s">
        <v>775</v>
      </c>
      <c r="B98" s="270">
        <f>SUM(B64+B71+B78+B82+B97)</f>
        <v>36008580</v>
      </c>
      <c r="C98" s="270">
        <f>SUM(C64+C71+C78+C82+C97)</f>
        <v>36008580</v>
      </c>
      <c r="D98" s="270">
        <f t="shared" si="1"/>
        <v>0</v>
      </c>
      <c r="E98" s="268"/>
      <c r="F98" s="267"/>
    </row>
    <row r="99" spans="1:6" s="352" customFormat="1">
      <c r="A99" s="264" t="s">
        <v>776</v>
      </c>
      <c r="B99" s="264"/>
      <c r="C99" s="264"/>
      <c r="D99" s="264"/>
      <c r="E99" s="282"/>
      <c r="F99" s="264"/>
    </row>
    <row r="100" spans="1:6" s="352" customFormat="1">
      <c r="A100" s="145" t="s">
        <v>777</v>
      </c>
      <c r="B100" s="266">
        <f>'Sources and Uses Budget'!$C99</f>
        <v>4803039</v>
      </c>
      <c r="C100" s="266">
        <f>'Sources and Uses Budget'!$C99</f>
        <v>4803039</v>
      </c>
      <c r="D100" s="270">
        <f t="shared" si="1"/>
        <v>0</v>
      </c>
      <c r="E100" s="268"/>
      <c r="F100" s="267"/>
    </row>
    <row r="101" spans="1:6" s="352" customFormat="1">
      <c r="A101" s="283" t="s">
        <v>1646</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1647</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779</v>
      </c>
      <c r="B105" s="270">
        <f>SUM(B100:B104)</f>
        <v>4803039</v>
      </c>
      <c r="C105" s="270">
        <f>SUM(C100:C104)</f>
        <v>4803039</v>
      </c>
      <c r="D105" s="270">
        <f t="shared" si="1"/>
        <v>0</v>
      </c>
      <c r="E105" s="268"/>
      <c r="F105" s="267"/>
    </row>
    <row r="106" spans="1:6" s="352" customFormat="1">
      <c r="A106" s="271" t="s">
        <v>780</v>
      </c>
      <c r="B106" s="273">
        <f>SUM(B98+B105)</f>
        <v>40811619</v>
      </c>
      <c r="C106" s="273">
        <f>SUM(C98+C105)</f>
        <v>40811619</v>
      </c>
      <c r="D106" s="270">
        <f t="shared" si="1"/>
        <v>0</v>
      </c>
      <c r="E106" s="268"/>
      <c r="F106" s="267"/>
    </row>
    <row r="107" spans="1:6" s="352" customFormat="1">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6" customHeight="1" zeroHeight="1"/>
  <cols>
    <col min="1" max="10" width="10.7109375" style="402" customWidth="1"/>
    <col min="11" max="16384" width="8.85546875" style="402" hidden="1"/>
  </cols>
  <sheetData>
    <row r="1" spans="1:10" ht="15.75">
      <c r="A1" s="1274" t="s">
        <v>1868</v>
      </c>
      <c r="B1" s="1275"/>
      <c r="C1" s="1275"/>
      <c r="D1" s="1275"/>
      <c r="E1" s="1275"/>
      <c r="F1" s="1275"/>
      <c r="G1" s="1275"/>
      <c r="H1" s="1275"/>
      <c r="I1" s="1275"/>
      <c r="J1" s="1275"/>
    </row>
    <row r="2" spans="1:10" ht="15">
      <c r="A2" s="1278" t="s">
        <v>1268</v>
      </c>
      <c r="B2" s="1279"/>
      <c r="C2" s="1279"/>
      <c r="D2" s="1279"/>
      <c r="E2" s="1279"/>
      <c r="F2" s="1279"/>
      <c r="G2" s="1279"/>
      <c r="H2" s="1279"/>
      <c r="I2" s="1279"/>
      <c r="J2" s="1279"/>
    </row>
    <row r="3" spans="1:10" ht="12.75"/>
    <row r="4" spans="1:10" ht="12.75" customHeight="1">
      <c r="A4" s="1276" t="s">
        <v>2046</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1871</v>
      </c>
      <c r="B8" s="416"/>
      <c r="C8" s="416"/>
      <c r="D8" s="416"/>
      <c r="E8" s="416"/>
      <c r="F8" s="416"/>
      <c r="G8" s="416"/>
      <c r="H8" s="416"/>
      <c r="I8" s="416"/>
      <c r="J8" s="416"/>
    </row>
    <row r="9" spans="1:10" ht="12.75"/>
    <row r="10" spans="1:10" ht="12.75" customHeight="1">
      <c r="A10" s="1280" t="s">
        <v>1873</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1872</v>
      </c>
      <c r="B17" s="416"/>
      <c r="C17" s="416"/>
      <c r="D17" s="416"/>
      <c r="E17" s="416"/>
      <c r="F17" s="416"/>
      <c r="G17" s="416"/>
      <c r="H17" s="416"/>
      <c r="I17" s="416"/>
      <c r="J17" s="416"/>
    </row>
    <row r="18" spans="1:10" ht="12.75">
      <c r="A18" s="416" t="s">
        <v>249</v>
      </c>
      <c r="B18" s="416"/>
      <c r="C18" s="416"/>
      <c r="D18" s="416"/>
      <c r="E18" s="416"/>
      <c r="F18" s="416"/>
      <c r="G18" s="416"/>
      <c r="H18" s="416"/>
      <c r="I18" s="416"/>
      <c r="J18" s="416"/>
    </row>
    <row r="19" spans="1:10" ht="12.75">
      <c r="A19" s="1279" t="s">
        <v>1189</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1190</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1189</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1869</v>
      </c>
      <c r="B71" s="1277"/>
      <c r="C71" s="1277"/>
      <c r="D71" s="1277"/>
      <c r="E71" s="1277"/>
      <c r="F71" s="1277"/>
      <c r="G71" s="1277"/>
      <c r="H71" s="1277"/>
      <c r="I71" s="1277"/>
    </row>
    <row r="72" spans="1:9" ht="12.75">
      <c r="A72" s="1269" t="s">
        <v>2044</v>
      </c>
      <c r="B72" s="1269"/>
      <c r="C72" s="1269"/>
      <c r="D72" s="1269"/>
      <c r="E72" s="1269"/>
    </row>
    <row r="73" spans="1:9" ht="12.75">
      <c r="A73" s="1269" t="s">
        <v>2045</v>
      </c>
      <c r="B73" s="1269"/>
      <c r="C73" s="1269"/>
      <c r="D73" s="1269"/>
      <c r="E73" s="1269"/>
    </row>
    <row r="74" spans="1:9" ht="12.75">
      <c r="A74" s="1269" t="s">
        <v>1870</v>
      </c>
      <c r="B74" s="1269"/>
      <c r="C74" s="1269"/>
      <c r="D74" s="1269"/>
      <c r="E74" s="1269"/>
    </row>
    <row r="75" spans="1:9" ht="12.75"/>
    <row r="76" spans="1:9" ht="12.75"/>
    <row r="77" spans="1:9" ht="12.75"/>
    <row r="78" spans="1:9" ht="12.6" customHeight="1"/>
    <row r="79" spans="1:9" ht="12.6" customHeight="1"/>
    <row r="80" spans="1:9" ht="12.6" customHeight="1"/>
    <row r="81" ht="12.6" customHeight="1"/>
    <row r="82" ht="12.6" customHeight="1"/>
    <row r="83" ht="12.6" customHeight="1"/>
    <row r="84" ht="12.6" customHeight="1"/>
    <row r="85" ht="12.6"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104775</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abSelected="1" topLeftCell="A237" workbookViewId="0">
      <selection activeCell="B267" sqref="B267"/>
    </sheetView>
  </sheetViews>
  <sheetFormatPr defaultColWidth="0" defaultRowHeight="12.75" zeroHeight="1"/>
  <cols>
    <col min="1" max="1" width="3.42578125" style="480" customWidth="1"/>
    <col min="2" max="2" width="13.42578125" style="480" customWidth="1"/>
    <col min="3" max="3" width="2.42578125" style="480" customWidth="1"/>
    <col min="4" max="5" width="3.42578125" style="402" customWidth="1"/>
    <col min="6" max="6" width="65.42578125" style="402" customWidth="1"/>
    <col min="7" max="7" width="1.42578125" style="402" customWidth="1"/>
    <col min="8" max="8" width="3.42578125" style="402" customWidth="1"/>
    <col min="9" max="9" width="9.140625" style="404" customWidth="1"/>
    <col min="10" max="10" width="8.85546875" style="402" hidden="1" customWidth="1"/>
    <col min="11" max="16384" width="8.85546875" style="402" hidden="1"/>
  </cols>
  <sheetData>
    <row r="1" spans="1:13"/>
    <row r="2" spans="1:13">
      <c r="A2" s="1331" t="s">
        <v>2457</v>
      </c>
      <c r="B2" s="1331"/>
      <c r="C2" s="1331"/>
      <c r="D2" s="1331"/>
      <c r="E2" s="1331"/>
      <c r="F2" s="1331"/>
      <c r="G2" s="1331"/>
      <c r="H2" s="1331"/>
      <c r="I2" s="1331"/>
    </row>
    <row r="3" spans="1:13">
      <c r="A3" s="1319" t="s">
        <v>2218</v>
      </c>
      <c r="B3" s="1319"/>
      <c r="C3" s="1319"/>
      <c r="D3" s="1319"/>
      <c r="E3" s="1319"/>
      <c r="F3" s="1319"/>
      <c r="G3" s="1319"/>
      <c r="H3" s="1319"/>
      <c r="I3" s="1319"/>
    </row>
    <row r="4" spans="1:13">
      <c r="A4" s="1319"/>
      <c r="B4" s="1319"/>
      <c r="C4" s="1279"/>
      <c r="D4" s="1279"/>
      <c r="E4" s="1279"/>
      <c r="F4" s="1279"/>
      <c r="G4" s="1279"/>
    </row>
    <row r="5" spans="1:13">
      <c r="A5" s="1319"/>
      <c r="B5" s="1319"/>
      <c r="C5" s="1279"/>
      <c r="D5" s="1279"/>
      <c r="E5" s="1279"/>
      <c r="F5" s="1279"/>
      <c r="G5" s="1279"/>
    </row>
    <row r="6" spans="1:13" ht="12.75" customHeight="1">
      <c r="A6" s="1322" t="s">
        <v>2217</v>
      </c>
      <c r="B6" s="1322"/>
      <c r="C6" s="1322"/>
      <c r="D6" s="1322"/>
      <c r="E6" s="1322"/>
      <c r="F6" s="1322"/>
      <c r="G6" s="1322"/>
      <c r="I6" s="490"/>
    </row>
    <row r="7" spans="1:13">
      <c r="A7" s="1322"/>
      <c r="B7" s="1322"/>
      <c r="C7" s="1322"/>
      <c r="D7" s="1322"/>
      <c r="E7" s="1322"/>
      <c r="F7" s="1322"/>
      <c r="G7" s="1322"/>
      <c r="I7" s="490"/>
    </row>
    <row r="8" spans="1:13">
      <c r="A8" s="481"/>
      <c r="B8" s="481"/>
      <c r="C8" s="482"/>
      <c r="D8" s="482"/>
      <c r="E8" s="482"/>
      <c r="F8" s="482"/>
    </row>
    <row r="9" spans="1:13">
      <c r="A9" s="1308" t="s">
        <v>1101</v>
      </c>
      <c r="B9" s="1308"/>
      <c r="C9" s="1308"/>
      <c r="D9" s="1308"/>
      <c r="E9" s="1308"/>
      <c r="F9" s="1308"/>
      <c r="G9" s="1308"/>
      <c r="H9" s="1028"/>
      <c r="I9" s="1029"/>
    </row>
    <row r="10" spans="1:13">
      <c r="A10" s="482"/>
      <c r="B10" s="482"/>
      <c r="E10" s="404"/>
    </row>
    <row r="11" spans="1:13" ht="13.7" customHeight="1">
      <c r="C11" s="482"/>
      <c r="D11" s="1321" t="s">
        <v>1100</v>
      </c>
      <c r="E11" s="1321"/>
      <c r="F11" s="1321"/>
    </row>
    <row r="12" spans="1:13">
      <c r="C12" s="482"/>
      <c r="D12" s="1321"/>
      <c r="E12" s="1321"/>
      <c r="F12" s="1321"/>
    </row>
    <row r="13" spans="1:13">
      <c r="A13" s="483"/>
      <c r="B13" s="483"/>
      <c r="C13" s="483"/>
      <c r="D13" s="1299" t="s">
        <v>1090</v>
      </c>
      <c r="E13" s="1299"/>
      <c r="F13" s="1299"/>
      <c r="M13" s="96"/>
    </row>
    <row r="14" spans="1:13">
      <c r="A14" s="483"/>
      <c r="B14" s="483"/>
      <c r="C14" s="483"/>
      <c r="D14" s="476"/>
      <c r="L14" s="312"/>
    </row>
    <row r="15" spans="1:13" ht="14.25">
      <c r="A15" s="484"/>
      <c r="B15" s="485" t="s">
        <v>2721</v>
      </c>
      <c r="C15" s="483"/>
      <c r="D15" s="1301" t="s">
        <v>1921</v>
      </c>
      <c r="E15" s="1301"/>
      <c r="F15" s="1301"/>
      <c r="I15" s="490"/>
    </row>
    <row r="16" spans="1:13">
      <c r="A16" s="483"/>
      <c r="B16" s="483"/>
      <c r="C16" s="483"/>
      <c r="D16" s="1301"/>
      <c r="E16" s="1301"/>
      <c r="F16" s="1301"/>
      <c r="I16" s="490"/>
    </row>
    <row r="17" spans="1:9">
      <c r="A17" s="483"/>
      <c r="B17" s="483"/>
      <c r="C17" s="483"/>
      <c r="D17" s="1301"/>
      <c r="E17" s="1301"/>
      <c r="F17" s="1301"/>
      <c r="I17" s="490"/>
    </row>
    <row r="18" spans="1:9">
      <c r="A18" s="483"/>
      <c r="B18" s="483"/>
      <c r="C18" s="483"/>
      <c r="D18" s="445"/>
      <c r="E18" s="312" t="s">
        <v>1919</v>
      </c>
      <c r="F18" s="445"/>
      <c r="I18" s="490"/>
    </row>
    <row r="19" spans="1:9">
      <c r="A19" s="483"/>
      <c r="B19" s="483"/>
      <c r="C19" s="483"/>
      <c r="I19" s="490"/>
    </row>
    <row r="20" spans="1:9" ht="14.25">
      <c r="A20" s="484"/>
      <c r="B20" s="485" t="s">
        <v>2721</v>
      </c>
      <c r="D20" s="1301" t="s">
        <v>1922</v>
      </c>
      <c r="E20" s="1301"/>
      <c r="F20" s="1301"/>
      <c r="I20" s="490"/>
    </row>
    <row r="21" spans="1:9" ht="14.25">
      <c r="A21" s="484"/>
      <c r="D21" s="1301"/>
      <c r="E21" s="1301"/>
      <c r="F21" s="1301"/>
      <c r="I21" s="490"/>
    </row>
    <row r="22" spans="1:9" ht="14.25">
      <c r="A22" s="484"/>
      <c r="D22" s="392"/>
      <c r="E22" s="96" t="s">
        <v>1918</v>
      </c>
      <c r="F22" s="392"/>
      <c r="I22" s="490"/>
    </row>
    <row r="23" spans="1:9" ht="14.25">
      <c r="A23" s="484"/>
      <c r="B23" s="484"/>
      <c r="D23" s="446"/>
      <c r="I23" s="490"/>
    </row>
    <row r="24" spans="1:9" ht="14.25">
      <c r="A24" s="484"/>
      <c r="B24" s="485" t="s">
        <v>2722</v>
      </c>
      <c r="D24" s="1301" t="s">
        <v>1091</v>
      </c>
      <c r="E24" s="1301"/>
      <c r="F24" s="1301"/>
      <c r="I24" s="490"/>
    </row>
    <row r="25" spans="1:9" ht="14.25">
      <c r="A25" s="484"/>
      <c r="B25" s="484"/>
      <c r="D25" s="1301"/>
      <c r="E25" s="1301"/>
      <c r="F25" s="1301"/>
      <c r="I25" s="490"/>
    </row>
    <row r="26" spans="1:9">
      <c r="I26" s="490"/>
    </row>
    <row r="27" spans="1:9" ht="14.25">
      <c r="A27" s="484"/>
      <c r="B27" s="485" t="s">
        <v>2721</v>
      </c>
      <c r="D27" s="1301" t="s">
        <v>2047</v>
      </c>
      <c r="E27" s="1301"/>
      <c r="F27" s="1301"/>
      <c r="I27" s="490"/>
    </row>
    <row r="28" spans="1:9">
      <c r="D28" s="1301"/>
      <c r="E28" s="1301"/>
      <c r="F28" s="1301"/>
      <c r="I28" s="490"/>
    </row>
    <row r="29" spans="1:9">
      <c r="D29" s="1301"/>
      <c r="E29" s="1301"/>
      <c r="F29" s="1301"/>
      <c r="I29" s="490"/>
    </row>
    <row r="30" spans="1:9">
      <c r="D30" s="1301"/>
      <c r="E30" s="1301"/>
      <c r="F30" s="1301"/>
      <c r="I30" s="490"/>
    </row>
    <row r="31" spans="1:9">
      <c r="D31" s="1301"/>
      <c r="E31" s="1301"/>
      <c r="F31" s="1301"/>
      <c r="I31" s="490"/>
    </row>
    <row r="32" spans="1:9">
      <c r="D32" s="447"/>
      <c r="I32" s="490"/>
    </row>
    <row r="33" spans="1:9">
      <c r="B33" s="485" t="s">
        <v>2722</v>
      </c>
      <c r="D33" s="1301" t="s">
        <v>2048</v>
      </c>
      <c r="E33" s="1301"/>
      <c r="F33" s="1301"/>
      <c r="I33" s="490"/>
    </row>
    <row r="34" spans="1:9">
      <c r="D34" s="1301"/>
      <c r="E34" s="1301"/>
      <c r="F34" s="1301"/>
      <c r="I34" s="490"/>
    </row>
    <row r="35" spans="1:9" ht="14.25">
      <c r="A35" s="484"/>
      <c r="B35" s="484"/>
      <c r="D35" s="447"/>
      <c r="I35" s="490"/>
    </row>
    <row r="36" spans="1:9" ht="14.45" customHeight="1">
      <c r="A36" s="484"/>
      <c r="B36" s="485" t="s">
        <v>2722</v>
      </c>
      <c r="D36" s="1301" t="s">
        <v>1214</v>
      </c>
      <c r="E36" s="1301"/>
      <c r="F36" s="1301"/>
      <c r="I36" s="490"/>
    </row>
    <row r="37" spans="1:9" ht="14.25">
      <c r="A37" s="484"/>
      <c r="B37" s="484"/>
      <c r="D37" s="1301"/>
      <c r="E37" s="1301"/>
      <c r="F37" s="1301"/>
      <c r="I37" s="490"/>
    </row>
    <row r="38" spans="1:9" ht="14.25">
      <c r="A38" s="484"/>
      <c r="B38" s="484"/>
      <c r="D38" s="1301"/>
      <c r="E38" s="1301"/>
      <c r="F38" s="1301"/>
      <c r="I38" s="490"/>
    </row>
    <row r="39" spans="1:9" ht="14.25">
      <c r="A39" s="484"/>
      <c r="B39" s="484"/>
      <c r="D39" s="1301"/>
      <c r="E39" s="1301"/>
      <c r="F39" s="1301"/>
      <c r="I39" s="490"/>
    </row>
    <row r="40" spans="1:9" ht="14.25">
      <c r="A40" s="484"/>
      <c r="B40" s="484"/>
      <c r="I40" s="490"/>
    </row>
    <row r="41" spans="1:9" ht="14.25">
      <c r="A41" s="484"/>
      <c r="B41" s="485" t="s">
        <v>2721</v>
      </c>
      <c r="D41" s="1301" t="s">
        <v>1092</v>
      </c>
      <c r="E41" s="1301"/>
      <c r="F41" s="1301"/>
      <c r="I41" s="490"/>
    </row>
    <row r="42" spans="1:9" ht="14.25">
      <c r="A42" s="484"/>
      <c r="B42" s="484"/>
      <c r="D42" s="1301"/>
      <c r="E42" s="1301"/>
      <c r="F42" s="1301"/>
      <c r="I42" s="490"/>
    </row>
    <row r="43" spans="1:9" ht="14.25">
      <c r="A43" s="484"/>
      <c r="B43" s="484"/>
      <c r="D43" s="1301"/>
      <c r="E43" s="1301"/>
      <c r="F43" s="1301"/>
      <c r="I43" s="490"/>
    </row>
    <row r="44" spans="1:9" ht="14.25">
      <c r="A44" s="484"/>
      <c r="B44" s="484"/>
      <c r="D44" s="1301"/>
      <c r="E44" s="1301"/>
      <c r="F44" s="1301"/>
      <c r="I44" s="490"/>
    </row>
    <row r="45" spans="1:9" ht="14.25">
      <c r="A45" s="484"/>
      <c r="B45" s="484"/>
      <c r="D45" s="1301"/>
      <c r="E45" s="1301"/>
      <c r="F45" s="1301"/>
      <c r="I45" s="490"/>
    </row>
    <row r="46" spans="1:9" ht="14.25">
      <c r="A46" s="484"/>
      <c r="B46" s="484"/>
      <c r="D46" s="445"/>
      <c r="E46" s="445"/>
      <c r="F46" s="445"/>
      <c r="I46" s="490"/>
    </row>
    <row r="47" spans="1:9" ht="14.25">
      <c r="A47" s="484"/>
      <c r="B47" s="485" t="s">
        <v>2722</v>
      </c>
      <c r="D47" s="1301" t="s">
        <v>1093</v>
      </c>
      <c r="E47" s="1301"/>
      <c r="F47" s="1301"/>
      <c r="I47" s="490"/>
    </row>
    <row r="48" spans="1:9" ht="14.25">
      <c r="A48" s="484"/>
      <c r="B48" s="484"/>
      <c r="D48" s="1301"/>
      <c r="E48" s="1301"/>
      <c r="F48" s="1301"/>
      <c r="I48" s="490"/>
    </row>
    <row r="49" spans="1:9" ht="14.25">
      <c r="A49" s="484"/>
      <c r="B49" s="484"/>
      <c r="D49" s="1301"/>
      <c r="E49" s="1301"/>
      <c r="F49" s="1301"/>
      <c r="I49" s="490"/>
    </row>
    <row r="50" spans="1:9" ht="23.25" customHeight="1">
      <c r="A50" s="484"/>
      <c r="B50" s="484"/>
      <c r="D50" s="1301"/>
      <c r="E50" s="1301"/>
      <c r="F50" s="1301"/>
      <c r="I50" s="490"/>
    </row>
    <row r="51" spans="1:9" ht="14.25">
      <c r="A51" s="484"/>
      <c r="B51" s="484"/>
      <c r="D51" s="446"/>
      <c r="I51" s="490"/>
    </row>
    <row r="52" spans="1:9" ht="14.45" customHeight="1">
      <c r="A52" s="484"/>
      <c r="B52" s="485" t="s">
        <v>2722</v>
      </c>
      <c r="D52" s="1301" t="s">
        <v>1094</v>
      </c>
      <c r="E52" s="1301"/>
      <c r="F52" s="1301"/>
      <c r="I52" s="490"/>
    </row>
    <row r="53" spans="1:9" ht="14.25">
      <c r="A53" s="484"/>
      <c r="B53" s="484"/>
      <c r="D53" s="1301"/>
      <c r="E53" s="1301"/>
      <c r="F53" s="1301"/>
      <c r="I53" s="490"/>
    </row>
    <row r="54" spans="1:9" ht="14.25">
      <c r="A54" s="484"/>
      <c r="B54" s="484"/>
      <c r="D54" s="1301"/>
      <c r="E54" s="1301"/>
      <c r="F54" s="1301"/>
      <c r="I54" s="490"/>
    </row>
    <row r="55" spans="1:9" ht="14.25">
      <c r="A55" s="484"/>
      <c r="B55" s="484"/>
      <c r="I55" s="490"/>
    </row>
    <row r="56" spans="1:9" ht="14.25">
      <c r="A56" s="484"/>
      <c r="B56" s="485" t="s">
        <v>2721</v>
      </c>
      <c r="D56" s="1324" t="s">
        <v>1095</v>
      </c>
      <c r="E56" s="1324"/>
      <c r="F56" s="1324"/>
      <c r="I56" s="490"/>
    </row>
    <row r="57" spans="1:9" ht="14.25">
      <c r="A57" s="484"/>
      <c r="B57" s="484"/>
      <c r="D57" s="1324"/>
      <c r="E57" s="1324"/>
      <c r="F57" s="1324"/>
      <c r="I57" s="490"/>
    </row>
    <row r="58" spans="1:9" ht="14.25">
      <c r="A58" s="484"/>
      <c r="B58" s="484"/>
      <c r="D58" s="392" t="s">
        <v>1920</v>
      </c>
      <c r="E58" s="445"/>
      <c r="F58" s="445"/>
      <c r="I58" s="490"/>
    </row>
    <row r="59" spans="1:9" ht="14.25">
      <c r="A59" s="484"/>
      <c r="B59" s="484"/>
      <c r="D59" s="445"/>
      <c r="E59" s="312" t="s">
        <v>1919</v>
      </c>
      <c r="F59" s="445"/>
      <c r="I59" s="490"/>
    </row>
    <row r="60" spans="1:9">
      <c r="D60" s="447"/>
      <c r="I60" s="490"/>
    </row>
    <row r="61" spans="1:9" ht="14.25">
      <c r="A61" s="484"/>
      <c r="B61" s="485" t="s">
        <v>2722</v>
      </c>
      <c r="D61" s="1301" t="s">
        <v>1096</v>
      </c>
      <c r="E61" s="1301"/>
      <c r="F61" s="1301"/>
      <c r="I61" s="490"/>
    </row>
    <row r="62" spans="1:9">
      <c r="D62" s="1301"/>
      <c r="E62" s="1301"/>
      <c r="F62" s="1301"/>
      <c r="I62" s="490"/>
    </row>
    <row r="63" spans="1:9">
      <c r="D63" s="1301"/>
      <c r="E63" s="1301"/>
      <c r="F63" s="1301"/>
      <c r="I63" s="490"/>
    </row>
    <row r="64" spans="1:9">
      <c r="I64" s="490"/>
    </row>
    <row r="65" spans="1:9" ht="14.25">
      <c r="A65" s="484"/>
      <c r="B65" s="485" t="s">
        <v>2722</v>
      </c>
      <c r="D65" s="1301" t="s">
        <v>1097</v>
      </c>
      <c r="E65" s="1301"/>
      <c r="F65" s="1301"/>
      <c r="I65" s="490"/>
    </row>
    <row r="66" spans="1:9">
      <c r="D66" s="1301"/>
      <c r="E66" s="1301"/>
      <c r="F66" s="1301"/>
      <c r="I66" s="490"/>
    </row>
    <row r="67" spans="1:9">
      <c r="I67" s="490"/>
    </row>
    <row r="68" spans="1:9" ht="14.25">
      <c r="A68" s="484"/>
      <c r="B68" s="485" t="s">
        <v>2722</v>
      </c>
      <c r="D68" s="1301" t="s">
        <v>1098</v>
      </c>
      <c r="E68" s="1301"/>
      <c r="F68" s="1301"/>
      <c r="I68" s="490"/>
    </row>
    <row r="69" spans="1:9">
      <c r="D69" s="1301"/>
      <c r="E69" s="1301"/>
      <c r="F69" s="1301"/>
      <c r="I69" s="490"/>
    </row>
    <row r="70" spans="1:9">
      <c r="D70" s="1301"/>
      <c r="E70" s="1301"/>
      <c r="F70" s="1301"/>
      <c r="I70" s="490"/>
    </row>
    <row r="71" spans="1:9">
      <c r="I71" s="490"/>
    </row>
    <row r="72" spans="1:9" ht="14.25">
      <c r="A72" s="484"/>
      <c r="B72" s="485" t="s">
        <v>2722</v>
      </c>
      <c r="D72" s="1301" t="s">
        <v>1099</v>
      </c>
      <c r="E72" s="1301"/>
      <c r="F72" s="1301"/>
      <c r="I72" s="490"/>
    </row>
    <row r="73" spans="1:9">
      <c r="D73" s="1301"/>
      <c r="E73" s="1301"/>
      <c r="F73" s="1301"/>
      <c r="I73" s="490"/>
    </row>
    <row r="74" spans="1:9" ht="14.25">
      <c r="A74" s="484"/>
      <c r="B74" s="484"/>
      <c r="D74" s="446"/>
      <c r="I74" s="490"/>
    </row>
    <row r="75" spans="1:9">
      <c r="A75" s="1308" t="s">
        <v>1044</v>
      </c>
      <c r="B75" s="1308"/>
      <c r="C75" s="1308"/>
      <c r="D75" s="1308"/>
      <c r="E75" s="1308"/>
      <c r="F75" s="1308"/>
      <c r="G75" s="1308"/>
      <c r="H75" s="1028"/>
      <c r="I75" s="1153"/>
    </row>
    <row r="76" spans="1:9">
      <c r="I76" s="490"/>
    </row>
    <row r="77" spans="1:9">
      <c r="C77" s="486"/>
      <c r="D77" s="1317" t="s">
        <v>1102</v>
      </c>
      <c r="E77" s="1317"/>
      <c r="F77" s="1317"/>
      <c r="I77" s="490"/>
    </row>
    <row r="78" spans="1:9">
      <c r="A78" s="446"/>
      <c r="B78" s="446"/>
      <c r="D78" s="1301" t="s">
        <v>1117</v>
      </c>
      <c r="E78" s="1301"/>
      <c r="F78" s="1301"/>
      <c r="I78" s="490"/>
    </row>
    <row r="79" spans="1:9">
      <c r="A79" s="446"/>
      <c r="B79" s="446"/>
      <c r="I79" s="490"/>
    </row>
    <row r="80" spans="1:9" ht="13.7" customHeight="1">
      <c r="A80" s="484"/>
      <c r="B80" s="485" t="s">
        <v>2721</v>
      </c>
      <c r="D80" s="1301" t="s">
        <v>1245</v>
      </c>
      <c r="E80" s="1301"/>
      <c r="F80" s="1301"/>
      <c r="I80" s="490"/>
    </row>
    <row r="81" spans="1:9" ht="14.25">
      <c r="A81" s="484"/>
      <c r="B81" s="484"/>
      <c r="D81" s="1301"/>
      <c r="E81" s="1301"/>
      <c r="F81" s="1301"/>
      <c r="I81" s="490"/>
    </row>
    <row r="82" spans="1:9" ht="14.25">
      <c r="A82" s="484"/>
      <c r="B82" s="484"/>
      <c r="D82" s="1301"/>
      <c r="E82" s="1301"/>
      <c r="F82" s="1301"/>
      <c r="I82" s="490"/>
    </row>
    <row r="83" spans="1:9" ht="14.25">
      <c r="A83" s="484"/>
      <c r="B83" s="484"/>
      <c r="D83" s="1301"/>
      <c r="E83" s="1301"/>
      <c r="F83" s="1301"/>
      <c r="I83" s="490"/>
    </row>
    <row r="84" spans="1:9" ht="14.25">
      <c r="A84" s="484"/>
      <c r="B84" s="484"/>
      <c r="D84" s="1301"/>
      <c r="E84" s="1301"/>
      <c r="F84" s="1301"/>
      <c r="I84" s="490"/>
    </row>
    <row r="85" spans="1:9" ht="14.25">
      <c r="A85" s="484"/>
      <c r="B85" s="484"/>
      <c r="D85" s="1301"/>
      <c r="E85" s="1301"/>
      <c r="F85" s="1301"/>
      <c r="I85" s="490"/>
    </row>
    <row r="86" spans="1:9" ht="14.25">
      <c r="A86" s="484"/>
      <c r="B86" s="484"/>
      <c r="D86" s="1301"/>
      <c r="E86" s="1301"/>
      <c r="F86" s="1301"/>
      <c r="I86" s="490"/>
    </row>
    <row r="87" spans="1:9" ht="14.25">
      <c r="A87" s="484"/>
      <c r="B87" s="484"/>
      <c r="D87" s="1301"/>
      <c r="E87" s="1301"/>
      <c r="F87" s="1301"/>
      <c r="I87" s="490"/>
    </row>
    <row r="88" spans="1:9" ht="14.25">
      <c r="A88" s="484"/>
      <c r="B88" s="484"/>
      <c r="D88" s="385"/>
      <c r="E88" s="385"/>
      <c r="F88" s="385"/>
      <c r="I88" s="490"/>
    </row>
    <row r="89" spans="1:9" ht="15" customHeight="1">
      <c r="A89" s="484"/>
      <c r="B89" s="485" t="s">
        <v>2721</v>
      </c>
      <c r="D89" s="1301" t="s">
        <v>1742</v>
      </c>
      <c r="E89" s="1301"/>
      <c r="F89" s="1301"/>
      <c r="I89" s="490"/>
    </row>
    <row r="90" spans="1:9" ht="14.25">
      <c r="A90" s="484"/>
      <c r="B90" s="484"/>
      <c r="D90" s="1301"/>
      <c r="E90" s="1301"/>
      <c r="F90" s="1301"/>
      <c r="I90" s="490"/>
    </row>
    <row r="91" spans="1:9" ht="14.25">
      <c r="A91" s="484"/>
      <c r="B91" s="484"/>
      <c r="D91" s="445"/>
      <c r="E91" s="445"/>
      <c r="F91" s="445"/>
      <c r="I91" s="490"/>
    </row>
    <row r="92" spans="1:9" ht="14.25">
      <c r="A92" s="484"/>
      <c r="B92" s="485" t="s">
        <v>2721</v>
      </c>
      <c r="D92" s="1301" t="s">
        <v>1745</v>
      </c>
      <c r="E92" s="1301"/>
      <c r="F92" s="1301"/>
      <c r="I92" s="490"/>
    </row>
    <row r="93" spans="1:9" ht="14.25">
      <c r="A93" s="484"/>
      <c r="B93" s="484"/>
      <c r="D93" s="1301"/>
      <c r="E93" s="1301"/>
      <c r="F93" s="1301"/>
      <c r="I93" s="490"/>
    </row>
    <row r="94" spans="1:9" ht="14.25">
      <c r="A94" s="484"/>
      <c r="B94" s="484"/>
      <c r="D94" s="1301"/>
      <c r="E94" s="1301"/>
      <c r="F94" s="1301"/>
      <c r="I94" s="490"/>
    </row>
    <row r="95" spans="1:9" ht="14.25">
      <c r="A95" s="484"/>
      <c r="B95" s="484"/>
      <c r="D95" s="445"/>
      <c r="E95" s="445"/>
      <c r="F95" s="445"/>
      <c r="I95" s="490"/>
    </row>
    <row r="96" spans="1:9" ht="14.25">
      <c r="A96" s="484"/>
      <c r="B96" s="485" t="s">
        <v>2721</v>
      </c>
      <c r="D96" s="1301" t="s">
        <v>1744</v>
      </c>
      <c r="E96" s="1301"/>
      <c r="F96" s="1301"/>
      <c r="I96" s="490"/>
    </row>
    <row r="97" spans="1:9" s="987" customFormat="1" ht="14.25">
      <c r="A97" s="985"/>
      <c r="B97" s="985"/>
      <c r="C97" s="986"/>
      <c r="D97" s="1301"/>
      <c r="E97" s="1301"/>
      <c r="F97" s="1301"/>
      <c r="I97" s="1154"/>
    </row>
    <row r="98" spans="1:9" ht="14.25">
      <c r="A98" s="484"/>
      <c r="B98" s="484"/>
      <c r="D98" s="392"/>
      <c r="E98" s="312" t="s">
        <v>1923</v>
      </c>
      <c r="F98" s="445"/>
      <c r="I98" s="490"/>
    </row>
    <row r="99" spans="1:9" ht="14.25">
      <c r="A99" s="484"/>
      <c r="B99" s="484"/>
      <c r="D99" s="385"/>
      <c r="E99" s="385"/>
      <c r="F99" s="385"/>
      <c r="I99" s="490"/>
    </row>
    <row r="100" spans="1:9" ht="14.25">
      <c r="A100" s="484"/>
      <c r="B100" s="485" t="s">
        <v>2722</v>
      </c>
      <c r="D100" s="1301" t="s">
        <v>1743</v>
      </c>
      <c r="E100" s="1301"/>
      <c r="F100" s="1301"/>
      <c r="I100" s="490"/>
    </row>
    <row r="101" spans="1:9" ht="14.25">
      <c r="A101" s="484"/>
      <c r="B101" s="484"/>
      <c r="D101" s="1301"/>
      <c r="E101" s="1301"/>
      <c r="F101" s="1301"/>
      <c r="I101" s="490"/>
    </row>
    <row r="102" spans="1:9" ht="14.25">
      <c r="A102" s="484"/>
      <c r="B102" s="484"/>
      <c r="D102" s="445"/>
      <c r="E102" s="445"/>
      <c r="F102" s="445"/>
      <c r="I102" s="490"/>
    </row>
    <row r="103" spans="1:9" ht="14.45" customHeight="1">
      <c r="A103" s="484"/>
      <c r="B103" s="485" t="s">
        <v>2722</v>
      </c>
      <c r="D103" s="1301" t="s">
        <v>1194</v>
      </c>
      <c r="E103" s="1301"/>
      <c r="F103" s="1301"/>
      <c r="I103" s="490"/>
    </row>
    <row r="104" spans="1:9" ht="14.25">
      <c r="A104" s="484"/>
      <c r="B104" s="484"/>
      <c r="D104" s="1301"/>
      <c r="E104" s="1301"/>
      <c r="F104" s="1301"/>
      <c r="I104" s="490"/>
    </row>
    <row r="105" spans="1:9" ht="14.25">
      <c r="A105" s="484"/>
      <c r="B105" s="484"/>
      <c r="D105" s="1301"/>
      <c r="E105" s="1301"/>
      <c r="F105" s="1301"/>
      <c r="I105" s="490"/>
    </row>
    <row r="106" spans="1:9" ht="14.25">
      <c r="A106" s="484"/>
      <c r="B106" s="484"/>
      <c r="D106" s="1301"/>
      <c r="E106" s="1301"/>
      <c r="F106" s="1301"/>
      <c r="I106" s="490"/>
    </row>
    <row r="107" spans="1:9" ht="14.25">
      <c r="A107" s="484"/>
      <c r="B107" s="484"/>
      <c r="D107" s="1301"/>
      <c r="E107" s="1301"/>
      <c r="F107" s="1301"/>
      <c r="I107" s="490"/>
    </row>
    <row r="108" spans="1:9" ht="14.25">
      <c r="A108" s="484"/>
      <c r="B108" s="484"/>
      <c r="D108" s="1301"/>
      <c r="E108" s="1301"/>
      <c r="F108" s="1301"/>
      <c r="I108" s="490"/>
    </row>
    <row r="109" spans="1:9" ht="14.25">
      <c r="A109" s="484"/>
      <c r="B109" s="484"/>
      <c r="D109" s="1301"/>
      <c r="E109" s="1301"/>
      <c r="F109" s="1301"/>
      <c r="I109" s="490"/>
    </row>
    <row r="110" spans="1:9" ht="14.25">
      <c r="A110" s="484"/>
      <c r="B110" s="484"/>
      <c r="D110" s="1301"/>
      <c r="E110" s="1301"/>
      <c r="F110" s="1301"/>
      <c r="I110" s="490"/>
    </row>
    <row r="111" spans="1:9" ht="14.25">
      <c r="A111" s="484"/>
      <c r="B111" s="484"/>
      <c r="D111" s="1301"/>
      <c r="E111" s="1301"/>
      <c r="F111" s="1301"/>
      <c r="I111" s="490"/>
    </row>
    <row r="112" spans="1:9" ht="14.25">
      <c r="A112" s="484"/>
      <c r="B112" s="484"/>
      <c r="D112" s="1301"/>
      <c r="E112" s="1301"/>
      <c r="F112" s="1301"/>
      <c r="I112" s="490"/>
    </row>
    <row r="113" spans="1:9" ht="14.25">
      <c r="A113" s="484"/>
      <c r="B113" s="484"/>
      <c r="D113" s="1301"/>
      <c r="E113" s="1301"/>
      <c r="F113" s="1301"/>
      <c r="I113" s="490"/>
    </row>
    <row r="114" spans="1:9" ht="14.25">
      <c r="A114" s="484"/>
      <c r="B114" s="484"/>
      <c r="D114" s="1301"/>
      <c r="E114" s="1301"/>
      <c r="F114" s="1301"/>
      <c r="I114" s="490"/>
    </row>
    <row r="115" spans="1:9" ht="14.25">
      <c r="A115" s="484"/>
      <c r="B115" s="484"/>
      <c r="D115" s="1301"/>
      <c r="E115" s="1301"/>
      <c r="F115" s="1301"/>
      <c r="I115" s="490"/>
    </row>
    <row r="116" spans="1:9" ht="14.25">
      <c r="A116" s="484"/>
      <c r="B116" s="484"/>
      <c r="D116" s="1301"/>
      <c r="E116" s="1301"/>
      <c r="F116" s="1301"/>
      <c r="I116" s="490"/>
    </row>
    <row r="117" spans="1:9" ht="14.25">
      <c r="A117" s="484"/>
      <c r="B117" s="484"/>
      <c r="D117" s="1301"/>
      <c r="E117" s="1301"/>
      <c r="F117" s="1301"/>
      <c r="I117" s="490"/>
    </row>
    <row r="118" spans="1:9" ht="14.25">
      <c r="A118" s="484"/>
      <c r="B118" s="484"/>
      <c r="D118" s="524"/>
      <c r="E118" s="524"/>
      <c r="F118" s="524"/>
      <c r="I118" s="490"/>
    </row>
    <row r="119" spans="1:9" ht="14.25" customHeight="1">
      <c r="A119" s="484"/>
      <c r="B119" s="485" t="s">
        <v>2722</v>
      </c>
      <c r="D119" s="1323" t="s">
        <v>1103</v>
      </c>
      <c r="E119" s="1323"/>
      <c r="F119" s="1323"/>
      <c r="I119" s="490"/>
    </row>
    <row r="120" spans="1:9" ht="14.25">
      <c r="A120" s="484"/>
      <c r="B120" s="484"/>
      <c r="D120" s="1323"/>
      <c r="E120" s="1323"/>
      <c r="F120" s="1323"/>
      <c r="I120" s="490"/>
    </row>
    <row r="121" spans="1:9" ht="14.25">
      <c r="A121" s="484"/>
      <c r="B121" s="484"/>
      <c r="D121" s="1323"/>
      <c r="E121" s="1323"/>
      <c r="F121" s="1323"/>
      <c r="I121" s="490"/>
    </row>
    <row r="122" spans="1:9" ht="14.25">
      <c r="A122" s="484"/>
      <c r="B122" s="484"/>
      <c r="D122" s="1323"/>
      <c r="E122" s="1323"/>
      <c r="F122" s="1323"/>
      <c r="I122" s="490"/>
    </row>
    <row r="123" spans="1:9" ht="14.25">
      <c r="A123" s="484"/>
      <c r="B123" s="484"/>
      <c r="D123" s="1323"/>
      <c r="E123" s="1323"/>
      <c r="F123" s="1323"/>
      <c r="I123" s="490"/>
    </row>
    <row r="124" spans="1:9" ht="14.25">
      <c r="A124" s="484"/>
      <c r="B124" s="484"/>
      <c r="D124" s="1323"/>
      <c r="E124" s="1323"/>
      <c r="F124" s="1323"/>
      <c r="I124" s="490"/>
    </row>
    <row r="125" spans="1:9" ht="14.25">
      <c r="A125" s="484"/>
      <c r="B125" s="484"/>
      <c r="D125" s="1323"/>
      <c r="E125" s="1323"/>
      <c r="F125" s="1323"/>
      <c r="I125" s="490"/>
    </row>
    <row r="126" spans="1:9" ht="14.25">
      <c r="A126" s="484"/>
      <c r="B126" s="484"/>
      <c r="D126" s="1323"/>
      <c r="E126" s="1323"/>
      <c r="F126" s="1323"/>
      <c r="I126" s="490"/>
    </row>
    <row r="127" spans="1:9">
      <c r="C127" s="402"/>
      <c r="D127" s="525"/>
      <c r="E127" s="525"/>
      <c r="F127" s="525"/>
      <c r="I127" s="490"/>
    </row>
    <row r="128" spans="1:9" ht="14.25">
      <c r="A128" s="484"/>
      <c r="B128" s="485" t="s">
        <v>2721</v>
      </c>
      <c r="C128" s="402"/>
      <c r="D128" s="1323" t="s">
        <v>2049</v>
      </c>
      <c r="E128" s="1323"/>
      <c r="F128" s="1323"/>
      <c r="I128" s="490"/>
    </row>
    <row r="129" spans="1:9" ht="14.25">
      <c r="A129" s="484"/>
      <c r="B129" s="484"/>
      <c r="C129" s="402"/>
      <c r="D129" s="1323"/>
      <c r="E129" s="1323"/>
      <c r="F129" s="1323"/>
      <c r="I129" s="490"/>
    </row>
    <row r="130" spans="1:9">
      <c r="I130" s="490"/>
    </row>
    <row r="131" spans="1:9" ht="14.25">
      <c r="A131" s="484"/>
      <c r="B131" s="485" t="s">
        <v>2721</v>
      </c>
      <c r="D131" s="1301" t="s">
        <v>1104</v>
      </c>
      <c r="E131" s="1301"/>
      <c r="F131" s="1301"/>
      <c r="I131" s="490"/>
    </row>
    <row r="132" spans="1:9">
      <c r="D132" s="1301"/>
      <c r="E132" s="1301"/>
      <c r="F132" s="1301"/>
      <c r="I132" s="490"/>
    </row>
    <row r="133" spans="1:9">
      <c r="D133" s="1301"/>
      <c r="E133" s="1301"/>
      <c r="F133" s="1301"/>
      <c r="I133" s="490"/>
    </row>
    <row r="134" spans="1:9">
      <c r="D134" s="1301"/>
      <c r="E134" s="1301"/>
      <c r="F134" s="1301"/>
      <c r="I134" s="490"/>
    </row>
    <row r="135" spans="1:9">
      <c r="D135" s="1301"/>
      <c r="E135" s="1301"/>
      <c r="F135" s="1301"/>
      <c r="I135" s="490"/>
    </row>
    <row r="136" spans="1:9">
      <c r="I136" s="490"/>
    </row>
    <row r="137" spans="1:9" ht="14.25">
      <c r="A137" s="484"/>
      <c r="B137" s="485" t="s">
        <v>2721</v>
      </c>
      <c r="D137" s="1301" t="s">
        <v>1105</v>
      </c>
      <c r="E137" s="1301"/>
      <c r="F137" s="1301"/>
      <c r="I137" s="490"/>
    </row>
    <row r="138" spans="1:9" s="417" customFormat="1" ht="13.7" customHeight="1">
      <c r="A138" s="488"/>
      <c r="B138" s="488"/>
      <c r="C138" s="488"/>
      <c r="D138" s="1301"/>
      <c r="E138" s="1301"/>
      <c r="F138" s="1301"/>
      <c r="I138" s="1155"/>
    </row>
    <row r="139" spans="1:9" ht="13.7" customHeight="1">
      <c r="D139" s="1301"/>
      <c r="E139" s="1301"/>
      <c r="F139" s="1301"/>
      <c r="I139" s="490"/>
    </row>
    <row r="140" spans="1:9" ht="13.7" customHeight="1">
      <c r="D140" s="1301"/>
      <c r="E140" s="1301"/>
      <c r="F140" s="1301"/>
      <c r="I140" s="490"/>
    </row>
    <row r="141" spans="1:9" ht="13.7" customHeight="1">
      <c r="D141" s="1301"/>
      <c r="E141" s="1301"/>
      <c r="F141" s="1301"/>
      <c r="I141" s="490"/>
    </row>
    <row r="142" spans="1:9" ht="13.7" customHeight="1">
      <c r="A142" s="489"/>
      <c r="B142" s="489"/>
      <c r="D142" s="1301"/>
      <c r="E142" s="1301"/>
      <c r="F142" s="1301"/>
      <c r="I142" s="490"/>
    </row>
    <row r="143" spans="1:9" ht="13.7" customHeight="1">
      <c r="D143" s="1301"/>
      <c r="E143" s="1301"/>
      <c r="F143" s="1301"/>
      <c r="I143" s="490"/>
    </row>
    <row r="144" spans="1:9" ht="13.7" customHeight="1">
      <c r="D144" s="1301"/>
      <c r="E144" s="1301"/>
      <c r="F144" s="1301"/>
      <c r="I144" s="490"/>
    </row>
    <row r="145" spans="2:9" ht="13.7" customHeight="1">
      <c r="D145" s="1301"/>
      <c r="E145" s="1301"/>
      <c r="F145" s="1301"/>
      <c r="I145" s="490"/>
    </row>
    <row r="146" spans="2:9" ht="13.7" customHeight="1">
      <c r="D146" s="1301"/>
      <c r="E146" s="1301"/>
      <c r="F146" s="1301"/>
      <c r="I146" s="490"/>
    </row>
    <row r="147" spans="2:9" ht="13.7" customHeight="1">
      <c r="D147" s="1301"/>
      <c r="E147" s="1301"/>
      <c r="F147" s="1301"/>
      <c r="I147" s="490"/>
    </row>
    <row r="148" spans="2:9" ht="13.7" customHeight="1">
      <c r="D148" s="1301"/>
      <c r="E148" s="1301"/>
      <c r="F148" s="1301"/>
      <c r="I148" s="490"/>
    </row>
    <row r="149" spans="2:9" ht="13.7" customHeight="1">
      <c r="D149" s="1301"/>
      <c r="E149" s="1301"/>
      <c r="F149" s="1301"/>
      <c r="I149" s="490"/>
    </row>
    <row r="150" spans="2:9" ht="13.7" customHeight="1">
      <c r="D150" s="476"/>
      <c r="E150" s="446"/>
      <c r="F150" s="446"/>
      <c r="I150" s="490"/>
    </row>
    <row r="151" spans="2:9" ht="13.7" customHeight="1">
      <c r="B151" s="485" t="s">
        <v>2721</v>
      </c>
      <c r="D151" s="1301" t="s">
        <v>1177</v>
      </c>
      <c r="E151" s="1301"/>
      <c r="F151" s="1301"/>
      <c r="I151" s="490"/>
    </row>
    <row r="152" spans="2:9" ht="13.7" customHeight="1">
      <c r="D152" s="1301"/>
      <c r="E152" s="1301"/>
      <c r="F152" s="1301"/>
      <c r="I152" s="490"/>
    </row>
    <row r="153" spans="2:9" ht="13.7" customHeight="1">
      <c r="D153" s="1301"/>
      <c r="E153" s="1301"/>
      <c r="F153" s="1301"/>
      <c r="I153" s="490"/>
    </row>
    <row r="154" spans="2:9" ht="13.7" customHeight="1">
      <c r="D154" s="1301"/>
      <c r="E154" s="1301"/>
      <c r="F154" s="1301"/>
      <c r="I154" s="490"/>
    </row>
    <row r="155" spans="2:9" ht="13.7" customHeight="1">
      <c r="D155" s="1301"/>
      <c r="E155" s="1301"/>
      <c r="F155" s="1301"/>
      <c r="I155" s="490"/>
    </row>
    <row r="156" spans="2:9" ht="13.7" customHeight="1">
      <c r="D156" s="1301"/>
      <c r="E156" s="1301"/>
      <c r="F156" s="1301"/>
      <c r="I156" s="490"/>
    </row>
    <row r="157" spans="2:9" ht="13.7" customHeight="1">
      <c r="D157" s="1301"/>
      <c r="E157" s="1301"/>
      <c r="F157" s="1301"/>
      <c r="I157" s="490"/>
    </row>
    <row r="158" spans="2:9" ht="13.7" customHeight="1">
      <c r="D158" s="1301"/>
      <c r="E158" s="1301"/>
      <c r="F158" s="1301"/>
      <c r="I158" s="490"/>
    </row>
    <row r="159" spans="2:9" ht="13.7" customHeight="1">
      <c r="D159" s="1301"/>
      <c r="E159" s="1301"/>
      <c r="F159" s="1301"/>
      <c r="I159" s="490"/>
    </row>
    <row r="160" spans="2:9" ht="13.7" customHeight="1">
      <c r="D160" s="1301"/>
      <c r="E160" s="1301"/>
      <c r="F160" s="1301"/>
      <c r="I160" s="490"/>
    </row>
    <row r="161" spans="1:9" ht="13.7" customHeight="1">
      <c r="D161" s="1301"/>
      <c r="E161" s="1301"/>
      <c r="F161" s="1301"/>
      <c r="I161" s="490"/>
    </row>
    <row r="162" spans="1:9" ht="13.7" customHeight="1">
      <c r="D162" s="1301"/>
      <c r="E162" s="1301"/>
      <c r="F162" s="1301"/>
      <c r="I162" s="490"/>
    </row>
    <row r="163" spans="1:9" ht="13.7" customHeight="1">
      <c r="D163" s="1301"/>
      <c r="E163" s="1301"/>
      <c r="F163" s="1301"/>
      <c r="I163" s="490"/>
    </row>
    <row r="164" spans="1:9" ht="13.7" customHeight="1">
      <c r="D164" s="1301"/>
      <c r="E164" s="1301"/>
      <c r="F164" s="1301"/>
      <c r="I164" s="490"/>
    </row>
    <row r="165" spans="1:9" ht="13.7" customHeight="1">
      <c r="D165" s="1301"/>
      <c r="E165" s="1301"/>
      <c r="F165" s="1301"/>
      <c r="I165" s="490"/>
    </row>
    <row r="166" spans="1:9" ht="13.7" customHeight="1">
      <c r="D166" s="1301"/>
      <c r="E166" s="1301"/>
      <c r="F166" s="1301"/>
      <c r="I166" s="490"/>
    </row>
    <row r="167" spans="1:9" ht="13.7" customHeight="1">
      <c r="D167" s="1301"/>
      <c r="E167" s="1301"/>
      <c r="F167" s="1301"/>
      <c r="I167" s="490"/>
    </row>
    <row r="168" spans="1:9" ht="13.7" customHeight="1">
      <c r="D168" s="1301"/>
      <c r="E168" s="1301"/>
      <c r="F168" s="1301"/>
      <c r="I168" s="490"/>
    </row>
    <row r="169" spans="1:9" ht="13.7" customHeight="1">
      <c r="D169" s="1320" t="s">
        <v>2072</v>
      </c>
      <c r="E169" s="1320"/>
      <c r="F169" s="1320"/>
      <c r="G169" s="507"/>
      <c r="I169" s="490"/>
    </row>
    <row r="170" spans="1:9" ht="13.7" customHeight="1">
      <c r="D170" s="1318"/>
      <c r="E170" s="1318"/>
      <c r="F170" s="1318"/>
      <c r="G170" s="1318"/>
      <c r="I170" s="490"/>
    </row>
    <row r="171" spans="1:9" ht="14.45" customHeight="1">
      <c r="A171" s="489"/>
      <c r="B171" s="485" t="s">
        <v>2722</v>
      </c>
      <c r="C171" s="476"/>
      <c r="D171" s="1272" t="s">
        <v>2212</v>
      </c>
      <c r="E171" s="1272"/>
      <c r="F171" s="1272"/>
      <c r="G171" s="476"/>
      <c r="I171" s="490"/>
    </row>
    <row r="172" spans="1:9" ht="14.45" customHeight="1">
      <c r="A172" s="489"/>
      <c r="B172" s="489"/>
      <c r="C172" s="476"/>
      <c r="D172" s="1272"/>
      <c r="E172" s="1272"/>
      <c r="F172" s="1272"/>
      <c r="G172" s="476"/>
      <c r="I172" s="490"/>
    </row>
    <row r="173" spans="1:9" ht="14.45" customHeight="1">
      <c r="A173" s="489"/>
      <c r="B173" s="489"/>
      <c r="C173" s="476"/>
      <c r="D173" s="1272"/>
      <c r="E173" s="1272"/>
      <c r="F173" s="1272"/>
      <c r="G173" s="476"/>
      <c r="I173" s="490"/>
    </row>
    <row r="174" spans="1:9" ht="14.45" customHeight="1">
      <c r="A174" s="489"/>
      <c r="B174" s="489"/>
      <c r="C174" s="476"/>
      <c r="D174" s="1272"/>
      <c r="E174" s="1272"/>
      <c r="F174" s="1272"/>
      <c r="G174" s="476"/>
      <c r="I174" s="490"/>
    </row>
    <row r="175" spans="1:9" ht="13.7" customHeight="1">
      <c r="A175" s="489"/>
      <c r="B175" s="489"/>
      <c r="C175" s="476"/>
      <c r="D175" s="1272"/>
      <c r="E175" s="1272"/>
      <c r="F175" s="1272"/>
      <c r="G175" s="476"/>
      <c r="I175" s="490"/>
    </row>
    <row r="176" spans="1:9" ht="13.7" customHeight="1">
      <c r="A176" s="489"/>
      <c r="B176" s="489"/>
      <c r="C176" s="476"/>
      <c r="D176" s="476"/>
      <c r="E176" s="476"/>
      <c r="F176" s="476"/>
      <c r="G176" s="476"/>
      <c r="I176" s="490"/>
    </row>
    <row r="177" spans="1:9" ht="13.7" customHeight="1">
      <c r="A177" s="489"/>
      <c r="B177" s="485" t="s">
        <v>2722</v>
      </c>
      <c r="C177" s="476"/>
      <c r="D177" s="1272" t="s">
        <v>1106</v>
      </c>
      <c r="E177" s="1272"/>
      <c r="F177" s="1272"/>
      <c r="G177" s="476"/>
      <c r="I177" s="490"/>
    </row>
    <row r="178" spans="1:9" ht="13.7" customHeight="1">
      <c r="A178" s="489"/>
      <c r="B178" s="489"/>
      <c r="C178" s="476"/>
      <c r="D178" s="1272"/>
      <c r="E178" s="1272"/>
      <c r="F178" s="1272"/>
      <c r="G178" s="476"/>
      <c r="I178" s="490"/>
    </row>
    <row r="179" spans="1:9" ht="13.7" customHeight="1">
      <c r="A179" s="489"/>
      <c r="B179" s="489"/>
      <c r="C179" s="476"/>
      <c r="D179" s="1272"/>
      <c r="E179" s="1272"/>
      <c r="F179" s="1272"/>
      <c r="G179" s="476"/>
      <c r="I179" s="490"/>
    </row>
    <row r="180" spans="1:9" ht="13.7" customHeight="1">
      <c r="A180" s="489"/>
      <c r="B180" s="489"/>
      <c r="C180" s="476"/>
      <c r="D180" s="1272"/>
      <c r="E180" s="1272"/>
      <c r="F180" s="1272"/>
      <c r="G180" s="476"/>
      <c r="I180" s="490"/>
    </row>
    <row r="181" spans="1:9" ht="13.7" customHeight="1">
      <c r="D181" s="446"/>
      <c r="E181" s="446"/>
      <c r="F181" s="446"/>
      <c r="I181" s="490"/>
    </row>
    <row r="182" spans="1:9" ht="13.7" customHeight="1">
      <c r="B182" s="485" t="s">
        <v>2722</v>
      </c>
      <c r="D182" s="1313" t="s">
        <v>2050</v>
      </c>
      <c r="E182" s="1313"/>
      <c r="F182" s="1313"/>
      <c r="I182" s="490"/>
    </row>
    <row r="183" spans="1:9" ht="13.7" customHeight="1">
      <c r="D183" s="1313"/>
      <c r="E183" s="1313"/>
      <c r="F183" s="1313"/>
      <c r="I183" s="490"/>
    </row>
    <row r="184" spans="1:9" ht="13.7" customHeight="1">
      <c r="D184" s="1313"/>
      <c r="E184" s="1313"/>
      <c r="F184" s="1313"/>
      <c r="I184" s="490"/>
    </row>
    <row r="185" spans="1:9" ht="13.7" customHeight="1">
      <c r="A185" s="490"/>
      <c r="B185" s="490"/>
      <c r="E185" s="446"/>
      <c r="F185" s="446"/>
      <c r="I185" s="490"/>
    </row>
    <row r="186" spans="1:9">
      <c r="A186" s="1308" t="s">
        <v>2051</v>
      </c>
      <c r="B186" s="1308"/>
      <c r="C186" s="1308"/>
      <c r="D186" s="1308"/>
      <c r="E186" s="1308"/>
      <c r="F186" s="1308"/>
      <c r="G186" s="1308"/>
      <c r="H186" s="1028"/>
      <c r="I186" s="1153"/>
    </row>
    <row r="187" spans="1:9" ht="12" customHeight="1">
      <c r="D187" s="446"/>
      <c r="E187" s="446"/>
      <c r="F187" s="446"/>
      <c r="I187" s="490"/>
    </row>
    <row r="188" spans="1:9">
      <c r="B188" s="1303" t="s">
        <v>446</v>
      </c>
      <c r="C188" s="1303"/>
      <c r="D188" s="1303"/>
      <c r="E188" s="1303"/>
      <c r="F188" s="1303"/>
      <c r="I188" s="490"/>
    </row>
    <row r="189" spans="1:9">
      <c r="B189" s="392" t="s">
        <v>1874</v>
      </c>
      <c r="C189" s="392"/>
      <c r="D189" s="392"/>
      <c r="E189" s="392"/>
      <c r="F189" s="392"/>
      <c r="I189" s="490"/>
    </row>
    <row r="190" spans="1:9" ht="12" customHeight="1">
      <c r="A190" s="482"/>
      <c r="B190" s="482"/>
      <c r="C190" s="482"/>
      <c r="I190" s="490"/>
    </row>
    <row r="191" spans="1:9">
      <c r="A191" s="1308" t="s">
        <v>1045</v>
      </c>
      <c r="B191" s="1308"/>
      <c r="C191" s="1308"/>
      <c r="D191" s="1308"/>
      <c r="E191" s="1308"/>
      <c r="F191" s="1308"/>
      <c r="G191" s="1308"/>
      <c r="H191" s="1028"/>
      <c r="I191" s="1153"/>
    </row>
    <row r="192" spans="1:9" ht="12" customHeight="1">
      <c r="A192" s="404"/>
      <c r="B192" s="404"/>
      <c r="E192" s="404"/>
      <c r="I192" s="490"/>
    </row>
    <row r="193" spans="1:9" ht="13.7" customHeight="1">
      <c r="A193" s="404"/>
      <c r="B193" s="404"/>
      <c r="D193" s="1317" t="s">
        <v>1746</v>
      </c>
      <c r="E193" s="1317"/>
      <c r="F193" s="1317"/>
      <c r="I193" s="490"/>
    </row>
    <row r="194" spans="1:9">
      <c r="A194" s="404"/>
      <c r="B194" s="404"/>
      <c r="D194" s="1317"/>
      <c r="E194" s="1317"/>
      <c r="F194" s="1317"/>
      <c r="I194" s="490"/>
    </row>
    <row r="195" spans="1:9">
      <c r="A195" s="404"/>
      <c r="B195" s="404"/>
      <c r="D195" s="1303" t="s">
        <v>1195</v>
      </c>
      <c r="E195" s="1303"/>
      <c r="F195" s="1303"/>
      <c r="I195" s="490"/>
    </row>
    <row r="196" spans="1:9">
      <c r="A196" s="404"/>
      <c r="B196" s="404"/>
      <c r="D196" s="392"/>
      <c r="E196" s="392"/>
      <c r="F196" s="392"/>
      <c r="I196" s="490"/>
    </row>
    <row r="197" spans="1:9">
      <c r="A197" s="404"/>
      <c r="B197" s="485" t="s">
        <v>2721</v>
      </c>
      <c r="D197" s="1288" t="s">
        <v>1747</v>
      </c>
      <c r="E197" s="1288"/>
      <c r="F197" s="1288"/>
      <c r="I197" s="490"/>
    </row>
    <row r="198" spans="1:9">
      <c r="A198" s="404"/>
      <c r="B198" s="404"/>
      <c r="D198" s="1287" t="s">
        <v>1901</v>
      </c>
      <c r="E198" s="1287"/>
      <c r="F198" s="1287"/>
      <c r="I198" s="490"/>
    </row>
    <row r="199" spans="1:9">
      <c r="A199" s="404"/>
      <c r="B199" s="404"/>
      <c r="D199" s="96" t="s">
        <v>1748</v>
      </c>
      <c r="E199" s="1325" t="s">
        <v>1924</v>
      </c>
      <c r="F199" s="1325"/>
      <c r="I199" s="490"/>
    </row>
    <row r="200" spans="1:9">
      <c r="A200" s="404"/>
      <c r="B200" s="404"/>
      <c r="D200" s="3"/>
      <c r="E200" s="3"/>
      <c r="F200" s="3"/>
      <c r="I200" s="490"/>
    </row>
    <row r="201" spans="1:9">
      <c r="A201" s="404"/>
      <c r="B201" s="485" t="s">
        <v>2722</v>
      </c>
      <c r="D201" s="1287" t="s">
        <v>1749</v>
      </c>
      <c r="E201" s="1287"/>
      <c r="F201" s="1287"/>
      <c r="I201" s="490"/>
    </row>
    <row r="202" spans="1:9">
      <c r="A202" s="404"/>
      <c r="B202" s="404"/>
      <c r="D202" s="1288" t="s">
        <v>1901</v>
      </c>
      <c r="E202" s="1288"/>
      <c r="F202" s="1288"/>
      <c r="I202" s="490"/>
    </row>
    <row r="203" spans="1:9">
      <c r="A203" s="404"/>
      <c r="B203" s="404"/>
      <c r="D203" s="57" t="s">
        <v>1750</v>
      </c>
      <c r="E203" s="1325" t="s">
        <v>1925</v>
      </c>
      <c r="F203" s="1325"/>
      <c r="I203" s="490"/>
    </row>
    <row r="204" spans="1:9">
      <c r="A204" s="404"/>
      <c r="B204" s="404"/>
      <c r="D204" s="3"/>
      <c r="E204" s="3"/>
      <c r="F204" s="3"/>
      <c r="I204" s="490"/>
    </row>
    <row r="205" spans="1:9">
      <c r="A205" s="404"/>
      <c r="B205" s="485" t="s">
        <v>2722</v>
      </c>
      <c r="D205" s="1287" t="s">
        <v>1751</v>
      </c>
      <c r="E205" s="1287"/>
      <c r="F205" s="1287"/>
      <c r="I205" s="490"/>
    </row>
    <row r="206" spans="1:9">
      <c r="A206" s="404"/>
      <c r="B206" s="404"/>
      <c r="D206" s="1288" t="s">
        <v>1901</v>
      </c>
      <c r="E206" s="1288"/>
      <c r="F206" s="1288"/>
      <c r="I206" s="490"/>
    </row>
    <row r="207" spans="1:9">
      <c r="A207" s="404"/>
      <c r="B207" s="404"/>
      <c r="D207" s="57" t="s">
        <v>1748</v>
      </c>
      <c r="E207" s="1325" t="s">
        <v>1926</v>
      </c>
      <c r="F207" s="1325"/>
      <c r="I207" s="490"/>
    </row>
    <row r="208" spans="1:9">
      <c r="A208" s="404"/>
      <c r="B208" s="404"/>
      <c r="D208" s="392"/>
      <c r="E208" s="392"/>
      <c r="F208" s="392"/>
      <c r="I208" s="490"/>
    </row>
    <row r="209" spans="1:9" ht="14.25" customHeight="1">
      <c r="A209" s="484"/>
      <c r="B209" s="485" t="s">
        <v>2722</v>
      </c>
      <c r="D209" s="386" t="s">
        <v>1894</v>
      </c>
      <c r="E209" s="385"/>
      <c r="F209" s="385"/>
      <c r="I209" s="490"/>
    </row>
    <row r="210" spans="1:9" ht="14.25">
      <c r="A210" s="484"/>
      <c r="B210" s="484"/>
      <c r="D210" s="1288" t="s">
        <v>1901</v>
      </c>
      <c r="E210" s="1288"/>
      <c r="F210" s="1288"/>
      <c r="I210" s="490"/>
    </row>
    <row r="211" spans="1:9">
      <c r="D211" s="385"/>
      <c r="E211" s="1325" t="s">
        <v>1927</v>
      </c>
      <c r="F211" s="1325"/>
      <c r="I211" s="490"/>
    </row>
    <row r="212" spans="1:9">
      <c r="D212" s="447"/>
      <c r="I212" s="490"/>
    </row>
    <row r="213" spans="1:9">
      <c r="B213" s="485" t="s">
        <v>2722</v>
      </c>
      <c r="D213" s="1287" t="s">
        <v>1752</v>
      </c>
      <c r="E213" s="1287"/>
      <c r="F213" s="1287"/>
      <c r="I213" s="490"/>
    </row>
    <row r="214" spans="1:9">
      <c r="D214" s="1288" t="s">
        <v>1901</v>
      </c>
      <c r="E214" s="1288"/>
      <c r="F214" s="1288"/>
      <c r="I214" s="490"/>
    </row>
    <row r="215" spans="1:9">
      <c r="D215" s="57" t="s">
        <v>1748</v>
      </c>
      <c r="E215" s="1325" t="s">
        <v>1928</v>
      </c>
      <c r="F215" s="1325"/>
      <c r="I215" s="490"/>
    </row>
    <row r="216" spans="1:9">
      <c r="D216" s="451"/>
      <c r="E216" s="451"/>
      <c r="F216" s="451"/>
      <c r="I216" s="490"/>
    </row>
    <row r="217" spans="1:9" ht="14.25">
      <c r="A217" s="484"/>
      <c r="B217" s="485" t="s">
        <v>2722</v>
      </c>
      <c r="D217" s="1301" t="s">
        <v>1216</v>
      </c>
      <c r="E217" s="1301"/>
      <c r="F217" s="1301"/>
      <c r="I217" s="490"/>
    </row>
    <row r="218" spans="1:9" ht="14.45" customHeight="1">
      <c r="A218" s="484"/>
      <c r="B218" s="402"/>
      <c r="D218" s="1301"/>
      <c r="E218" s="1301"/>
      <c r="F218" s="1301"/>
      <c r="I218" s="490"/>
    </row>
    <row r="219" spans="1:9" ht="14.25">
      <c r="A219" s="484"/>
      <c r="D219" s="1301"/>
      <c r="E219" s="1301"/>
      <c r="F219" s="1301"/>
      <c r="I219" s="490"/>
    </row>
    <row r="220" spans="1:9" ht="14.25">
      <c r="A220" s="484"/>
      <c r="D220" s="1301"/>
      <c r="E220" s="1301"/>
      <c r="F220" s="1301"/>
      <c r="I220" s="490"/>
    </row>
    <row r="221" spans="1:9">
      <c r="D221" s="451"/>
      <c r="E221" s="451"/>
      <c r="F221" s="451"/>
      <c r="I221" s="490"/>
    </row>
    <row r="222" spans="1:9">
      <c r="A222" s="1308" t="s">
        <v>1046</v>
      </c>
      <c r="B222" s="1308"/>
      <c r="C222" s="1308"/>
      <c r="D222" s="1308"/>
      <c r="E222" s="1308"/>
      <c r="F222" s="1308"/>
      <c r="G222" s="1308"/>
      <c r="H222" s="1028"/>
      <c r="I222" s="1153"/>
    </row>
    <row r="223" spans="1:9" ht="12" customHeight="1">
      <c r="D223" s="446"/>
      <c r="E223" s="446"/>
      <c r="F223" s="446"/>
      <c r="I223" s="490"/>
    </row>
    <row r="224" spans="1:9">
      <c r="C224" s="486"/>
      <c r="D224" s="1309" t="s">
        <v>207</v>
      </c>
      <c r="E224" s="1309"/>
      <c r="F224" s="1309"/>
      <c r="I224" s="490"/>
    </row>
    <row r="225" spans="1:9">
      <c r="A225" s="482"/>
      <c r="B225" s="482"/>
      <c r="C225" s="482"/>
      <c r="D225" s="1299" t="s">
        <v>1120</v>
      </c>
      <c r="E225" s="1299"/>
      <c r="F225" s="1299"/>
      <c r="I225" s="490"/>
    </row>
    <row r="226" spans="1:9" ht="12" customHeight="1">
      <c r="A226" s="490"/>
      <c r="B226" s="490"/>
      <c r="C226" s="490"/>
      <c r="I226" s="490"/>
    </row>
    <row r="227" spans="1:9" ht="13.7" customHeight="1">
      <c r="A227" s="490"/>
      <c r="C227" s="490"/>
      <c r="D227" s="1309" t="s">
        <v>546</v>
      </c>
      <c r="E227" s="1309"/>
      <c r="F227" s="1309"/>
      <c r="I227" s="490"/>
    </row>
    <row r="228" spans="1:9" ht="14.25">
      <c r="A228" s="484"/>
      <c r="B228" s="485" t="s">
        <v>2721</v>
      </c>
      <c r="D228" s="1301" t="s">
        <v>1753</v>
      </c>
      <c r="E228" s="1301"/>
      <c r="F228" s="1301"/>
      <c r="I228" s="490"/>
    </row>
    <row r="229" spans="1:9" ht="14.25" customHeight="1">
      <c r="A229" s="484"/>
      <c r="B229" s="484"/>
      <c r="D229" s="1301"/>
      <c r="E229" s="1301"/>
      <c r="F229" s="1301"/>
      <c r="I229" s="490"/>
    </row>
    <row r="230" spans="1:9" ht="14.25" customHeight="1">
      <c r="A230" s="484"/>
      <c r="B230" s="484"/>
      <c r="D230" s="1301"/>
      <c r="E230" s="1301"/>
      <c r="F230" s="1301"/>
      <c r="I230" s="490"/>
    </row>
    <row r="231" spans="1:9" ht="14.25">
      <c r="A231" s="484"/>
      <c r="B231" s="484"/>
      <c r="D231" s="1301"/>
      <c r="E231" s="1301"/>
      <c r="F231" s="1301"/>
      <c r="I231" s="490"/>
    </row>
    <row r="232" spans="1:9" ht="14.25">
      <c r="A232" s="484"/>
      <c r="B232" s="484"/>
      <c r="D232" s="445"/>
      <c r="E232" s="445"/>
      <c r="F232" s="445"/>
      <c r="I232" s="490"/>
    </row>
    <row r="233" spans="1:9" ht="14.25">
      <c r="A233" s="484"/>
      <c r="B233" s="485" t="s">
        <v>2721</v>
      </c>
      <c r="D233" s="1301" t="s">
        <v>1754</v>
      </c>
      <c r="E233" s="1301"/>
      <c r="F233" s="1301"/>
      <c r="I233" s="490"/>
    </row>
    <row r="234" spans="1:9" ht="14.25">
      <c r="A234" s="484"/>
      <c r="B234" s="484"/>
      <c r="D234" s="1301"/>
      <c r="E234" s="1301"/>
      <c r="F234" s="1301"/>
      <c r="I234" s="490"/>
    </row>
    <row r="235" spans="1:9" ht="14.25">
      <c r="A235" s="484"/>
      <c r="B235" s="484"/>
      <c r="D235" s="1301"/>
      <c r="E235" s="1301"/>
      <c r="F235" s="1301"/>
      <c r="I235" s="490"/>
    </row>
    <row r="236" spans="1:9" ht="14.25">
      <c r="A236" s="484"/>
      <c r="B236" s="484"/>
      <c r="D236" s="1301"/>
      <c r="E236" s="1301"/>
      <c r="F236" s="1301"/>
      <c r="I236" s="490"/>
    </row>
    <row r="237" spans="1:9" ht="14.25" customHeight="1">
      <c r="A237" s="484"/>
      <c r="B237" s="484"/>
      <c r="D237" s="1301"/>
      <c r="E237" s="1301"/>
      <c r="F237" s="1301"/>
      <c r="I237" s="490"/>
    </row>
    <row r="238" spans="1:9" ht="14.25" customHeight="1">
      <c r="A238" s="484"/>
      <c r="B238" s="484"/>
      <c r="D238" s="445"/>
      <c r="E238" s="445"/>
      <c r="F238" s="445"/>
      <c r="I238" s="490"/>
    </row>
    <row r="239" spans="1:9" ht="14.25">
      <c r="A239" s="484"/>
      <c r="B239" s="484"/>
      <c r="D239" s="1301" t="s">
        <v>1118</v>
      </c>
      <c r="E239" s="1301"/>
      <c r="F239" s="1301"/>
      <c r="I239" s="490"/>
    </row>
    <row r="240" spans="1:9" ht="14.25">
      <c r="A240" s="484"/>
      <c r="B240" s="484"/>
      <c r="D240" s="1301"/>
      <c r="E240" s="1301"/>
      <c r="F240" s="1301"/>
      <c r="I240" s="490"/>
    </row>
    <row r="241" spans="1:9" ht="14.25">
      <c r="A241" s="484"/>
      <c r="B241" s="484"/>
      <c r="D241" s="1301"/>
      <c r="E241" s="1301"/>
      <c r="F241" s="1301"/>
      <c r="I241" s="490"/>
    </row>
    <row r="242" spans="1:9" ht="14.25">
      <c r="A242" s="484"/>
      <c r="B242" s="484"/>
      <c r="D242" s="1301"/>
      <c r="E242" s="1301"/>
      <c r="F242" s="1301"/>
      <c r="I242" s="490"/>
    </row>
    <row r="243" spans="1:9" ht="14.25">
      <c r="A243" s="484"/>
      <c r="B243" s="484"/>
      <c r="D243" s="1301"/>
      <c r="E243" s="1301"/>
      <c r="F243" s="1301"/>
      <c r="I243" s="490"/>
    </row>
    <row r="244" spans="1:9" ht="14.25">
      <c r="A244" s="484"/>
      <c r="B244" s="484"/>
      <c r="D244" s="446"/>
      <c r="E244" s="446"/>
      <c r="F244" s="446"/>
      <c r="I244" s="490"/>
    </row>
    <row r="245" spans="1:9" ht="14.25">
      <c r="A245" s="484"/>
      <c r="B245" s="485" t="s">
        <v>2721</v>
      </c>
      <c r="D245" s="1301" t="s">
        <v>2052</v>
      </c>
      <c r="E245" s="1301"/>
      <c r="F245" s="1301"/>
      <c r="I245" s="490"/>
    </row>
    <row r="246" spans="1:9" ht="14.25">
      <c r="A246" s="484"/>
      <c r="B246" s="484"/>
      <c r="D246" s="1301"/>
      <c r="E246" s="1301"/>
      <c r="F246" s="1301"/>
      <c r="I246" s="490"/>
    </row>
    <row r="247" spans="1:9" ht="14.25">
      <c r="A247" s="484"/>
      <c r="B247" s="484"/>
      <c r="D247" s="1301"/>
      <c r="E247" s="1301"/>
      <c r="F247" s="1301"/>
      <c r="I247" s="490"/>
    </row>
    <row r="248" spans="1:9" ht="14.25">
      <c r="A248" s="484"/>
      <c r="B248" s="484"/>
      <c r="E248" s="1036" t="s">
        <v>1895</v>
      </c>
      <c r="I248" s="490"/>
    </row>
    <row r="249" spans="1:9" ht="14.25">
      <c r="A249" s="484"/>
      <c r="B249" s="484"/>
      <c r="D249" s="446"/>
      <c r="E249" s="446"/>
      <c r="F249" s="446"/>
      <c r="I249" s="490"/>
    </row>
    <row r="250" spans="1:9" ht="14.45" customHeight="1">
      <c r="A250" s="484"/>
      <c r="B250" s="485" t="s">
        <v>2722</v>
      </c>
      <c r="D250" s="1301" t="s">
        <v>2053</v>
      </c>
      <c r="E250" s="1301"/>
      <c r="F250" s="1301"/>
      <c r="I250" s="490"/>
    </row>
    <row r="251" spans="1:9" ht="14.25">
      <c r="A251" s="484"/>
      <c r="B251" s="484"/>
      <c r="D251" s="1301"/>
      <c r="E251" s="1301"/>
      <c r="F251" s="1301"/>
      <c r="I251" s="490"/>
    </row>
    <row r="252" spans="1:9" ht="14.25">
      <c r="A252" s="484"/>
      <c r="B252" s="484"/>
      <c r="D252" s="1301"/>
      <c r="E252" s="1301"/>
      <c r="F252" s="1301"/>
      <c r="I252" s="490"/>
    </row>
    <row r="253" spans="1:9" ht="14.25">
      <c r="A253" s="484"/>
      <c r="B253" s="484"/>
      <c r="D253" s="1301"/>
      <c r="E253" s="1301"/>
      <c r="F253" s="1301"/>
      <c r="I253" s="490"/>
    </row>
    <row r="254" spans="1:9" ht="14.25">
      <c r="A254" s="484"/>
      <c r="B254" s="484"/>
      <c r="D254" s="1301"/>
      <c r="E254" s="1301"/>
      <c r="F254" s="1301"/>
      <c r="I254" s="490"/>
    </row>
    <row r="255" spans="1:9" ht="14.25">
      <c r="A255" s="484"/>
      <c r="B255" s="484"/>
      <c r="D255" s="445"/>
      <c r="E255" s="445"/>
      <c r="F255" s="445"/>
      <c r="I255" s="490"/>
    </row>
    <row r="256" spans="1:9" ht="14.25">
      <c r="A256" s="484"/>
      <c r="B256" s="485" t="s">
        <v>2721</v>
      </c>
      <c r="D256" s="392" t="s">
        <v>2054</v>
      </c>
      <c r="E256" s="445"/>
      <c r="F256" s="445"/>
      <c r="I256" s="490"/>
    </row>
    <row r="257" spans="1:9" ht="14.25">
      <c r="A257" s="484"/>
      <c r="B257" s="484"/>
      <c r="E257" s="1036" t="s">
        <v>1896</v>
      </c>
      <c r="I257" s="490"/>
    </row>
    <row r="258" spans="1:9">
      <c r="D258" s="446"/>
      <c r="E258" s="446"/>
      <c r="F258" s="446"/>
      <c r="I258" s="490"/>
    </row>
    <row r="259" spans="1:9" ht="14.25">
      <c r="A259" s="484"/>
      <c r="B259" s="485" t="s">
        <v>2721</v>
      </c>
      <c r="D259" s="1301" t="s">
        <v>1119</v>
      </c>
      <c r="E259" s="1301"/>
      <c r="F259" s="1301"/>
      <c r="I259" s="490"/>
    </row>
    <row r="260" spans="1:9" ht="14.25">
      <c r="A260" s="484"/>
      <c r="B260" s="484"/>
      <c r="D260" s="1301"/>
      <c r="E260" s="1301"/>
      <c r="F260" s="1301"/>
      <c r="I260" s="490"/>
    </row>
    <row r="261" spans="1:9">
      <c r="D261" s="491"/>
      <c r="I261" s="490"/>
    </row>
    <row r="262" spans="1:9">
      <c r="A262" s="1308" t="s">
        <v>1047</v>
      </c>
      <c r="B262" s="1308"/>
      <c r="C262" s="1308"/>
      <c r="D262" s="1308"/>
      <c r="E262" s="1308"/>
      <c r="F262" s="1308"/>
      <c r="G262" s="1308"/>
      <c r="H262" s="1028"/>
      <c r="I262" s="1153"/>
    </row>
    <row r="263" spans="1:9">
      <c r="D263" s="491"/>
      <c r="I263" s="490"/>
    </row>
    <row r="264" spans="1:9">
      <c r="C264" s="486"/>
      <c r="D264" s="1309" t="s">
        <v>1121</v>
      </c>
      <c r="E264" s="1309"/>
      <c r="F264" s="1309"/>
      <c r="I264" s="490"/>
    </row>
    <row r="265" spans="1:9">
      <c r="A265" s="482"/>
      <c r="B265" s="482"/>
      <c r="C265" s="482"/>
      <c r="D265" s="446"/>
      <c r="E265" s="446"/>
      <c r="F265" s="446"/>
      <c r="I265" s="490"/>
    </row>
    <row r="266" spans="1:9">
      <c r="A266" s="483"/>
      <c r="B266" s="483"/>
      <c r="C266" s="483"/>
      <c r="D266" s="1309" t="s">
        <v>268</v>
      </c>
      <c r="E266" s="1309"/>
      <c r="F266" s="1309"/>
      <c r="I266" s="490"/>
    </row>
    <row r="267" spans="1:9" ht="14.45" customHeight="1">
      <c r="A267" s="484"/>
      <c r="B267" s="485" t="s">
        <v>2721</v>
      </c>
      <c r="D267" s="1301" t="s">
        <v>1196</v>
      </c>
      <c r="E267" s="1301"/>
      <c r="F267" s="1301"/>
      <c r="I267" s="490"/>
    </row>
    <row r="268" spans="1:9">
      <c r="D268" s="1301"/>
      <c r="E268" s="1301"/>
      <c r="F268" s="1301"/>
      <c r="I268" s="490"/>
    </row>
    <row r="269" spans="1:9">
      <c r="E269" s="1036" t="s">
        <v>1897</v>
      </c>
      <c r="I269" s="490"/>
    </row>
    <row r="270" spans="1:9">
      <c r="D270" s="446"/>
      <c r="E270" s="446"/>
      <c r="F270" s="446"/>
      <c r="I270" s="490"/>
    </row>
    <row r="271" spans="1:9" ht="14.45" customHeight="1">
      <c r="A271" s="484"/>
      <c r="B271" s="485" t="s">
        <v>2722</v>
      </c>
      <c r="D271" s="1301" t="s">
        <v>2055</v>
      </c>
      <c r="E271" s="1301"/>
      <c r="F271" s="1301"/>
      <c r="I271" s="490"/>
    </row>
    <row r="272" spans="1:9">
      <c r="D272" s="1301"/>
      <c r="E272" s="1301"/>
      <c r="F272" s="1301"/>
      <c r="I272" s="490"/>
    </row>
    <row r="273" spans="1:9">
      <c r="D273" s="1301"/>
      <c r="E273" s="1301"/>
      <c r="F273" s="1301"/>
      <c r="I273" s="490"/>
    </row>
    <row r="274" spans="1:9">
      <c r="D274" s="1301"/>
      <c r="E274" s="1301"/>
      <c r="F274" s="1301"/>
      <c r="I274" s="490"/>
    </row>
    <row r="275" spans="1:9">
      <c r="D275" s="1301"/>
      <c r="E275" s="1301"/>
      <c r="F275" s="1301"/>
      <c r="I275" s="490"/>
    </row>
    <row r="276" spans="1:9">
      <c r="D276" s="1301"/>
      <c r="E276" s="1301"/>
      <c r="F276" s="1301"/>
      <c r="I276" s="490"/>
    </row>
    <row r="277" spans="1:9">
      <c r="D277" s="446"/>
      <c r="E277" s="446"/>
      <c r="F277" s="446"/>
      <c r="I277" s="490"/>
    </row>
    <row r="278" spans="1:9" ht="14.25">
      <c r="A278" s="484"/>
      <c r="B278" s="485" t="s">
        <v>2722</v>
      </c>
      <c r="D278" s="1301" t="s">
        <v>1122</v>
      </c>
      <c r="E278" s="1301"/>
      <c r="F278" s="1301"/>
      <c r="I278" s="490"/>
    </row>
    <row r="279" spans="1:9">
      <c r="D279" s="1301"/>
      <c r="E279" s="1301"/>
      <c r="F279" s="1301"/>
      <c r="I279" s="490"/>
    </row>
    <row r="280" spans="1:9">
      <c r="D280" s="1301"/>
      <c r="E280" s="1301"/>
      <c r="F280" s="1301"/>
      <c r="I280" s="490"/>
    </row>
    <row r="281" spans="1:9">
      <c r="D281" s="492"/>
      <c r="E281" s="446"/>
      <c r="F281" s="446"/>
      <c r="I281" s="490"/>
    </row>
    <row r="282" spans="1:9">
      <c r="A282" s="1308" t="s">
        <v>1048</v>
      </c>
      <c r="B282" s="1308"/>
      <c r="C282" s="1308"/>
      <c r="D282" s="1308"/>
      <c r="E282" s="1308"/>
      <c r="F282" s="1308"/>
      <c r="G282" s="1308"/>
      <c r="H282" s="1028"/>
      <c r="I282" s="1153"/>
    </row>
    <row r="283" spans="1:9">
      <c r="D283" s="492"/>
      <c r="E283" s="446"/>
      <c r="F283" s="446"/>
      <c r="I283" s="490"/>
    </row>
    <row r="284" spans="1:9">
      <c r="C284" s="482"/>
      <c r="D284" s="1317" t="s">
        <v>1123</v>
      </c>
      <c r="E284" s="1317"/>
      <c r="F284" s="1317"/>
      <c r="I284" s="490"/>
    </row>
    <row r="285" spans="1:9">
      <c r="C285" s="482"/>
      <c r="D285" s="1317"/>
      <c r="E285" s="1317"/>
      <c r="F285" s="1317"/>
      <c r="I285" s="490"/>
    </row>
    <row r="286" spans="1:9">
      <c r="A286" s="483"/>
      <c r="B286" s="483"/>
      <c r="C286" s="483"/>
      <c r="D286" s="404"/>
      <c r="I286" s="490"/>
    </row>
    <row r="287" spans="1:9">
      <c r="C287" s="483"/>
      <c r="D287" s="1309" t="s">
        <v>208</v>
      </c>
      <c r="E287" s="1309"/>
      <c r="F287" s="1309"/>
      <c r="I287" s="490"/>
    </row>
    <row r="288" spans="1:9" ht="15.75" customHeight="1">
      <c r="A288" s="484"/>
      <c r="B288" s="484"/>
      <c r="D288" s="1326" t="s">
        <v>1124</v>
      </c>
      <c r="E288" s="1326"/>
      <c r="F288" s="1326"/>
      <c r="I288" s="490"/>
    </row>
    <row r="289" spans="1:9">
      <c r="E289" s="446"/>
      <c r="F289" s="446"/>
      <c r="I289" s="490"/>
    </row>
    <row r="290" spans="1:9" ht="14.25">
      <c r="A290" s="484"/>
      <c r="B290" s="485" t="s">
        <v>2722</v>
      </c>
      <c r="D290" s="1301" t="s">
        <v>1125</v>
      </c>
      <c r="E290" s="1301"/>
      <c r="F290" s="1301"/>
      <c r="I290" s="490"/>
    </row>
    <row r="291" spans="1:9" ht="14.25">
      <c r="A291" s="484"/>
      <c r="B291" s="484"/>
      <c r="D291" s="1301"/>
      <c r="E291" s="1301"/>
      <c r="F291" s="1301"/>
      <c r="I291" s="490"/>
    </row>
    <row r="292" spans="1:9">
      <c r="D292" s="446"/>
      <c r="E292" s="446"/>
      <c r="F292" s="446"/>
      <c r="I292" s="490"/>
    </row>
    <row r="293" spans="1:9" ht="14.25">
      <c r="A293" s="484"/>
      <c r="B293" s="485" t="s">
        <v>2722</v>
      </c>
      <c r="D293" s="1301" t="s">
        <v>1126</v>
      </c>
      <c r="E293" s="1301"/>
      <c r="F293" s="1301"/>
      <c r="I293" s="490"/>
    </row>
    <row r="294" spans="1:9" ht="14.25">
      <c r="A294" s="484"/>
      <c r="B294" s="484"/>
      <c r="D294" s="1301"/>
      <c r="E294" s="1301"/>
      <c r="F294" s="1301"/>
      <c r="I294" s="490"/>
    </row>
    <row r="295" spans="1:9" ht="14.25">
      <c r="A295" s="484"/>
      <c r="B295" s="484"/>
      <c r="D295" s="1301"/>
      <c r="E295" s="1301"/>
      <c r="F295" s="1301"/>
      <c r="I295" s="490"/>
    </row>
    <row r="296" spans="1:9">
      <c r="D296" s="446"/>
      <c r="E296" s="446"/>
      <c r="F296" s="446"/>
      <c r="I296" s="490"/>
    </row>
    <row r="297" spans="1:9" ht="14.25">
      <c r="A297" s="484"/>
      <c r="B297" s="485" t="s">
        <v>2722</v>
      </c>
      <c r="D297" s="1301" t="s">
        <v>1127</v>
      </c>
      <c r="E297" s="1301"/>
      <c r="F297" s="1301"/>
      <c r="I297" s="490"/>
    </row>
    <row r="298" spans="1:9" ht="14.25">
      <c r="A298" s="484"/>
      <c r="B298" s="484"/>
      <c r="D298" s="1301"/>
      <c r="E298" s="1301"/>
      <c r="F298" s="1301"/>
      <c r="I298" s="490"/>
    </row>
    <row r="299" spans="1:9">
      <c r="A299" s="490"/>
      <c r="B299" s="490"/>
      <c r="E299" s="446"/>
      <c r="F299" s="446"/>
      <c r="I299" s="490"/>
    </row>
    <row r="300" spans="1:9">
      <c r="A300" s="1308" t="s">
        <v>1049</v>
      </c>
      <c r="B300" s="1308"/>
      <c r="C300" s="1308"/>
      <c r="D300" s="1308"/>
      <c r="E300" s="1308"/>
      <c r="F300" s="1308"/>
      <c r="G300" s="1308"/>
      <c r="H300" s="1028"/>
      <c r="I300" s="1153"/>
    </row>
    <row r="301" spans="1:9">
      <c r="A301" s="490"/>
      <c r="B301" s="490"/>
      <c r="D301" s="446"/>
      <c r="E301" s="446"/>
      <c r="F301" s="446"/>
      <c r="I301" s="490"/>
    </row>
    <row r="302" spans="1:9">
      <c r="C302" s="490"/>
      <c r="D302" s="1309" t="s">
        <v>682</v>
      </c>
      <c r="E302" s="1309"/>
      <c r="F302" s="1309"/>
      <c r="I302" s="490"/>
    </row>
    <row r="303" spans="1:9">
      <c r="C303" s="490"/>
      <c r="D303" s="1299" t="s">
        <v>1128</v>
      </c>
      <c r="E303" s="1299"/>
      <c r="F303" s="1299"/>
      <c r="I303" s="490"/>
    </row>
    <row r="304" spans="1:9">
      <c r="C304" s="490"/>
      <c r="D304" s="493"/>
      <c r="I304" s="490"/>
    </row>
    <row r="305" spans="1:9">
      <c r="B305" s="485" t="s">
        <v>2722</v>
      </c>
      <c r="D305" s="1299" t="s">
        <v>1129</v>
      </c>
      <c r="E305" s="1299"/>
      <c r="F305" s="1299"/>
      <c r="I305" s="490"/>
    </row>
    <row r="306" spans="1:9" ht="14.25">
      <c r="A306" s="484"/>
      <c r="B306" s="484"/>
      <c r="D306" s="494"/>
      <c r="E306" s="495"/>
      <c r="F306" s="495"/>
      <c r="I306" s="490"/>
    </row>
    <row r="307" spans="1:9" ht="13.7" customHeight="1">
      <c r="B307" s="485" t="s">
        <v>2722</v>
      </c>
      <c r="D307" s="1310" t="s">
        <v>1219</v>
      </c>
      <c r="E307" s="1310"/>
      <c r="F307" s="1310"/>
      <c r="I307" s="490"/>
    </row>
    <row r="308" spans="1:9" ht="14.25">
      <c r="A308" s="484"/>
      <c r="B308" s="484"/>
      <c r="D308" s="1310"/>
      <c r="E308" s="1310"/>
      <c r="F308" s="1310"/>
      <c r="I308" s="490"/>
    </row>
    <row r="309" spans="1:9" ht="14.25">
      <c r="A309" s="484"/>
      <c r="B309" s="484"/>
      <c r="D309" s="1310"/>
      <c r="E309" s="1310"/>
      <c r="F309" s="1310"/>
      <c r="I309" s="490"/>
    </row>
    <row r="310" spans="1:9" ht="14.25">
      <c r="A310" s="484"/>
      <c r="B310" s="484"/>
      <c r="D310" s="1310"/>
      <c r="E310" s="1310"/>
      <c r="F310" s="1310"/>
      <c r="I310" s="490"/>
    </row>
    <row r="311" spans="1:9" ht="14.25">
      <c r="A311" s="484"/>
      <c r="B311" s="484"/>
      <c r="D311" s="1310"/>
      <c r="E311" s="1310"/>
      <c r="F311" s="1310"/>
      <c r="I311" s="490"/>
    </row>
    <row r="312" spans="1:9" ht="14.25">
      <c r="A312" s="484"/>
      <c r="B312" s="484"/>
      <c r="D312" s="494"/>
      <c r="E312" s="495"/>
      <c r="F312" s="495"/>
      <c r="I312" s="490"/>
    </row>
    <row r="313" spans="1:9" ht="13.7" customHeight="1">
      <c r="B313" s="485" t="s">
        <v>2722</v>
      </c>
      <c r="D313" s="1310" t="s">
        <v>1130</v>
      </c>
      <c r="E313" s="1310"/>
      <c r="F313" s="1310"/>
      <c r="I313" s="490"/>
    </row>
    <row r="314" spans="1:9">
      <c r="D314" s="1310"/>
      <c r="E314" s="1310"/>
      <c r="F314" s="1310"/>
      <c r="I314" s="490"/>
    </row>
    <row r="315" spans="1:9" ht="14.25">
      <c r="A315" s="484"/>
      <c r="B315" s="484"/>
      <c r="D315" s="494"/>
      <c r="E315" s="495"/>
      <c r="F315" s="495"/>
      <c r="I315" s="490"/>
    </row>
    <row r="316" spans="1:9">
      <c r="B316" s="485" t="s">
        <v>2722</v>
      </c>
      <c r="D316" s="1299" t="s">
        <v>1131</v>
      </c>
      <c r="E316" s="1299"/>
      <c r="F316" s="1299"/>
      <c r="I316" s="490"/>
    </row>
    <row r="317" spans="1:9">
      <c r="E317" s="446"/>
      <c r="F317" s="446"/>
      <c r="I317" s="490"/>
    </row>
    <row r="318" spans="1:9" ht="14.25">
      <c r="A318" s="484"/>
      <c r="B318" s="485" t="s">
        <v>2722</v>
      </c>
      <c r="D318" s="1301" t="s">
        <v>2244</v>
      </c>
      <c r="E318" s="1301"/>
      <c r="F318" s="1301"/>
      <c r="I318" s="490"/>
    </row>
    <row r="319" spans="1:9" ht="14.25">
      <c r="A319" s="484"/>
      <c r="B319" s="484"/>
      <c r="D319" s="1301"/>
      <c r="E319" s="1301"/>
      <c r="F319" s="1301"/>
      <c r="I319" s="490"/>
    </row>
    <row r="320" spans="1:9" ht="14.25">
      <c r="A320" s="484"/>
      <c r="B320" s="484"/>
      <c r="D320" s="1301"/>
      <c r="E320" s="1301"/>
      <c r="F320" s="1301"/>
      <c r="I320" s="490"/>
    </row>
    <row r="321" spans="1:9" ht="14.25">
      <c r="A321" s="484"/>
      <c r="B321" s="484"/>
      <c r="D321" s="1301"/>
      <c r="E321" s="1301"/>
      <c r="F321" s="1301"/>
      <c r="I321" s="490"/>
    </row>
    <row r="322" spans="1:9" ht="14.25">
      <c r="A322" s="484"/>
      <c r="B322" s="484"/>
      <c r="D322" s="1301"/>
      <c r="E322" s="1301"/>
      <c r="F322" s="1301"/>
      <c r="I322" s="490"/>
    </row>
    <row r="323" spans="1:9" ht="14.25">
      <c r="A323" s="484"/>
      <c r="B323" s="484"/>
      <c r="D323" s="1301"/>
      <c r="E323" s="1301"/>
      <c r="F323" s="1301"/>
      <c r="I323" s="490"/>
    </row>
    <row r="324" spans="1:9" ht="14.25">
      <c r="A324" s="484"/>
      <c r="B324" s="484"/>
      <c r="D324" s="1301"/>
      <c r="E324" s="1301"/>
      <c r="F324" s="1301"/>
      <c r="I324" s="490"/>
    </row>
    <row r="325" spans="1:9" ht="14.25">
      <c r="A325" s="484"/>
      <c r="B325" s="484"/>
      <c r="D325" s="1301"/>
      <c r="E325" s="1301"/>
      <c r="F325" s="1301"/>
      <c r="I325" s="490"/>
    </row>
    <row r="326" spans="1:9" ht="14.25">
      <c r="A326" s="484"/>
      <c r="B326" s="484"/>
      <c r="D326" s="1301"/>
      <c r="E326" s="1301"/>
      <c r="F326" s="1301"/>
      <c r="I326" s="490"/>
    </row>
    <row r="327" spans="1:9" ht="14.25">
      <c r="A327" s="484"/>
      <c r="B327" s="484"/>
      <c r="D327" s="1301"/>
      <c r="E327" s="1301"/>
      <c r="F327" s="1301"/>
      <c r="I327" s="490"/>
    </row>
    <row r="328" spans="1:9" ht="14.25">
      <c r="A328" s="484"/>
      <c r="B328" s="484"/>
      <c r="D328" s="1301"/>
      <c r="E328" s="1301"/>
      <c r="F328" s="1301"/>
      <c r="I328" s="490"/>
    </row>
    <row r="329" spans="1:9" ht="14.25">
      <c r="A329" s="484"/>
      <c r="B329" s="484"/>
      <c r="D329" s="1301"/>
      <c r="E329" s="1301"/>
      <c r="F329" s="1301"/>
      <c r="I329" s="490"/>
    </row>
    <row r="330" spans="1:9" ht="14.25">
      <c r="A330" s="484"/>
      <c r="B330" s="484"/>
      <c r="D330" s="1301"/>
      <c r="E330" s="1301"/>
      <c r="F330" s="1301"/>
      <c r="I330" s="490"/>
    </row>
    <row r="331" spans="1:9" ht="14.25">
      <c r="A331" s="484"/>
      <c r="B331" s="484"/>
      <c r="D331" s="1301"/>
      <c r="E331" s="1301"/>
      <c r="F331" s="1301"/>
      <c r="I331" s="490"/>
    </row>
    <row r="332" spans="1:9" ht="14.25">
      <c r="A332" s="484"/>
      <c r="B332" s="484"/>
      <c r="D332" s="1301"/>
      <c r="E332" s="1301"/>
      <c r="F332" s="1301"/>
      <c r="I332" s="490"/>
    </row>
    <row r="333" spans="1:9">
      <c r="D333" s="446"/>
      <c r="E333" s="446"/>
      <c r="F333" s="446"/>
      <c r="I333" s="490"/>
    </row>
    <row r="334" spans="1:9" ht="14.25">
      <c r="A334" s="484"/>
      <c r="B334" s="485" t="s">
        <v>2722</v>
      </c>
      <c r="D334" s="1301" t="s">
        <v>1132</v>
      </c>
      <c r="E334" s="1301"/>
      <c r="F334" s="1301"/>
      <c r="I334" s="490"/>
    </row>
    <row r="335" spans="1:9">
      <c r="D335" s="1301"/>
      <c r="E335" s="1301"/>
      <c r="F335" s="1301"/>
      <c r="I335" s="490"/>
    </row>
    <row r="336" spans="1:9">
      <c r="D336" s="1301"/>
      <c r="E336" s="1301"/>
      <c r="F336" s="1301"/>
      <c r="I336" s="490"/>
    </row>
    <row r="337" spans="1:9">
      <c r="D337" s="1301"/>
      <c r="E337" s="1301"/>
      <c r="F337" s="1301"/>
      <c r="I337" s="490"/>
    </row>
    <row r="338" spans="1:9">
      <c r="D338" s="1301"/>
      <c r="E338" s="1301"/>
      <c r="F338" s="1301"/>
      <c r="I338" s="490"/>
    </row>
    <row r="339" spans="1:9">
      <c r="D339" s="1301"/>
      <c r="E339" s="1301"/>
      <c r="F339" s="1301"/>
      <c r="I339" s="490"/>
    </row>
    <row r="340" spans="1:9">
      <c r="D340" s="1301"/>
      <c r="E340" s="1301"/>
      <c r="F340" s="1301"/>
      <c r="I340" s="490"/>
    </row>
    <row r="341" spans="1:9">
      <c r="D341" s="1301"/>
      <c r="E341" s="1301"/>
      <c r="F341" s="1301"/>
      <c r="I341" s="490"/>
    </row>
    <row r="342" spans="1:9">
      <c r="D342" s="1301"/>
      <c r="E342" s="1301"/>
      <c r="F342" s="1301"/>
      <c r="I342" s="490"/>
    </row>
    <row r="343" spans="1:9">
      <c r="D343" s="446"/>
      <c r="E343" s="446"/>
      <c r="F343" s="446"/>
      <c r="I343" s="490"/>
    </row>
    <row r="344" spans="1:9" ht="14.25" customHeight="1">
      <c r="A344" s="484"/>
      <c r="B344" s="485" t="s">
        <v>2722</v>
      </c>
      <c r="D344" s="1301" t="s">
        <v>1902</v>
      </c>
      <c r="E344" s="1301"/>
      <c r="F344" s="1301"/>
      <c r="I344" s="490"/>
    </row>
    <row r="345" spans="1:9">
      <c r="D345" s="1301"/>
      <c r="E345" s="1301"/>
      <c r="F345" s="1301"/>
      <c r="I345" s="490"/>
    </row>
    <row r="346" spans="1:9">
      <c r="D346" s="1301"/>
      <c r="E346" s="1301"/>
      <c r="F346" s="1301"/>
      <c r="I346" s="490"/>
    </row>
    <row r="347" spans="1:9">
      <c r="D347" s="1301"/>
      <c r="E347" s="1301"/>
      <c r="F347" s="1301"/>
      <c r="I347" s="490"/>
    </row>
    <row r="348" spans="1:9">
      <c r="D348" s="386" t="s">
        <v>1901</v>
      </c>
      <c r="E348" s="385"/>
      <c r="F348" s="385"/>
      <c r="I348" s="490"/>
    </row>
    <row r="349" spans="1:9">
      <c r="D349" s="385"/>
      <c r="E349" s="96" t="s">
        <v>1898</v>
      </c>
      <c r="G349" s="96"/>
      <c r="I349" s="490"/>
    </row>
    <row r="350" spans="1:9">
      <c r="D350" s="445"/>
      <c r="E350" s="445"/>
      <c r="F350" s="445"/>
      <c r="I350" s="490"/>
    </row>
    <row r="351" spans="1:9" ht="13.5" thickBot="1">
      <c r="A351" s="1022"/>
      <c r="B351" s="1022"/>
      <c r="C351" s="1022"/>
      <c r="D351" s="1329" t="s">
        <v>979</v>
      </c>
      <c r="E351" s="1329"/>
      <c r="F351" s="1329"/>
      <c r="G351" s="1027"/>
      <c r="H351" s="1027"/>
      <c r="I351" s="1156"/>
    </row>
    <row r="352" spans="1:9" ht="13.5" thickTop="1">
      <c r="D352" s="1328" t="s">
        <v>2245</v>
      </c>
      <c r="E352" s="1328"/>
      <c r="F352" s="1328"/>
      <c r="I352" s="490"/>
    </row>
    <row r="353" spans="1:9">
      <c r="D353" s="446"/>
      <c r="E353" s="446"/>
      <c r="F353" s="446"/>
      <c r="I353" s="490"/>
    </row>
    <row r="354" spans="1:9">
      <c r="A354" s="476"/>
      <c r="B354" s="476"/>
      <c r="C354" s="476"/>
      <c r="D354" s="447"/>
      <c r="E354" s="447"/>
      <c r="F354" s="446"/>
      <c r="I354" s="490"/>
    </row>
    <row r="355" spans="1:9" ht="14.25">
      <c r="A355" s="484"/>
      <c r="B355" s="485" t="s">
        <v>2722</v>
      </c>
      <c r="C355" s="487"/>
      <c r="D355" s="1299" t="s">
        <v>1900</v>
      </c>
      <c r="E355" s="1299"/>
      <c r="F355" s="1299"/>
      <c r="I355" s="490"/>
    </row>
    <row r="356" spans="1:9" ht="12.75" customHeight="1">
      <c r="D356" s="1037"/>
      <c r="E356" s="96" t="s">
        <v>1899</v>
      </c>
      <c r="F356" s="1037"/>
      <c r="I356" s="490"/>
    </row>
    <row r="357" spans="1:9">
      <c r="D357" s="1301" t="s">
        <v>1239</v>
      </c>
      <c r="E357" s="1301"/>
      <c r="F357" s="1301"/>
      <c r="I357" s="490"/>
    </row>
    <row r="358" spans="1:9">
      <c r="D358" s="1301"/>
      <c r="E358" s="1301"/>
      <c r="F358" s="1301"/>
      <c r="I358" s="490"/>
    </row>
    <row r="359" spans="1:9">
      <c r="D359" s="1301"/>
      <c r="E359" s="1301"/>
      <c r="F359" s="1301"/>
      <c r="I359" s="490"/>
    </row>
    <row r="360" spans="1:9" ht="14.25">
      <c r="A360" s="484"/>
      <c r="B360" s="485" t="s">
        <v>2722</v>
      </c>
      <c r="C360" s="476"/>
      <c r="D360" s="1318" t="s">
        <v>2056</v>
      </c>
      <c r="E360" s="1318"/>
      <c r="F360" s="1318"/>
      <c r="I360" s="480"/>
    </row>
    <row r="361" spans="1:9">
      <c r="A361" s="476"/>
      <c r="B361" s="476"/>
      <c r="C361" s="476"/>
      <c r="D361" s="447"/>
      <c r="E361" s="447"/>
      <c r="F361" s="446"/>
      <c r="I361" s="490"/>
    </row>
    <row r="362" spans="1:9">
      <c r="A362" s="476"/>
      <c r="B362" s="485" t="s">
        <v>2722</v>
      </c>
      <c r="C362" s="476"/>
      <c r="D362" s="1272" t="s">
        <v>2057</v>
      </c>
      <c r="E362" s="1272"/>
      <c r="F362" s="1272"/>
      <c r="I362" s="490"/>
    </row>
    <row r="363" spans="1:9">
      <c r="A363" s="476"/>
      <c r="B363" s="476"/>
      <c r="C363" s="476"/>
      <c r="D363" s="1272"/>
      <c r="E363" s="1272"/>
      <c r="F363" s="1272"/>
      <c r="I363" s="490"/>
    </row>
    <row r="364" spans="1:9">
      <c r="A364" s="476"/>
      <c r="B364" s="476"/>
      <c r="C364" s="476"/>
      <c r="D364" s="1272"/>
      <c r="E364" s="1272"/>
      <c r="F364" s="1272"/>
      <c r="I364" s="490"/>
    </row>
    <row r="365" spans="1:9">
      <c r="A365" s="476"/>
      <c r="B365" s="476"/>
      <c r="C365" s="476"/>
      <c r="D365" s="1272"/>
      <c r="E365" s="1272"/>
      <c r="F365" s="1272"/>
      <c r="I365" s="490"/>
    </row>
    <row r="366" spans="1:9">
      <c r="A366" s="476"/>
      <c r="B366" s="476"/>
      <c r="C366" s="476"/>
      <c r="D366" s="1272"/>
      <c r="E366" s="1272"/>
      <c r="F366" s="1272"/>
      <c r="I366" s="490"/>
    </row>
    <row r="367" spans="1:9">
      <c r="A367" s="476"/>
      <c r="B367" s="476"/>
      <c r="C367" s="476"/>
      <c r="D367" s="1272"/>
      <c r="E367" s="1272"/>
      <c r="F367" s="1272"/>
      <c r="I367" s="490"/>
    </row>
    <row r="368" spans="1:9">
      <c r="A368" s="476"/>
      <c r="B368" s="476"/>
      <c r="C368" s="476"/>
      <c r="D368" s="1272"/>
      <c r="E368" s="1272"/>
      <c r="F368" s="1272"/>
      <c r="I368" s="490"/>
    </row>
    <row r="369" spans="1:9">
      <c r="A369" s="476"/>
      <c r="B369" s="476"/>
      <c r="C369" s="476"/>
      <c r="D369" s="1272"/>
      <c r="E369" s="1272"/>
      <c r="F369" s="1272"/>
      <c r="I369" s="490"/>
    </row>
    <row r="370" spans="1:9">
      <c r="A370" s="476"/>
      <c r="B370" s="476"/>
      <c r="C370" s="476"/>
      <c r="D370" s="1272"/>
      <c r="E370" s="1272"/>
      <c r="F370" s="1272"/>
      <c r="I370" s="490"/>
    </row>
    <row r="371" spans="1:9">
      <c r="A371" s="476"/>
      <c r="B371" s="476"/>
      <c r="C371" s="476"/>
      <c r="D371" s="1272"/>
      <c r="E371" s="1272"/>
      <c r="F371" s="1272"/>
      <c r="I371" s="490"/>
    </row>
    <row r="372" spans="1:9">
      <c r="A372" s="476"/>
      <c r="B372" s="476"/>
      <c r="C372" s="476"/>
      <c r="D372" s="1272"/>
      <c r="E372" s="1272"/>
      <c r="F372" s="1272"/>
      <c r="I372" s="490"/>
    </row>
    <row r="373" spans="1:9">
      <c r="A373" s="476"/>
      <c r="B373" s="476"/>
      <c r="C373" s="476"/>
      <c r="D373" s="1272"/>
      <c r="E373" s="1272"/>
      <c r="F373" s="1272"/>
      <c r="I373" s="490"/>
    </row>
    <row r="374" spans="1:9">
      <c r="A374" s="476"/>
      <c r="B374" s="476"/>
      <c r="C374" s="476"/>
      <c r="D374" s="451"/>
      <c r="E374" s="451"/>
      <c r="F374" s="451"/>
      <c r="I374" s="490"/>
    </row>
    <row r="375" spans="1:9" ht="12.6" customHeight="1">
      <c r="A375" s="476"/>
      <c r="B375" s="485" t="s">
        <v>2722</v>
      </c>
      <c r="C375" s="476"/>
      <c r="D375" s="1280" t="s">
        <v>1221</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2722</v>
      </c>
      <c r="C380" s="476"/>
      <c r="D380" s="402" t="s">
        <v>1834</v>
      </c>
      <c r="E380" s="524"/>
      <c r="F380" s="524"/>
      <c r="I380" s="490"/>
    </row>
    <row r="381" spans="1:9">
      <c r="A381" s="476"/>
      <c r="B381" s="476"/>
      <c r="C381" s="476"/>
      <c r="D381" s="402" t="s">
        <v>1835</v>
      </c>
      <c r="E381" s="524"/>
      <c r="F381" s="524"/>
      <c r="I381" s="490"/>
    </row>
    <row r="382" spans="1:9">
      <c r="A382" s="476"/>
      <c r="B382" s="476"/>
      <c r="C382" s="476"/>
      <c r="D382" s="402" t="s">
        <v>1836</v>
      </c>
      <c r="E382" s="524"/>
      <c r="F382" s="524"/>
      <c r="I382" s="490"/>
    </row>
    <row r="383" spans="1:9">
      <c r="A383" s="476"/>
      <c r="B383" s="476"/>
      <c r="C383" s="476"/>
      <c r="D383" s="402" t="s">
        <v>1837</v>
      </c>
      <c r="E383" s="524"/>
      <c r="F383" s="524"/>
      <c r="I383" s="490"/>
    </row>
    <row r="384" spans="1:9">
      <c r="A384" s="476"/>
      <c r="B384" s="476"/>
      <c r="C384" s="476"/>
      <c r="D384" s="402" t="s">
        <v>1838</v>
      </c>
      <c r="E384" s="524"/>
      <c r="F384" s="524"/>
      <c r="I384" s="490"/>
    </row>
    <row r="385" spans="1:9">
      <c r="A385" s="476"/>
      <c r="B385" s="476"/>
      <c r="C385" s="476"/>
      <c r="D385" s="402" t="s">
        <v>1839</v>
      </c>
      <c r="E385" s="524"/>
      <c r="F385" s="524"/>
      <c r="I385" s="490"/>
    </row>
    <row r="386" spans="1:9">
      <c r="A386" s="476"/>
      <c r="B386" s="476"/>
      <c r="C386" s="476"/>
      <c r="E386" s="447"/>
      <c r="F386" s="446"/>
      <c r="I386" s="490"/>
    </row>
    <row r="387" spans="1:9" ht="14.25">
      <c r="A387" s="484"/>
      <c r="B387" s="485" t="s">
        <v>2722</v>
      </c>
      <c r="C387" s="476"/>
      <c r="D387" s="1272" t="s">
        <v>1133</v>
      </c>
      <c r="E387" s="1272"/>
      <c r="F387" s="1272"/>
      <c r="I387" s="490"/>
    </row>
    <row r="388" spans="1:9">
      <c r="A388" s="476"/>
      <c r="B388" s="476"/>
      <c r="C388" s="476"/>
      <c r="D388" s="1272"/>
      <c r="E388" s="1272"/>
      <c r="F388" s="1272"/>
      <c r="I388" s="490"/>
    </row>
    <row r="389" spans="1:9">
      <c r="A389" s="476"/>
      <c r="B389" s="476"/>
      <c r="C389" s="476"/>
      <c r="D389" s="1272"/>
      <c r="E389" s="1272"/>
      <c r="F389" s="1272"/>
      <c r="I389" s="490"/>
    </row>
    <row r="390" spans="1:9">
      <c r="A390" s="476"/>
      <c r="B390" s="476"/>
      <c r="C390" s="476"/>
      <c r="D390" s="1272"/>
      <c r="E390" s="1272"/>
      <c r="F390" s="1272"/>
      <c r="I390" s="490"/>
    </row>
    <row r="391" spans="1:9">
      <c r="A391" s="476"/>
      <c r="B391" s="476"/>
      <c r="C391" s="476"/>
      <c r="D391" s="447"/>
      <c r="E391" s="447"/>
      <c r="F391" s="446"/>
      <c r="I391" s="490"/>
    </row>
    <row r="392" spans="1:9">
      <c r="A392" s="476"/>
      <c r="B392" s="476"/>
      <c r="C392" s="476"/>
      <c r="D392" s="1272" t="s">
        <v>1134</v>
      </c>
      <c r="E392" s="1272"/>
      <c r="F392" s="1272"/>
      <c r="I392" s="490"/>
    </row>
    <row r="393" spans="1:9">
      <c r="A393" s="476"/>
      <c r="B393" s="476"/>
      <c r="C393" s="476"/>
      <c r="D393" s="1272"/>
      <c r="E393" s="1272"/>
      <c r="F393" s="1272"/>
      <c r="I393" s="490"/>
    </row>
    <row r="394" spans="1:9">
      <c r="A394" s="476"/>
      <c r="B394" s="476"/>
      <c r="C394" s="476"/>
      <c r="D394" s="1272"/>
      <c r="E394" s="1272"/>
      <c r="F394" s="1272"/>
      <c r="I394" s="490"/>
    </row>
    <row r="395" spans="1:9">
      <c r="A395" s="476"/>
      <c r="B395" s="476"/>
      <c r="C395" s="476"/>
      <c r="D395" s="1272"/>
      <c r="E395" s="1272"/>
      <c r="F395" s="1272"/>
      <c r="I395" s="490"/>
    </row>
    <row r="396" spans="1:9" ht="18" customHeight="1">
      <c r="A396" s="476"/>
      <c r="B396" s="476"/>
      <c r="C396" s="476"/>
      <c r="D396" s="1272"/>
      <c r="E396" s="1272"/>
      <c r="F396" s="1272"/>
      <c r="I396" s="490"/>
    </row>
    <row r="397" spans="1:9">
      <c r="A397" s="476"/>
      <c r="B397" s="476"/>
      <c r="C397" s="476"/>
      <c r="D397" s="1272"/>
      <c r="E397" s="1272"/>
      <c r="F397" s="1272"/>
      <c r="I397" s="490"/>
    </row>
    <row r="398" spans="1:9">
      <c r="A398" s="476"/>
      <c r="B398" s="476"/>
      <c r="C398" s="476"/>
      <c r="D398" s="1272"/>
      <c r="E398" s="1272"/>
      <c r="F398" s="1272"/>
      <c r="I398" s="490"/>
    </row>
    <row r="399" spans="1:9">
      <c r="A399" s="476"/>
      <c r="B399" s="476"/>
      <c r="C399" s="476"/>
      <c r="D399" s="1272"/>
      <c r="E399" s="1272"/>
      <c r="F399" s="1272"/>
      <c r="I399" s="490"/>
    </row>
    <row r="400" spans="1:9" ht="8.25" customHeight="1">
      <c r="A400" s="476"/>
      <c r="B400" s="476"/>
      <c r="C400" s="476"/>
      <c r="D400" s="1272"/>
      <c r="E400" s="1272"/>
      <c r="F400" s="1272"/>
      <c r="I400" s="490"/>
    </row>
    <row r="401" spans="1:9" ht="13.7" customHeight="1">
      <c r="A401" s="476"/>
      <c r="B401" s="476"/>
      <c r="C401" s="476"/>
      <c r="D401" s="1272" t="s">
        <v>1135</v>
      </c>
      <c r="E401" s="1272"/>
      <c r="F401" s="1272"/>
      <c r="I401" s="490"/>
    </row>
    <row r="402" spans="1:9">
      <c r="A402" s="476"/>
      <c r="B402" s="476"/>
      <c r="C402" s="476"/>
      <c r="D402" s="1272"/>
      <c r="E402" s="1272"/>
      <c r="F402" s="1272"/>
      <c r="I402" s="490"/>
    </row>
    <row r="403" spans="1:9">
      <c r="A403" s="476"/>
      <c r="B403" s="476"/>
      <c r="C403" s="476"/>
      <c r="D403" s="1272"/>
      <c r="E403" s="1272"/>
      <c r="F403" s="1272"/>
      <c r="I403" s="490"/>
    </row>
    <row r="404" spans="1:9">
      <c r="A404" s="476"/>
      <c r="B404" s="476"/>
      <c r="C404" s="476"/>
      <c r="D404" s="1272"/>
      <c r="E404" s="1272"/>
      <c r="F404" s="1272"/>
      <c r="I404" s="490"/>
    </row>
    <row r="405" spans="1:9">
      <c r="A405" s="476"/>
      <c r="B405" s="476"/>
      <c r="C405" s="476"/>
      <c r="D405" s="1272"/>
      <c r="E405" s="1272"/>
      <c r="F405" s="1272"/>
      <c r="I405" s="490"/>
    </row>
    <row r="406" spans="1:9">
      <c r="A406" s="476"/>
      <c r="B406" s="476"/>
      <c r="C406" s="476"/>
      <c r="D406" s="1272"/>
      <c r="E406" s="1272"/>
      <c r="F406" s="1272"/>
      <c r="I406" s="490"/>
    </row>
    <row r="407" spans="1:9">
      <c r="A407" s="476"/>
      <c r="B407" s="476"/>
      <c r="C407" s="476"/>
      <c r="D407" s="1272"/>
      <c r="E407" s="1272"/>
      <c r="F407" s="1272"/>
      <c r="I407" s="490"/>
    </row>
    <row r="408" spans="1:9">
      <c r="A408" s="476"/>
      <c r="B408" s="476"/>
      <c r="C408" s="476"/>
      <c r="D408" s="1272"/>
      <c r="E408" s="1272"/>
      <c r="F408" s="1272"/>
      <c r="I408" s="490"/>
    </row>
    <row r="409" spans="1:9">
      <c r="A409" s="476"/>
      <c r="B409" s="476"/>
      <c r="C409" s="476"/>
      <c r="D409" s="1272"/>
      <c r="E409" s="1272"/>
      <c r="F409" s="1272"/>
      <c r="I409" s="490"/>
    </row>
    <row r="410" spans="1:9">
      <c r="A410" s="476"/>
      <c r="B410" s="476"/>
      <c r="C410" s="476"/>
      <c r="D410" s="1272"/>
      <c r="E410" s="1272"/>
      <c r="F410" s="1272"/>
      <c r="I410" s="490"/>
    </row>
    <row r="411" spans="1:9">
      <c r="A411" s="476"/>
      <c r="B411" s="476"/>
      <c r="C411" s="476"/>
      <c r="D411" s="1272"/>
      <c r="E411" s="1272"/>
      <c r="F411" s="1272"/>
      <c r="I411" s="490"/>
    </row>
    <row r="412" spans="1:9">
      <c r="A412" s="476"/>
      <c r="B412" s="476"/>
      <c r="C412" s="476"/>
      <c r="D412" s="1272"/>
      <c r="E412" s="1272"/>
      <c r="F412" s="1272"/>
      <c r="I412" s="490"/>
    </row>
    <row r="413" spans="1:9">
      <c r="A413" s="476"/>
      <c r="B413" s="476"/>
      <c r="C413" s="496"/>
      <c r="D413" s="1272"/>
      <c r="E413" s="1272"/>
      <c r="F413" s="1272"/>
      <c r="I413" s="490"/>
    </row>
    <row r="414" spans="1:9">
      <c r="A414" s="476"/>
      <c r="B414" s="476"/>
      <c r="C414" s="496"/>
      <c r="D414" s="1272"/>
      <c r="E414" s="1272"/>
      <c r="F414" s="1272"/>
      <c r="I414" s="490"/>
    </row>
    <row r="415" spans="1:9">
      <c r="A415" s="476"/>
      <c r="B415" s="476"/>
      <c r="C415" s="476"/>
      <c r="D415" s="1272"/>
      <c r="E415" s="1272"/>
      <c r="F415" s="1272"/>
      <c r="I415" s="490"/>
    </row>
    <row r="416" spans="1:9">
      <c r="A416" s="476"/>
      <c r="B416" s="476"/>
      <c r="C416" s="496"/>
      <c r="D416" s="1272"/>
      <c r="E416" s="1272"/>
      <c r="F416" s="1272"/>
      <c r="I416" s="490"/>
    </row>
    <row r="417" spans="1:9">
      <c r="A417" s="476"/>
      <c r="B417" s="476"/>
      <c r="C417" s="496"/>
      <c r="D417" s="1272"/>
      <c r="E417" s="1272"/>
      <c r="F417" s="1272"/>
      <c r="I417" s="490"/>
    </row>
    <row r="418" spans="1:9">
      <c r="A418" s="476"/>
      <c r="B418" s="476"/>
      <c r="C418" s="496"/>
      <c r="D418" s="1272"/>
      <c r="E418" s="1272"/>
      <c r="F418" s="1272"/>
      <c r="I418" s="490"/>
    </row>
    <row r="419" spans="1:9">
      <c r="A419" s="476"/>
      <c r="B419" s="476"/>
      <c r="C419" s="476"/>
      <c r="D419" s="447"/>
      <c r="E419" s="447"/>
      <c r="F419" s="446"/>
      <c r="I419" s="490"/>
    </row>
    <row r="420" spans="1:9">
      <c r="A420" s="476"/>
      <c r="B420" s="485" t="s">
        <v>2722</v>
      </c>
      <c r="C420" s="476"/>
      <c r="D420" s="1272" t="s">
        <v>1136</v>
      </c>
      <c r="E420" s="1272"/>
      <c r="F420" s="1272"/>
      <c r="I420" s="490"/>
    </row>
    <row r="421" spans="1:9">
      <c r="A421" s="476"/>
      <c r="B421" s="476"/>
      <c r="C421" s="476"/>
      <c r="D421" s="1272"/>
      <c r="E421" s="1272"/>
      <c r="F421" s="1272"/>
      <c r="I421" s="490"/>
    </row>
    <row r="422" spans="1:9">
      <c r="A422" s="476"/>
      <c r="B422" s="476"/>
      <c r="C422" s="476"/>
      <c r="D422" s="451"/>
      <c r="E422" s="451"/>
      <c r="F422" s="451"/>
      <c r="I422" s="490"/>
    </row>
    <row r="423" spans="1:9" ht="14.45" customHeight="1">
      <c r="A423" s="484"/>
      <c r="B423" s="485" t="s">
        <v>2722</v>
      </c>
      <c r="D423" s="1272" t="s">
        <v>1881</v>
      </c>
      <c r="E423" s="1272"/>
      <c r="F423" s="1272"/>
      <c r="I423" s="490"/>
    </row>
    <row r="424" spans="1:9" ht="14.45" customHeight="1">
      <c r="A424" s="484"/>
      <c r="D424" s="1272"/>
      <c r="E424" s="1272"/>
      <c r="F424" s="1272"/>
      <c r="I424" s="490"/>
    </row>
    <row r="425" spans="1:9" ht="14.45" customHeight="1">
      <c r="A425" s="484"/>
      <c r="D425" s="1272"/>
      <c r="E425" s="1272"/>
      <c r="F425" s="1272"/>
      <c r="I425" s="490"/>
    </row>
    <row r="426" spans="1:9" ht="14.45" customHeight="1">
      <c r="A426" s="484"/>
      <c r="D426" s="1272"/>
      <c r="E426" s="1272"/>
      <c r="F426" s="1272"/>
      <c r="I426" s="490"/>
    </row>
    <row r="427" spans="1:9" ht="14.45" customHeight="1">
      <c r="A427" s="484"/>
      <c r="D427" s="1272"/>
      <c r="E427" s="1272"/>
      <c r="F427" s="1272"/>
      <c r="I427" s="490"/>
    </row>
    <row r="428" spans="1:9" ht="14.45" customHeight="1">
      <c r="A428" s="484"/>
      <c r="D428" s="385"/>
      <c r="E428" s="385"/>
      <c r="F428" s="385"/>
      <c r="I428" s="490"/>
    </row>
    <row r="429" spans="1:9" ht="13.7" customHeight="1">
      <c r="A429" s="484"/>
      <c r="B429" s="485" t="s">
        <v>2722</v>
      </c>
      <c r="C429" s="476"/>
      <c r="D429" s="1272" t="s">
        <v>1240</v>
      </c>
      <c r="E429" s="1272"/>
      <c r="F429" s="1272"/>
      <c r="I429" s="490"/>
    </row>
    <row r="430" spans="1:9" ht="14.25">
      <c r="A430" s="497"/>
      <c r="B430" s="497"/>
      <c r="C430" s="476"/>
      <c r="D430" s="1272"/>
      <c r="E430" s="1272"/>
      <c r="F430" s="1272"/>
      <c r="I430" s="490"/>
    </row>
    <row r="431" spans="1:9" ht="14.25">
      <c r="A431" s="497"/>
      <c r="B431" s="497"/>
      <c r="C431" s="476"/>
      <c r="D431" s="1272"/>
      <c r="E431" s="1272"/>
      <c r="F431" s="1272"/>
      <c r="I431" s="490"/>
    </row>
    <row r="432" spans="1:9" ht="14.25">
      <c r="A432" s="497"/>
      <c r="B432" s="497"/>
      <c r="C432" s="476"/>
      <c r="D432" s="1272"/>
      <c r="E432" s="1272"/>
      <c r="F432" s="1272"/>
      <c r="I432" s="490"/>
    </row>
    <row r="433" spans="1:9" ht="15.75" customHeight="1">
      <c r="A433" s="497"/>
      <c r="B433" s="497"/>
      <c r="C433" s="476"/>
      <c r="D433" s="1330" t="s">
        <v>2073</v>
      </c>
      <c r="E433" s="1272"/>
      <c r="F433" s="1272"/>
      <c r="I433" s="490"/>
    </row>
    <row r="434" spans="1:9">
      <c r="D434" s="446"/>
      <c r="E434" s="446"/>
      <c r="F434" s="446"/>
      <c r="I434" s="490"/>
    </row>
    <row r="435" spans="1:9" ht="14.25">
      <c r="A435" s="484"/>
      <c r="B435" s="485" t="s">
        <v>2722</v>
      </c>
      <c r="C435" s="487"/>
      <c r="D435" s="1301" t="s">
        <v>2058</v>
      </c>
      <c r="E435" s="1301"/>
      <c r="F435" s="1301"/>
      <c r="I435" s="490"/>
    </row>
    <row r="436" spans="1:9" ht="14.25">
      <c r="A436" s="484"/>
      <c r="B436" s="484"/>
      <c r="D436" s="1301"/>
      <c r="E436" s="1301"/>
      <c r="F436" s="1301"/>
      <c r="I436" s="490"/>
    </row>
    <row r="437" spans="1:9">
      <c r="D437" s="1301"/>
      <c r="E437" s="1301"/>
      <c r="F437" s="1301"/>
      <c r="I437" s="490"/>
    </row>
    <row r="438" spans="1:9">
      <c r="D438" s="1301"/>
      <c r="E438" s="1301"/>
      <c r="F438" s="1301"/>
      <c r="I438" s="490"/>
    </row>
    <row r="439" spans="1:9">
      <c r="D439" s="1301"/>
      <c r="E439" s="1301"/>
      <c r="F439" s="1301"/>
      <c r="I439" s="490"/>
    </row>
    <row r="440" spans="1:9">
      <c r="D440" s="1301"/>
      <c r="E440" s="1301"/>
      <c r="F440" s="1301"/>
      <c r="I440" s="490"/>
    </row>
    <row r="441" spans="1:9">
      <c r="D441" s="1301"/>
      <c r="E441" s="1301"/>
      <c r="F441" s="1301"/>
      <c r="I441" s="490"/>
    </row>
    <row r="442" spans="1:9">
      <c r="D442" s="1301"/>
      <c r="E442" s="1301"/>
      <c r="F442" s="1301"/>
      <c r="I442" s="490"/>
    </row>
    <row r="443" spans="1:9">
      <c r="D443" s="1301"/>
      <c r="E443" s="1301"/>
      <c r="F443" s="1301"/>
      <c r="I443" s="490"/>
    </row>
    <row r="444" spans="1:9">
      <c r="D444" s="1301"/>
      <c r="E444" s="1301"/>
      <c r="F444" s="1301"/>
      <c r="I444" s="490"/>
    </row>
    <row r="445" spans="1:9">
      <c r="D445" s="1301"/>
      <c r="E445" s="1301"/>
      <c r="F445" s="1301"/>
      <c r="I445" s="490"/>
    </row>
    <row r="446" spans="1:9">
      <c r="D446" s="1301"/>
      <c r="E446" s="1301"/>
      <c r="F446" s="1301"/>
      <c r="I446" s="490"/>
    </row>
    <row r="447" spans="1:9">
      <c r="D447" s="1301"/>
      <c r="E447" s="1301"/>
      <c r="F447" s="1301"/>
      <c r="I447" s="490"/>
    </row>
    <row r="448" spans="1:9">
      <c r="A448" s="402"/>
      <c r="B448" s="402"/>
      <c r="C448" s="402"/>
      <c r="D448" s="1301"/>
      <c r="E448" s="1301"/>
      <c r="F448" s="1301"/>
      <c r="I448" s="490"/>
    </row>
    <row r="449" spans="1:9">
      <c r="A449" s="402"/>
      <c r="B449" s="402"/>
      <c r="C449" s="402"/>
      <c r="D449" s="1301"/>
      <c r="E449" s="1301"/>
      <c r="F449" s="1301"/>
      <c r="I449" s="490"/>
    </row>
    <row r="450" spans="1:9">
      <c r="A450" s="402"/>
      <c r="B450" s="402"/>
      <c r="C450" s="402"/>
      <c r="D450" s="1301"/>
      <c r="E450" s="1301"/>
      <c r="F450" s="1301"/>
      <c r="I450" s="490"/>
    </row>
    <row r="451" spans="1:9">
      <c r="A451" s="402"/>
      <c r="B451" s="402"/>
      <c r="C451" s="402"/>
      <c r="D451" s="1301"/>
      <c r="E451" s="1301"/>
      <c r="F451" s="1301"/>
      <c r="I451" s="490"/>
    </row>
    <row r="452" spans="1:9">
      <c r="A452" s="402"/>
      <c r="B452" s="402"/>
      <c r="C452" s="402"/>
      <c r="D452" s="1301"/>
      <c r="E452" s="1301"/>
      <c r="F452" s="1301"/>
      <c r="I452" s="490"/>
    </row>
    <row r="453" spans="1:9">
      <c r="A453" s="402"/>
      <c r="B453" s="402"/>
      <c r="C453" s="402"/>
      <c r="D453" s="1301"/>
      <c r="E453" s="1301"/>
      <c r="F453" s="1301"/>
      <c r="I453" s="490"/>
    </row>
    <row r="454" spans="1:9">
      <c r="A454" s="402"/>
      <c r="B454" s="402"/>
      <c r="C454" s="402"/>
      <c r="D454" s="1301"/>
      <c r="E454" s="1301"/>
      <c r="F454" s="1301"/>
      <c r="I454" s="490"/>
    </row>
    <row r="455" spans="1:9">
      <c r="A455" s="402"/>
      <c r="B455" s="402"/>
      <c r="C455" s="402"/>
      <c r="D455" s="1301"/>
      <c r="E455" s="1301"/>
      <c r="F455" s="1301"/>
      <c r="I455" s="490"/>
    </row>
    <row r="456" spans="1:9">
      <c r="A456" s="402"/>
      <c r="B456" s="402"/>
      <c r="C456" s="402"/>
      <c r="D456" s="1301"/>
      <c r="E456" s="1301"/>
      <c r="F456" s="1301"/>
      <c r="I456" s="490"/>
    </row>
    <row r="457" spans="1:9">
      <c r="A457" s="402"/>
      <c r="B457" s="402"/>
      <c r="C457" s="402"/>
      <c r="D457" s="1301"/>
      <c r="E457" s="1301"/>
      <c r="F457" s="1301"/>
      <c r="I457" s="490"/>
    </row>
    <row r="458" spans="1:9">
      <c r="A458" s="402"/>
      <c r="B458" s="402"/>
      <c r="C458" s="402"/>
      <c r="D458" s="1301"/>
      <c r="E458" s="1301"/>
      <c r="F458" s="1301"/>
      <c r="I458" s="490"/>
    </row>
    <row r="459" spans="1:9">
      <c r="A459" s="402"/>
      <c r="B459" s="402"/>
      <c r="C459" s="402"/>
      <c r="D459" s="1301"/>
      <c r="E459" s="1301"/>
      <c r="F459" s="1301"/>
      <c r="I459" s="490"/>
    </row>
    <row r="460" spans="1:9">
      <c r="A460" s="402"/>
      <c r="B460" s="402"/>
      <c r="C460" s="402"/>
      <c r="D460" s="1301"/>
      <c r="E460" s="1301"/>
      <c r="F460" s="1301"/>
      <c r="I460" s="490"/>
    </row>
    <row r="461" spans="1:9">
      <c r="A461" s="402"/>
      <c r="B461" s="402"/>
      <c r="C461" s="402"/>
      <c r="D461" s="1301"/>
      <c r="E461" s="1301"/>
      <c r="F461" s="1301"/>
      <c r="I461" s="490"/>
    </row>
    <row r="462" spans="1:9">
      <c r="A462" s="402"/>
      <c r="B462" s="402"/>
      <c r="C462" s="402"/>
      <c r="D462" s="1301"/>
      <c r="E462" s="1301"/>
      <c r="F462" s="1301"/>
      <c r="I462" s="490"/>
    </row>
    <row r="463" spans="1:9">
      <c r="A463" s="402"/>
      <c r="B463" s="402"/>
      <c r="C463" s="402"/>
      <c r="D463" s="1301"/>
      <c r="E463" s="1301"/>
      <c r="F463" s="1301"/>
      <c r="I463" s="490"/>
    </row>
    <row r="464" spans="1:9">
      <c r="D464" s="1301"/>
      <c r="E464" s="1301"/>
      <c r="F464" s="1301"/>
      <c r="I464" s="490"/>
    </row>
    <row r="465" spans="1:9" ht="40.700000000000003" customHeight="1">
      <c r="D465" s="1301"/>
      <c r="E465" s="1301"/>
      <c r="F465" s="1301"/>
      <c r="I465" s="490"/>
    </row>
    <row r="466" spans="1:9">
      <c r="D466" s="446"/>
      <c r="E466" s="446"/>
      <c r="F466" s="446"/>
      <c r="I466" s="490"/>
    </row>
    <row r="467" spans="1:9" ht="14.25">
      <c r="A467" s="484"/>
      <c r="B467" s="485" t="s">
        <v>2722</v>
      </c>
      <c r="C467" s="487"/>
      <c r="D467" s="1301" t="s">
        <v>1137</v>
      </c>
      <c r="E467" s="1301"/>
      <c r="F467" s="1301"/>
      <c r="I467" s="490"/>
    </row>
    <row r="468" spans="1:9">
      <c r="D468" s="1301"/>
      <c r="E468" s="1301"/>
      <c r="F468" s="1301"/>
      <c r="I468" s="490"/>
    </row>
    <row r="469" spans="1:9">
      <c r="D469" s="1301"/>
      <c r="E469" s="1301"/>
      <c r="F469" s="1301"/>
      <c r="I469" s="490"/>
    </row>
    <row r="470" spans="1:9">
      <c r="D470" s="445"/>
      <c r="E470" s="445"/>
      <c r="F470" s="445"/>
      <c r="I470" s="490"/>
    </row>
    <row r="471" spans="1:9" ht="14.25">
      <c r="B471" s="485" t="s">
        <v>2722</v>
      </c>
      <c r="C471" s="484"/>
      <c r="D471" s="1301" t="s">
        <v>1197</v>
      </c>
      <c r="E471" s="1301"/>
      <c r="F471" s="1301"/>
      <c r="I471" s="490"/>
    </row>
    <row r="472" spans="1:9">
      <c r="D472" s="1301"/>
      <c r="E472" s="1301"/>
      <c r="F472" s="1301"/>
      <c r="I472" s="490"/>
    </row>
    <row r="473" spans="1:9">
      <c r="D473" s="446"/>
      <c r="E473" s="446"/>
      <c r="F473" s="446"/>
      <c r="I473" s="490"/>
    </row>
    <row r="474" spans="1:9" ht="14.25">
      <c r="B474" s="485" t="s">
        <v>2722</v>
      </c>
      <c r="C474" s="484"/>
      <c r="D474" s="1301" t="s">
        <v>1138</v>
      </c>
      <c r="E474" s="1301"/>
      <c r="F474" s="1301"/>
      <c r="I474" s="490"/>
    </row>
    <row r="475" spans="1:9">
      <c r="D475" s="1301"/>
      <c r="E475" s="1301"/>
      <c r="F475" s="1301"/>
      <c r="I475" s="490"/>
    </row>
    <row r="476" spans="1:9">
      <c r="D476" s="1301"/>
      <c r="E476" s="1301"/>
      <c r="F476" s="1301"/>
      <c r="I476" s="490"/>
    </row>
    <row r="477" spans="1:9">
      <c r="D477" s="1301"/>
      <c r="E477" s="1301"/>
      <c r="F477" s="1301"/>
      <c r="I477" s="490"/>
    </row>
    <row r="478" spans="1:9">
      <c r="B478" s="485" t="s">
        <v>2722</v>
      </c>
      <c r="D478" s="1301"/>
      <c r="E478" s="1301"/>
      <c r="F478" s="1301"/>
      <c r="I478" s="490"/>
    </row>
    <row r="479" spans="1:9">
      <c r="A479" s="402"/>
      <c r="B479" s="402"/>
      <c r="C479" s="402"/>
      <c r="D479" s="1301"/>
      <c r="E479" s="1301"/>
      <c r="F479" s="1301"/>
      <c r="I479" s="490"/>
    </row>
    <row r="480" spans="1:9">
      <c r="A480" s="402"/>
      <c r="C480" s="402"/>
      <c r="D480" s="1301"/>
      <c r="E480" s="1301"/>
      <c r="F480" s="1301"/>
      <c r="I480" s="490"/>
    </row>
    <row r="481" spans="1:9">
      <c r="A481" s="402"/>
      <c r="B481" s="485" t="s">
        <v>2722</v>
      </c>
      <c r="C481" s="402"/>
      <c r="D481" s="1301"/>
      <c r="E481" s="1301"/>
      <c r="F481" s="1301"/>
      <c r="I481" s="490"/>
    </row>
    <row r="482" spans="1:9">
      <c r="A482" s="402"/>
      <c r="B482" s="402"/>
      <c r="C482" s="402"/>
      <c r="D482" s="1301"/>
      <c r="E482" s="1301"/>
      <c r="F482" s="1301"/>
      <c r="I482" s="490"/>
    </row>
    <row r="483" spans="1:9">
      <c r="A483" s="402"/>
      <c r="C483" s="402"/>
      <c r="D483" s="1301"/>
      <c r="E483" s="1301"/>
      <c r="F483" s="1301"/>
      <c r="I483" s="490"/>
    </row>
    <row r="484" spans="1:9">
      <c r="A484" s="402"/>
      <c r="C484" s="402"/>
      <c r="D484" s="1301"/>
      <c r="E484" s="1301"/>
      <c r="F484" s="1301"/>
      <c r="I484" s="490"/>
    </row>
    <row r="485" spans="1:9">
      <c r="A485" s="402"/>
      <c r="C485" s="402"/>
      <c r="D485" s="1301"/>
      <c r="E485" s="1301"/>
      <c r="F485" s="1301"/>
      <c r="I485" s="490"/>
    </row>
    <row r="486" spans="1:9">
      <c r="A486" s="402"/>
      <c r="B486" s="485" t="s">
        <v>2722</v>
      </c>
      <c r="C486" s="402"/>
      <c r="D486" s="1301"/>
      <c r="E486" s="1301"/>
      <c r="F486" s="1301"/>
      <c r="I486" s="490"/>
    </row>
    <row r="487" spans="1:9">
      <c r="A487" s="402"/>
      <c r="C487" s="402"/>
      <c r="D487" s="1301"/>
      <c r="E487" s="1301"/>
      <c r="F487" s="1301"/>
      <c r="I487" s="490"/>
    </row>
    <row r="488" spans="1:9">
      <c r="A488" s="402"/>
      <c r="B488" s="485" t="s">
        <v>2722</v>
      </c>
      <c r="C488" s="402"/>
      <c r="D488" s="1301" t="s">
        <v>1139</v>
      </c>
      <c r="E488" s="1301"/>
      <c r="F488" s="1301"/>
      <c r="I488" s="490"/>
    </row>
    <row r="489" spans="1:9">
      <c r="A489" s="402"/>
      <c r="B489" s="402"/>
      <c r="C489" s="402"/>
      <c r="D489" s="1301"/>
      <c r="E489" s="1301"/>
      <c r="F489" s="1301"/>
      <c r="I489" s="490"/>
    </row>
    <row r="490" spans="1:9">
      <c r="A490" s="402"/>
      <c r="B490" s="402"/>
      <c r="C490" s="402"/>
      <c r="D490" s="1301"/>
      <c r="E490" s="1301"/>
      <c r="F490" s="1301"/>
      <c r="I490" s="490"/>
    </row>
    <row r="491" spans="1:9">
      <c r="A491" s="402"/>
      <c r="B491" s="402"/>
      <c r="C491" s="402"/>
      <c r="D491" s="1301"/>
      <c r="E491" s="1301"/>
      <c r="F491" s="1301"/>
      <c r="I491" s="490"/>
    </row>
    <row r="492" spans="1:9">
      <c r="D492" s="1301"/>
      <c r="E492" s="1301"/>
      <c r="F492" s="1301"/>
      <c r="I492" s="490"/>
    </row>
    <row r="493" spans="1:9">
      <c r="D493" s="446"/>
      <c r="E493" s="446"/>
      <c r="F493" s="446"/>
      <c r="I493" s="490"/>
    </row>
    <row r="494" spans="1:9">
      <c r="B494" s="485" t="s">
        <v>2722</v>
      </c>
      <c r="D494" s="1299" t="s">
        <v>1140</v>
      </c>
      <c r="E494" s="1299"/>
      <c r="F494" s="1299"/>
      <c r="I494" s="490"/>
    </row>
    <row r="495" spans="1:9">
      <c r="A495" s="446"/>
      <c r="B495" s="446"/>
      <c r="I495" s="490"/>
    </row>
    <row r="496" spans="1:9">
      <c r="A496" s="1308" t="s">
        <v>1050</v>
      </c>
      <c r="B496" s="1308"/>
      <c r="C496" s="1308"/>
      <c r="D496" s="1308"/>
      <c r="E496" s="1308"/>
      <c r="F496" s="1308"/>
      <c r="G496" s="1308"/>
      <c r="H496" s="1028"/>
      <c r="I496" s="1153"/>
    </row>
    <row r="497" spans="1:9">
      <c r="A497" s="446"/>
      <c r="B497" s="446"/>
      <c r="I497" s="490"/>
    </row>
    <row r="498" spans="1:9">
      <c r="D498" s="1327" t="s">
        <v>883</v>
      </c>
      <c r="E498" s="1327"/>
      <c r="F498" s="1327"/>
      <c r="I498" s="490"/>
    </row>
    <row r="499" spans="1:9" ht="14.25">
      <c r="A499" s="484"/>
      <c r="B499" s="484"/>
      <c r="D499" s="1318" t="s">
        <v>1141</v>
      </c>
      <c r="E499" s="1318"/>
      <c r="F499" s="1318"/>
      <c r="I499" s="490"/>
    </row>
    <row r="500" spans="1:9" ht="14.25">
      <c r="A500" s="484"/>
      <c r="B500" s="484"/>
      <c r="D500" s="447"/>
      <c r="I500" s="490"/>
    </row>
    <row r="501" spans="1:9" ht="14.25">
      <c r="A501" s="484"/>
      <c r="B501" s="485" t="s">
        <v>2722</v>
      </c>
      <c r="D501" s="1272" t="s">
        <v>1142</v>
      </c>
      <c r="E501" s="1272"/>
      <c r="F501" s="1272"/>
      <c r="I501" s="490"/>
    </row>
    <row r="502" spans="1:9" ht="14.25">
      <c r="A502" s="484"/>
      <c r="B502" s="484"/>
      <c r="D502" s="1272"/>
      <c r="E502" s="1272"/>
      <c r="F502" s="1272"/>
      <c r="I502" s="490"/>
    </row>
    <row r="503" spans="1:9" ht="14.25">
      <c r="A503" s="484"/>
      <c r="B503" s="484"/>
      <c r="D503" s="446"/>
      <c r="I503" s="490"/>
    </row>
    <row r="504" spans="1:9" ht="12.75" customHeight="1">
      <c r="B504" s="485" t="s">
        <v>2722</v>
      </c>
      <c r="D504" s="1313" t="s">
        <v>1273</v>
      </c>
      <c r="E504" s="1313"/>
      <c r="F504" s="1313"/>
      <c r="I504" s="490"/>
    </row>
    <row r="505" spans="1:9" ht="14.25">
      <c r="A505" s="484"/>
      <c r="D505" s="1313"/>
      <c r="E505" s="1313"/>
      <c r="F505" s="1313"/>
      <c r="I505" s="490"/>
    </row>
    <row r="506" spans="1:9" ht="14.25">
      <c r="A506" s="484"/>
      <c r="B506" s="484"/>
      <c r="D506" s="1313"/>
      <c r="E506" s="1313"/>
      <c r="F506" s="1313"/>
      <c r="I506" s="490"/>
    </row>
    <row r="507" spans="1:9" ht="14.25">
      <c r="A507" s="484"/>
      <c r="B507" s="484"/>
      <c r="D507" s="1313"/>
      <c r="E507" s="1313"/>
      <c r="F507" s="1313"/>
      <c r="I507" s="490"/>
    </row>
    <row r="508" spans="1:9" ht="14.25">
      <c r="A508" s="484"/>
      <c r="D508" s="520"/>
      <c r="E508" s="520"/>
      <c r="F508" s="520"/>
      <c r="I508" s="490"/>
    </row>
    <row r="509" spans="1:9" ht="14.25">
      <c r="A509" s="484"/>
      <c r="B509" s="485" t="s">
        <v>2722</v>
      </c>
      <c r="D509" s="1299" t="s">
        <v>1143</v>
      </c>
      <c r="E509" s="1299"/>
      <c r="F509" s="1299"/>
      <c r="I509" s="490"/>
    </row>
    <row r="510" spans="1:9" ht="14.25">
      <c r="A510" s="484"/>
      <c r="B510" s="484"/>
      <c r="D510" s="446"/>
      <c r="I510" s="490"/>
    </row>
    <row r="511" spans="1:9" ht="14.25">
      <c r="A511" s="484"/>
      <c r="B511" s="485" t="s">
        <v>2722</v>
      </c>
      <c r="D511" s="1301" t="s">
        <v>1144</v>
      </c>
      <c r="E511" s="1301"/>
      <c r="F511" s="1301"/>
      <c r="I511" s="490"/>
    </row>
    <row r="512" spans="1:9" ht="14.25">
      <c r="A512" s="484"/>
      <c r="D512" s="1301"/>
      <c r="E512" s="1301"/>
      <c r="F512" s="1301"/>
      <c r="I512" s="490"/>
    </row>
    <row r="513" spans="1:9">
      <c r="A513" s="490"/>
      <c r="B513" s="490"/>
      <c r="D513" s="447"/>
      <c r="I513" s="490"/>
    </row>
    <row r="514" spans="1:9">
      <c r="A514" s="490"/>
      <c r="B514" s="485" t="s">
        <v>2722</v>
      </c>
      <c r="D514" s="1299" t="s">
        <v>1145</v>
      </c>
      <c r="E514" s="1299"/>
      <c r="F514" s="1299"/>
      <c r="I514" s="490"/>
    </row>
    <row r="515" spans="1:9">
      <c r="D515" s="446"/>
      <c r="E515" s="446"/>
      <c r="F515" s="446"/>
      <c r="I515" s="490"/>
    </row>
    <row r="516" spans="1:9">
      <c r="B516" s="485" t="s">
        <v>2722</v>
      </c>
      <c r="D516" s="1301" t="s">
        <v>2279</v>
      </c>
      <c r="E516" s="1301"/>
      <c r="F516" s="1301"/>
      <c r="I516" s="490"/>
    </row>
    <row r="517" spans="1:9">
      <c r="D517" s="1301"/>
      <c r="E517" s="1301"/>
      <c r="F517" s="1301"/>
      <c r="I517" s="490"/>
    </row>
    <row r="518" spans="1:9">
      <c r="D518" s="1301"/>
      <c r="E518" s="1301"/>
      <c r="F518" s="1301"/>
      <c r="I518" s="490"/>
    </row>
    <row r="519" spans="1:9">
      <c r="D519" s="446"/>
      <c r="E519" s="446"/>
      <c r="F519" s="446"/>
      <c r="I519" s="490"/>
    </row>
    <row r="520" spans="1:9" ht="14.25">
      <c r="A520" s="484"/>
      <c r="B520" s="484"/>
      <c r="D520" s="446"/>
      <c r="I520" s="490"/>
    </row>
    <row r="521" spans="1:9">
      <c r="A521" s="1308" t="s">
        <v>1051</v>
      </c>
      <c r="B521" s="1308"/>
      <c r="C521" s="1308"/>
      <c r="D521" s="1308"/>
      <c r="E521" s="1308"/>
      <c r="F521" s="1308"/>
      <c r="G521" s="1308"/>
      <c r="H521" s="1028"/>
      <c r="I521" s="1153"/>
    </row>
    <row r="522" spans="1:9" ht="12" customHeight="1">
      <c r="A522" s="484"/>
      <c r="B522" s="484"/>
      <c r="D522" s="446"/>
      <c r="I522" s="490"/>
    </row>
    <row r="523" spans="1:9">
      <c r="C523" s="482"/>
      <c r="D523" s="1309" t="s">
        <v>793</v>
      </c>
      <c r="E523" s="1309"/>
      <c r="F523" s="1309"/>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3.7" customHeight="1">
      <c r="A527" s="483"/>
      <c r="B527" s="485" t="s">
        <v>2721</v>
      </c>
      <c r="C527" s="483"/>
      <c r="D527" s="1272" t="s">
        <v>2059</v>
      </c>
      <c r="E527" s="1272"/>
      <c r="F527" s="1272"/>
      <c r="I527" s="490"/>
    </row>
    <row r="528" spans="1:9">
      <c r="A528" s="483"/>
      <c r="B528" s="483"/>
      <c r="C528" s="483"/>
      <c r="D528" s="1272"/>
      <c r="E528" s="1272"/>
      <c r="F528" s="1272"/>
      <c r="I528" s="490"/>
    </row>
    <row r="529" spans="1:9">
      <c r="A529" s="483"/>
      <c r="B529" s="483"/>
      <c r="C529" s="483"/>
      <c r="D529" s="451"/>
      <c r="E529" s="451"/>
      <c r="F529" s="451"/>
      <c r="I529" s="480"/>
    </row>
    <row r="530" spans="1:9" ht="12.75" customHeight="1">
      <c r="A530" s="483"/>
      <c r="B530" s="485" t="s">
        <v>2721</v>
      </c>
      <c r="D530" s="386" t="s">
        <v>1903</v>
      </c>
      <c r="E530" s="385"/>
      <c r="F530" s="385"/>
      <c r="I530" s="490"/>
    </row>
    <row r="531" spans="1:9">
      <c r="A531" s="483"/>
      <c r="B531" s="483"/>
      <c r="C531" s="483"/>
      <c r="D531" s="385"/>
      <c r="E531" s="96" t="s">
        <v>1904</v>
      </c>
      <c r="I531" s="490"/>
    </row>
    <row r="532" spans="1:9">
      <c r="A532" s="483"/>
      <c r="B532" s="483"/>
      <c r="D532" s="1280" t="s">
        <v>2060</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35" customHeight="1">
      <c r="A536" s="483"/>
      <c r="B536" s="485" t="s">
        <v>2722</v>
      </c>
      <c r="C536" s="483"/>
      <c r="D536" s="1301" t="s">
        <v>2061</v>
      </c>
      <c r="E536" s="1301"/>
      <c r="F536" s="1301"/>
      <c r="I536" s="490"/>
    </row>
    <row r="537" spans="1:9">
      <c r="A537" s="483"/>
      <c r="B537" s="483"/>
      <c r="C537" s="483"/>
      <c r="D537" s="1301"/>
      <c r="E537" s="1301"/>
      <c r="F537" s="1301"/>
      <c r="I537" s="490"/>
    </row>
    <row r="538" spans="1:9" ht="12" customHeight="1">
      <c r="A538" s="446"/>
      <c r="B538" s="446"/>
      <c r="C538" s="487"/>
      <c r="D538" s="446"/>
      <c r="F538" s="448"/>
      <c r="I538" s="490"/>
    </row>
    <row r="539" spans="1:9">
      <c r="A539" s="1308" t="s">
        <v>1052</v>
      </c>
      <c r="B539" s="1308"/>
      <c r="C539" s="1308"/>
      <c r="D539" s="1308"/>
      <c r="E539" s="1308"/>
      <c r="F539" s="1308"/>
      <c r="G539" s="1308"/>
      <c r="H539" s="1028"/>
      <c r="I539" s="1153"/>
    </row>
    <row r="540" spans="1:9">
      <c r="A540" s="446"/>
      <c r="B540" s="446"/>
      <c r="C540" s="487"/>
      <c r="F540" s="448"/>
      <c r="I540" s="490"/>
    </row>
    <row r="541" spans="1:9">
      <c r="B541" s="1303" t="s">
        <v>446</v>
      </c>
      <c r="C541" s="1303"/>
      <c r="D541" s="1303"/>
      <c r="E541" s="1303"/>
      <c r="F541" s="1303"/>
      <c r="I541" s="490"/>
    </row>
    <row r="542" spans="1:9">
      <c r="A542" s="446"/>
      <c r="B542" s="446"/>
      <c r="C542" s="487"/>
      <c r="D542" s="446"/>
      <c r="F542" s="446"/>
      <c r="I542" s="490"/>
    </row>
    <row r="543" spans="1:9">
      <c r="A543" s="1300" t="s">
        <v>1053</v>
      </c>
      <c r="B543" s="1300"/>
      <c r="C543" s="1300"/>
      <c r="D543" s="1300"/>
      <c r="E543" s="1300"/>
      <c r="F543" s="1300"/>
      <c r="G543" s="1300"/>
      <c r="H543" s="1028"/>
      <c r="I543" s="1153"/>
    </row>
    <row r="544" spans="1:9">
      <c r="A544" s="446"/>
      <c r="B544" s="446"/>
      <c r="C544" s="487"/>
      <c r="D544" s="446"/>
      <c r="F544" s="446"/>
      <c r="I544" s="490"/>
    </row>
    <row r="545" spans="1:9">
      <c r="C545" s="487"/>
      <c r="D545" s="1309" t="s">
        <v>683</v>
      </c>
      <c r="E545" s="1309"/>
      <c r="F545" s="1309"/>
      <c r="I545" s="490"/>
    </row>
    <row r="546" spans="1:9">
      <c r="C546" s="487"/>
      <c r="D546" s="1299" t="s">
        <v>1081</v>
      </c>
      <c r="E546" s="1299"/>
      <c r="F546" s="1299"/>
      <c r="I546" s="490"/>
    </row>
    <row r="547" spans="1:9">
      <c r="C547" s="487"/>
      <c r="D547" s="446"/>
      <c r="E547" s="446"/>
      <c r="F547" s="446"/>
      <c r="I547" s="490"/>
    </row>
    <row r="548" spans="1:9" ht="13.7" customHeight="1">
      <c r="A548" s="484"/>
      <c r="B548" s="485" t="s">
        <v>2721</v>
      </c>
      <c r="C548" s="487"/>
      <c r="D548" s="1299" t="s">
        <v>884</v>
      </c>
      <c r="E548" s="1299"/>
      <c r="F548" s="1299"/>
      <c r="I548" s="490"/>
    </row>
    <row r="549" spans="1:9" ht="13.7" customHeight="1">
      <c r="A549" s="487"/>
      <c r="B549" s="487"/>
      <c r="C549" s="487"/>
      <c r="D549" s="446"/>
      <c r="I549" s="490"/>
    </row>
    <row r="550" spans="1:9" ht="14.25">
      <c r="A550" s="484"/>
      <c r="B550" s="485" t="s">
        <v>2721</v>
      </c>
      <c r="C550" s="487"/>
      <c r="D550" s="1301" t="s">
        <v>1082</v>
      </c>
      <c r="E550" s="1301"/>
      <c r="F550" s="1301"/>
      <c r="I550" s="490"/>
    </row>
    <row r="551" spans="1:9">
      <c r="A551" s="487"/>
      <c r="B551" s="487"/>
      <c r="C551" s="487"/>
      <c r="D551" s="1301"/>
      <c r="E551" s="1301"/>
      <c r="F551" s="1301"/>
      <c r="I551" s="490"/>
    </row>
    <row r="552" spans="1:9">
      <c r="A552" s="487"/>
      <c r="B552" s="487"/>
      <c r="C552" s="487"/>
      <c r="D552" s="446"/>
      <c r="E552" s="446"/>
      <c r="F552" s="446"/>
      <c r="I552" s="490"/>
    </row>
    <row r="553" spans="1:9" ht="14.25">
      <c r="A553" s="484"/>
      <c r="B553" s="485" t="s">
        <v>2721</v>
      </c>
      <c r="C553" s="487"/>
      <c r="D553" s="1301" t="s">
        <v>1083</v>
      </c>
      <c r="E553" s="1301"/>
      <c r="F553" s="1301"/>
      <c r="I553" s="490"/>
    </row>
    <row r="554" spans="1:9">
      <c r="A554" s="487"/>
      <c r="B554" s="487"/>
      <c r="C554" s="487"/>
      <c r="D554" s="1301"/>
      <c r="E554" s="1301"/>
      <c r="F554" s="1301"/>
      <c r="I554" s="490"/>
    </row>
    <row r="555" spans="1:9">
      <c r="A555" s="487"/>
      <c r="B555" s="487"/>
      <c r="C555" s="487"/>
      <c r="D555" s="446"/>
      <c r="E555" s="446"/>
      <c r="F555" s="446"/>
      <c r="I555" s="490"/>
    </row>
    <row r="556" spans="1:9" ht="14.25">
      <c r="A556" s="484"/>
      <c r="B556" s="485" t="s">
        <v>2721</v>
      </c>
      <c r="C556" s="487"/>
      <c r="D556" s="1301" t="s">
        <v>1084</v>
      </c>
      <c r="E556" s="1301"/>
      <c r="F556" s="1301"/>
      <c r="I556" s="490"/>
    </row>
    <row r="557" spans="1:9">
      <c r="A557" s="487"/>
      <c r="B557" s="487"/>
      <c r="C557" s="487"/>
      <c r="D557" s="1301"/>
      <c r="E557" s="1301"/>
      <c r="F557" s="1301"/>
      <c r="I557" s="490"/>
    </row>
    <row r="558" spans="1:9">
      <c r="A558" s="487"/>
      <c r="B558" s="487"/>
      <c r="C558" s="487"/>
      <c r="D558" s="446"/>
      <c r="E558" s="446"/>
      <c r="F558" s="446"/>
      <c r="I558" s="490"/>
    </row>
    <row r="559" spans="1:9" ht="14.25">
      <c r="A559" s="484"/>
      <c r="B559" s="485" t="s">
        <v>2721</v>
      </c>
      <c r="C559" s="487"/>
      <c r="D559" s="1301" t="s">
        <v>1085</v>
      </c>
      <c r="E559" s="1301"/>
      <c r="F559" s="1301"/>
      <c r="I559" s="490"/>
    </row>
    <row r="560" spans="1:9">
      <c r="A560" s="487"/>
      <c r="B560" s="487"/>
      <c r="C560" s="487"/>
      <c r="D560" s="1301"/>
      <c r="E560" s="1301"/>
      <c r="F560" s="1301"/>
      <c r="I560" s="490"/>
    </row>
    <row r="561" spans="1:9">
      <c r="A561" s="487"/>
      <c r="B561" s="487"/>
      <c r="C561" s="487"/>
      <c r="D561" s="1301"/>
      <c r="E561" s="1301"/>
      <c r="F561" s="1301"/>
      <c r="I561" s="490"/>
    </row>
    <row r="562" spans="1:9">
      <c r="A562" s="487"/>
      <c r="B562" s="487"/>
      <c r="C562" s="487"/>
      <c r="D562" s="446"/>
      <c r="E562" s="446"/>
      <c r="F562" s="446"/>
      <c r="I562" s="490"/>
    </row>
    <row r="563" spans="1:9" ht="14.25">
      <c r="A563" s="484"/>
      <c r="B563" s="485" t="s">
        <v>2722</v>
      </c>
      <c r="C563" s="487"/>
      <c r="D563" s="1301" t="s">
        <v>2246</v>
      </c>
      <c r="E563" s="1301"/>
      <c r="F563" s="1301"/>
      <c r="I563" s="490"/>
    </row>
    <row r="564" spans="1:9">
      <c r="A564" s="487"/>
      <c r="B564" s="487"/>
      <c r="C564" s="487"/>
      <c r="D564" s="1301"/>
      <c r="E564" s="1301"/>
      <c r="F564" s="1301"/>
      <c r="I564" s="490"/>
    </row>
    <row r="565" spans="1:9">
      <c r="A565" s="487"/>
      <c r="B565" s="487"/>
      <c r="C565" s="487"/>
      <c r="D565" s="446"/>
      <c r="E565" s="446"/>
      <c r="F565" s="446"/>
      <c r="I565" s="490"/>
    </row>
    <row r="566" spans="1:9" ht="14.25">
      <c r="A566" s="484"/>
      <c r="B566" s="485" t="s">
        <v>2721</v>
      </c>
      <c r="C566" s="487"/>
      <c r="D566" s="1301" t="s">
        <v>1086</v>
      </c>
      <c r="E566" s="1301"/>
      <c r="F566" s="1301"/>
      <c r="I566" s="490"/>
    </row>
    <row r="567" spans="1:9">
      <c r="A567" s="487"/>
      <c r="B567" s="487"/>
      <c r="C567" s="487"/>
      <c r="D567" s="1301"/>
      <c r="E567" s="1301"/>
      <c r="F567" s="1301"/>
      <c r="I567" s="490"/>
    </row>
    <row r="568" spans="1:9">
      <c r="A568" s="487"/>
      <c r="B568" s="487"/>
      <c r="C568" s="487"/>
      <c r="D568" s="446"/>
      <c r="E568" s="446"/>
      <c r="F568" s="446"/>
      <c r="I568" s="490"/>
    </row>
    <row r="569" spans="1:9" ht="14.25">
      <c r="A569" s="484"/>
      <c r="B569" s="485" t="s">
        <v>2721</v>
      </c>
      <c r="C569" s="487"/>
      <c r="D569" s="1299" t="s">
        <v>1087</v>
      </c>
      <c r="E569" s="1299"/>
      <c r="F569" s="1299"/>
      <c r="I569" s="490"/>
    </row>
    <row r="570" spans="1:9">
      <c r="A570" s="490"/>
      <c r="B570" s="490"/>
      <c r="C570" s="487"/>
      <c r="D570" s="1299" t="s">
        <v>1906</v>
      </c>
      <c r="E570" s="1299"/>
      <c r="F570" s="1299"/>
      <c r="I570" s="490"/>
    </row>
    <row r="571" spans="1:9">
      <c r="A571" s="490"/>
      <c r="B571" s="490"/>
      <c r="C571" s="487"/>
      <c r="E571" s="96" t="s">
        <v>1905</v>
      </c>
      <c r="F571" s="404"/>
      <c r="I571" s="490"/>
    </row>
    <row r="572" spans="1:9" ht="14.25">
      <c r="A572" s="484"/>
      <c r="B572" s="484"/>
      <c r="C572" s="487"/>
      <c r="E572" s="446"/>
      <c r="F572" s="446"/>
      <c r="I572" s="490"/>
    </row>
    <row r="573" spans="1:9" ht="14.25">
      <c r="A573" s="484"/>
      <c r="B573" s="485" t="s">
        <v>2721</v>
      </c>
      <c r="C573" s="487"/>
      <c r="D573" s="1299" t="s">
        <v>1088</v>
      </c>
      <c r="E573" s="1299"/>
      <c r="F573" s="1299"/>
      <c r="I573" s="490"/>
    </row>
    <row r="574" spans="1:9">
      <c r="C574" s="487"/>
      <c r="D574" s="1301" t="s">
        <v>1089</v>
      </c>
      <c r="E574" s="1301"/>
      <c r="F574" s="1301"/>
      <c r="I574" s="490"/>
    </row>
    <row r="575" spans="1:9">
      <c r="A575" s="487"/>
      <c r="B575" s="487"/>
      <c r="C575" s="487"/>
      <c r="D575" s="1301"/>
      <c r="E575" s="1301"/>
      <c r="F575" s="1301"/>
      <c r="I575" s="490"/>
    </row>
    <row r="576" spans="1:9">
      <c r="A576" s="487"/>
      <c r="B576" s="487"/>
      <c r="C576" s="487"/>
      <c r="D576" s="1301"/>
      <c r="E576" s="1301"/>
      <c r="F576" s="1301"/>
      <c r="I576" s="490"/>
    </row>
    <row r="577" spans="1:9">
      <c r="A577" s="487"/>
      <c r="B577" s="487"/>
      <c r="C577" s="487"/>
      <c r="D577" s="446"/>
      <c r="E577" s="446"/>
      <c r="F577" s="446"/>
      <c r="I577" s="490"/>
    </row>
    <row r="578" spans="1:9" ht="14.25">
      <c r="A578" s="484"/>
      <c r="B578" s="485" t="s">
        <v>2721</v>
      </c>
      <c r="C578" s="487"/>
      <c r="D578" s="1301" t="s">
        <v>2062</v>
      </c>
      <c r="E578" s="1301"/>
      <c r="F578" s="1301"/>
      <c r="I578" s="490"/>
    </row>
    <row r="579" spans="1:9" ht="14.25">
      <c r="A579" s="484"/>
      <c r="B579" s="484"/>
      <c r="C579" s="487"/>
      <c r="D579" s="1301"/>
      <c r="E579" s="1301"/>
      <c r="F579" s="1301"/>
      <c r="I579" s="490"/>
    </row>
    <row r="580" spans="1:9" ht="14.25">
      <c r="A580" s="484"/>
      <c r="B580" s="484"/>
      <c r="C580" s="487"/>
      <c r="D580" s="1301"/>
      <c r="E580" s="1301"/>
      <c r="F580" s="1301"/>
      <c r="I580" s="490"/>
    </row>
    <row r="581" spans="1:9" ht="14.25">
      <c r="A581" s="484"/>
      <c r="B581" s="484"/>
      <c r="C581" s="487"/>
      <c r="D581" s="1301"/>
      <c r="E581" s="1301"/>
      <c r="F581" s="1301"/>
      <c r="I581" s="490"/>
    </row>
    <row r="582" spans="1:9" ht="14.25">
      <c r="A582" s="484"/>
      <c r="B582" s="484"/>
      <c r="C582" s="487"/>
      <c r="D582" s="446"/>
      <c r="E582" s="446"/>
      <c r="F582" s="446"/>
      <c r="I582" s="490"/>
    </row>
    <row r="583" spans="1:9">
      <c r="A583" s="1308" t="s">
        <v>1054</v>
      </c>
      <c r="B583" s="1308"/>
      <c r="C583" s="1308"/>
      <c r="D583" s="1308"/>
      <c r="E583" s="1308"/>
      <c r="F583" s="1308"/>
      <c r="G583" s="1308"/>
      <c r="H583" s="1028"/>
      <c r="I583" s="1153"/>
    </row>
    <row r="584" spans="1:9">
      <c r="A584" s="487"/>
      <c r="B584" s="487"/>
      <c r="C584" s="487"/>
      <c r="E584" s="446"/>
      <c r="F584" s="446"/>
      <c r="I584" s="490"/>
    </row>
    <row r="585" spans="1:9" ht="12.75" customHeight="1">
      <c r="C585" s="482"/>
      <c r="D585" s="1317" t="s">
        <v>209</v>
      </c>
      <c r="E585" s="1317"/>
      <c r="F585" s="1317"/>
      <c r="I585" s="490"/>
    </row>
    <row r="586" spans="1:9">
      <c r="A586" s="483"/>
      <c r="B586" s="483"/>
      <c r="C586" s="483"/>
      <c r="D586" s="1313" t="s">
        <v>1067</v>
      </c>
      <c r="E586" s="1313"/>
      <c r="F586" s="1313"/>
      <c r="I586" s="490"/>
    </row>
    <row r="587" spans="1:9">
      <c r="A587" s="402"/>
      <c r="B587" s="402"/>
      <c r="C587" s="483"/>
      <c r="D587" s="499"/>
      <c r="I587" s="490"/>
    </row>
    <row r="588" spans="1:9">
      <c r="A588" s="483"/>
      <c r="B588" s="485" t="s">
        <v>2721</v>
      </c>
      <c r="D588" s="1313" t="s">
        <v>888</v>
      </c>
      <c r="E588" s="1313"/>
      <c r="F588" s="1313"/>
      <c r="I588" s="490"/>
    </row>
    <row r="589" spans="1:9">
      <c r="A589" s="490"/>
      <c r="B589" s="490"/>
      <c r="D589" s="476"/>
      <c r="I589" s="490"/>
    </row>
    <row r="590" spans="1:9">
      <c r="A590" s="490"/>
      <c r="B590" s="485" t="s">
        <v>2721</v>
      </c>
      <c r="D590" s="1313" t="s">
        <v>2063</v>
      </c>
      <c r="E590" s="1313"/>
      <c r="F590" s="1313"/>
      <c r="I590" s="490"/>
    </row>
    <row r="591" spans="1:9">
      <c r="A591" s="490"/>
      <c r="B591" s="490"/>
      <c r="D591" s="1313"/>
      <c r="E591" s="1313"/>
      <c r="F591" s="1313"/>
      <c r="I591" s="490"/>
    </row>
    <row r="592" spans="1:9">
      <c r="A592" s="490"/>
      <c r="B592" s="490"/>
      <c r="D592" s="1313"/>
      <c r="E592" s="1313"/>
      <c r="F592" s="1313"/>
      <c r="I592" s="490"/>
    </row>
    <row r="593" spans="1:9">
      <c r="A593" s="490"/>
      <c r="B593" s="490"/>
      <c r="D593" s="1313"/>
      <c r="E593" s="1313"/>
      <c r="F593" s="1313"/>
      <c r="I593" s="490"/>
    </row>
    <row r="594" spans="1:9">
      <c r="A594" s="490"/>
      <c r="B594" s="485" t="s">
        <v>2722</v>
      </c>
      <c r="D594" s="1313" t="s">
        <v>1068</v>
      </c>
      <c r="E594" s="1313"/>
      <c r="F594" s="1313"/>
      <c r="I594" s="490"/>
    </row>
    <row r="595" spans="1:9">
      <c r="A595" s="490"/>
      <c r="B595" s="490"/>
      <c r="D595" s="1313"/>
      <c r="E595" s="1313"/>
      <c r="F595" s="1313"/>
      <c r="I595" s="490"/>
    </row>
    <row r="596" spans="1:9">
      <c r="A596" s="490"/>
      <c r="B596" s="490"/>
      <c r="D596" s="1313"/>
      <c r="E596" s="1313"/>
      <c r="F596" s="1313"/>
      <c r="I596" s="490"/>
    </row>
    <row r="597" spans="1:9">
      <c r="A597" s="490"/>
      <c r="B597" s="490"/>
      <c r="D597" s="1313"/>
      <c r="E597" s="1313"/>
      <c r="F597" s="1313"/>
      <c r="I597" s="490"/>
    </row>
    <row r="598" spans="1:9">
      <c r="A598" s="490"/>
      <c r="B598" s="490"/>
      <c r="D598" s="440"/>
      <c r="E598" s="440"/>
      <c r="F598" s="440"/>
      <c r="I598" s="490"/>
    </row>
    <row r="599" spans="1:9">
      <c r="A599" s="490"/>
      <c r="B599" s="485" t="s">
        <v>2721</v>
      </c>
      <c r="D599" s="1313" t="s">
        <v>2064</v>
      </c>
      <c r="E599" s="1313"/>
      <c r="F599" s="1313"/>
      <c r="I599" s="490"/>
    </row>
    <row r="600" spans="1:9">
      <c r="A600" s="490"/>
      <c r="B600" s="490"/>
      <c r="D600" s="1313"/>
      <c r="E600" s="1313"/>
      <c r="F600" s="1313"/>
      <c r="I600" s="490"/>
    </row>
    <row r="601" spans="1:9">
      <c r="A601" s="490"/>
      <c r="B601" s="490"/>
      <c r="D601" s="499"/>
      <c r="I601" s="490"/>
    </row>
    <row r="602" spans="1:9">
      <c r="A602" s="490"/>
      <c r="B602" s="485" t="s">
        <v>2722</v>
      </c>
      <c r="D602" s="1313" t="s">
        <v>1069</v>
      </c>
      <c r="E602" s="1313"/>
      <c r="F602" s="1313"/>
      <c r="I602" s="490"/>
    </row>
    <row r="603" spans="1:9">
      <c r="A603" s="490"/>
      <c r="B603" s="490"/>
      <c r="D603" s="1313"/>
      <c r="E603" s="1313"/>
      <c r="F603" s="1313"/>
      <c r="I603" s="490"/>
    </row>
    <row r="604" spans="1:9" ht="14.25">
      <c r="A604" s="484"/>
      <c r="B604" s="484"/>
      <c r="D604" s="499"/>
      <c r="I604" s="490"/>
    </row>
    <row r="605" spans="1:9">
      <c r="A605" s="1308" t="s">
        <v>1055</v>
      </c>
      <c r="B605" s="1308"/>
      <c r="C605" s="1308"/>
      <c r="D605" s="1308"/>
      <c r="E605" s="1308"/>
      <c r="F605" s="1308"/>
      <c r="G605" s="1308"/>
      <c r="H605" s="1028"/>
      <c r="I605" s="1153"/>
    </row>
    <row r="606" spans="1:9">
      <c r="I606" s="490"/>
    </row>
    <row r="607" spans="1:9">
      <c r="D607" s="1309" t="s">
        <v>1107</v>
      </c>
      <c r="E607" s="1309"/>
      <c r="F607" s="1309"/>
      <c r="I607" s="490"/>
    </row>
    <row r="608" spans="1:9">
      <c r="D608" s="1281" t="s">
        <v>1108</v>
      </c>
      <c r="E608" s="1281"/>
      <c r="F608" s="1281"/>
      <c r="I608" s="490"/>
    </row>
    <row r="609" spans="1:9">
      <c r="D609" s="444"/>
      <c r="I609" s="490"/>
    </row>
    <row r="610" spans="1:9" ht="14.25" customHeight="1">
      <c r="A610" s="484"/>
      <c r="B610" s="485" t="s">
        <v>2721</v>
      </c>
      <c r="D610" s="1314" t="s">
        <v>1907</v>
      </c>
      <c r="E610" s="1314"/>
      <c r="F610" s="1314"/>
      <c r="I610" s="490"/>
    </row>
    <row r="611" spans="1:9">
      <c r="D611" s="1314"/>
      <c r="E611" s="1314"/>
      <c r="F611" s="1314"/>
      <c r="I611" s="490"/>
    </row>
    <row r="612" spans="1:9">
      <c r="D612" s="385"/>
      <c r="E612" s="1036" t="s">
        <v>1908</v>
      </c>
      <c r="F612" s="385"/>
      <c r="I612" s="490"/>
    </row>
    <row r="613" spans="1:9">
      <c r="I613" s="490"/>
    </row>
    <row r="614" spans="1:9">
      <c r="A614" s="1308" t="s">
        <v>1056</v>
      </c>
      <c r="B614" s="1308"/>
      <c r="C614" s="1308"/>
      <c r="D614" s="1308"/>
      <c r="E614" s="1308"/>
      <c r="F614" s="1308"/>
      <c r="G614" s="1308"/>
      <c r="H614" s="1028"/>
      <c r="I614" s="1153"/>
    </row>
    <row r="615" spans="1:9">
      <c r="A615" s="446"/>
      <c r="B615" s="446"/>
      <c r="I615" s="490"/>
    </row>
    <row r="616" spans="1:9">
      <c r="A616" s="482"/>
      <c r="B616" s="482"/>
      <c r="C616" s="482"/>
      <c r="D616" s="1298" t="s">
        <v>1109</v>
      </c>
      <c r="E616" s="1298"/>
      <c r="F616" s="1298"/>
      <c r="I616" s="490"/>
    </row>
    <row r="617" spans="1:9">
      <c r="A617" s="482"/>
      <c r="B617" s="482"/>
      <c r="C617" s="482"/>
      <c r="D617" s="1298"/>
      <c r="E617" s="1298"/>
      <c r="F617" s="1298"/>
      <c r="I617" s="490"/>
    </row>
    <row r="618" spans="1:9">
      <c r="C618" s="483"/>
      <c r="D618" s="1281" t="s">
        <v>1110</v>
      </c>
      <c r="E618" s="1281"/>
      <c r="F618" s="1281"/>
      <c r="I618" s="490"/>
    </row>
    <row r="619" spans="1:9">
      <c r="C619" s="483"/>
      <c r="D619" s="444"/>
      <c r="E619" s="444"/>
      <c r="F619" s="444"/>
      <c r="I619" s="490"/>
    </row>
    <row r="620" spans="1:9" ht="12.75" customHeight="1">
      <c r="A620" s="490"/>
      <c r="B620" s="485" t="s">
        <v>2721</v>
      </c>
      <c r="D620" s="1307" t="s">
        <v>1111</v>
      </c>
      <c r="E620" s="1307"/>
      <c r="F620" s="1307"/>
      <c r="I620" s="490"/>
    </row>
    <row r="621" spans="1:9">
      <c r="D621" s="1307"/>
      <c r="E621" s="1307"/>
      <c r="F621" s="1307"/>
      <c r="I621" s="490"/>
    </row>
    <row r="622" spans="1:9">
      <c r="I622" s="490"/>
    </row>
    <row r="623" spans="1:9">
      <c r="B623" s="485" t="s">
        <v>2721</v>
      </c>
      <c r="D623" s="1307" t="s">
        <v>1112</v>
      </c>
      <c r="E623" s="1307"/>
      <c r="F623" s="1307"/>
      <c r="I623" s="490"/>
    </row>
    <row r="624" spans="1:9">
      <c r="C624" s="500"/>
      <c r="D624" s="1307"/>
      <c r="E624" s="1307"/>
      <c r="F624" s="1307"/>
      <c r="I624" s="490"/>
    </row>
    <row r="625" spans="1:9">
      <c r="C625" s="500"/>
      <c r="I625" s="490"/>
    </row>
    <row r="626" spans="1:9">
      <c r="B626" s="485" t="s">
        <v>2722</v>
      </c>
      <c r="C626" s="500"/>
      <c r="D626" s="1307" t="s">
        <v>1113</v>
      </c>
      <c r="E626" s="1307"/>
      <c r="F626" s="1307"/>
      <c r="I626" s="490"/>
    </row>
    <row r="627" spans="1:9">
      <c r="C627" s="500"/>
      <c r="D627" s="1307"/>
      <c r="E627" s="1307"/>
      <c r="F627" s="1307"/>
      <c r="I627" s="500"/>
    </row>
    <row r="628" spans="1:9">
      <c r="C628" s="500"/>
      <c r="I628" s="490"/>
    </row>
    <row r="629" spans="1:9">
      <c r="A629" s="1308" t="s">
        <v>1057</v>
      </c>
      <c r="B629" s="1308"/>
      <c r="C629" s="1308"/>
      <c r="D629" s="1308"/>
      <c r="E629" s="1308"/>
      <c r="F629" s="1308"/>
      <c r="G629" s="1308"/>
      <c r="H629" s="1028"/>
      <c r="I629" s="1153"/>
    </row>
    <row r="630" spans="1:9">
      <c r="A630" s="482"/>
      <c r="B630" s="482"/>
      <c r="C630" s="482"/>
      <c r="I630" s="490"/>
    </row>
    <row r="631" spans="1:9">
      <c r="C631" s="490"/>
      <c r="D631" s="1309" t="s">
        <v>1114</v>
      </c>
      <c r="E631" s="1309"/>
      <c r="F631" s="1309"/>
      <c r="I631" s="490"/>
    </row>
    <row r="632" spans="1:9">
      <c r="A632" s="490"/>
      <c r="B632" s="490"/>
      <c r="D632" s="404"/>
      <c r="I632" s="490"/>
    </row>
    <row r="633" spans="1:9" ht="14.25" customHeight="1">
      <c r="A633" s="484"/>
      <c r="B633" s="485" t="s">
        <v>2721</v>
      </c>
      <c r="D633" s="1314" t="s">
        <v>2065</v>
      </c>
      <c r="E633" s="1314"/>
      <c r="F633" s="1314"/>
      <c r="I633" s="490"/>
    </row>
    <row r="634" spans="1:9">
      <c r="D634" s="1314"/>
      <c r="E634" s="1314"/>
      <c r="F634" s="1314"/>
      <c r="I634" s="490"/>
    </row>
    <row r="635" spans="1:9">
      <c r="D635" s="385"/>
      <c r="E635" s="1036" t="s">
        <v>1910</v>
      </c>
      <c r="F635" s="385"/>
      <c r="I635" s="490"/>
    </row>
    <row r="636" spans="1:9">
      <c r="D636" s="1301" t="s">
        <v>1909</v>
      </c>
      <c r="E636" s="1301"/>
      <c r="F636" s="1301"/>
      <c r="I636" s="490"/>
    </row>
    <row r="637" spans="1:9">
      <c r="D637" s="1301"/>
      <c r="E637" s="1301"/>
      <c r="F637" s="1301"/>
      <c r="I637" s="490"/>
    </row>
    <row r="638" spans="1:9">
      <c r="D638" s="1301"/>
      <c r="E638" s="1301"/>
      <c r="F638" s="1301"/>
      <c r="I638" s="490"/>
    </row>
    <row r="639" spans="1:9">
      <c r="D639" s="445"/>
      <c r="E639" s="445"/>
      <c r="F639" s="445"/>
      <c r="I639" s="490"/>
    </row>
    <row r="640" spans="1:9" ht="14.25">
      <c r="A640" s="484"/>
      <c r="B640" s="485" t="s">
        <v>2722</v>
      </c>
      <c r="D640" s="1301" t="s">
        <v>1115</v>
      </c>
      <c r="E640" s="1301"/>
      <c r="F640" s="1301"/>
      <c r="I640" s="490"/>
    </row>
    <row r="641" spans="1:9">
      <c r="A641" s="487"/>
      <c r="B641" s="487"/>
      <c r="C641" s="487"/>
      <c r="D641" s="1301"/>
      <c r="E641" s="1301"/>
      <c r="F641" s="1301"/>
      <c r="I641" s="490"/>
    </row>
    <row r="642" spans="1:9">
      <c r="A642" s="487"/>
      <c r="B642" s="487"/>
      <c r="C642" s="487"/>
      <c r="D642" s="446"/>
      <c r="E642" s="446"/>
      <c r="F642" s="446"/>
      <c r="I642" s="490"/>
    </row>
    <row r="643" spans="1:9" ht="14.25">
      <c r="A643" s="484"/>
      <c r="B643" s="485" t="s">
        <v>2722</v>
      </c>
      <c r="C643" s="487"/>
      <c r="D643" s="1301" t="s">
        <v>1225</v>
      </c>
      <c r="E643" s="1301"/>
      <c r="F643" s="1301"/>
      <c r="I643" s="490"/>
    </row>
    <row r="644" spans="1:9" ht="14.25">
      <c r="A644" s="484"/>
      <c r="B644" s="484"/>
      <c r="C644" s="487"/>
      <c r="D644" s="1301"/>
      <c r="E644" s="1301"/>
      <c r="F644" s="1301"/>
      <c r="I644" s="490"/>
    </row>
    <row r="645" spans="1:9" ht="14.25">
      <c r="A645" s="484"/>
      <c r="B645" s="484"/>
      <c r="C645" s="487"/>
      <c r="D645" s="1301"/>
      <c r="E645" s="1301"/>
      <c r="F645" s="1301"/>
      <c r="I645" s="490"/>
    </row>
    <row r="646" spans="1:9">
      <c r="A646" s="487"/>
      <c r="B646" s="485" t="s">
        <v>2722</v>
      </c>
      <c r="C646" s="487"/>
      <c r="D646" s="1299" t="s">
        <v>1116</v>
      </c>
      <c r="E646" s="1299"/>
      <c r="F646" s="1299"/>
      <c r="I646" s="490"/>
    </row>
    <row r="647" spans="1:9">
      <c r="A647" s="487"/>
      <c r="B647" s="487"/>
      <c r="C647" s="487"/>
      <c r="D647" s="446"/>
      <c r="E647" s="446"/>
      <c r="F647" s="446"/>
      <c r="I647" s="490"/>
    </row>
    <row r="648" spans="1:9">
      <c r="A648" s="1308" t="s">
        <v>1058</v>
      </c>
      <c r="B648" s="1308"/>
      <c r="C648" s="1308"/>
      <c r="D648" s="1308"/>
      <c r="E648" s="1308"/>
      <c r="F648" s="1308"/>
      <c r="G648" s="1308"/>
      <c r="H648" s="1028"/>
      <c r="I648" s="1153"/>
    </row>
    <row r="649" spans="1:9">
      <c r="A649" s="446"/>
      <c r="B649" s="446"/>
      <c r="C649" s="487"/>
      <c r="D649" s="446"/>
      <c r="E649" s="446"/>
      <c r="F649" s="446"/>
      <c r="I649" s="490"/>
    </row>
    <row r="650" spans="1:9">
      <c r="C650" s="482"/>
      <c r="D650" s="1309" t="s">
        <v>1146</v>
      </c>
      <c r="E650" s="1309"/>
      <c r="F650" s="1309"/>
      <c r="I650" s="490"/>
    </row>
    <row r="651" spans="1:9">
      <c r="A651" s="483"/>
      <c r="B651" s="483"/>
      <c r="C651" s="483"/>
      <c r="D651" s="1299" t="s">
        <v>1147</v>
      </c>
      <c r="E651" s="1299"/>
      <c r="F651" s="1299"/>
      <c r="I651" s="490"/>
    </row>
    <row r="652" spans="1:9">
      <c r="A652" s="483"/>
      <c r="B652" s="483"/>
      <c r="C652" s="483"/>
      <c r="D652" s="446"/>
      <c r="E652" s="446"/>
      <c r="F652" s="446"/>
      <c r="I652" s="490"/>
    </row>
    <row r="653" spans="1:9" ht="12.75" customHeight="1">
      <c r="B653" s="485" t="s">
        <v>2722</v>
      </c>
      <c r="C653" s="487"/>
      <c r="D653" s="1301" t="s">
        <v>1281</v>
      </c>
      <c r="E653" s="1301"/>
      <c r="F653" s="1301"/>
      <c r="I653" s="490"/>
    </row>
    <row r="654" spans="1:9">
      <c r="D654" s="1301"/>
      <c r="E654" s="1301"/>
      <c r="F654" s="1301"/>
      <c r="I654" s="490"/>
    </row>
    <row r="655" spans="1:9">
      <c r="D655" s="1301"/>
      <c r="E655" s="1301"/>
      <c r="F655" s="1301"/>
      <c r="I655" s="490"/>
    </row>
    <row r="656" spans="1:9">
      <c r="D656" s="1301"/>
      <c r="E656" s="1301"/>
      <c r="F656" s="1301"/>
      <c r="I656" s="490"/>
    </row>
    <row r="657" spans="1:9" ht="14.45" customHeight="1">
      <c r="A657" s="484"/>
      <c r="B657" s="484"/>
      <c r="C657" s="487"/>
      <c r="D657" s="385"/>
      <c r="E657" s="385"/>
      <c r="F657" s="385"/>
      <c r="I657" s="490"/>
    </row>
    <row r="658" spans="1:9" ht="12.75" customHeight="1">
      <c r="A658" s="483"/>
      <c r="B658" s="485" t="s">
        <v>2722</v>
      </c>
      <c r="C658" s="487"/>
      <c r="D658" s="1301" t="s">
        <v>1283</v>
      </c>
      <c r="E658" s="1301"/>
      <c r="F658" s="1301"/>
      <c r="I658" s="490"/>
    </row>
    <row r="659" spans="1:9" ht="14.25">
      <c r="A659" s="483"/>
      <c r="B659" s="484"/>
      <c r="C659" s="487"/>
      <c r="D659" s="1301"/>
      <c r="E659" s="1301"/>
      <c r="F659" s="1301"/>
      <c r="I659" s="490"/>
    </row>
    <row r="660" spans="1:9" ht="14.25">
      <c r="A660" s="483"/>
      <c r="B660" s="484"/>
      <c r="C660" s="487"/>
      <c r="D660" s="1301"/>
      <c r="E660" s="1301"/>
      <c r="F660" s="1301"/>
      <c r="I660" s="490"/>
    </row>
    <row r="661" spans="1:9" ht="14.25">
      <c r="A661" s="483"/>
      <c r="B661" s="484"/>
      <c r="C661" s="487"/>
      <c r="D661" s="1301"/>
      <c r="E661" s="1301"/>
      <c r="F661" s="1301"/>
      <c r="I661" s="490"/>
    </row>
    <row r="662" spans="1:9" ht="14.25">
      <c r="A662" s="483"/>
      <c r="B662" s="484"/>
      <c r="C662" s="487"/>
      <c r="D662" s="1301"/>
      <c r="E662" s="1301"/>
      <c r="F662" s="1301"/>
      <c r="I662" s="490"/>
    </row>
    <row r="663" spans="1:9" ht="14.25" customHeight="1">
      <c r="A663" s="483"/>
      <c r="B663" s="484"/>
      <c r="C663" s="487"/>
      <c r="F663" s="386"/>
      <c r="I663" s="490"/>
    </row>
    <row r="664" spans="1:9" ht="12.75" customHeight="1">
      <c r="A664" s="483"/>
      <c r="B664" s="485" t="s">
        <v>2722</v>
      </c>
      <c r="C664" s="487"/>
      <c r="D664" s="1301" t="s">
        <v>1282</v>
      </c>
      <c r="E664" s="1301"/>
      <c r="F664" s="1301"/>
      <c r="I664" s="490"/>
    </row>
    <row r="665" spans="1:9" ht="14.25">
      <c r="A665" s="483"/>
      <c r="B665" s="484"/>
      <c r="C665" s="487"/>
      <c r="D665" s="1301"/>
      <c r="E665" s="1301"/>
      <c r="F665" s="1301"/>
      <c r="I665" s="490"/>
    </row>
    <row r="666" spans="1:9" ht="14.25">
      <c r="A666" s="484"/>
      <c r="B666" s="484"/>
      <c r="C666" s="487"/>
      <c r="D666" s="1301"/>
      <c r="E666" s="1301"/>
      <c r="F666" s="1301"/>
      <c r="I666" s="490"/>
    </row>
    <row r="667" spans="1:9" ht="14.25">
      <c r="A667" s="484"/>
      <c r="B667" s="484"/>
      <c r="C667" s="487"/>
      <c r="D667" s="1301"/>
      <c r="E667" s="1301"/>
      <c r="F667" s="1301"/>
      <c r="I667" s="490"/>
    </row>
    <row r="668" spans="1:9" ht="14.25">
      <c r="A668" s="484"/>
      <c r="B668" s="484"/>
      <c r="C668" s="487"/>
      <c r="D668" s="445"/>
      <c r="E668" s="445"/>
      <c r="F668" s="445"/>
      <c r="I668" s="490"/>
    </row>
    <row r="669" spans="1:9" ht="12.75" customHeight="1">
      <c r="A669" s="483"/>
      <c r="B669" s="485" t="s">
        <v>2722</v>
      </c>
      <c r="C669" s="487"/>
      <c r="D669" s="1301" t="s">
        <v>2066</v>
      </c>
      <c r="E669" s="1301"/>
      <c r="F669" s="1301"/>
      <c r="I669" s="490"/>
    </row>
    <row r="670" spans="1:9" ht="12.75" customHeight="1">
      <c r="A670" s="483"/>
      <c r="B670" s="484"/>
      <c r="C670" s="487"/>
      <c r="D670" s="1301"/>
      <c r="E670" s="1301"/>
      <c r="F670" s="1301"/>
      <c r="I670" s="490"/>
    </row>
    <row r="671" spans="1:9" ht="12.75" customHeight="1">
      <c r="A671" s="483"/>
      <c r="B671" s="484"/>
      <c r="C671" s="487"/>
      <c r="D671" s="1301"/>
      <c r="E671" s="1301"/>
      <c r="F671" s="1301"/>
      <c r="I671" s="490"/>
    </row>
    <row r="672" spans="1:9" ht="12.75" customHeight="1">
      <c r="A672" s="483"/>
      <c r="B672" s="484"/>
      <c r="C672" s="487"/>
      <c r="D672" s="1301"/>
      <c r="E672" s="1301"/>
      <c r="F672" s="1301"/>
      <c r="I672" s="490"/>
    </row>
    <row r="673" spans="1:11" ht="12.75" customHeight="1">
      <c r="A673" s="483"/>
      <c r="B673" s="484"/>
      <c r="C673" s="487"/>
      <c r="D673" s="1301"/>
      <c r="E673" s="1301"/>
      <c r="F673" s="1301"/>
      <c r="I673" s="490"/>
    </row>
    <row r="674" spans="1:11" ht="12.75" customHeight="1">
      <c r="A674" s="483"/>
      <c r="B674" s="484"/>
      <c r="C674" s="487"/>
      <c r="D674" s="1301"/>
      <c r="E674" s="1301"/>
      <c r="F674" s="1301"/>
      <c r="I674" s="490"/>
    </row>
    <row r="675" spans="1:11" ht="12.75" customHeight="1">
      <c r="A675" s="483"/>
      <c r="B675" s="484"/>
      <c r="C675" s="487"/>
      <c r="D675" s="1301"/>
      <c r="E675" s="1301"/>
      <c r="F675" s="1301"/>
      <c r="I675" s="490"/>
    </row>
    <row r="676" spans="1:11" ht="12.75" customHeight="1">
      <c r="A676" s="483"/>
      <c r="B676" s="484"/>
      <c r="C676" s="487"/>
      <c r="D676" s="1301"/>
      <c r="E676" s="1301"/>
      <c r="F676" s="1301"/>
      <c r="I676" s="490"/>
    </row>
    <row r="677" spans="1:11" ht="12.75" customHeight="1">
      <c r="A677" s="483"/>
      <c r="B677" s="484"/>
      <c r="C677" s="487"/>
      <c r="D677" s="1301"/>
      <c r="E677" s="1301"/>
      <c r="F677" s="1301"/>
      <c r="I677" s="490"/>
    </row>
    <row r="678" spans="1:11">
      <c r="A678" s="487"/>
      <c r="B678" s="487"/>
      <c r="C678" s="487"/>
      <c r="D678" s="446"/>
      <c r="E678" s="446"/>
      <c r="F678" s="446"/>
      <c r="I678" s="490"/>
    </row>
    <row r="679" spans="1:11">
      <c r="A679" s="1308" t="s">
        <v>1059</v>
      </c>
      <c r="B679" s="1308"/>
      <c r="C679" s="1308"/>
      <c r="D679" s="1308"/>
      <c r="E679" s="1308"/>
      <c r="F679" s="1308"/>
      <c r="G679" s="1308"/>
      <c r="H679" s="1030"/>
      <c r="I679" s="1157"/>
      <c r="J679" s="501"/>
      <c r="K679" s="501"/>
    </row>
    <row r="680" spans="1:11">
      <c r="A680" s="448"/>
      <c r="B680" s="448"/>
      <c r="C680" s="448"/>
      <c r="D680" s="448"/>
      <c r="E680" s="448"/>
      <c r="F680" s="448"/>
      <c r="G680" s="448"/>
      <c r="H680" s="501"/>
      <c r="I680" s="483"/>
      <c r="J680" s="501"/>
      <c r="K680" s="501"/>
    </row>
    <row r="681" spans="1:11">
      <c r="C681" s="482"/>
      <c r="D681" s="1309" t="s">
        <v>99</v>
      </c>
      <c r="E681" s="1309"/>
      <c r="F681" s="1309"/>
      <c r="H681" s="501"/>
      <c r="I681" s="483"/>
      <c r="J681" s="501"/>
      <c r="K681" s="501"/>
    </row>
    <row r="682" spans="1:11">
      <c r="A682" s="482"/>
      <c r="B682" s="482"/>
      <c r="C682" s="482"/>
      <c r="D682" s="1309" t="s">
        <v>123</v>
      </c>
      <c r="E682" s="1309"/>
      <c r="F682" s="1309"/>
      <c r="H682" s="501"/>
      <c r="I682" s="483"/>
      <c r="J682" s="501"/>
      <c r="K682" s="501"/>
    </row>
    <row r="683" spans="1:11">
      <c r="A683" s="483"/>
      <c r="B683" s="483"/>
      <c r="C683" s="483"/>
      <c r="D683" s="1299" t="s">
        <v>1076</v>
      </c>
      <c r="E683" s="1299"/>
      <c r="F683" s="1299"/>
      <c r="H683" s="501"/>
      <c r="I683" s="483"/>
      <c r="J683" s="501"/>
      <c r="K683" s="501"/>
    </row>
    <row r="684" spans="1:11">
      <c r="A684" s="483"/>
      <c r="B684" s="483"/>
      <c r="C684" s="483"/>
      <c r="H684" s="501"/>
      <c r="I684" s="483"/>
      <c r="J684" s="501"/>
      <c r="K684" s="501"/>
    </row>
    <row r="685" spans="1:11" ht="14.25">
      <c r="A685" s="484"/>
      <c r="B685" s="485" t="s">
        <v>2721</v>
      </c>
      <c r="C685" s="483"/>
      <c r="D685" s="1299" t="s">
        <v>885</v>
      </c>
      <c r="E685" s="1299"/>
      <c r="F685" s="1299"/>
      <c r="H685" s="501"/>
      <c r="I685" s="483"/>
      <c r="J685" s="501"/>
      <c r="K685" s="501"/>
    </row>
    <row r="686" spans="1:11">
      <c r="A686" s="483"/>
      <c r="B686" s="483"/>
      <c r="C686" s="483"/>
      <c r="D686" s="1299" t="s">
        <v>894</v>
      </c>
      <c r="E686" s="1299"/>
      <c r="F686" s="1299"/>
      <c r="H686" s="501"/>
      <c r="I686" s="483"/>
      <c r="J686" s="501"/>
      <c r="K686" s="501"/>
    </row>
    <row r="687" spans="1:11" ht="12.75" customHeight="1">
      <c r="A687" s="483"/>
      <c r="B687" s="483"/>
      <c r="C687" s="483"/>
      <c r="E687" s="1036" t="s">
        <v>1912</v>
      </c>
      <c r="F687" s="420"/>
      <c r="H687" s="501"/>
      <c r="I687" s="483"/>
      <c r="J687" s="501"/>
      <c r="K687" s="501"/>
    </row>
    <row r="688" spans="1:11">
      <c r="A688" s="483"/>
      <c r="B688" s="483"/>
      <c r="C688" s="483"/>
      <c r="E688" s="501" t="s">
        <v>1911</v>
      </c>
      <c r="F688" s="420"/>
      <c r="I688" s="483"/>
      <c r="J688" s="501"/>
      <c r="K688" s="501"/>
    </row>
    <row r="689" spans="1:11">
      <c r="A689" s="483"/>
      <c r="B689" s="483"/>
      <c r="C689" s="483"/>
      <c r="D689" s="502"/>
      <c r="E689" s="446"/>
      <c r="H689" s="501"/>
      <c r="I689" s="483"/>
      <c r="J689" s="501"/>
      <c r="K689" s="501"/>
    </row>
    <row r="690" spans="1:11" ht="14.25">
      <c r="A690" s="484"/>
      <c r="B690" s="485" t="s">
        <v>2722</v>
      </c>
      <c r="C690" s="483"/>
      <c r="D690" s="1301" t="s">
        <v>2067</v>
      </c>
      <c r="E690" s="1301"/>
      <c r="F690" s="1301"/>
      <c r="H690" s="501"/>
      <c r="I690" s="483"/>
      <c r="J690" s="501"/>
      <c r="K690" s="501"/>
    </row>
    <row r="691" spans="1:11">
      <c r="A691" s="490"/>
      <c r="B691" s="490"/>
      <c r="C691" s="483"/>
      <c r="D691" s="1301"/>
      <c r="E691" s="1301"/>
      <c r="F691" s="1301"/>
      <c r="H691" s="501"/>
      <c r="I691" s="483"/>
      <c r="J691" s="501"/>
      <c r="K691" s="501"/>
    </row>
    <row r="692" spans="1:11">
      <c r="A692" s="483"/>
      <c r="B692" s="483"/>
      <c r="C692" s="483"/>
      <c r="D692" s="1301"/>
      <c r="E692" s="1301"/>
      <c r="F692" s="1301"/>
      <c r="H692" s="501"/>
      <c r="I692" s="483"/>
      <c r="J692" s="501"/>
      <c r="K692" s="501"/>
    </row>
    <row r="693" spans="1:11">
      <c r="A693" s="483"/>
      <c r="B693" s="483"/>
      <c r="C693" s="483"/>
      <c r="H693" s="501"/>
      <c r="J693" s="501"/>
      <c r="K693" s="501"/>
    </row>
    <row r="694" spans="1:11" ht="14.25">
      <c r="A694" s="484"/>
      <c r="B694" s="485" t="s">
        <v>2721</v>
      </c>
      <c r="C694" s="483"/>
      <c r="D694" s="1299" t="s">
        <v>917</v>
      </c>
      <c r="E694" s="1299"/>
      <c r="F694" s="1299"/>
      <c r="H694" s="501"/>
      <c r="I694" s="483"/>
      <c r="J694" s="501"/>
      <c r="K694" s="501"/>
    </row>
    <row r="695" spans="1:11" ht="14.25">
      <c r="A695" s="484"/>
      <c r="B695" s="484"/>
      <c r="C695" s="483"/>
      <c r="D695" s="1299" t="s">
        <v>894</v>
      </c>
      <c r="E695" s="1299"/>
      <c r="F695" s="1299"/>
      <c r="H695" s="501"/>
      <c r="I695" s="483"/>
      <c r="J695" s="501"/>
      <c r="K695" s="501"/>
    </row>
    <row r="696" spans="1:11">
      <c r="A696" s="483"/>
      <c r="B696" s="483"/>
      <c r="C696" s="483"/>
      <c r="E696" s="1036" t="s">
        <v>1913</v>
      </c>
      <c r="F696" s="404"/>
      <c r="H696" s="501"/>
      <c r="I696" s="483"/>
      <c r="J696" s="501"/>
      <c r="K696" s="501"/>
    </row>
    <row r="697" spans="1:11">
      <c r="A697" s="483"/>
      <c r="B697" s="483"/>
      <c r="C697" s="483"/>
      <c r="D697" s="404"/>
      <c r="H697" s="501"/>
      <c r="I697" s="483"/>
      <c r="J697" s="501"/>
      <c r="K697" s="501"/>
    </row>
    <row r="698" spans="1:11" ht="14.25">
      <c r="A698" s="484"/>
      <c r="B698" s="485" t="s">
        <v>2722</v>
      </c>
      <c r="C698" s="483"/>
      <c r="D698" s="1299" t="s">
        <v>2468</v>
      </c>
      <c r="E698" s="1299"/>
      <c r="F698" s="1299"/>
      <c r="H698" s="501"/>
      <c r="I698" s="483"/>
      <c r="J698" s="501"/>
      <c r="K698" s="501"/>
    </row>
    <row r="699" spans="1:11" ht="14.25">
      <c r="A699" s="484"/>
      <c r="B699" s="484"/>
      <c r="C699" s="483"/>
      <c r="D699" s="1299" t="s">
        <v>894</v>
      </c>
      <c r="E699" s="1299"/>
      <c r="F699" s="1299"/>
      <c r="H699" s="501"/>
      <c r="I699" s="483"/>
      <c r="J699" s="501"/>
      <c r="K699" s="501"/>
    </row>
    <row r="700" spans="1:11">
      <c r="A700" s="483"/>
      <c r="B700" s="483"/>
      <c r="C700" s="483"/>
      <c r="E700" s="1036" t="s">
        <v>2469</v>
      </c>
      <c r="F700" s="404"/>
      <c r="H700" s="501"/>
      <c r="I700" s="483"/>
      <c r="J700" s="501"/>
      <c r="K700" s="501"/>
    </row>
    <row r="701" spans="1:11">
      <c r="A701" s="483"/>
      <c r="B701" s="483"/>
      <c r="C701" s="483"/>
      <c r="D701" s="404"/>
      <c r="H701" s="501"/>
      <c r="I701" s="483"/>
      <c r="J701" s="501"/>
      <c r="K701" s="501"/>
    </row>
    <row r="702" spans="1:11" ht="14.25">
      <c r="A702" s="484"/>
      <c r="B702" s="485" t="s">
        <v>2721</v>
      </c>
      <c r="C702" s="483"/>
      <c r="D702" s="1301" t="s">
        <v>2243</v>
      </c>
      <c r="E702" s="1301"/>
      <c r="F702" s="1301"/>
      <c r="H702" s="501"/>
      <c r="I702" s="483"/>
      <c r="J702" s="501"/>
      <c r="K702" s="501"/>
    </row>
    <row r="703" spans="1:11">
      <c r="A703" s="483"/>
      <c r="B703" s="483"/>
      <c r="C703" s="483"/>
      <c r="D703" s="1301"/>
      <c r="E703" s="1301"/>
      <c r="F703" s="1301"/>
      <c r="H703" s="501"/>
      <c r="I703" s="483"/>
      <c r="J703" s="501"/>
      <c r="K703" s="501"/>
    </row>
    <row r="704" spans="1:11">
      <c r="A704" s="483"/>
      <c r="B704" s="483"/>
      <c r="C704" s="483"/>
      <c r="D704" s="1301"/>
      <c r="E704" s="1301"/>
      <c r="F704" s="1301"/>
      <c r="H704" s="501"/>
      <c r="I704" s="483"/>
      <c r="J704" s="501"/>
      <c r="K704" s="501"/>
    </row>
    <row r="705" spans="1:11">
      <c r="A705" s="483"/>
      <c r="B705" s="483"/>
      <c r="C705" s="483"/>
      <c r="D705" s="1301"/>
      <c r="E705" s="1301"/>
      <c r="F705" s="1301"/>
      <c r="H705" s="501"/>
      <c r="I705" s="483"/>
      <c r="J705" s="501"/>
      <c r="K705" s="501"/>
    </row>
    <row r="706" spans="1:11">
      <c r="A706" s="483"/>
      <c r="B706" s="483"/>
      <c r="C706" s="483"/>
      <c r="D706" s="1301"/>
      <c r="E706" s="1301"/>
      <c r="F706" s="1301"/>
      <c r="H706" s="501"/>
      <c r="I706" s="483"/>
      <c r="J706" s="501"/>
      <c r="K706" s="501"/>
    </row>
    <row r="707" spans="1:11">
      <c r="A707" s="483"/>
      <c r="B707" s="483"/>
      <c r="C707" s="483"/>
      <c r="D707" s="1301"/>
      <c r="E707" s="1301"/>
      <c r="F707" s="1301"/>
      <c r="H707" s="501"/>
      <c r="I707" s="483"/>
      <c r="J707" s="501"/>
      <c r="K707" s="501"/>
    </row>
    <row r="708" spans="1:11">
      <c r="A708" s="483"/>
      <c r="B708" s="483"/>
      <c r="C708" s="483"/>
      <c r="D708" s="445"/>
      <c r="E708" s="445"/>
      <c r="F708" s="445"/>
      <c r="H708" s="501"/>
      <c r="I708" s="483"/>
      <c r="J708" s="501"/>
      <c r="K708" s="501"/>
    </row>
    <row r="709" spans="1:11">
      <c r="A709" s="483"/>
      <c r="B709" s="485" t="s">
        <v>2721</v>
      </c>
      <c r="C709" s="483"/>
      <c r="D709" s="1301" t="s">
        <v>1201</v>
      </c>
      <c r="E709" s="1301"/>
      <c r="F709" s="1301"/>
      <c r="H709" s="501"/>
      <c r="I709" s="483"/>
      <c r="J709" s="501"/>
      <c r="K709" s="501"/>
    </row>
    <row r="710" spans="1:11">
      <c r="A710" s="483"/>
      <c r="B710" s="483"/>
      <c r="C710" s="483"/>
      <c r="D710" s="1301"/>
      <c r="E710" s="1301"/>
      <c r="F710" s="1301"/>
      <c r="H710" s="501"/>
      <c r="I710" s="483"/>
      <c r="J710" s="501"/>
      <c r="K710" s="501"/>
    </row>
    <row r="711" spans="1:11">
      <c r="A711" s="483"/>
      <c r="B711" s="483"/>
      <c r="C711" s="483"/>
      <c r="D711" s="445"/>
      <c r="E711" s="445"/>
      <c r="F711" s="445"/>
      <c r="H711" s="501"/>
      <c r="I711" s="483"/>
      <c r="J711" s="501"/>
      <c r="K711" s="501"/>
    </row>
    <row r="712" spans="1:11" ht="14.25">
      <c r="A712" s="484"/>
      <c r="B712" s="485" t="s">
        <v>2722</v>
      </c>
      <c r="C712" s="483"/>
      <c r="D712" s="1301" t="s">
        <v>1077</v>
      </c>
      <c r="E712" s="1301"/>
      <c r="F712" s="1301"/>
      <c r="H712" s="501"/>
      <c r="I712" s="483"/>
      <c r="J712" s="501"/>
      <c r="K712" s="501"/>
    </row>
    <row r="713" spans="1:11">
      <c r="A713" s="483"/>
      <c r="B713" s="483"/>
      <c r="C713" s="483"/>
      <c r="D713" s="1301"/>
      <c r="E713" s="1301"/>
      <c r="F713" s="1301"/>
      <c r="H713" s="501"/>
      <c r="I713" s="483"/>
      <c r="J713" s="501"/>
      <c r="K713" s="501"/>
    </row>
    <row r="714" spans="1:11">
      <c r="A714" s="483"/>
      <c r="B714" s="483"/>
      <c r="C714" s="483"/>
      <c r="D714" s="1301"/>
      <c r="E714" s="1301"/>
      <c r="F714" s="1301"/>
      <c r="H714" s="501"/>
      <c r="I714" s="483"/>
      <c r="J714" s="501"/>
      <c r="K714" s="501"/>
    </row>
    <row r="715" spans="1:11" ht="15" customHeight="1">
      <c r="A715" s="483"/>
      <c r="B715" s="483"/>
      <c r="C715" s="483"/>
      <c r="D715" s="1301"/>
      <c r="E715" s="1301"/>
      <c r="F715" s="1301"/>
      <c r="H715" s="501"/>
      <c r="I715" s="483"/>
      <c r="J715" s="501"/>
      <c r="K715" s="501"/>
    </row>
    <row r="716" spans="1:11" ht="15" customHeight="1">
      <c r="A716" s="483"/>
      <c r="B716" s="483"/>
      <c r="C716" s="483"/>
      <c r="D716" s="1301"/>
      <c r="E716" s="1301"/>
      <c r="F716" s="1301"/>
      <c r="H716" s="501"/>
      <c r="I716" s="483"/>
      <c r="J716" s="501"/>
      <c r="K716" s="501"/>
    </row>
    <row r="717" spans="1:11">
      <c r="A717" s="483"/>
      <c r="B717" s="483"/>
      <c r="C717" s="483"/>
      <c r="D717" s="1301"/>
      <c r="E717" s="1301"/>
      <c r="F717" s="1301"/>
      <c r="H717" s="501"/>
      <c r="I717" s="483"/>
      <c r="J717" s="501"/>
      <c r="K717" s="501"/>
    </row>
    <row r="718" spans="1:11">
      <c r="A718" s="483"/>
      <c r="B718" s="483"/>
      <c r="C718" s="483"/>
      <c r="D718" s="1301"/>
      <c r="E718" s="1301"/>
      <c r="F718" s="1301"/>
      <c r="H718" s="501"/>
      <c r="I718" s="483"/>
      <c r="J718" s="501"/>
      <c r="K718" s="501"/>
    </row>
    <row r="719" spans="1:11">
      <c r="A719" s="483"/>
      <c r="B719" s="483"/>
      <c r="C719" s="483"/>
      <c r="D719" s="1301"/>
      <c r="E719" s="1301"/>
      <c r="F719" s="1301"/>
      <c r="H719" s="501"/>
      <c r="I719" s="483"/>
      <c r="J719" s="501"/>
      <c r="K719" s="501"/>
    </row>
    <row r="720" spans="1:11" ht="15" customHeight="1">
      <c r="A720" s="483"/>
      <c r="B720" s="483"/>
      <c r="C720" s="483"/>
      <c r="D720" s="1301"/>
      <c r="E720" s="1301"/>
      <c r="F720" s="1301"/>
      <c r="H720" s="501"/>
      <c r="I720" s="483"/>
      <c r="J720" s="501"/>
      <c r="K720" s="501"/>
    </row>
    <row r="721" spans="1:11">
      <c r="A721" s="483"/>
      <c r="B721" s="483"/>
      <c r="C721" s="483"/>
      <c r="D721" s="1301"/>
      <c r="E721" s="1301"/>
      <c r="F721" s="1301"/>
      <c r="H721" s="501"/>
      <c r="I721" s="483"/>
      <c r="J721" s="501"/>
      <c r="K721" s="501"/>
    </row>
    <row r="722" spans="1:11">
      <c r="A722" s="483"/>
      <c r="B722" s="483"/>
      <c r="C722" s="483"/>
      <c r="D722" s="1301"/>
      <c r="E722" s="1301"/>
      <c r="F722" s="1301"/>
      <c r="H722" s="501"/>
      <c r="I722" s="483"/>
      <c r="J722" s="501"/>
      <c r="K722" s="501"/>
    </row>
    <row r="723" spans="1:11">
      <c r="A723" s="483"/>
      <c r="B723" s="483"/>
      <c r="C723" s="483"/>
      <c r="D723" s="1301"/>
      <c r="E723" s="1301"/>
      <c r="F723" s="1301"/>
      <c r="H723" s="501"/>
      <c r="I723" s="483"/>
      <c r="J723" s="501"/>
      <c r="K723" s="501"/>
    </row>
    <row r="724" spans="1:11">
      <c r="A724" s="483"/>
      <c r="B724" s="483"/>
      <c r="C724" s="483"/>
      <c r="D724" s="1301"/>
      <c r="E724" s="1301"/>
      <c r="F724" s="1301"/>
      <c r="H724" s="501"/>
      <c r="I724" s="483"/>
      <c r="J724" s="501"/>
      <c r="K724" s="501"/>
    </row>
    <row r="725" spans="1:11">
      <c r="A725" s="483"/>
      <c r="B725" s="485" t="s">
        <v>2722</v>
      </c>
      <c r="C725" s="483"/>
      <c r="D725" s="1301" t="s">
        <v>2461</v>
      </c>
      <c r="E725" s="1301"/>
      <c r="F725" s="1301"/>
      <c r="H725" s="501"/>
      <c r="I725" s="483"/>
      <c r="J725" s="501"/>
      <c r="K725" s="501"/>
    </row>
    <row r="726" spans="1:11">
      <c r="A726" s="483"/>
      <c r="B726" s="483"/>
      <c r="C726" s="483"/>
      <c r="D726" s="1301"/>
      <c r="E726" s="1301"/>
      <c r="F726" s="1301"/>
      <c r="H726" s="501"/>
      <c r="I726" s="483"/>
      <c r="J726" s="501"/>
      <c r="K726" s="501"/>
    </row>
    <row r="727" spans="1:11">
      <c r="A727" s="483"/>
      <c r="B727" s="483"/>
      <c r="C727" s="483"/>
      <c r="D727" s="1301"/>
      <c r="E727" s="1301"/>
      <c r="F727" s="1301"/>
      <c r="H727" s="501"/>
      <c r="I727" s="483"/>
      <c r="J727" s="501"/>
      <c r="K727" s="501"/>
    </row>
    <row r="728" spans="1:11">
      <c r="A728" s="483"/>
      <c r="B728" s="483"/>
      <c r="C728" s="483"/>
      <c r="D728" s="445"/>
      <c r="E728" s="445"/>
      <c r="F728" s="445"/>
      <c r="H728" s="501"/>
      <c r="I728" s="483"/>
      <c r="J728" s="501"/>
      <c r="K728" s="501"/>
    </row>
    <row r="729" spans="1:11">
      <c r="A729" s="483"/>
      <c r="B729" s="485" t="s">
        <v>2722</v>
      </c>
      <c r="C729" s="483"/>
      <c r="D729" s="1301" t="s">
        <v>2460</v>
      </c>
      <c r="E729" s="1301"/>
      <c r="F729" s="1301"/>
      <c r="H729" s="501"/>
      <c r="I729" s="483"/>
      <c r="J729" s="501"/>
      <c r="K729" s="501"/>
    </row>
    <row r="730" spans="1:11">
      <c r="A730" s="483"/>
      <c r="B730" s="483"/>
      <c r="C730" s="483"/>
      <c r="D730" s="1301"/>
      <c r="E730" s="1301"/>
      <c r="F730" s="1301"/>
      <c r="H730" s="501"/>
      <c r="I730" s="483"/>
      <c r="J730" s="501"/>
      <c r="K730" s="501"/>
    </row>
    <row r="731" spans="1:11">
      <c r="A731" s="483"/>
      <c r="B731" s="483"/>
      <c r="C731" s="483"/>
      <c r="D731" s="1301"/>
      <c r="E731" s="1301"/>
      <c r="F731" s="1301"/>
      <c r="H731" s="501"/>
      <c r="I731" s="483"/>
      <c r="J731" s="501"/>
      <c r="K731" s="501"/>
    </row>
    <row r="732" spans="1:11">
      <c r="A732" s="483"/>
      <c r="B732" s="483"/>
      <c r="C732" s="483"/>
      <c r="H732" s="501"/>
      <c r="I732" s="483"/>
      <c r="J732" s="501"/>
      <c r="K732" s="501"/>
    </row>
    <row r="733" spans="1:11">
      <c r="A733" s="483"/>
      <c r="B733" s="485" t="s">
        <v>2722</v>
      </c>
      <c r="C733" s="483"/>
      <c r="D733" s="1301" t="s">
        <v>2459</v>
      </c>
      <c r="E733" s="1301"/>
      <c r="F733" s="1301"/>
      <c r="H733" s="501"/>
      <c r="I733" s="483"/>
      <c r="J733" s="501"/>
      <c r="K733" s="501"/>
    </row>
    <row r="734" spans="1:11">
      <c r="A734" s="483"/>
      <c r="B734" s="483"/>
      <c r="C734" s="483"/>
      <c r="D734" s="1301"/>
      <c r="E734" s="1301"/>
      <c r="F734" s="1301"/>
      <c r="H734" s="501"/>
      <c r="I734" s="483"/>
      <c r="J734" s="501"/>
      <c r="K734" s="501"/>
    </row>
    <row r="735" spans="1:11">
      <c r="A735" s="483"/>
      <c r="B735" s="483"/>
      <c r="C735" s="483"/>
      <c r="D735" s="1301"/>
      <c r="E735" s="1301"/>
      <c r="F735" s="1301"/>
      <c r="H735" s="501"/>
      <c r="I735" s="483"/>
      <c r="J735" s="501"/>
      <c r="K735" s="501"/>
    </row>
    <row r="736" spans="1:11">
      <c r="A736" s="483"/>
      <c r="B736" s="483"/>
      <c r="C736" s="483"/>
      <c r="D736" s="1301"/>
      <c r="E736" s="1301"/>
      <c r="F736" s="1301"/>
      <c r="H736" s="501"/>
      <c r="I736" s="483"/>
      <c r="J736" s="501"/>
      <c r="K736" s="501"/>
    </row>
    <row r="737" spans="1:11">
      <c r="A737" s="483"/>
      <c r="B737" s="483"/>
      <c r="C737" s="483"/>
      <c r="H737" s="501"/>
      <c r="I737" s="483"/>
      <c r="J737" s="501"/>
      <c r="K737" s="501"/>
    </row>
    <row r="738" spans="1:11" ht="14.25">
      <c r="A738" s="484"/>
      <c r="B738" s="485" t="s">
        <v>2722</v>
      </c>
      <c r="C738" s="483"/>
      <c r="D738" s="1301" t="s">
        <v>1078</v>
      </c>
      <c r="E738" s="1301"/>
      <c r="F738" s="1301"/>
      <c r="H738" s="501"/>
      <c r="I738" s="483"/>
      <c r="J738" s="501"/>
      <c r="K738" s="501"/>
    </row>
    <row r="739" spans="1:11">
      <c r="A739" s="483"/>
      <c r="B739" s="483"/>
      <c r="C739" s="483"/>
      <c r="D739" s="1301"/>
      <c r="E739" s="1301"/>
      <c r="F739" s="1301"/>
      <c r="H739" s="501"/>
      <c r="I739" s="483"/>
      <c r="J739" s="501"/>
      <c r="K739" s="501"/>
    </row>
    <row r="740" spans="1:11">
      <c r="A740" s="483"/>
      <c r="B740" s="483"/>
      <c r="C740" s="483"/>
      <c r="D740" s="1301"/>
      <c r="E740" s="1301"/>
      <c r="F740" s="1301"/>
      <c r="H740" s="501"/>
      <c r="I740" s="483"/>
      <c r="J740" s="501"/>
      <c r="K740" s="501"/>
    </row>
    <row r="741" spans="1:11">
      <c r="A741" s="483"/>
      <c r="B741" s="483"/>
      <c r="C741" s="483"/>
      <c r="D741" s="1301"/>
      <c r="E741" s="1301"/>
      <c r="F741" s="1301"/>
      <c r="H741" s="501"/>
      <c r="I741" s="483"/>
      <c r="J741" s="501"/>
      <c r="K741" s="501"/>
    </row>
    <row r="742" spans="1:11">
      <c r="A742" s="483"/>
      <c r="B742" s="483"/>
      <c r="C742" s="483"/>
      <c r="D742" s="1301"/>
      <c r="E742" s="1301"/>
      <c r="F742" s="1301"/>
      <c r="H742" s="501"/>
      <c r="I742" s="483"/>
      <c r="J742" s="501"/>
      <c r="K742" s="501"/>
    </row>
    <row r="743" spans="1:11">
      <c r="A743" s="483"/>
      <c r="B743" s="483"/>
      <c r="C743" s="483"/>
      <c r="D743" s="492"/>
      <c r="H743" s="501"/>
      <c r="I743" s="483"/>
      <c r="J743" s="501"/>
      <c r="K743" s="501"/>
    </row>
    <row r="744" spans="1:11" ht="14.25">
      <c r="A744" s="484"/>
      <c r="B744" s="485" t="s">
        <v>2722</v>
      </c>
      <c r="C744" s="483"/>
      <c r="D744" s="1301" t="s">
        <v>2145</v>
      </c>
      <c r="E744" s="1301"/>
      <c r="F744" s="1301"/>
      <c r="H744" s="501"/>
      <c r="I744" s="483"/>
      <c r="J744" s="501"/>
      <c r="K744" s="501"/>
    </row>
    <row r="745" spans="1:11">
      <c r="A745" s="483"/>
      <c r="B745" s="483"/>
      <c r="C745" s="483"/>
      <c r="D745" s="1301"/>
      <c r="E745" s="1301"/>
      <c r="F745" s="1301"/>
      <c r="H745" s="501"/>
      <c r="I745" s="483"/>
      <c r="J745" s="501"/>
      <c r="K745" s="501"/>
    </row>
    <row r="746" spans="1:11">
      <c r="A746" s="483"/>
      <c r="B746" s="483"/>
      <c r="C746" s="483"/>
      <c r="D746" s="1301"/>
      <c r="E746" s="1301"/>
      <c r="F746" s="1301"/>
      <c r="H746" s="501"/>
      <c r="I746" s="483"/>
      <c r="J746" s="501"/>
      <c r="K746" s="501"/>
    </row>
    <row r="747" spans="1:11">
      <c r="A747" s="483"/>
      <c r="B747" s="483"/>
      <c r="C747" s="483"/>
      <c r="D747" s="1301"/>
      <c r="E747" s="1301"/>
      <c r="F747" s="1301"/>
      <c r="H747" s="501"/>
      <c r="I747" s="483"/>
      <c r="J747" s="501"/>
      <c r="K747" s="501"/>
    </row>
    <row r="748" spans="1:11">
      <c r="A748" s="483"/>
      <c r="B748" s="483"/>
      <c r="C748" s="483"/>
      <c r="D748" s="1301"/>
      <c r="E748" s="1301"/>
      <c r="F748" s="1301"/>
      <c r="H748" s="501"/>
      <c r="I748" s="483"/>
      <c r="J748" s="501"/>
      <c r="K748" s="501"/>
    </row>
    <row r="749" spans="1:11">
      <c r="A749" s="483"/>
      <c r="B749" s="483"/>
      <c r="C749" s="483"/>
      <c r="D749" s="1301"/>
      <c r="E749" s="1301"/>
      <c r="F749" s="1301"/>
      <c r="H749" s="501"/>
      <c r="I749" s="483"/>
      <c r="J749" s="501"/>
      <c r="K749" s="501"/>
    </row>
    <row r="750" spans="1:11">
      <c r="A750" s="483"/>
      <c r="B750" s="483"/>
      <c r="C750" s="483"/>
      <c r="D750" s="1301"/>
      <c r="E750" s="1301"/>
      <c r="F750" s="1301"/>
      <c r="H750" s="501"/>
      <c r="I750" s="483"/>
      <c r="J750" s="501"/>
      <c r="K750" s="501"/>
    </row>
    <row r="751" spans="1:11">
      <c r="A751" s="483"/>
      <c r="B751" s="483"/>
      <c r="C751" s="483"/>
      <c r="D751" s="1302" t="s">
        <v>2074</v>
      </c>
      <c r="E751" s="1302"/>
      <c r="F751" s="1302"/>
      <c r="H751" s="501"/>
      <c r="I751" s="483"/>
      <c r="J751" s="501"/>
      <c r="K751" s="501"/>
    </row>
    <row r="752" spans="1:11">
      <c r="A752" s="483"/>
      <c r="B752" s="483"/>
      <c r="C752" s="483"/>
      <c r="D752" s="341"/>
      <c r="H752" s="501"/>
      <c r="I752" s="483"/>
      <c r="J752" s="501"/>
      <c r="K752" s="501"/>
    </row>
    <row r="753" spans="1:11">
      <c r="A753" s="1300" t="s">
        <v>1060</v>
      </c>
      <c r="B753" s="1300"/>
      <c r="C753" s="1300"/>
      <c r="D753" s="1300"/>
      <c r="E753" s="1300"/>
      <c r="F753" s="1300"/>
      <c r="G753" s="1300"/>
      <c r="H753" s="1030"/>
      <c r="I753" s="1157"/>
      <c r="J753" s="501"/>
      <c r="K753" s="501"/>
    </row>
    <row r="754" spans="1:11">
      <c r="A754" s="483"/>
      <c r="B754" s="483"/>
      <c r="C754" s="483"/>
      <c r="D754" s="492"/>
      <c r="G754" s="501"/>
      <c r="H754" s="501"/>
      <c r="I754" s="483"/>
      <c r="J754" s="501"/>
      <c r="K754" s="501"/>
    </row>
    <row r="755" spans="1:11" ht="13.7" customHeight="1">
      <c r="C755" s="483"/>
      <c r="D755" s="1317" t="s">
        <v>1070</v>
      </c>
      <c r="E755" s="1317"/>
      <c r="F755" s="1317"/>
      <c r="G755" s="501"/>
      <c r="H755" s="501"/>
      <c r="I755" s="483"/>
      <c r="J755" s="501"/>
      <c r="K755" s="501"/>
    </row>
    <row r="756" spans="1:11">
      <c r="A756" s="483"/>
      <c r="B756" s="483"/>
      <c r="C756" s="483"/>
      <c r="D756" s="1303" t="s">
        <v>1071</v>
      </c>
      <c r="E756" s="1303"/>
      <c r="F756" s="1303"/>
      <c r="G756" s="501"/>
      <c r="H756" s="501"/>
      <c r="I756" s="483"/>
      <c r="J756" s="501"/>
      <c r="K756" s="501"/>
    </row>
    <row r="757" spans="1:11">
      <c r="A757" s="483"/>
      <c r="B757" s="483"/>
      <c r="C757" s="483"/>
      <c r="G757" s="501"/>
      <c r="H757" s="501"/>
      <c r="I757" s="483"/>
      <c r="J757" s="501"/>
      <c r="K757" s="501"/>
    </row>
    <row r="758" spans="1:11" ht="14.25">
      <c r="A758" s="484"/>
      <c r="B758" s="485" t="s">
        <v>2721</v>
      </c>
      <c r="D758" s="1301" t="s">
        <v>1072</v>
      </c>
      <c r="E758" s="1301"/>
      <c r="F758" s="1301"/>
      <c r="G758" s="501"/>
      <c r="H758" s="501"/>
      <c r="I758" s="483"/>
      <c r="J758" s="501"/>
      <c r="K758" s="501"/>
    </row>
    <row r="759" spans="1:11" ht="10.5" customHeight="1">
      <c r="D759" s="1301"/>
      <c r="E759" s="1301"/>
      <c r="F759" s="1301"/>
      <c r="G759" s="501"/>
      <c r="H759" s="501"/>
      <c r="I759" s="483"/>
      <c r="J759" s="501"/>
      <c r="K759" s="501"/>
    </row>
    <row r="760" spans="1:11">
      <c r="D760" s="1301"/>
      <c r="E760" s="1301"/>
      <c r="F760" s="1301"/>
      <c r="G760" s="501"/>
      <c r="H760" s="501"/>
      <c r="I760" s="483"/>
      <c r="J760" s="501"/>
      <c r="K760" s="501"/>
    </row>
    <row r="761" spans="1:11">
      <c r="D761" s="1301"/>
      <c r="E761" s="1301"/>
      <c r="F761" s="1301"/>
      <c r="G761" s="501"/>
      <c r="H761" s="501"/>
      <c r="I761" s="483"/>
      <c r="J761" s="501"/>
      <c r="K761" s="501"/>
    </row>
    <row r="762" spans="1:11">
      <c r="D762" s="1301"/>
      <c r="E762" s="1301"/>
      <c r="F762" s="1301"/>
      <c r="G762" s="501"/>
      <c r="H762" s="501"/>
      <c r="I762" s="483"/>
      <c r="J762" s="501"/>
      <c r="K762" s="501"/>
    </row>
    <row r="763" spans="1:11" ht="15.6" customHeight="1">
      <c r="D763" s="1301"/>
      <c r="E763" s="1301"/>
      <c r="F763" s="1301"/>
      <c r="G763" s="501"/>
      <c r="H763" s="501"/>
      <c r="I763" s="483"/>
      <c r="J763" s="501"/>
      <c r="K763" s="501"/>
    </row>
    <row r="764" spans="1:11">
      <c r="D764" s="499"/>
      <c r="E764" s="446"/>
      <c r="F764" s="446"/>
      <c r="G764" s="501"/>
      <c r="H764" s="501"/>
      <c r="I764" s="483"/>
      <c r="J764" s="501"/>
      <c r="K764" s="501"/>
    </row>
    <row r="765" spans="1:11" s="505" customFormat="1" ht="14.25">
      <c r="A765" s="503"/>
      <c r="B765" s="485" t="s">
        <v>2721</v>
      </c>
      <c r="C765" s="504"/>
      <c r="D765" s="1301" t="s">
        <v>1241</v>
      </c>
      <c r="E765" s="1301"/>
      <c r="F765" s="1301"/>
      <c r="I765" s="1158"/>
    </row>
    <row r="766" spans="1:11" s="505" customFormat="1">
      <c r="A766" s="504"/>
      <c r="B766" s="504"/>
      <c r="C766" s="504"/>
      <c r="D766" s="1301"/>
      <c r="E766" s="1301"/>
      <c r="F766" s="1301"/>
      <c r="I766" s="1158"/>
    </row>
    <row r="767" spans="1:11" s="505" customFormat="1">
      <c r="A767" s="504"/>
      <c r="B767" s="504"/>
      <c r="C767" s="504"/>
      <c r="D767" s="1301"/>
      <c r="E767" s="1301"/>
      <c r="F767" s="1301"/>
      <c r="I767" s="1158"/>
    </row>
    <row r="768" spans="1:11" s="505" customFormat="1">
      <c r="A768" s="504"/>
      <c r="B768" s="504"/>
      <c r="C768" s="504"/>
      <c r="D768" s="1301"/>
      <c r="E768" s="1301"/>
      <c r="F768" s="1301"/>
      <c r="I768" s="1158"/>
    </row>
    <row r="769" spans="1:11" s="505" customFormat="1">
      <c r="A769" s="504"/>
      <c r="B769" s="504"/>
      <c r="C769" s="504"/>
      <c r="D769" s="499"/>
      <c r="I769" s="1158"/>
    </row>
    <row r="770" spans="1:11" s="505" customFormat="1" ht="14.25">
      <c r="A770" s="484"/>
      <c r="B770" s="485" t="s">
        <v>2722</v>
      </c>
      <c r="C770" s="504"/>
      <c r="D770" s="1307" t="s">
        <v>1242</v>
      </c>
      <c r="E770" s="1307"/>
      <c r="F770" s="1307"/>
      <c r="I770" s="1158"/>
    </row>
    <row r="771" spans="1:11" s="505" customFormat="1">
      <c r="A771" s="504"/>
      <c r="B771" s="504"/>
      <c r="C771" s="504"/>
      <c r="D771" s="1307"/>
      <c r="E771" s="1307"/>
      <c r="F771" s="1307"/>
      <c r="I771" s="1158"/>
    </row>
    <row r="772" spans="1:11" s="505" customFormat="1">
      <c r="A772" s="504"/>
      <c r="B772" s="504"/>
      <c r="C772" s="504"/>
      <c r="D772" s="1307"/>
      <c r="E772" s="1307"/>
      <c r="F772" s="1307"/>
      <c r="I772" s="1158"/>
    </row>
    <row r="773" spans="1:11">
      <c r="D773" s="499"/>
      <c r="E773" s="446"/>
      <c r="F773" s="446"/>
      <c r="G773" s="501"/>
      <c r="H773" s="501"/>
      <c r="I773" s="483"/>
      <c r="J773" s="501"/>
      <c r="K773" s="501"/>
    </row>
    <row r="774" spans="1:11" ht="14.25">
      <c r="A774" s="484"/>
      <c r="B774" s="485" t="s">
        <v>2722</v>
      </c>
      <c r="D774" s="1301" t="s">
        <v>1198</v>
      </c>
      <c r="E774" s="1301"/>
      <c r="F774" s="1301"/>
      <c r="G774" s="501"/>
      <c r="H774" s="501"/>
      <c r="I774" s="483"/>
      <c r="J774" s="501"/>
      <c r="K774" s="501"/>
    </row>
    <row r="775" spans="1:11">
      <c r="D775" s="1301"/>
      <c r="E775" s="1301"/>
      <c r="F775" s="1301"/>
      <c r="G775" s="501"/>
      <c r="H775" s="501"/>
      <c r="I775" s="483"/>
      <c r="J775" s="501"/>
      <c r="K775" s="501"/>
    </row>
    <row r="776" spans="1:11">
      <c r="D776" s="445"/>
      <c r="E776" s="445"/>
      <c r="F776" s="445"/>
      <c r="G776" s="501"/>
      <c r="H776" s="501"/>
      <c r="I776" s="483"/>
      <c r="J776" s="501"/>
      <c r="K776" s="501"/>
    </row>
    <row r="777" spans="1:11">
      <c r="B777" s="485" t="s">
        <v>2722</v>
      </c>
      <c r="D777" s="1301" t="s">
        <v>1215</v>
      </c>
      <c r="E777" s="1301"/>
      <c r="F777" s="1301"/>
      <c r="G777" s="501"/>
      <c r="H777" s="501"/>
      <c r="I777" s="483"/>
      <c r="J777" s="501"/>
      <c r="K777" s="501"/>
    </row>
    <row r="778" spans="1:11">
      <c r="D778" s="1301"/>
      <c r="E778" s="1301"/>
      <c r="F778" s="1301"/>
      <c r="G778" s="501"/>
      <c r="H778" s="501"/>
      <c r="I778" s="483"/>
      <c r="J778" s="501"/>
      <c r="K778" s="501"/>
    </row>
    <row r="779" spans="1:11">
      <c r="D779" s="1301"/>
      <c r="E779" s="1301"/>
      <c r="F779" s="1301"/>
      <c r="G779" s="501"/>
      <c r="H779" s="501"/>
      <c r="I779" s="483"/>
      <c r="J779" s="501"/>
      <c r="K779" s="501"/>
    </row>
    <row r="780" spans="1:11">
      <c r="D780" s="445"/>
      <c r="E780" s="445"/>
      <c r="F780" s="445"/>
      <c r="G780" s="501"/>
      <c r="H780" s="501"/>
      <c r="I780" s="483"/>
      <c r="J780" s="501"/>
      <c r="K780" s="501"/>
    </row>
    <row r="781" spans="1:11">
      <c r="A781" s="1316" t="s">
        <v>1801</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1854</v>
      </c>
      <c r="E783" s="1315"/>
      <c r="F783" s="1315"/>
      <c r="G783" s="3"/>
      <c r="I783" s="490"/>
    </row>
    <row r="784" spans="1:11">
      <c r="A784" s="57"/>
      <c r="B784" s="57"/>
      <c r="C784" s="354"/>
      <c r="D784" s="1318" t="s">
        <v>1755</v>
      </c>
      <c r="E784" s="1318"/>
      <c r="F784" s="1318"/>
      <c r="G784" s="3"/>
      <c r="I784" s="490"/>
    </row>
    <row r="785" spans="1:9">
      <c r="A785" s="57"/>
      <c r="B785" s="57"/>
      <c r="C785" s="354"/>
      <c r="D785" s="447"/>
      <c r="E785" s="447"/>
      <c r="F785" s="447"/>
      <c r="G785" s="3"/>
      <c r="I785" s="490"/>
    </row>
    <row r="786" spans="1:9">
      <c r="A786" s="57"/>
      <c r="B786" s="485" t="s">
        <v>2721</v>
      </c>
      <c r="C786" s="354"/>
      <c r="D786" s="1294" t="s">
        <v>1756</v>
      </c>
      <c r="E786" s="1294"/>
      <c r="F786" s="1294"/>
      <c r="G786" s="3"/>
      <c r="I786" s="483"/>
    </row>
    <row r="787" spans="1:9">
      <c r="A787" s="57"/>
      <c r="B787" s="57"/>
      <c r="C787" s="354"/>
      <c r="D787" s="1294"/>
      <c r="E787" s="1294"/>
      <c r="F787" s="1294"/>
      <c r="G787" s="3"/>
      <c r="I787" s="490"/>
    </row>
    <row r="788" spans="1:9">
      <c r="A788" s="174"/>
      <c r="B788" s="174"/>
      <c r="C788" s="174"/>
      <c r="D788" s="1294"/>
      <c r="E788" s="1294"/>
      <c r="F788" s="1294"/>
      <c r="G788" s="118"/>
      <c r="I788" s="490"/>
    </row>
    <row r="789" spans="1:9">
      <c r="A789" s="354"/>
      <c r="B789" s="354"/>
      <c r="C789" s="354"/>
      <c r="D789" s="173"/>
      <c r="E789" s="3"/>
      <c r="F789" s="3"/>
      <c r="G789" s="3"/>
      <c r="I789" s="490"/>
    </row>
    <row r="790" spans="1:9">
      <c r="A790" s="172"/>
      <c r="B790" s="485" t="s">
        <v>2722</v>
      </c>
      <c r="C790" s="172"/>
      <c r="D790" s="1294" t="s">
        <v>1757</v>
      </c>
      <c r="E790" s="1294"/>
      <c r="F790" s="1294"/>
      <c r="G790" s="3"/>
      <c r="I790" s="483"/>
    </row>
    <row r="791" spans="1:9">
      <c r="A791" s="172"/>
      <c r="B791" s="172"/>
      <c r="C791" s="172"/>
      <c r="D791" s="1294"/>
      <c r="E791" s="1294"/>
      <c r="F791" s="1294"/>
      <c r="G791" s="3"/>
      <c r="I791" s="490"/>
    </row>
    <row r="792" spans="1:9">
      <c r="A792" s="172"/>
      <c r="B792" s="172"/>
      <c r="C792" s="172"/>
      <c r="D792" s="1294"/>
      <c r="E792" s="1294"/>
      <c r="F792" s="1294"/>
      <c r="G792" s="3"/>
      <c r="I792" s="490"/>
    </row>
    <row r="793" spans="1:9">
      <c r="A793" s="174"/>
      <c r="B793" s="174"/>
      <c r="C793" s="174"/>
      <c r="D793" s="3"/>
      <c r="E793" s="988"/>
      <c r="F793" s="988"/>
      <c r="G793" s="988"/>
      <c r="I793" s="490"/>
    </row>
    <row r="794" spans="1:9" ht="14.25">
      <c r="A794" s="175"/>
      <c r="B794" s="485" t="s">
        <v>2722</v>
      </c>
      <c r="C794" s="989"/>
      <c r="D794" s="1294" t="s">
        <v>1758</v>
      </c>
      <c r="E794" s="1294"/>
      <c r="F794" s="1294"/>
      <c r="G794" s="988"/>
      <c r="I794" s="483"/>
    </row>
    <row r="795" spans="1:9" ht="14.25">
      <c r="A795" s="175"/>
      <c r="B795" s="175"/>
      <c r="C795" s="989"/>
      <c r="D795" s="1294"/>
      <c r="E795" s="1294"/>
      <c r="F795" s="1294"/>
      <c r="G795" s="988"/>
      <c r="I795" s="490"/>
    </row>
    <row r="796" spans="1:9" ht="14.25">
      <c r="A796" s="175"/>
      <c r="B796" s="175"/>
      <c r="C796" s="989"/>
      <c r="D796" s="1294"/>
      <c r="E796" s="1294"/>
      <c r="F796" s="1294"/>
      <c r="G796" s="988"/>
      <c r="I796" s="490"/>
    </row>
    <row r="797" spans="1:9" ht="14.25">
      <c r="A797" s="175"/>
      <c r="B797" s="175"/>
      <c r="C797" s="989"/>
      <c r="D797" s="118"/>
      <c r="E797" s="3"/>
      <c r="F797" s="3"/>
      <c r="G797" s="988"/>
      <c r="I797" s="490"/>
    </row>
    <row r="798" spans="1:9" ht="14.25">
      <c r="A798" s="175"/>
      <c r="B798" s="485" t="s">
        <v>2722</v>
      </c>
      <c r="C798" s="989"/>
      <c r="D798" s="1294" t="s">
        <v>1759</v>
      </c>
      <c r="E798" s="1294"/>
      <c r="F798" s="1294"/>
      <c r="G798" s="988"/>
      <c r="I798" s="483"/>
    </row>
    <row r="799" spans="1:9" ht="14.25">
      <c r="A799" s="175"/>
      <c r="B799" s="175"/>
      <c r="C799" s="989"/>
      <c r="D799" s="1294"/>
      <c r="E799" s="1294"/>
      <c r="F799" s="1294"/>
      <c r="G799" s="988"/>
      <c r="I799" s="490"/>
    </row>
    <row r="800" spans="1:9" ht="14.25">
      <c r="A800" s="175"/>
      <c r="B800" s="175"/>
      <c r="C800" s="989"/>
      <c r="D800" s="1294"/>
      <c r="E800" s="1294"/>
      <c r="F800" s="1294"/>
      <c r="G800" s="988"/>
      <c r="I800" s="490"/>
    </row>
    <row r="801" spans="1:9" ht="14.25">
      <c r="A801" s="175"/>
      <c r="B801" s="175"/>
      <c r="C801" s="989"/>
      <c r="D801" s="1294"/>
      <c r="E801" s="1294"/>
      <c r="F801" s="1294"/>
      <c r="G801" s="988"/>
      <c r="I801" s="490"/>
    </row>
    <row r="802" spans="1:9" ht="14.25">
      <c r="A802" s="175"/>
      <c r="B802" s="175"/>
      <c r="C802" s="989"/>
      <c r="D802" s="1294"/>
      <c r="E802" s="1294"/>
      <c r="F802" s="1294"/>
      <c r="G802" s="988"/>
      <c r="I802" s="490"/>
    </row>
    <row r="803" spans="1:9" ht="14.25">
      <c r="A803" s="175"/>
      <c r="B803" s="175"/>
      <c r="C803" s="989"/>
      <c r="D803" s="1294"/>
      <c r="E803" s="1294"/>
      <c r="F803" s="1294"/>
      <c r="G803" s="988"/>
      <c r="I803" s="490"/>
    </row>
    <row r="804" spans="1:9" ht="14.25">
      <c r="A804" s="175"/>
      <c r="B804" s="175"/>
      <c r="C804" s="989"/>
      <c r="D804" s="1294" t="s">
        <v>1802</v>
      </c>
      <c r="E804" s="1294"/>
      <c r="F804" s="1294"/>
      <c r="G804" s="988"/>
      <c r="I804" s="490"/>
    </row>
    <row r="805" spans="1:9" ht="14.25">
      <c r="A805" s="175"/>
      <c r="B805" s="175"/>
      <c r="C805" s="989"/>
      <c r="D805" s="1294"/>
      <c r="E805" s="1294"/>
      <c r="F805" s="1294"/>
      <c r="G805" s="988"/>
      <c r="I805" s="490"/>
    </row>
    <row r="806" spans="1:9" ht="14.25">
      <c r="A806" s="175"/>
      <c r="B806" s="175"/>
      <c r="C806" s="989"/>
      <c r="D806" s="1294"/>
      <c r="E806" s="1294"/>
      <c r="F806" s="1294"/>
      <c r="G806" s="988"/>
      <c r="I806" s="490"/>
    </row>
    <row r="807" spans="1:9" ht="14.25">
      <c r="A807" s="175"/>
      <c r="B807" s="354"/>
      <c r="C807" s="989"/>
      <c r="D807" s="990"/>
      <c r="E807" s="990"/>
      <c r="F807" s="990"/>
      <c r="G807" s="988"/>
      <c r="I807" s="490"/>
    </row>
    <row r="808" spans="1:9" ht="14.25">
      <c r="A808" s="175"/>
      <c r="B808" s="485" t="s">
        <v>2722</v>
      </c>
      <c r="C808" s="989"/>
      <c r="D808" s="1294" t="s">
        <v>1760</v>
      </c>
      <c r="E808" s="1294"/>
      <c r="F808" s="1294"/>
      <c r="G808" s="988"/>
      <c r="I808" s="483"/>
    </row>
    <row r="809" spans="1:9" ht="14.25">
      <c r="A809" s="175"/>
      <c r="B809" s="175"/>
      <c r="C809" s="989"/>
      <c r="D809" s="1294"/>
      <c r="E809" s="1294"/>
      <c r="F809" s="1294"/>
      <c r="G809" s="988"/>
      <c r="I809" s="490"/>
    </row>
    <row r="810" spans="1:9" ht="14.25">
      <c r="A810" s="175"/>
      <c r="B810" s="175"/>
      <c r="C810" s="989"/>
      <c r="D810" s="1294"/>
      <c r="E810" s="1294"/>
      <c r="F810" s="1294"/>
      <c r="G810" s="988"/>
      <c r="I810" s="490"/>
    </row>
    <row r="811" spans="1:9" ht="14.25">
      <c r="A811" s="175"/>
      <c r="B811" s="175"/>
      <c r="C811" s="989"/>
      <c r="D811" s="1294"/>
      <c r="E811" s="1294"/>
      <c r="F811" s="1294"/>
      <c r="G811" s="988"/>
      <c r="I811" s="490"/>
    </row>
    <row r="812" spans="1:9" ht="14.25">
      <c r="A812" s="175"/>
      <c r="B812" s="175"/>
      <c r="C812" s="989"/>
      <c r="D812" s="1294"/>
      <c r="E812" s="1294"/>
      <c r="F812" s="1294"/>
      <c r="G812" s="988"/>
      <c r="I812" s="490"/>
    </row>
    <row r="813" spans="1:9" ht="14.25">
      <c r="A813" s="175"/>
      <c r="B813" s="175"/>
      <c r="C813" s="989"/>
      <c r="D813" s="1294"/>
      <c r="E813" s="1294"/>
      <c r="F813" s="1294"/>
      <c r="G813" s="988"/>
      <c r="I813" s="490"/>
    </row>
    <row r="814" spans="1:9" ht="14.25">
      <c r="A814" s="175"/>
      <c r="B814" s="175"/>
      <c r="C814" s="989"/>
      <c r="D814" s="982"/>
      <c r="E814" s="982"/>
      <c r="F814" s="982"/>
      <c r="G814" s="988"/>
      <c r="I814" s="490"/>
    </row>
    <row r="815" spans="1:9" ht="14.25">
      <c r="A815" s="175"/>
      <c r="B815" s="485" t="s">
        <v>2722</v>
      </c>
      <c r="C815" s="989"/>
      <c r="D815" s="1294" t="s">
        <v>1761</v>
      </c>
      <c r="E815" s="1294"/>
      <c r="F815" s="1294"/>
      <c r="G815" s="988"/>
      <c r="I815" s="483"/>
    </row>
    <row r="816" spans="1:9" ht="14.25">
      <c r="A816" s="175"/>
      <c r="B816" s="175"/>
      <c r="C816" s="989"/>
      <c r="D816" s="1294"/>
      <c r="E816" s="1294"/>
      <c r="F816" s="1294"/>
      <c r="G816" s="988"/>
      <c r="I816" s="490"/>
    </row>
    <row r="817" spans="1:9" ht="14.25">
      <c r="A817" s="175"/>
      <c r="B817" s="175"/>
      <c r="C817" s="989"/>
      <c r="D817" s="1294"/>
      <c r="E817" s="1294"/>
      <c r="F817" s="1294"/>
      <c r="G817" s="988"/>
      <c r="I817" s="490"/>
    </row>
    <row r="818" spans="1:9" ht="14.25">
      <c r="A818" s="175"/>
      <c r="B818" s="175"/>
      <c r="C818" s="989"/>
      <c r="D818" s="1294"/>
      <c r="E818" s="1294"/>
      <c r="F818" s="1294"/>
      <c r="G818" s="988"/>
      <c r="I818" s="490"/>
    </row>
    <row r="819" spans="1:9" ht="14.25">
      <c r="A819" s="175"/>
      <c r="B819" s="175"/>
      <c r="C819" s="989"/>
      <c r="D819" s="1294"/>
      <c r="E819" s="1294"/>
      <c r="F819" s="1294"/>
      <c r="G819" s="988"/>
      <c r="I819" s="490"/>
    </row>
    <row r="820" spans="1:9" ht="14.25">
      <c r="A820" s="175"/>
      <c r="B820" s="175"/>
      <c r="C820" s="989"/>
      <c r="D820" s="1294"/>
      <c r="E820" s="1294"/>
      <c r="F820" s="1294"/>
      <c r="G820" s="988"/>
      <c r="I820" s="490"/>
    </row>
    <row r="821" spans="1:9" ht="14.25">
      <c r="A821" s="175"/>
      <c r="B821" s="175"/>
      <c r="C821" s="989"/>
      <c r="D821" s="982"/>
      <c r="E821" s="982"/>
      <c r="F821" s="982"/>
      <c r="G821" s="988"/>
      <c r="I821" s="490"/>
    </row>
    <row r="822" spans="1:9" ht="14.25">
      <c r="A822" s="175"/>
      <c r="B822" s="485" t="s">
        <v>2722</v>
      </c>
      <c r="C822" s="989"/>
      <c r="D822" s="1289" t="s">
        <v>1762</v>
      </c>
      <c r="E822" s="1289"/>
      <c r="F822" s="1289"/>
      <c r="G822" s="988"/>
      <c r="I822" s="483"/>
    </row>
    <row r="823" spans="1:9" ht="14.25">
      <c r="A823" s="175"/>
      <c r="B823" s="175"/>
      <c r="C823" s="989"/>
      <c r="D823" s="1289"/>
      <c r="E823" s="1289"/>
      <c r="F823" s="1289"/>
      <c r="G823" s="988"/>
      <c r="I823" s="490"/>
    </row>
    <row r="824" spans="1:9">
      <c r="A824" s="13"/>
      <c r="B824" s="13"/>
      <c r="C824" s="989"/>
      <c r="D824" s="1289"/>
      <c r="E824" s="1289"/>
      <c r="F824" s="1289"/>
      <c r="G824" s="988"/>
      <c r="I824" s="490"/>
    </row>
    <row r="825" spans="1:9" ht="14.25">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285" t="s">
        <v>1763</v>
      </c>
      <c r="B829" s="1285"/>
      <c r="C829" s="1285"/>
      <c r="D829" s="1285"/>
      <c r="E829" s="1285"/>
      <c r="F829" s="1285"/>
      <c r="G829" s="1285"/>
      <c r="H829" s="1028"/>
      <c r="I829" s="1153"/>
    </row>
    <row r="830" spans="1:9" ht="12.75" customHeight="1">
      <c r="A830" s="172"/>
      <c r="B830" s="172"/>
      <c r="C830" s="989"/>
      <c r="D830" s="988"/>
      <c r="E830" s="988"/>
      <c r="F830" s="988"/>
      <c r="G830" s="988"/>
      <c r="I830" s="490"/>
    </row>
    <row r="831" spans="1:9" ht="12.75" customHeight="1">
      <c r="A831" s="175"/>
      <c r="B831" s="175"/>
      <c r="C831" s="354"/>
      <c r="D831" s="1305" t="s">
        <v>1803</v>
      </c>
      <c r="E831" s="1305"/>
      <c r="F831" s="1305"/>
      <c r="G831" s="3"/>
      <c r="I831" s="490"/>
    </row>
    <row r="832" spans="1:9" ht="14.25" customHeight="1">
      <c r="A832" s="175"/>
      <c r="B832" s="175"/>
      <c r="C832" s="354"/>
      <c r="D832" s="1262" t="s">
        <v>1764</v>
      </c>
      <c r="E832" s="1262"/>
      <c r="F832" s="1262"/>
      <c r="G832" s="3"/>
      <c r="I832" s="490"/>
    </row>
    <row r="833" spans="1:9" ht="12.75" customHeight="1">
      <c r="A833" s="175"/>
      <c r="B833" s="175"/>
      <c r="C833" s="354"/>
      <c r="D833" s="441"/>
      <c r="E833" s="441"/>
      <c r="F833" s="441"/>
      <c r="G833" s="3"/>
      <c r="I833" s="490"/>
    </row>
    <row r="834" spans="1:9" ht="12.75" customHeight="1">
      <c r="A834" s="354"/>
      <c r="B834" s="485" t="s">
        <v>2721</v>
      </c>
      <c r="C834" s="989"/>
      <c r="D834" s="1262" t="s">
        <v>1765</v>
      </c>
      <c r="E834" s="1262"/>
      <c r="F834" s="1262"/>
      <c r="G834" s="3"/>
      <c r="I834" s="490" t="s">
        <v>1879</v>
      </c>
    </row>
    <row r="835" spans="1:9" ht="14.25" customHeight="1">
      <c r="A835" s="13"/>
      <c r="B835" s="13"/>
      <c r="C835" s="989"/>
      <c r="E835" s="1036" t="s">
        <v>1895</v>
      </c>
      <c r="F835" s="1038"/>
      <c r="G835" s="3"/>
      <c r="I835" s="490"/>
    </row>
    <row r="836" spans="1:9" ht="12.75" customHeight="1">
      <c r="A836" s="13"/>
      <c r="B836" s="13"/>
      <c r="C836" s="989"/>
      <c r="D836" s="991"/>
      <c r="E836" s="3"/>
      <c r="F836" s="3"/>
      <c r="G836" s="3"/>
      <c r="I836" s="490"/>
    </row>
    <row r="837" spans="1:9" ht="14.25" hidden="1" customHeight="1">
      <c r="A837" s="13"/>
      <c r="B837" s="485" t="s">
        <v>306</v>
      </c>
      <c r="C837" s="989"/>
      <c r="D837" s="1306" t="s">
        <v>2075</v>
      </c>
      <c r="E837" s="1306"/>
      <c r="F837" s="1306"/>
      <c r="G837" s="3"/>
      <c r="I837" s="490"/>
    </row>
    <row r="838" spans="1:9" ht="12.75" hidden="1" customHeight="1">
      <c r="A838" s="13"/>
      <c r="B838" s="13"/>
      <c r="C838" s="989"/>
      <c r="D838" s="1306"/>
      <c r="E838" s="1306"/>
      <c r="F838" s="1306"/>
      <c r="G838" s="3"/>
      <c r="I838" s="490"/>
    </row>
    <row r="839" spans="1:9" ht="12.75" hidden="1" customHeight="1">
      <c r="A839" s="13"/>
      <c r="B839" s="13"/>
      <c r="C839" s="989"/>
      <c r="D839" s="1306"/>
      <c r="E839" s="1306"/>
      <c r="F839" s="1306"/>
      <c r="G839" s="3"/>
      <c r="I839" s="490"/>
    </row>
    <row r="840" spans="1:9" ht="12.75" hidden="1" customHeight="1">
      <c r="A840" s="13"/>
      <c r="B840" s="13"/>
      <c r="C840" s="989"/>
      <c r="D840" s="1306"/>
      <c r="E840" s="1306"/>
      <c r="F840" s="1306"/>
      <c r="G840" s="3"/>
      <c r="I840" s="490"/>
    </row>
    <row r="841" spans="1:9" ht="12.75" hidden="1" customHeight="1">
      <c r="A841" s="13"/>
      <c r="B841" s="13"/>
      <c r="C841" s="989"/>
      <c r="D841" s="1306"/>
      <c r="E841" s="1306"/>
      <c r="F841" s="1306"/>
      <c r="G841" s="3"/>
      <c r="I841" s="490"/>
    </row>
    <row r="842" spans="1:9" ht="12.75" hidden="1" customHeight="1">
      <c r="A842" s="13"/>
      <c r="B842" s="13"/>
      <c r="C842" s="989"/>
      <c r="D842" s="1306"/>
      <c r="E842" s="1306"/>
      <c r="F842" s="1306"/>
      <c r="G842" s="3"/>
      <c r="I842" s="490"/>
    </row>
    <row r="843" spans="1:9" ht="12.75" hidden="1" customHeight="1">
      <c r="A843" s="13"/>
      <c r="B843" s="13"/>
      <c r="C843" s="989"/>
      <c r="D843" s="1306"/>
      <c r="E843" s="1306"/>
      <c r="F843" s="1306"/>
      <c r="G843" s="3"/>
      <c r="I843" s="490"/>
    </row>
    <row r="844" spans="1:9" ht="12.75" hidden="1" customHeight="1">
      <c r="A844" s="13"/>
      <c r="B844" s="13"/>
      <c r="C844" s="989"/>
      <c r="D844" s="1306"/>
      <c r="E844" s="1306"/>
      <c r="F844" s="1306"/>
      <c r="G844" s="3"/>
      <c r="I844" s="490"/>
    </row>
    <row r="845" spans="1:9" ht="12.75" hidden="1" customHeight="1">
      <c r="A845" s="13"/>
      <c r="B845" s="13"/>
      <c r="C845" s="989"/>
      <c r="D845" s="1306"/>
      <c r="E845" s="1306"/>
      <c r="F845" s="1306"/>
      <c r="G845" s="3"/>
      <c r="I845" s="490"/>
    </row>
    <row r="846" spans="1:9" ht="12.75" hidden="1" customHeight="1">
      <c r="A846" s="13"/>
      <c r="B846" s="13"/>
      <c r="C846" s="989"/>
      <c r="D846" s="1306"/>
      <c r="E846" s="1306"/>
      <c r="F846" s="1306"/>
      <c r="G846" s="3"/>
      <c r="I846" s="490"/>
    </row>
    <row r="847" spans="1:9" ht="12.75" hidden="1" customHeight="1">
      <c r="A847" s="13"/>
      <c r="B847" s="13"/>
      <c r="C847" s="989"/>
      <c r="D847" s="991"/>
      <c r="E847" s="3"/>
      <c r="F847" s="3"/>
      <c r="G847" s="3"/>
      <c r="I847" s="490"/>
    </row>
    <row r="848" spans="1:9" ht="12.75" customHeight="1">
      <c r="A848" s="175"/>
      <c r="B848" s="485" t="s">
        <v>2721</v>
      </c>
      <c r="C848" s="989"/>
      <c r="D848" s="1262" t="s">
        <v>1766</v>
      </c>
      <c r="E848" s="1262"/>
      <c r="F848" s="1262"/>
      <c r="G848" s="3"/>
      <c r="I848" s="490" t="s">
        <v>1882</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2722</v>
      </c>
      <c r="C852" s="989"/>
      <c r="D852" s="1305" t="s">
        <v>1767</v>
      </c>
      <c r="E852" s="1305"/>
      <c r="F852" s="1305"/>
      <c r="G852" s="3"/>
      <c r="I852" s="490"/>
    </row>
    <row r="853" spans="1:9" ht="12.75" customHeight="1">
      <c r="A853" s="354"/>
      <c r="B853" s="992"/>
      <c r="C853" s="989"/>
      <c r="D853" s="1305"/>
      <c r="E853" s="1305"/>
      <c r="F853" s="1305"/>
      <c r="G853" s="3"/>
      <c r="I853" s="490"/>
    </row>
    <row r="854" spans="1:9" ht="12.75" customHeight="1">
      <c r="A854" s="175"/>
      <c r="B854" s="354"/>
      <c r="C854" s="989"/>
      <c r="D854" s="1262" t="s">
        <v>2068</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2722</v>
      </c>
      <c r="C861" s="989"/>
      <c r="D861" s="1262" t="s">
        <v>1768</v>
      </c>
      <c r="E861" s="1262"/>
      <c r="F861" s="1262"/>
      <c r="G861" s="3"/>
      <c r="I861" s="490" t="s">
        <v>1880</v>
      </c>
    </row>
    <row r="862" spans="1:9" ht="12.75" customHeight="1">
      <c r="A862" s="175"/>
      <c r="B862" s="175"/>
      <c r="C862" s="989"/>
      <c r="D862" s="1262" t="s">
        <v>1769</v>
      </c>
      <c r="E862" s="1262"/>
      <c r="F862" s="1262"/>
      <c r="G862" s="3"/>
      <c r="I862" s="490"/>
    </row>
    <row r="863" spans="1:9" ht="12.75" customHeight="1">
      <c r="A863" s="175"/>
      <c r="B863" s="175"/>
      <c r="C863" s="989"/>
      <c r="E863" s="1036" t="s">
        <v>1897</v>
      </c>
      <c r="F863" s="1038"/>
      <c r="G863" s="3"/>
      <c r="I863" s="490"/>
    </row>
    <row r="864" spans="1:9" ht="12.75" customHeight="1">
      <c r="A864" s="175"/>
      <c r="B864" s="175"/>
      <c r="C864" s="989"/>
      <c r="D864" s="118"/>
      <c r="E864" s="3"/>
      <c r="F864" s="3"/>
      <c r="G864" s="3"/>
      <c r="I864" s="490"/>
    </row>
    <row r="865" spans="1:9" ht="12.75" customHeight="1">
      <c r="A865" s="175"/>
      <c r="B865" s="485" t="s">
        <v>2722</v>
      </c>
      <c r="C865" s="989"/>
      <c r="D865" s="1262" t="s">
        <v>1770</v>
      </c>
      <c r="E865" s="1262"/>
      <c r="F865" s="1262"/>
      <c r="G865" s="3"/>
      <c r="I865" s="490" t="s">
        <v>1883</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1771</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5" t="s">
        <v>1804</v>
      </c>
      <c r="E872" s="1295"/>
      <c r="F872" s="1295"/>
      <c r="G872" s="988"/>
      <c r="I872" s="490"/>
    </row>
    <row r="873" spans="1:9" ht="12.75" customHeight="1">
      <c r="A873" s="354"/>
      <c r="B873" s="354"/>
      <c r="C873" s="174"/>
      <c r="D873" s="1304" t="s">
        <v>1772</v>
      </c>
      <c r="E873" s="1304"/>
      <c r="F873" s="1304"/>
      <c r="G873" s="988"/>
      <c r="I873" s="490"/>
    </row>
    <row r="874" spans="1:9" ht="12.75" customHeight="1">
      <c r="A874" s="354"/>
      <c r="B874" s="354"/>
      <c r="C874" s="174"/>
      <c r="D874" s="995"/>
      <c r="E874" s="995"/>
      <c r="F874" s="995"/>
      <c r="G874" s="988"/>
      <c r="I874" s="490"/>
    </row>
    <row r="875" spans="1:9" ht="12.75" customHeight="1">
      <c r="A875" s="175"/>
      <c r="B875" s="485" t="s">
        <v>2721</v>
      </c>
      <c r="C875" s="354"/>
      <c r="D875" s="1288" t="s">
        <v>1773</v>
      </c>
      <c r="E875" s="1288"/>
      <c r="F875" s="1288"/>
      <c r="G875" s="988"/>
      <c r="I875" s="490" t="s">
        <v>1880</v>
      </c>
    </row>
    <row r="876" spans="1:9" ht="12.75" customHeight="1">
      <c r="A876" s="354"/>
      <c r="B876" s="354"/>
      <c r="C876" s="354"/>
      <c r="D876" s="2" t="s">
        <v>1748</v>
      </c>
      <c r="E876" s="1036" t="s">
        <v>1897</v>
      </c>
      <c r="F876" s="1039"/>
      <c r="G876" s="988"/>
      <c r="I876" s="490"/>
    </row>
    <row r="877" spans="1:9" ht="12.75" customHeight="1">
      <c r="A877" s="354"/>
      <c r="B877" s="354"/>
      <c r="C877" s="354"/>
      <c r="D877" s="118"/>
      <c r="E877" s="988"/>
      <c r="F877" s="988"/>
      <c r="G877" s="988"/>
      <c r="I877" s="490"/>
    </row>
    <row r="878" spans="1:9" ht="12.75" customHeight="1">
      <c r="A878" s="175"/>
      <c r="B878" s="485" t="s">
        <v>2721</v>
      </c>
      <c r="C878" s="354"/>
      <c r="D878" s="1262" t="s">
        <v>1774</v>
      </c>
      <c r="E878" s="1311"/>
      <c r="F878" s="1311"/>
      <c r="G878" s="3"/>
      <c r="I878" s="490" t="s">
        <v>1883</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2722</v>
      </c>
      <c r="C881" s="354"/>
      <c r="D881" s="1312" t="s">
        <v>1775</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2" t="s">
        <v>2068</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2722</v>
      </c>
      <c r="C890" s="354"/>
      <c r="D890" s="1287" t="s">
        <v>1768</v>
      </c>
      <c r="E890" s="1287"/>
      <c r="F890" s="1287"/>
      <c r="G890" s="988"/>
      <c r="I890" s="490"/>
    </row>
    <row r="891" spans="1:9" ht="12.75" customHeight="1">
      <c r="A891" s="175"/>
      <c r="B891" s="175"/>
      <c r="C891" s="354"/>
      <c r="D891" s="1287" t="s">
        <v>1769</v>
      </c>
      <c r="E891" s="1287"/>
      <c r="F891" s="1287"/>
      <c r="G891" s="988"/>
      <c r="I891" s="490"/>
    </row>
    <row r="892" spans="1:9" ht="12.75" customHeight="1">
      <c r="A892" s="175"/>
      <c r="B892" s="175"/>
      <c r="C892" s="354"/>
      <c r="D892" s="2" t="s">
        <v>1270</v>
      </c>
      <c r="E892" s="1036" t="s">
        <v>1897</v>
      </c>
      <c r="F892" s="1040"/>
      <c r="G892" s="988"/>
      <c r="I892" s="490"/>
    </row>
    <row r="893" spans="1:9" ht="12.75" customHeight="1">
      <c r="A893" s="175"/>
      <c r="B893" s="175"/>
      <c r="C893" s="354"/>
      <c r="D893" s="118"/>
      <c r="E893" s="988"/>
      <c r="F893" s="988"/>
      <c r="G893" s="988"/>
      <c r="I893" s="490"/>
    </row>
    <row r="894" spans="1:9" ht="12.75" customHeight="1">
      <c r="A894" s="175"/>
      <c r="B894" s="485" t="s">
        <v>2722</v>
      </c>
      <c r="C894" s="354"/>
      <c r="D894" s="1262" t="s">
        <v>1770</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285" t="s">
        <v>1805</v>
      </c>
      <c r="B899" s="1285"/>
      <c r="C899" s="1285"/>
      <c r="D899" s="1285"/>
      <c r="E899" s="1285"/>
      <c r="F899" s="1285"/>
      <c r="G899" s="1285"/>
      <c r="H899" s="1028"/>
      <c r="I899" s="1153"/>
    </row>
    <row r="900" spans="1:9" ht="12.75" customHeight="1">
      <c r="A900" s="57"/>
      <c r="B900" s="57"/>
      <c r="C900" s="57"/>
      <c r="D900" s="57"/>
      <c r="E900" s="57"/>
      <c r="F900" s="57"/>
      <c r="G900" s="57"/>
      <c r="I900" s="490"/>
    </row>
    <row r="901" spans="1:9" ht="12.75" customHeight="1">
      <c r="A901" s="57"/>
      <c r="B901" s="57"/>
      <c r="C901" s="57"/>
      <c r="D901" s="1283" t="s">
        <v>1811</v>
      </c>
      <c r="E901" s="1283"/>
      <c r="F901" s="1283"/>
      <c r="G901" s="57"/>
      <c r="I901" s="490"/>
    </row>
    <row r="902" spans="1:9" ht="12.75" customHeight="1">
      <c r="A902" s="57"/>
      <c r="B902" s="57"/>
      <c r="C902" s="57"/>
      <c r="D902" s="981"/>
      <c r="E902" s="981"/>
      <c r="F902" s="981"/>
      <c r="G902" s="57"/>
      <c r="I902" s="490"/>
    </row>
    <row r="903" spans="1:9" ht="12.75" customHeight="1">
      <c r="A903" s="57"/>
      <c r="B903" s="485" t="s">
        <v>2721</v>
      </c>
      <c r="C903" s="57"/>
      <c r="D903" s="984" t="s">
        <v>1812</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3" t="s">
        <v>1806</v>
      </c>
      <c r="E905" s="1283"/>
      <c r="F905" s="1283"/>
      <c r="G905" s="988"/>
      <c r="I905" s="490"/>
    </row>
    <row r="906" spans="1:9" ht="12.75" customHeight="1">
      <c r="A906" s="172"/>
      <c r="B906" s="172"/>
      <c r="C906" s="172"/>
      <c r="D906" s="1288" t="s">
        <v>1776</v>
      </c>
      <c r="E906" s="1288"/>
      <c r="F906" s="1288"/>
      <c r="G906" s="988"/>
      <c r="I906" s="490"/>
    </row>
    <row r="907" spans="1:9" ht="12.75" customHeight="1">
      <c r="A907" s="989"/>
      <c r="B907" s="989"/>
      <c r="C907" s="989"/>
      <c r="D907" s="2"/>
      <c r="E907" s="988"/>
      <c r="F907" s="988"/>
      <c r="G907" s="988"/>
      <c r="I907" s="490"/>
    </row>
    <row r="908" spans="1:9" ht="12.75" customHeight="1">
      <c r="A908" s="175"/>
      <c r="B908" s="485" t="s">
        <v>2721</v>
      </c>
      <c r="C908" s="354"/>
      <c r="D908" s="1262" t="s">
        <v>1780</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1779</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2721</v>
      </c>
      <c r="C913" s="174"/>
      <c r="D913" s="1273" t="s">
        <v>1777</v>
      </c>
      <c r="E913" s="1273"/>
      <c r="F913" s="1273"/>
      <c r="G913" s="988"/>
      <c r="I913" s="490"/>
    </row>
    <row r="914" spans="1:9" ht="12.75" customHeight="1">
      <c r="A914" s="175"/>
      <c r="B914" s="175"/>
      <c r="C914" s="174"/>
      <c r="D914" s="1273"/>
      <c r="E914" s="1273"/>
      <c r="F914" s="1273"/>
      <c r="G914" s="988"/>
      <c r="I914" s="490"/>
    </row>
    <row r="915" spans="1:9" ht="12.75" customHeight="1">
      <c r="A915" s="175"/>
      <c r="B915" s="175"/>
      <c r="C915" s="174"/>
      <c r="D915" s="1273"/>
      <c r="E915" s="1273"/>
      <c r="F915" s="1273"/>
      <c r="G915" s="988"/>
      <c r="I915" s="490"/>
    </row>
    <row r="916" spans="1:9" ht="12.75" customHeight="1">
      <c r="A916" s="175"/>
      <c r="B916" s="175"/>
      <c r="C916" s="174"/>
      <c r="D916" s="1273"/>
      <c r="E916" s="1273"/>
      <c r="F916" s="1273"/>
      <c r="G916" s="988"/>
      <c r="I916" s="490"/>
    </row>
    <row r="917" spans="1:9" ht="12.75" customHeight="1">
      <c r="A917" s="175"/>
      <c r="B917" s="175"/>
      <c r="C917" s="174"/>
      <c r="D917" s="1273"/>
      <c r="E917" s="1273"/>
      <c r="F917" s="1273"/>
      <c r="G917" s="988"/>
      <c r="I917" s="490"/>
    </row>
    <row r="918" spans="1:9" ht="12.75" customHeight="1">
      <c r="A918" s="174"/>
      <c r="B918" s="174"/>
      <c r="C918" s="174"/>
      <c r="D918" s="1273"/>
      <c r="E918" s="1273"/>
      <c r="F918" s="1273"/>
      <c r="G918" s="988"/>
      <c r="I918" s="490"/>
    </row>
    <row r="919" spans="1:9" ht="12.75" customHeight="1">
      <c r="A919" s="174"/>
      <c r="B919" s="174"/>
      <c r="C919" s="174"/>
      <c r="D919" s="1273"/>
      <c r="E919" s="1273"/>
      <c r="F919" s="1273"/>
      <c r="G919" s="988"/>
      <c r="I919" s="490"/>
    </row>
    <row r="920" spans="1:9" ht="12.75" customHeight="1">
      <c r="A920" s="174"/>
      <c r="B920" s="174"/>
      <c r="C920" s="174"/>
      <c r="D920" s="1273"/>
      <c r="E920" s="1273"/>
      <c r="F920" s="1273"/>
      <c r="G920" s="988"/>
      <c r="I920" s="490"/>
    </row>
    <row r="921" spans="1:9" ht="12.75" customHeight="1">
      <c r="A921" s="174"/>
      <c r="B921" s="174"/>
      <c r="C921" s="174"/>
      <c r="D921" s="335"/>
      <c r="E921" s="335"/>
      <c r="F921" s="335"/>
      <c r="G921" s="988"/>
      <c r="I921" s="490"/>
    </row>
    <row r="922" spans="1:9" ht="12.75" customHeight="1">
      <c r="A922" s="989"/>
      <c r="B922" s="485" t="s">
        <v>2722</v>
      </c>
      <c r="C922" s="989"/>
      <c r="D922" s="1262" t="s">
        <v>1781</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2722</v>
      </c>
      <c r="C925" s="989"/>
      <c r="D925" s="1289" t="s">
        <v>1782</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2722</v>
      </c>
      <c r="C930" s="989"/>
      <c r="D930" s="1288" t="s">
        <v>2069</v>
      </c>
      <c r="E930" s="1288"/>
      <c r="F930" s="1288"/>
      <c r="G930" s="988"/>
      <c r="I930" s="490"/>
    </row>
    <row r="931" spans="1:9" ht="12.75" customHeight="1">
      <c r="A931" s="989"/>
      <c r="B931" s="989"/>
      <c r="C931" s="989"/>
      <c r="D931" s="118"/>
      <c r="E931" s="988"/>
      <c r="F931" s="988"/>
      <c r="G931" s="988"/>
      <c r="I931" s="490"/>
    </row>
    <row r="932" spans="1:9" ht="12.75" customHeight="1">
      <c r="A932" s="989"/>
      <c r="B932" s="485" t="s">
        <v>2722</v>
      </c>
      <c r="C932" s="989"/>
      <c r="D932" s="1288" t="s">
        <v>2070</v>
      </c>
      <c r="E932" s="1288"/>
      <c r="F932" s="1288"/>
      <c r="G932" s="988"/>
      <c r="I932" s="490"/>
    </row>
    <row r="933" spans="1:9" ht="12.75" customHeight="1">
      <c r="A933" s="174"/>
      <c r="B933" s="174"/>
      <c r="C933" s="174"/>
      <c r="D933" s="2"/>
      <c r="E933" s="3"/>
      <c r="F933" s="988"/>
      <c r="G933" s="988"/>
      <c r="I933" s="490"/>
    </row>
    <row r="934" spans="1:9" ht="12.75" customHeight="1">
      <c r="A934" s="997"/>
      <c r="B934" s="485" t="s">
        <v>2721</v>
      </c>
      <c r="C934" s="998"/>
      <c r="D934" s="1273" t="s">
        <v>1778</v>
      </c>
      <c r="E934" s="1273"/>
      <c r="F934" s="1273"/>
      <c r="G934" s="999"/>
      <c r="I934" s="490"/>
    </row>
    <row r="935" spans="1:9" ht="12.75" customHeight="1">
      <c r="A935" s="997"/>
      <c r="B935" s="997"/>
      <c r="C935" s="998"/>
      <c r="D935" s="1273"/>
      <c r="E935" s="1273"/>
      <c r="F935" s="1273"/>
      <c r="G935" s="999"/>
      <c r="I935" s="490"/>
    </row>
    <row r="936" spans="1:9" ht="12.75" customHeight="1">
      <c r="A936" s="997"/>
      <c r="B936" s="997"/>
      <c r="C936" s="998"/>
      <c r="D936" s="1273"/>
      <c r="E936" s="1273"/>
      <c r="F936" s="1273"/>
      <c r="G936" s="999"/>
      <c r="I936" s="490"/>
    </row>
    <row r="937" spans="1:9" ht="12.75" customHeight="1">
      <c r="A937" s="997"/>
      <c r="B937" s="997"/>
      <c r="C937" s="998"/>
      <c r="D937" s="1273"/>
      <c r="E937" s="1273"/>
      <c r="F937" s="1273"/>
      <c r="G937" s="999"/>
      <c r="I937" s="490"/>
    </row>
    <row r="938" spans="1:9" ht="12.75" customHeight="1">
      <c r="A938" s="997"/>
      <c r="B938" s="997"/>
      <c r="C938" s="998"/>
      <c r="D938" s="1273"/>
      <c r="E938" s="1273"/>
      <c r="F938" s="1273"/>
      <c r="G938" s="999"/>
      <c r="I938" s="490"/>
    </row>
    <row r="939" spans="1:9" ht="12.75" customHeight="1">
      <c r="A939" s="997"/>
      <c r="B939" s="997"/>
      <c r="C939" s="998"/>
      <c r="D939" s="1273"/>
      <c r="E939" s="1273"/>
      <c r="F939" s="1273"/>
      <c r="G939" s="999"/>
      <c r="I939" s="490"/>
    </row>
    <row r="940" spans="1:9" ht="12.75" customHeight="1">
      <c r="A940" s="997"/>
      <c r="B940" s="997"/>
      <c r="C940" s="998"/>
      <c r="D940" s="1273"/>
      <c r="E940" s="1273"/>
      <c r="F940" s="1273"/>
      <c r="G940" s="999"/>
      <c r="I940" s="490"/>
    </row>
    <row r="941" spans="1:9" ht="12.75" customHeight="1">
      <c r="A941" s="997"/>
      <c r="B941" s="997"/>
      <c r="C941" s="998"/>
      <c r="D941" s="1273"/>
      <c r="E941" s="1273"/>
      <c r="F941" s="1273"/>
      <c r="G941" s="999"/>
      <c r="I941" s="490"/>
    </row>
    <row r="942" spans="1:9" ht="12.75" customHeight="1">
      <c r="A942" s="997"/>
      <c r="B942" s="997"/>
      <c r="C942" s="998"/>
      <c r="D942" s="1273"/>
      <c r="E942" s="1273"/>
      <c r="F942" s="1273"/>
      <c r="G942" s="999"/>
      <c r="I942" s="490"/>
    </row>
    <row r="943" spans="1:9" ht="12.75" customHeight="1">
      <c r="A943" s="174"/>
      <c r="B943" s="174"/>
      <c r="C943" s="174"/>
      <c r="D943" s="2"/>
      <c r="E943" s="3"/>
      <c r="F943" s="988"/>
      <c r="G943" s="988"/>
      <c r="I943" s="490"/>
    </row>
    <row r="944" spans="1:9" ht="12.75" customHeight="1">
      <c r="A944" s="175"/>
      <c r="B944" s="485" t="s">
        <v>2721</v>
      </c>
      <c r="C944" s="174"/>
      <c r="D944" s="1297" t="s">
        <v>1886</v>
      </c>
      <c r="E944" s="1297"/>
      <c r="F944" s="1297"/>
      <c r="G944" s="988"/>
      <c r="I944" s="490"/>
    </row>
    <row r="945" spans="1:9" ht="12.75" customHeight="1">
      <c r="A945" s="175"/>
      <c r="B945" s="175"/>
      <c r="C945" s="174"/>
      <c r="D945" s="1297"/>
      <c r="E945" s="1297"/>
      <c r="F945" s="1297"/>
      <c r="G945" s="988"/>
      <c r="I945" s="490"/>
    </row>
    <row r="946" spans="1:9" ht="12.75" customHeight="1">
      <c r="A946" s="175"/>
      <c r="B946" s="175"/>
      <c r="C946" s="174"/>
      <c r="D946" s="1297"/>
      <c r="E946" s="1297"/>
      <c r="F946" s="1297"/>
      <c r="G946" s="988"/>
      <c r="I946" s="490"/>
    </row>
    <row r="947" spans="1:9" ht="12.75" customHeight="1">
      <c r="A947" s="175"/>
      <c r="B947" s="175"/>
      <c r="C947" s="174"/>
      <c r="D947" s="1297"/>
      <c r="E947" s="1297"/>
      <c r="F947" s="1297"/>
      <c r="G947" s="988"/>
      <c r="I947" s="490"/>
    </row>
    <row r="948" spans="1:9" ht="12.75" customHeight="1">
      <c r="A948" s="175"/>
      <c r="B948" s="175"/>
      <c r="C948" s="174"/>
      <c r="D948" s="1297"/>
      <c r="E948" s="1297"/>
      <c r="F948" s="1297"/>
      <c r="G948" s="988"/>
      <c r="I948" s="490"/>
    </row>
    <row r="949" spans="1:9" ht="12.75" customHeight="1">
      <c r="A949" s="175"/>
      <c r="B949" s="175"/>
      <c r="C949" s="174"/>
      <c r="D949" s="1297"/>
      <c r="E949" s="1297"/>
      <c r="F949" s="1297"/>
      <c r="G949" s="988"/>
      <c r="I949" s="490"/>
    </row>
    <row r="950" spans="1:9" ht="12.75" customHeight="1">
      <c r="A950" s="175"/>
      <c r="B950" s="175"/>
      <c r="C950" s="174"/>
      <c r="D950" s="1297"/>
      <c r="E950" s="1297"/>
      <c r="F950" s="1297"/>
      <c r="G950" s="988"/>
      <c r="I950" s="490"/>
    </row>
    <row r="951" spans="1:9" ht="12.75" customHeight="1">
      <c r="A951" s="175"/>
      <c r="B951" s="175"/>
      <c r="C951" s="174"/>
      <c r="D951" s="1026"/>
      <c r="E951" s="1026"/>
      <c r="F951" s="1026"/>
      <c r="G951" s="988"/>
      <c r="I951" s="490"/>
    </row>
    <row r="952" spans="1:9" ht="12.75" customHeight="1">
      <c r="A952" s="175"/>
      <c r="B952" s="485" t="s">
        <v>2721</v>
      </c>
      <c r="C952" s="174"/>
      <c r="D952" s="1272" t="s">
        <v>2137</v>
      </c>
      <c r="E952" s="1272"/>
      <c r="F952" s="1272"/>
      <c r="G952" s="988"/>
      <c r="I952" s="490"/>
    </row>
    <row r="953" spans="1:9" ht="12.75" customHeight="1">
      <c r="A953" s="175"/>
      <c r="B953" s="175"/>
      <c r="C953" s="174"/>
      <c r="D953" s="1272"/>
      <c r="E953" s="1272"/>
      <c r="F953" s="1272"/>
      <c r="G953" s="988"/>
      <c r="I953" s="490"/>
    </row>
    <row r="954" spans="1:9" ht="12.75" customHeight="1">
      <c r="A954" s="175"/>
      <c r="B954" s="175"/>
      <c r="C954" s="174"/>
      <c r="D954" s="1272"/>
      <c r="E954" s="1272"/>
      <c r="F954" s="1272"/>
      <c r="G954" s="988"/>
      <c r="I954" s="490"/>
    </row>
    <row r="955" spans="1:9" ht="12.75" customHeight="1">
      <c r="A955" s="175"/>
      <c r="B955" s="175"/>
      <c r="C955" s="174"/>
      <c r="D955" s="1272"/>
      <c r="E955" s="1272"/>
      <c r="F955" s="1272"/>
      <c r="G955" s="988"/>
      <c r="I955" s="490"/>
    </row>
    <row r="956" spans="1:9" ht="12.75" customHeight="1">
      <c r="A956" s="175"/>
      <c r="B956" s="175"/>
      <c r="C956" s="174"/>
      <c r="D956" s="1272"/>
      <c r="E956" s="1272"/>
      <c r="F956" s="1272"/>
      <c r="G956" s="988"/>
      <c r="I956" s="490"/>
    </row>
    <row r="957" spans="1:9" ht="12.75" customHeight="1">
      <c r="A957" s="175"/>
      <c r="B957" s="175"/>
      <c r="C957" s="174"/>
      <c r="D957" s="1272"/>
      <c r="E957" s="1272"/>
      <c r="F957" s="1272"/>
      <c r="G957" s="988"/>
      <c r="I957" s="490"/>
    </row>
    <row r="958" spans="1:9" ht="12.75" customHeight="1">
      <c r="A958" s="175"/>
      <c r="B958" s="175"/>
      <c r="C958" s="174"/>
      <c r="D958" s="1026"/>
      <c r="E958" s="1026"/>
      <c r="F958" s="1026"/>
      <c r="G958" s="988"/>
      <c r="I958" s="490"/>
    </row>
    <row r="959" spans="1:9" ht="12.75" customHeight="1">
      <c r="A959" s="989"/>
      <c r="B959" s="485" t="s">
        <v>2722</v>
      </c>
      <c r="C959" s="989"/>
      <c r="D959" s="1289" t="s">
        <v>1783</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2722</v>
      </c>
      <c r="C964" s="174"/>
      <c r="D964" s="1273" t="s">
        <v>1885</v>
      </c>
      <c r="E964" s="1273"/>
      <c r="F964" s="1273"/>
      <c r="G964" s="988"/>
      <c r="I964" s="490"/>
    </row>
    <row r="965" spans="1:9" ht="12.75" customHeight="1">
      <c r="A965" s="175"/>
      <c r="B965" s="175"/>
      <c r="C965" s="174"/>
      <c r="D965" s="1273"/>
      <c r="E965" s="1273"/>
      <c r="F965" s="1273"/>
      <c r="G965" s="988"/>
      <c r="I965" s="490"/>
    </row>
    <row r="966" spans="1:9" ht="12.75" customHeight="1">
      <c r="A966" s="175"/>
      <c r="B966" s="175"/>
      <c r="C966" s="174"/>
      <c r="D966" s="1273"/>
      <c r="E966" s="1273"/>
      <c r="F966" s="1273"/>
      <c r="G966" s="988"/>
      <c r="I966" s="490"/>
    </row>
    <row r="967" spans="1:9" ht="12.75" customHeight="1">
      <c r="A967" s="175"/>
      <c r="B967" s="175"/>
      <c r="C967" s="174"/>
      <c r="D967" s="1273"/>
      <c r="E967" s="1273"/>
      <c r="F967" s="1273"/>
      <c r="G967" s="988"/>
      <c r="I967" s="490"/>
    </row>
    <row r="968" spans="1:9" ht="12.75" customHeight="1">
      <c r="A968" s="989"/>
      <c r="B968" s="989"/>
      <c r="C968" s="989"/>
      <c r="D968" s="980"/>
      <c r="E968" s="980"/>
      <c r="F968" s="980"/>
      <c r="G968" s="980"/>
      <c r="I968" s="490"/>
    </row>
    <row r="969" spans="1:9" ht="12.75" customHeight="1">
      <c r="A969" s="354"/>
      <c r="B969" s="354"/>
      <c r="C969" s="354"/>
      <c r="D969" s="1295" t="s">
        <v>1784</v>
      </c>
      <c r="E969" s="1295"/>
      <c r="F969" s="1295"/>
      <c r="G969" s="3"/>
      <c r="I969" s="490"/>
    </row>
    <row r="970" spans="1:9" ht="12.75" customHeight="1">
      <c r="A970" s="175"/>
      <c r="B970" s="485" t="s">
        <v>2722</v>
      </c>
      <c r="C970" s="354"/>
      <c r="D970" s="1288" t="s">
        <v>1807</v>
      </c>
      <c r="E970" s="1288"/>
      <c r="F970" s="1288"/>
      <c r="G970" s="3"/>
      <c r="I970" s="490"/>
    </row>
    <row r="971" spans="1:9" ht="12.75" customHeight="1">
      <c r="A971" s="354"/>
      <c r="B971" s="354"/>
      <c r="C971" s="354"/>
      <c r="D971" s="3"/>
      <c r="E971" s="3"/>
      <c r="F971" s="3"/>
      <c r="G971" s="3"/>
      <c r="I971" s="490"/>
    </row>
    <row r="972" spans="1:9" ht="12.75" customHeight="1">
      <c r="A972" s="354"/>
      <c r="B972" s="354"/>
      <c r="C972" s="354"/>
      <c r="D972" s="1295" t="s">
        <v>1785</v>
      </c>
      <c r="E972" s="1295"/>
      <c r="F972" s="1295"/>
      <c r="G972"/>
      <c r="I972" s="490"/>
    </row>
    <row r="973" spans="1:9" ht="12.75" customHeight="1">
      <c r="A973" s="175"/>
      <c r="B973" s="485" t="s">
        <v>2722</v>
      </c>
      <c r="C973" s="354"/>
      <c r="D973" s="1262" t="s">
        <v>2071</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285" t="s">
        <v>1786</v>
      </c>
      <c r="B989" s="1285"/>
      <c r="C989" s="1285"/>
      <c r="D989" s="1285"/>
      <c r="E989" s="1285"/>
      <c r="F989" s="1285"/>
      <c r="G989" s="1285"/>
      <c r="H989" s="1028"/>
      <c r="I989" s="1153"/>
    </row>
    <row r="990" spans="1:9" ht="12.75" customHeight="1">
      <c r="A990" s="118"/>
      <c r="B990" s="118"/>
      <c r="C990" s="354"/>
      <c r="D990" s="3"/>
      <c r="E990" s="3"/>
      <c r="F990" s="3"/>
      <c r="G990" s="3"/>
      <c r="I990" s="490"/>
    </row>
    <row r="991" spans="1:9" ht="12.75" customHeight="1">
      <c r="A991" s="354"/>
      <c r="B991" s="354"/>
      <c r="C991" s="989"/>
      <c r="D991" s="1295" t="s">
        <v>1808</v>
      </c>
      <c r="E991" s="1295"/>
      <c r="F991" s="1295"/>
      <c r="G991" s="3"/>
      <c r="I991" s="490"/>
    </row>
    <row r="992" spans="1:9" ht="12.75" customHeight="1">
      <c r="A992" s="172"/>
      <c r="B992" s="172"/>
      <c r="C992" s="172"/>
      <c r="D992" s="1288" t="s">
        <v>1787</v>
      </c>
      <c r="E992" s="1288"/>
      <c r="F992" s="1288"/>
      <c r="G992" s="3"/>
      <c r="I992" s="490"/>
    </row>
    <row r="993" spans="1:9" ht="12.75" customHeight="1">
      <c r="A993" s="172"/>
      <c r="B993" s="172"/>
      <c r="C993" s="172"/>
      <c r="D993" s="3"/>
      <c r="E993" s="3"/>
      <c r="F993" s="988"/>
      <c r="G993"/>
      <c r="I993" s="490"/>
    </row>
    <row r="994" spans="1:9" ht="12.75" customHeight="1">
      <c r="A994" s="354"/>
      <c r="B994" s="485" t="s">
        <v>2721</v>
      </c>
      <c r="C994" s="354"/>
      <c r="D994" s="1296" t="s">
        <v>1915</v>
      </c>
      <c r="E994" s="1296"/>
      <c r="F994" s="1296"/>
      <c r="G994"/>
      <c r="I994" s="490"/>
    </row>
    <row r="995" spans="1:9" ht="12.75" customHeight="1">
      <c r="A995" s="354"/>
      <c r="B995" s="354"/>
      <c r="C995" s="354"/>
      <c r="D995" s="1296"/>
      <c r="E995" s="1296"/>
      <c r="F995" s="1296"/>
      <c r="G995"/>
      <c r="I995" s="490"/>
    </row>
    <row r="996" spans="1:9" ht="12.75" customHeight="1">
      <c r="A996" s="354"/>
      <c r="B996" s="354"/>
      <c r="C996" s="354"/>
      <c r="D996" s="1038"/>
      <c r="E996" s="1036" t="s">
        <v>1916</v>
      </c>
      <c r="F996" s="1038"/>
      <c r="G996"/>
      <c r="I996" s="490"/>
    </row>
    <row r="997" spans="1:9" ht="12.75" customHeight="1">
      <c r="A997" s="354"/>
      <c r="B997" s="354"/>
      <c r="C997" s="354"/>
      <c r="D997" s="1267" t="s">
        <v>1914</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2722</v>
      </c>
      <c r="C1002" s="174"/>
      <c r="D1002" s="1262" t="s">
        <v>1788</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2722</v>
      </c>
      <c r="C1007" s="174"/>
      <c r="D1007" s="1262" t="s">
        <v>2229</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2721</v>
      </c>
      <c r="C1010" s="354"/>
      <c r="D1010" s="1288" t="s">
        <v>1789</v>
      </c>
      <c r="E1010" s="1288"/>
      <c r="F1010" s="1288"/>
      <c r="G1010"/>
      <c r="I1010" s="490"/>
    </row>
    <row r="1011" spans="1:9" ht="12.75" customHeight="1">
      <c r="A1011" s="354"/>
      <c r="B1011" s="354"/>
      <c r="C1011" s="354"/>
      <c r="D1011" s="3"/>
      <c r="E1011" s="3"/>
      <c r="F1011" s="3"/>
      <c r="G1011"/>
      <c r="I1011" s="490"/>
    </row>
    <row r="1012" spans="1:9" ht="12.75" customHeight="1">
      <c r="A1012" s="175"/>
      <c r="B1012" s="485" t="s">
        <v>2721</v>
      </c>
      <c r="C1012" s="354"/>
      <c r="D1012" s="1288" t="s">
        <v>1790</v>
      </c>
      <c r="E1012" s="1288"/>
      <c r="F1012" s="1288"/>
      <c r="G1012"/>
      <c r="I1012" s="490"/>
    </row>
    <row r="1013" spans="1:9" ht="12.75" customHeight="1">
      <c r="A1013" s="354"/>
      <c r="B1013" s="354"/>
      <c r="C1013" s="354"/>
      <c r="D1013" s="118"/>
      <c r="E1013" s="3"/>
      <c r="F1013" s="3"/>
      <c r="G1013"/>
      <c r="I1013" s="490"/>
    </row>
    <row r="1014" spans="1:9" ht="12.75" customHeight="1">
      <c r="A1014" s="175"/>
      <c r="B1014" s="485" t="s">
        <v>2722</v>
      </c>
      <c r="C1014" s="354"/>
      <c r="D1014" s="1288" t="s">
        <v>1791</v>
      </c>
      <c r="E1014" s="1288"/>
      <c r="F1014" s="1288"/>
      <c r="G1014"/>
      <c r="I1014" s="490"/>
    </row>
    <row r="1015" spans="1:9" ht="12.75" customHeight="1">
      <c r="A1015" s="354"/>
      <c r="B1015" s="354"/>
      <c r="C1015" s="354"/>
      <c r="D1015" s="118"/>
      <c r="E1015" s="3"/>
      <c r="F1015" s="3"/>
      <c r="G1015"/>
      <c r="I1015" s="490"/>
    </row>
    <row r="1016" spans="1:9" ht="12.75" customHeight="1">
      <c r="A1016" s="175"/>
      <c r="B1016" s="485" t="s">
        <v>2722</v>
      </c>
      <c r="C1016" s="354"/>
      <c r="D1016" s="1262" t="s">
        <v>1792</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2722</v>
      </c>
      <c r="C1019" s="1000"/>
      <c r="D1019" s="1294" t="s">
        <v>1793</v>
      </c>
      <c r="E1019" s="1294"/>
      <c r="F1019" s="1294"/>
      <c r="G1019" s="1001"/>
      <c r="I1019" s="490"/>
    </row>
    <row r="1020" spans="1:9" ht="12.75" customHeight="1">
      <c r="A1020" s="1000"/>
      <c r="B1020" s="1000"/>
      <c r="C1020" s="1000"/>
      <c r="D1020" s="1294"/>
      <c r="E1020" s="1294"/>
      <c r="F1020" s="1294"/>
      <c r="G1020" s="1001"/>
      <c r="I1020" s="490"/>
    </row>
    <row r="1021" spans="1:9" ht="12.75" customHeight="1">
      <c r="A1021" s="1000"/>
      <c r="B1021" s="1000"/>
      <c r="C1021" s="1000"/>
      <c r="D1021" s="984"/>
      <c r="E1021" s="1001"/>
      <c r="F1021" s="1001"/>
      <c r="G1021" s="1001"/>
      <c r="I1021" s="490"/>
    </row>
    <row r="1022" spans="1:9" ht="12.75" customHeight="1">
      <c r="A1022" s="254"/>
      <c r="B1022" s="485" t="s">
        <v>2722</v>
      </c>
      <c r="C1022" s="1000"/>
      <c r="D1022" s="1284" t="s">
        <v>1794</v>
      </c>
      <c r="E1022" s="1284"/>
      <c r="F1022" s="1284"/>
      <c r="G1022" s="1001"/>
      <c r="I1022" s="490"/>
    </row>
    <row r="1023" spans="1:9" ht="12.75" customHeight="1">
      <c r="A1023" s="1000"/>
      <c r="B1023" s="1000"/>
      <c r="C1023" s="1000"/>
      <c r="D1023" s="984"/>
      <c r="E1023" s="1001"/>
      <c r="F1023" s="1001"/>
      <c r="G1023" s="1001"/>
      <c r="I1023" s="490"/>
    </row>
    <row r="1024" spans="1:9" ht="12.75" customHeight="1">
      <c r="A1024" s="175"/>
      <c r="B1024" s="485" t="s">
        <v>2722</v>
      </c>
      <c r="C1024" s="354"/>
      <c r="D1024" s="1288" t="s">
        <v>1795</v>
      </c>
      <c r="E1024" s="1288"/>
      <c r="F1024" s="1288"/>
      <c r="G1024" s="3"/>
      <c r="I1024" s="490"/>
    </row>
    <row r="1025" spans="1:9" ht="12.75" customHeight="1">
      <c r="A1025" s="175"/>
      <c r="B1025" s="175"/>
      <c r="C1025" s="354"/>
      <c r="D1025" s="118"/>
      <c r="E1025" s="3"/>
      <c r="F1025" s="3"/>
      <c r="G1025" s="3"/>
      <c r="I1025" s="490"/>
    </row>
    <row r="1026" spans="1:9" ht="12.75" customHeight="1">
      <c r="A1026" s="175"/>
      <c r="B1026" s="485" t="s">
        <v>2722</v>
      </c>
      <c r="C1026" s="354"/>
      <c r="D1026" s="1262" t="s">
        <v>1796</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285" t="s">
        <v>1797</v>
      </c>
      <c r="B1029" s="1285"/>
      <c r="C1029" s="1285"/>
      <c r="D1029" s="1285"/>
      <c r="E1029" s="1285"/>
      <c r="F1029" s="1285"/>
      <c r="G1029" s="1285"/>
      <c r="H1029" s="1028"/>
      <c r="I1029" s="1153"/>
    </row>
    <row r="1030" spans="1:9" ht="12.75" customHeight="1">
      <c r="A1030" s="354"/>
      <c r="B1030" s="354"/>
      <c r="C1030" s="354"/>
      <c r="D1030" s="3"/>
      <c r="E1030" s="3"/>
      <c r="F1030" s="3"/>
      <c r="G1030" s="3"/>
      <c r="I1030" s="490"/>
    </row>
    <row r="1031" spans="1:9" ht="12.75" customHeight="1">
      <c r="A1031" s="354"/>
      <c r="B1031" s="354"/>
      <c r="C1031" s="354"/>
      <c r="D1031" s="1283" t="s">
        <v>1798</v>
      </c>
      <c r="E1031" s="1283"/>
      <c r="F1031" s="1283"/>
      <c r="G1031" s="3"/>
      <c r="I1031" s="490"/>
    </row>
    <row r="1032" spans="1:9" ht="12.75" customHeight="1">
      <c r="A1032" s="354"/>
      <c r="B1032" s="354"/>
      <c r="C1032" s="354"/>
      <c r="D1032" s="1284" t="s">
        <v>1799</v>
      </c>
      <c r="E1032" s="1284"/>
      <c r="F1032" s="1284"/>
      <c r="G1032" s="3"/>
      <c r="I1032" s="490"/>
    </row>
    <row r="1033" spans="1:9" ht="12.75" customHeight="1">
      <c r="A1033" s="172"/>
      <c r="B1033" s="172"/>
      <c r="C1033" s="172"/>
      <c r="D1033" s="3"/>
      <c r="E1033" s="3"/>
      <c r="F1033" s="3"/>
      <c r="G1033" s="3"/>
      <c r="I1033" s="490"/>
    </row>
    <row r="1034" spans="1:9" ht="12.75" customHeight="1">
      <c r="A1034" s="175"/>
      <c r="B1034" s="175"/>
      <c r="C1034" s="174"/>
      <c r="D1034" s="1283" t="s">
        <v>1813</v>
      </c>
      <c r="E1034" s="1283"/>
      <c r="F1034" s="1283"/>
      <c r="G1034" s="3"/>
      <c r="I1034" s="490"/>
    </row>
    <row r="1035" spans="1:9" ht="12.75" customHeight="1">
      <c r="A1035" s="354"/>
      <c r="B1035" s="485" t="s">
        <v>2721</v>
      </c>
      <c r="C1035" s="354"/>
      <c r="D1035" s="1284" t="s">
        <v>1271</v>
      </c>
      <c r="E1035" s="1284"/>
      <c r="F1035" s="1284"/>
      <c r="G1035" s="3"/>
      <c r="I1035" s="490"/>
    </row>
    <row r="1036" spans="1:9" ht="12.75" customHeight="1">
      <c r="A1036" s="354"/>
      <c r="B1036" s="175"/>
      <c r="C1036" s="354"/>
      <c r="D1036" s="1284" t="s">
        <v>1800</v>
      </c>
      <c r="E1036" s="1284"/>
      <c r="F1036" s="1284"/>
      <c r="G1036" s="3"/>
      <c r="I1036" s="490"/>
    </row>
    <row r="1037" spans="1:9" ht="12.75" customHeight="1">
      <c r="A1037" s="354"/>
      <c r="B1037" s="354"/>
      <c r="C1037" s="354"/>
      <c r="D1037" s="1284"/>
      <c r="E1037" s="1284"/>
      <c r="F1037" s="1284"/>
      <c r="G1037" s="3"/>
      <c r="I1037" s="490"/>
    </row>
    <row r="1038" spans="1:9" ht="12.75" customHeight="1">
      <c r="A1038" s="1285" t="s">
        <v>1809</v>
      </c>
      <c r="B1038" s="1285"/>
      <c r="C1038" s="1285"/>
      <c r="D1038" s="1285"/>
      <c r="E1038" s="1285"/>
      <c r="F1038" s="1285"/>
      <c r="G1038" s="1285"/>
      <c r="H1038" s="1028"/>
      <c r="I1038" s="1153"/>
    </row>
    <row r="1039" spans="1:9" ht="12.75" customHeight="1">
      <c r="A1039" s="118"/>
      <c r="B1039" s="118"/>
      <c r="C1039" s="354"/>
      <c r="D1039" s="3"/>
      <c r="E1039" s="3"/>
      <c r="F1039" s="3"/>
      <c r="G1039" s="3"/>
      <c r="I1039" s="490"/>
    </row>
    <row r="1040" spans="1:9" ht="12.75" hidden="1" customHeight="1">
      <c r="A1040" s="118"/>
      <c r="B1040" s="402"/>
      <c r="D1040" s="1282" t="s">
        <v>1272</v>
      </c>
      <c r="E1040" s="1282"/>
      <c r="F1040" s="1282"/>
      <c r="G1040" s="3"/>
      <c r="I1040" s="490"/>
    </row>
    <row r="1041" spans="1:9" ht="12.75" hidden="1" customHeight="1">
      <c r="A1041" s="118"/>
      <c r="B1041" s="485" t="s">
        <v>306</v>
      </c>
      <c r="D1041" s="1281" t="s">
        <v>1271</v>
      </c>
      <c r="E1041" s="1281"/>
      <c r="F1041" s="1281"/>
      <c r="G1041" s="3"/>
      <c r="I1041" s="490"/>
    </row>
    <row r="1042" spans="1:9" ht="12.75" hidden="1" customHeight="1">
      <c r="A1042" s="118"/>
      <c r="B1042" s="402"/>
      <c r="D1042" s="1281" t="s">
        <v>1810</v>
      </c>
      <c r="E1042" s="1281"/>
      <c r="F1042" s="1281"/>
      <c r="G1042" s="3"/>
      <c r="I1042" s="490"/>
    </row>
    <row r="1043" spans="1:9" ht="12.75" hidden="1" customHeight="1">
      <c r="A1043" s="118"/>
      <c r="B1043" s="402"/>
      <c r="D1043" s="444"/>
      <c r="E1043" s="444"/>
      <c r="F1043" s="444"/>
      <c r="G1043" s="3"/>
      <c r="I1043" s="490"/>
    </row>
    <row r="1044" spans="1:9" ht="12.75" customHeight="1">
      <c r="A1044" s="118"/>
      <c r="B1044" s="118"/>
      <c r="C1044" s="354"/>
      <c r="D1044" s="1286" t="s">
        <v>1066</v>
      </c>
      <c r="E1044" s="1286"/>
      <c r="F1044" s="1286"/>
      <c r="G1044" s="3"/>
      <c r="I1044" s="490"/>
    </row>
    <row r="1045" spans="1:9" ht="12.75" customHeight="1">
      <c r="A1045" s="319"/>
      <c r="B1045" s="319"/>
      <c r="C1045" s="319"/>
      <c r="D1045" s="1287" t="s">
        <v>2247</v>
      </c>
      <c r="E1045" s="1287"/>
      <c r="F1045" s="1287"/>
      <c r="G1045" s="98"/>
      <c r="I1045" s="490"/>
    </row>
    <row r="1046" spans="1:9" ht="12.75" customHeight="1">
      <c r="A1046" s="175"/>
      <c r="B1046" s="485" t="s">
        <v>2722</v>
      </c>
      <c r="C1046" s="354"/>
      <c r="D1046" s="1287" t="s">
        <v>985</v>
      </c>
      <c r="E1046" s="1287"/>
      <c r="F1046" s="1287"/>
      <c r="G1046" s="3"/>
      <c r="I1046" s="490"/>
    </row>
    <row r="1047" spans="1:9" ht="12.75" customHeight="1">
      <c r="A1047" s="354"/>
      <c r="B1047" s="354"/>
      <c r="C1047" s="354"/>
      <c r="D1047" s="1036" t="s">
        <v>1917</v>
      </c>
      <c r="E1047" s="96"/>
      <c r="F1047" s="96"/>
      <c r="G1047" s="3"/>
      <c r="I1047" s="490"/>
    </row>
    <row r="1048" spans="1:9">
      <c r="A1048" s="402"/>
      <c r="B1048" s="402"/>
      <c r="C1048" s="402"/>
      <c r="I1048" s="490"/>
    </row>
    <row r="1049" spans="1:9">
      <c r="A1049" s="1285" t="s">
        <v>1830</v>
      </c>
      <c r="B1049" s="1285"/>
      <c r="C1049" s="1285"/>
      <c r="D1049" s="1285"/>
      <c r="E1049" s="1285"/>
      <c r="F1049" s="1285"/>
      <c r="G1049" s="1285"/>
      <c r="H1049" s="1028"/>
      <c r="I1049" s="1153"/>
    </row>
    <row r="1050" spans="1:9">
      <c r="A1050" s="402"/>
      <c r="B1050" s="402"/>
      <c r="C1050" s="402"/>
      <c r="I1050" s="490"/>
    </row>
    <row r="1051" spans="1:9">
      <c r="A1051" s="402"/>
      <c r="B1051" s="402"/>
      <c r="C1051" s="402"/>
      <c r="D1051" s="404" t="s">
        <v>1816</v>
      </c>
      <c r="I1051" s="490"/>
    </row>
    <row r="1052" spans="1:9">
      <c r="A1052" s="402"/>
      <c r="B1052" s="402"/>
      <c r="C1052" s="402"/>
      <c r="D1052" s="402" t="s">
        <v>1815</v>
      </c>
      <c r="I1052" s="490"/>
    </row>
    <row r="1053" spans="1:9">
      <c r="A1053" s="402"/>
      <c r="B1053" s="402"/>
      <c r="C1053" s="402"/>
      <c r="D1053" s="404"/>
      <c r="I1053" s="490"/>
    </row>
    <row r="1054" spans="1:9">
      <c r="A1054" s="402"/>
      <c r="B1054" s="485" t="s">
        <v>2722</v>
      </c>
      <c r="C1054" s="402"/>
      <c r="D1054" s="1291" t="s">
        <v>1814</v>
      </c>
      <c r="E1054" s="1291"/>
      <c r="F1054" s="1291"/>
      <c r="I1054" s="490"/>
    </row>
    <row r="1055" spans="1:9">
      <c r="A1055" s="402"/>
      <c r="B1055" s="402"/>
      <c r="C1055" s="402"/>
      <c r="D1055" s="1291"/>
      <c r="E1055" s="1291"/>
      <c r="F1055" s="1291"/>
      <c r="I1055" s="490"/>
    </row>
    <row r="1056" spans="1:9">
      <c r="A1056" s="402"/>
      <c r="B1056" s="402"/>
      <c r="C1056" s="402"/>
      <c r="D1056" s="1291"/>
      <c r="E1056" s="1291"/>
      <c r="F1056" s="1291"/>
      <c r="I1056" s="490"/>
    </row>
    <row r="1057" spans="1:9">
      <c r="A1057" s="402"/>
      <c r="B1057" s="402"/>
      <c r="C1057" s="402"/>
      <c r="D1057" s="1291"/>
      <c r="E1057" s="1291"/>
      <c r="F1057" s="1291"/>
      <c r="I1057" s="490"/>
    </row>
    <row r="1058" spans="1:9">
      <c r="A1058" s="402"/>
      <c r="B1058" s="402"/>
      <c r="C1058" s="402"/>
      <c r="I1058" s="490"/>
    </row>
    <row r="1059" spans="1:9">
      <c r="A1059" s="402"/>
      <c r="B1059" s="402"/>
      <c r="C1059" s="402"/>
      <c r="D1059" s="404" t="s">
        <v>1313</v>
      </c>
      <c r="I1059" s="490"/>
    </row>
    <row r="1060" spans="1:9">
      <c r="A1060" s="402"/>
      <c r="B1060" s="402"/>
      <c r="C1060" s="402"/>
      <c r="D1060" s="402" t="s">
        <v>1817</v>
      </c>
      <c r="I1060" s="490"/>
    </row>
    <row r="1061" spans="1:9">
      <c r="A1061" s="402"/>
      <c r="B1061" s="402"/>
      <c r="C1061" s="402"/>
      <c r="I1061" s="490"/>
    </row>
    <row r="1062" spans="1:9">
      <c r="A1062" s="402"/>
      <c r="B1062" s="485" t="s">
        <v>2721</v>
      </c>
      <c r="C1062" s="402"/>
      <c r="D1062" s="402" t="s">
        <v>1812</v>
      </c>
      <c r="I1062" s="490"/>
    </row>
    <row r="1063" spans="1:9">
      <c r="A1063" s="402"/>
      <c r="B1063" s="402"/>
      <c r="C1063" s="402"/>
      <c r="I1063" s="490"/>
    </row>
    <row r="1064" spans="1:9">
      <c r="A1064" s="402"/>
      <c r="B1064" s="485" t="s">
        <v>2721</v>
      </c>
      <c r="C1064" s="402"/>
      <c r="D1064" s="1291" t="s">
        <v>1818</v>
      </c>
      <c r="E1064" s="1291"/>
      <c r="F1064" s="1291"/>
      <c r="I1064" s="490"/>
    </row>
    <row r="1065" spans="1:9">
      <c r="A1065" s="402"/>
      <c r="B1065" s="402"/>
      <c r="C1065" s="402"/>
      <c r="D1065" s="1291"/>
      <c r="E1065" s="1291"/>
      <c r="F1065" s="1291"/>
      <c r="I1065" s="490"/>
    </row>
    <row r="1066" spans="1:9">
      <c r="A1066" s="402"/>
      <c r="B1066" s="402"/>
      <c r="C1066" s="402"/>
      <c r="D1066" s="1291"/>
      <c r="E1066" s="1291"/>
      <c r="F1066" s="1291"/>
      <c r="I1066" s="490"/>
    </row>
    <row r="1067" spans="1:9">
      <c r="A1067" s="402"/>
      <c r="B1067" s="402"/>
      <c r="C1067" s="402"/>
      <c r="D1067" s="1291"/>
      <c r="E1067" s="1291"/>
      <c r="F1067" s="1291"/>
      <c r="I1067" s="490"/>
    </row>
    <row r="1068" spans="1:9">
      <c r="A1068" s="402"/>
      <c r="B1068" s="402"/>
      <c r="C1068" s="402"/>
      <c r="D1068" s="1291"/>
      <c r="E1068" s="1291"/>
      <c r="F1068" s="1291"/>
      <c r="I1068" s="490"/>
    </row>
    <row r="1069" spans="1:9">
      <c r="A1069" s="402"/>
      <c r="B1069" s="402"/>
      <c r="C1069" s="402"/>
      <c r="I1069" s="490"/>
    </row>
    <row r="1070" spans="1:9">
      <c r="A1070" s="1285" t="s">
        <v>1819</v>
      </c>
      <c r="B1070" s="1285"/>
      <c r="C1070" s="1285"/>
      <c r="D1070" s="1285"/>
      <c r="E1070" s="1285"/>
      <c r="F1070" s="1285"/>
      <c r="G1070" s="1285"/>
      <c r="H1070" s="1028"/>
      <c r="I1070" s="1153"/>
    </row>
    <row r="1071" spans="1:9">
      <c r="A1071" s="402"/>
      <c r="B1071" s="402"/>
      <c r="C1071" s="402"/>
      <c r="I1071" s="490"/>
    </row>
    <row r="1072" spans="1:9">
      <c r="A1072" s="402"/>
      <c r="B1072" s="402"/>
      <c r="C1072" s="402"/>
      <c r="I1072" s="490"/>
    </row>
    <row r="1073" spans="1:9">
      <c r="A1073" s="402"/>
      <c r="B1073" s="485" t="s">
        <v>2721</v>
      </c>
      <c r="C1073" s="402"/>
      <c r="D1073" s="527" t="s">
        <v>1822</v>
      </c>
      <c r="I1073" s="490"/>
    </row>
    <row r="1074" spans="1:9">
      <c r="A1074" s="402"/>
      <c r="B1074" s="402"/>
      <c r="C1074" s="402"/>
      <c r="D1074" s="527" t="s">
        <v>1824</v>
      </c>
      <c r="I1074" s="490"/>
    </row>
    <row r="1075" spans="1:9">
      <c r="A1075" s="402"/>
      <c r="B1075" s="402"/>
      <c r="C1075" s="402"/>
      <c r="D1075" s="527"/>
      <c r="I1075" s="490"/>
    </row>
    <row r="1076" spans="1:9">
      <c r="A1076" s="402"/>
      <c r="B1076" s="485" t="s">
        <v>2722</v>
      </c>
      <c r="C1076" s="402"/>
      <c r="D1076" s="527" t="s">
        <v>1825</v>
      </c>
      <c r="I1076" s="490"/>
    </row>
    <row r="1077" spans="1:9">
      <c r="A1077" s="402"/>
      <c r="B1077" s="402"/>
      <c r="C1077" s="402"/>
      <c r="D1077" s="527" t="s">
        <v>1823</v>
      </c>
      <c r="I1077" s="490"/>
    </row>
    <row r="1078" spans="1:9">
      <c r="A1078" s="402"/>
      <c r="B1078" s="402"/>
      <c r="C1078" s="402"/>
      <c r="D1078" s="527"/>
      <c r="I1078" s="490"/>
    </row>
    <row r="1079" spans="1:9">
      <c r="A1079" s="402"/>
      <c r="B1079" s="485" t="s">
        <v>2722</v>
      </c>
      <c r="C1079" s="402"/>
      <c r="D1079" s="119" t="s">
        <v>1828</v>
      </c>
      <c r="I1079" s="490"/>
    </row>
    <row r="1080" spans="1:9">
      <c r="A1080" s="402"/>
      <c r="B1080" s="402"/>
      <c r="C1080" s="402"/>
      <c r="D1080" s="1262" t="s">
        <v>1829</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1827</v>
      </c>
      <c r="I1084" s="490"/>
    </row>
    <row r="1085" spans="1:9">
      <c r="A1085" s="402"/>
      <c r="B1085" s="402"/>
      <c r="C1085" s="402"/>
      <c r="D1085" s="119"/>
      <c r="I1085" s="490"/>
    </row>
    <row r="1086" spans="1:9">
      <c r="A1086" s="402"/>
      <c r="B1086" s="402"/>
      <c r="C1086" s="402"/>
      <c r="D1086" s="527" t="s">
        <v>1820</v>
      </c>
      <c r="I1086" s="490"/>
    </row>
    <row r="1087" spans="1:9">
      <c r="A1087" s="402"/>
      <c r="B1087" s="485" t="s">
        <v>2722</v>
      </c>
      <c r="C1087" s="402"/>
      <c r="D1087" s="1290" t="s">
        <v>1821</v>
      </c>
      <c r="E1087" s="1290"/>
      <c r="F1087" s="1290"/>
      <c r="I1087" s="490"/>
    </row>
    <row r="1088" spans="1:9">
      <c r="A1088" s="402"/>
      <c r="B1088" s="402"/>
      <c r="C1088" s="402"/>
      <c r="D1088" s="1290"/>
      <c r="E1088" s="1290"/>
      <c r="F1088" s="1290"/>
      <c r="I1088" s="490"/>
    </row>
    <row r="1089" spans="1:9">
      <c r="A1089" s="402"/>
      <c r="B1089" s="402"/>
      <c r="C1089" s="402"/>
      <c r="D1089" s="1290"/>
      <c r="E1089" s="1290"/>
      <c r="F1089" s="1290"/>
      <c r="I1089" s="490"/>
    </row>
    <row r="1090" spans="1:9">
      <c r="A1090" s="402"/>
      <c r="B1090" s="402"/>
      <c r="C1090" s="402"/>
      <c r="D1090" s="1290"/>
      <c r="E1090" s="1290"/>
      <c r="F1090" s="1290"/>
      <c r="I1090" s="490"/>
    </row>
    <row r="1091" spans="1:9">
      <c r="A1091" s="402"/>
      <c r="B1091" s="402"/>
      <c r="C1091" s="402"/>
      <c r="D1091" s="1290"/>
      <c r="E1091" s="1290"/>
      <c r="F1091" s="1290"/>
      <c r="I1091" s="490"/>
    </row>
    <row r="1092" spans="1:9">
      <c r="A1092" s="402"/>
      <c r="B1092" s="402"/>
      <c r="C1092" s="402"/>
      <c r="D1092" s="527" t="s">
        <v>1826</v>
      </c>
      <c r="I1092" s="490"/>
    </row>
    <row r="1093" spans="1:9">
      <c r="A1093" s="402"/>
      <c r="B1093" s="402"/>
      <c r="C1093" s="402"/>
      <c r="I1093" s="490"/>
    </row>
    <row r="1094" spans="1:9">
      <c r="A1094" s="402"/>
      <c r="B1094" s="485" t="s">
        <v>2722</v>
      </c>
      <c r="C1094" s="402"/>
      <c r="D1094" s="1276" t="s">
        <v>2280</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285" t="s">
        <v>1831</v>
      </c>
      <c r="B1098" s="1285"/>
      <c r="C1098" s="1285"/>
      <c r="D1098" s="1285"/>
      <c r="E1098" s="1285"/>
      <c r="F1098" s="1285"/>
      <c r="G1098" s="1285"/>
      <c r="H1098" s="1028"/>
      <c r="I1098" s="1153"/>
    </row>
    <row r="1099" spans="1:9">
      <c r="A1099" s="402"/>
      <c r="B1099" s="402"/>
      <c r="C1099" s="402"/>
      <c r="I1099" s="490"/>
    </row>
    <row r="1100" spans="1:9">
      <c r="A1100" s="402"/>
      <c r="B1100" s="402"/>
      <c r="C1100" s="402"/>
      <c r="I1100" s="490"/>
    </row>
    <row r="1101" spans="1:9" ht="12.75" customHeight="1">
      <c r="A1101" s="402"/>
      <c r="B1101" s="485" t="s">
        <v>2722</v>
      </c>
      <c r="C1101" s="402"/>
      <c r="D1101" s="1292" t="s">
        <v>1929</v>
      </c>
      <c r="E1101" s="1292"/>
      <c r="F1101" s="1292"/>
      <c r="I1101" s="490"/>
    </row>
    <row r="1102" spans="1:9">
      <c r="A1102" s="402"/>
      <c r="B1102" s="402"/>
      <c r="C1102" s="402"/>
      <c r="D1102" s="1292"/>
      <c r="E1102" s="1292"/>
      <c r="F1102" s="1292"/>
      <c r="I1102" s="490"/>
    </row>
    <row r="1103" spans="1:9">
      <c r="A1103" s="402"/>
      <c r="B1103" s="402"/>
      <c r="C1103" s="402"/>
      <c r="D1103" s="1293" t="s">
        <v>2143</v>
      </c>
      <c r="E1103" s="1262"/>
      <c r="F1103" s="1262"/>
      <c r="I1103" s="490"/>
    </row>
    <row r="1104" spans="1:9">
      <c r="A1104" s="402"/>
      <c r="B1104" s="402"/>
      <c r="C1104" s="402"/>
      <c r="D1104" s="527"/>
      <c r="I1104" s="490"/>
    </row>
    <row r="1105" spans="1:9">
      <c r="A1105" s="402"/>
      <c r="B1105" s="485" t="s">
        <v>2722</v>
      </c>
      <c r="C1105" s="402"/>
      <c r="D1105" s="1290" t="s">
        <v>1832</v>
      </c>
      <c r="E1105" s="1290"/>
      <c r="F1105" s="1290"/>
      <c r="I1105" s="490"/>
    </row>
    <row r="1106" spans="1:9">
      <c r="A1106" s="402"/>
      <c r="B1106" s="402"/>
      <c r="C1106" s="402"/>
      <c r="D1106" s="1290"/>
      <c r="E1106" s="1290"/>
      <c r="F1106" s="1290"/>
      <c r="I1106" s="490"/>
    </row>
    <row r="1107" spans="1:9">
      <c r="A1107" s="402"/>
      <c r="B1107" s="402"/>
      <c r="C1107" s="402"/>
      <c r="D1107" s="527"/>
      <c r="I1107" s="490"/>
    </row>
    <row r="1108" spans="1:9">
      <c r="A1108" s="402"/>
      <c r="B1108" s="485" t="s">
        <v>2722</v>
      </c>
      <c r="C1108" s="402"/>
      <c r="D1108" s="1290" t="s">
        <v>1887</v>
      </c>
      <c r="E1108" s="1290"/>
      <c r="F1108" s="1290"/>
      <c r="I1108" s="490"/>
    </row>
    <row r="1109" spans="1:9">
      <c r="A1109" s="402"/>
      <c r="B1109" s="402"/>
      <c r="C1109" s="402"/>
      <c r="D1109" s="1290"/>
      <c r="E1109" s="1290"/>
      <c r="F1109" s="1290"/>
      <c r="I1109" s="490"/>
    </row>
    <row r="1110" spans="1:9">
      <c r="A1110" s="402"/>
      <c r="B1110" s="402"/>
      <c r="C1110" s="402"/>
      <c r="D1110" s="1290"/>
      <c r="E1110" s="1290"/>
      <c r="F1110" s="1290"/>
      <c r="I1110" s="490"/>
    </row>
    <row r="1111" spans="1:9">
      <c r="A1111" s="402"/>
      <c r="B1111" s="402"/>
      <c r="C1111" s="402"/>
      <c r="D1111" s="1290"/>
      <c r="E1111" s="1290"/>
      <c r="F1111" s="1290"/>
      <c r="I1111" s="490"/>
    </row>
    <row r="1112" spans="1:9">
      <c r="A1112" s="402"/>
      <c r="B1112" s="402"/>
      <c r="C1112" s="402"/>
      <c r="D1112" s="1290"/>
      <c r="E1112" s="1290"/>
      <c r="F1112" s="1290"/>
      <c r="I1112" s="490"/>
    </row>
    <row r="1113" spans="1:9">
      <c r="A1113" s="402"/>
      <c r="B1113" s="402"/>
      <c r="C1113" s="402"/>
      <c r="D1113" s="1290"/>
      <c r="E1113" s="1290"/>
      <c r="F1113" s="1290"/>
      <c r="I1113" s="490"/>
    </row>
    <row r="1114" spans="1:9">
      <c r="A1114" s="402"/>
      <c r="B1114" s="402"/>
      <c r="C1114" s="402"/>
      <c r="D1114" s="527"/>
      <c r="I1114" s="480"/>
    </row>
    <row r="1115" spans="1:9">
      <c r="A1115" s="402"/>
      <c r="B1115" s="485" t="s">
        <v>2722</v>
      </c>
      <c r="C1115" s="402"/>
      <c r="D1115" s="1290" t="s">
        <v>1833</v>
      </c>
      <c r="E1115" s="1290"/>
      <c r="F1115" s="1290"/>
      <c r="I1115" s="490"/>
    </row>
    <row r="1116" spans="1:9">
      <c r="A1116" s="402"/>
      <c r="B1116" s="402"/>
      <c r="C1116" s="402"/>
      <c r="D1116" s="1290"/>
      <c r="E1116" s="1290"/>
      <c r="F1116" s="1290"/>
      <c r="I1116" s="490"/>
    </row>
    <row r="1117" spans="1:9">
      <c r="A1117" s="402"/>
      <c r="B1117" s="402"/>
      <c r="C1117" s="402"/>
      <c r="D1117" s="1290"/>
      <c r="E1117" s="1290"/>
      <c r="F1117" s="1290"/>
      <c r="I1117" s="490"/>
    </row>
    <row r="1118" spans="1:9">
      <c r="A1118" s="402"/>
      <c r="B1118" s="402"/>
      <c r="C1118" s="402"/>
      <c r="D1118" s="527"/>
      <c r="I1118" s="490"/>
    </row>
    <row r="1119" spans="1:9">
      <c r="A1119" s="402"/>
      <c r="B1119" s="485" t="s">
        <v>2722</v>
      </c>
      <c r="C1119" s="402"/>
      <c r="D1119" s="1267" t="s">
        <v>1888</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2721</v>
      </c>
      <c r="C1123" s="402"/>
      <c r="D1123" s="1262" t="s">
        <v>1889</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09"/>
      <c r="H1541" s="1309"/>
      <c r="I1541" s="1309"/>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A620" workbookViewId="0">
      <selection activeCell="AQ583" sqref="AQ583"/>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2496</v>
      </c>
      <c r="BE1" s="3"/>
      <c r="BF1" s="3"/>
    </row>
    <row r="2" spans="1:58" ht="12.95" customHeight="1">
      <c r="BD2" s="3" t="s">
        <v>2497</v>
      </c>
      <c r="BE2" s="3" t="s">
        <v>2498</v>
      </c>
      <c r="BF2" s="3" t="s">
        <v>2499</v>
      </c>
    </row>
    <row r="3" spans="1:58" ht="12.95" customHeight="1">
      <c r="BD3" s="3" t="s">
        <v>2594</v>
      </c>
      <c r="BE3" t="str">
        <f>AC220</f>
        <v xml:space="preserve">Coastal (Monterey, Napa, Orange, San Benito, San Diego, San Luis Obispo, Santa Barbara, Sonoma, and Ventura Counties) </v>
      </c>
    </row>
    <row r="4" spans="1:58" ht="12.95" customHeight="1">
      <c r="BD4" s="3" t="s">
        <v>2506</v>
      </c>
      <c r="BE4" s="1246"/>
    </row>
    <row r="5" spans="1:58" ht="12.95" customHeight="1">
      <c r="BD5" s="3" t="s">
        <v>2507</v>
      </c>
      <c r="BE5">
        <f>SUMIF($AC$718:$AC$752,"&lt;=20%",$G$718:G$752)</f>
        <v>0</v>
      </c>
      <c r="BF5" s="3" t="s">
        <v>2512</v>
      </c>
    </row>
    <row r="6" spans="1:58" ht="12.95" customHeight="1">
      <c r="BD6" s="3" t="s">
        <v>2508</v>
      </c>
      <c r="BE6" s="1249">
        <f>SUMIF($AC$718:$AC$752,"&lt;=25%",$G$718:G$752)-SUM($BE$5:BE5)</f>
        <v>0</v>
      </c>
    </row>
    <row r="7" spans="1:58" ht="12.95" customHeight="1">
      <c r="BD7" s="1247" t="s">
        <v>2500</v>
      </c>
      <c r="BE7" s="1249">
        <f>SUMIF($AC$718:$AC$752,"&lt;=30%",$G$718:G$752)-SUM($BE$5:BE6)</f>
        <v>11</v>
      </c>
    </row>
    <row r="8" spans="1:58" ht="26.25" customHeight="1">
      <c r="A8" s="1423" t="s">
        <v>100</v>
      </c>
      <c r="B8" s="1423"/>
      <c r="C8" s="1423"/>
      <c r="D8" s="1423"/>
      <c r="E8" s="1423"/>
      <c r="F8" s="1423"/>
      <c r="G8" s="1423"/>
      <c r="H8" s="1423"/>
      <c r="I8" s="1423"/>
      <c r="J8" s="1423"/>
      <c r="K8" s="1423"/>
      <c r="L8" s="1423"/>
      <c r="M8" s="1423"/>
      <c r="N8" s="1423"/>
      <c r="O8" s="1423"/>
      <c r="P8" s="1423"/>
      <c r="Q8" s="1423"/>
      <c r="R8" s="1423"/>
      <c r="S8" s="1423"/>
      <c r="T8" s="1423"/>
      <c r="U8" s="1423"/>
      <c r="V8" s="1423"/>
      <c r="W8" s="1423"/>
      <c r="X8" s="1423"/>
      <c r="Y8" s="1423"/>
      <c r="Z8" s="1423"/>
      <c r="AA8" s="1423"/>
      <c r="AB8" s="1423"/>
      <c r="AC8" s="1423"/>
      <c r="AD8" s="1423"/>
      <c r="AE8" s="1423"/>
      <c r="AF8" s="1423"/>
      <c r="AG8" s="1423"/>
      <c r="AH8" s="1423"/>
      <c r="AI8" s="1423"/>
      <c r="AJ8" s="1423"/>
      <c r="AK8" s="1423"/>
      <c r="AL8" s="1423"/>
      <c r="AM8" s="1423"/>
      <c r="AN8" s="1423"/>
      <c r="AO8" s="1423"/>
      <c r="AP8" s="1423"/>
      <c r="AQ8" s="1423"/>
      <c r="AR8" s="1423"/>
      <c r="AS8" s="1423"/>
      <c r="AT8" s="1423"/>
      <c r="AU8" s="898"/>
      <c r="AV8" s="898"/>
      <c r="AW8" s="898"/>
      <c r="AX8" s="898"/>
      <c r="AY8" s="898"/>
      <c r="BD8" s="3" t="s">
        <v>2509</v>
      </c>
      <c r="BE8" s="1249">
        <f>SUMIF($AC$718:$AC$752,"&lt;=35%",$G$718:G$752)-SUM($BE$5:BE7)</f>
        <v>0</v>
      </c>
    </row>
    <row r="9" spans="1:58" ht="12.95" customHeight="1">
      <c r="A9" s="1371" t="s">
        <v>2076</v>
      </c>
      <c r="B9" s="1371"/>
      <c r="C9" s="1371"/>
      <c r="D9" s="1371"/>
      <c r="E9" s="1371"/>
      <c r="F9" s="1371"/>
      <c r="G9" s="1371"/>
      <c r="H9" s="1371"/>
      <c r="I9" s="1371"/>
      <c r="J9" s="1371"/>
      <c r="K9" s="1371"/>
      <c r="L9" s="1371"/>
      <c r="M9" s="1371"/>
      <c r="N9" s="1371"/>
      <c r="O9" s="1371"/>
      <c r="P9" s="1371"/>
      <c r="Q9" s="1371"/>
      <c r="R9" s="1371"/>
      <c r="S9" s="1371"/>
      <c r="T9" s="1371"/>
      <c r="U9" s="1371"/>
      <c r="V9" s="1371"/>
      <c r="W9" s="1371"/>
      <c r="X9" s="1371"/>
      <c r="Y9" s="1371"/>
      <c r="Z9" s="1371"/>
      <c r="AA9" s="1371"/>
      <c r="AB9" s="1371"/>
      <c r="AC9" s="1371"/>
      <c r="AD9" s="1371"/>
      <c r="AE9" s="1371"/>
      <c r="AF9" s="1371"/>
      <c r="AG9" s="1371"/>
      <c r="AH9" s="1371"/>
      <c r="AI9" s="1371"/>
      <c r="AJ9" s="1371"/>
      <c r="AK9" s="1371"/>
      <c r="AL9" s="1371"/>
      <c r="AM9" s="1371"/>
      <c r="AN9" s="1371"/>
      <c r="AO9" s="1371"/>
      <c r="AP9" s="1371"/>
      <c r="AQ9" s="1371"/>
      <c r="AR9" s="1371"/>
      <c r="AS9" s="1371"/>
      <c r="AT9" s="1371"/>
      <c r="AU9" s="13"/>
      <c r="AV9" s="13"/>
      <c r="AW9" s="13"/>
      <c r="AX9" s="13"/>
      <c r="AY9" s="13"/>
      <c r="BD9" s="1248" t="s">
        <v>2501</v>
      </c>
      <c r="BE9" s="1249">
        <f>SUMIF($AC$718:$AC$752,"&lt;=40%",$G$718:G$752)-SUM($BE$5:BE8)</f>
        <v>10</v>
      </c>
    </row>
    <row r="10" spans="1:58" ht="12.95" customHeight="1">
      <c r="A10" s="1371" t="s">
        <v>2458</v>
      </c>
      <c r="B10" s="1371"/>
      <c r="C10" s="1371"/>
      <c r="D10" s="1371"/>
      <c r="E10" s="1371"/>
      <c r="F10" s="1371"/>
      <c r="G10" s="1371"/>
      <c r="H10" s="1371"/>
      <c r="I10" s="1371"/>
      <c r="J10" s="1371"/>
      <c r="K10" s="1371"/>
      <c r="L10" s="1371"/>
      <c r="M10" s="1371"/>
      <c r="N10" s="1371"/>
      <c r="O10" s="1371"/>
      <c r="P10" s="1371"/>
      <c r="Q10" s="1371"/>
      <c r="R10" s="1371"/>
      <c r="S10" s="1371"/>
      <c r="T10" s="1371"/>
      <c r="U10" s="1371"/>
      <c r="V10" s="1371"/>
      <c r="W10" s="1371"/>
      <c r="X10" s="1371"/>
      <c r="Y10" s="1371"/>
      <c r="Z10" s="1371"/>
      <c r="AA10" s="1371"/>
      <c r="AB10" s="1371"/>
      <c r="AC10" s="1371"/>
      <c r="AD10" s="1371"/>
      <c r="AE10" s="1371"/>
      <c r="AF10" s="1371"/>
      <c r="AG10" s="1371"/>
      <c r="AH10" s="1371"/>
      <c r="AI10" s="1371"/>
      <c r="AJ10" s="1371"/>
      <c r="AK10" s="1371"/>
      <c r="AL10" s="1371"/>
      <c r="AM10" s="1371"/>
      <c r="AN10" s="1371"/>
      <c r="AO10" s="1371"/>
      <c r="AP10" s="1371"/>
      <c r="AQ10" s="1371"/>
      <c r="AR10" s="1371"/>
      <c r="AS10" s="1371"/>
      <c r="AT10" s="1371"/>
      <c r="AU10" s="13"/>
      <c r="AV10" s="13"/>
      <c r="AW10" s="13"/>
      <c r="AX10" s="13"/>
      <c r="AY10" s="13"/>
      <c r="BD10" s="3" t="s">
        <v>2510</v>
      </c>
      <c r="BE10" s="1249">
        <f>SUMIF($AC$718:$AC$752,"&lt;=45%",$G$718:G$752)-SUM($BE$5:BE9)</f>
        <v>9</v>
      </c>
    </row>
    <row r="11" spans="1:58" ht="12.95" customHeight="1">
      <c r="A11" s="1371" t="s">
        <v>2604</v>
      </c>
      <c r="B11" s="1371"/>
      <c r="C11" s="1371"/>
      <c r="D11" s="1371"/>
      <c r="E11" s="1371"/>
      <c r="F11" s="1371"/>
      <c r="G11" s="1371"/>
      <c r="H11" s="1371"/>
      <c r="I11" s="1371"/>
      <c r="J11" s="1371"/>
      <c r="K11" s="1371"/>
      <c r="L11" s="1371"/>
      <c r="M11" s="1371"/>
      <c r="N11" s="1371"/>
      <c r="O11" s="1371"/>
      <c r="P11" s="1371"/>
      <c r="Q11" s="1371"/>
      <c r="R11" s="1371"/>
      <c r="S11" s="1371"/>
      <c r="T11" s="1371"/>
      <c r="U11" s="1371"/>
      <c r="V11" s="1371"/>
      <c r="W11" s="1371"/>
      <c r="X11" s="1371"/>
      <c r="Y11" s="1371"/>
      <c r="Z11" s="1371"/>
      <c r="AA11" s="1371"/>
      <c r="AB11" s="1371"/>
      <c r="AC11" s="1371"/>
      <c r="AD11" s="1371"/>
      <c r="AE11" s="1371"/>
      <c r="AF11" s="1371"/>
      <c r="AG11" s="1371"/>
      <c r="AH11" s="1371"/>
      <c r="AI11" s="1371"/>
      <c r="AJ11" s="1371"/>
      <c r="AK11" s="1371"/>
      <c r="AL11" s="1371"/>
      <c r="AM11" s="1371"/>
      <c r="AN11" s="1371"/>
      <c r="AO11" s="1371"/>
      <c r="AP11" s="1371"/>
      <c r="AQ11" s="1371"/>
      <c r="AR11" s="1371"/>
      <c r="AS11" s="1371"/>
      <c r="AT11" s="1371"/>
      <c r="AU11" s="13"/>
      <c r="AV11" s="13"/>
      <c r="AW11" s="13"/>
      <c r="AX11" s="13"/>
      <c r="AY11" s="13"/>
      <c r="BD11" s="1247" t="s">
        <v>2502</v>
      </c>
      <c r="BE11" s="1249">
        <f>SUMIF($AC$718:$AC$752,"&lt;=50%",$G$718:G$752)-SUM($BE$5:BE10)</f>
        <v>16</v>
      </c>
    </row>
    <row r="12" spans="1:58" ht="12.95" customHeight="1">
      <c r="A12" s="1424" t="s">
        <v>2610</v>
      </c>
      <c r="B12" s="1424"/>
      <c r="C12" s="1424"/>
      <c r="D12" s="1424"/>
      <c r="E12" s="1424"/>
      <c r="F12" s="1424"/>
      <c r="G12" s="1424"/>
      <c r="H12" s="1424"/>
      <c r="I12" s="1424"/>
      <c r="J12" s="1424"/>
      <c r="K12" s="1424"/>
      <c r="L12" s="1424"/>
      <c r="M12" s="1424"/>
      <c r="N12" s="1424"/>
      <c r="O12" s="1424"/>
      <c r="P12" s="1424"/>
      <c r="Q12" s="1424"/>
      <c r="R12" s="1424"/>
      <c r="S12" s="1424"/>
      <c r="T12" s="1424"/>
      <c r="U12" s="1424"/>
      <c r="V12" s="1424"/>
      <c r="W12" s="1424"/>
      <c r="X12" s="1424"/>
      <c r="Y12" s="1424"/>
      <c r="Z12" s="1424"/>
      <c r="AA12" s="1424"/>
      <c r="AB12" s="1424"/>
      <c r="AC12" s="1424"/>
      <c r="AD12" s="1424"/>
      <c r="AE12" s="1424"/>
      <c r="AF12" s="1424"/>
      <c r="AG12" s="1424"/>
      <c r="AH12" s="1424"/>
      <c r="AI12" s="1424"/>
      <c r="AJ12" s="1424"/>
      <c r="AK12" s="1424"/>
      <c r="AL12" s="1424"/>
      <c r="AM12" s="1424"/>
      <c r="AN12" s="1424"/>
      <c r="AO12" s="1424"/>
      <c r="AP12" s="1424"/>
      <c r="AQ12" s="1424"/>
      <c r="AR12" s="1424"/>
      <c r="AS12" s="1424"/>
      <c r="AT12" s="1424"/>
      <c r="AU12" s="6"/>
      <c r="AV12" s="6"/>
      <c r="AW12" s="6"/>
      <c r="AX12" s="6"/>
      <c r="AY12" s="6"/>
      <c r="BD12" s="3" t="s">
        <v>2511</v>
      </c>
      <c r="BE12" s="1249">
        <f>SUMIF($AC$718:$AC$752,"&lt;=55%",$G$718:G$752)-SUM($BE$5:BE11)</f>
        <v>10</v>
      </c>
    </row>
    <row r="13" spans="1:58" ht="12.95" customHeight="1">
      <c r="A13" s="1260" t="s">
        <v>2077</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0"/>
      <c r="AR13" s="1260"/>
      <c r="AS13" s="1260"/>
      <c r="AT13" s="1260"/>
      <c r="AU13" s="899"/>
      <c r="AV13" s="899"/>
      <c r="AW13" s="899"/>
      <c r="AX13" s="899"/>
      <c r="AY13" s="899"/>
      <c r="BD13" s="1248" t="s">
        <v>2503</v>
      </c>
      <c r="BE13" s="1249">
        <f>SUMIF($AC$718:$AC$752,"&lt;=60%",$G$718:G$752)-SUM($BE$5:BE12)</f>
        <v>3</v>
      </c>
    </row>
    <row r="14" spans="1:58" ht="12.95" customHeight="1">
      <c r="A14" s="1260"/>
      <c r="B14" s="1260"/>
      <c r="C14" s="1260"/>
      <c r="D14" s="1260"/>
      <c r="E14" s="1260"/>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0"/>
      <c r="AR14" s="1260"/>
      <c r="AS14" s="1260"/>
      <c r="AT14" s="1260"/>
      <c r="AU14" s="899"/>
      <c r="AV14" s="899"/>
      <c r="AW14" s="899"/>
      <c r="AX14" s="899"/>
      <c r="AY14" s="899"/>
      <c r="BD14" s="1247" t="s">
        <v>2504</v>
      </c>
      <c r="BE14" s="1249">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2505</v>
      </c>
      <c r="BE15" s="1249">
        <f>SUMIF($AC$718:$AC$752,"&lt;=80%",$G$718:G$752)-SUM($BE$5:BE14)</f>
        <v>0</v>
      </c>
    </row>
    <row r="16" spans="1:58" ht="12.95" customHeight="1">
      <c r="A16" s="57" t="s">
        <v>2078</v>
      </c>
      <c r="C16" s="4"/>
      <c r="D16" s="4"/>
      <c r="E16" s="4"/>
      <c r="F16" s="4"/>
      <c r="G16" s="4"/>
      <c r="H16" s="1432" t="s">
        <v>2612</v>
      </c>
      <c r="I16" s="1433"/>
      <c r="J16" s="1433"/>
      <c r="K16" s="1433"/>
      <c r="L16" s="1433"/>
      <c r="M16" s="1433"/>
      <c r="N16" s="1433"/>
      <c r="O16" s="1433"/>
      <c r="P16" s="1433"/>
      <c r="Q16" s="1433"/>
      <c r="R16" s="1433"/>
      <c r="S16" s="1433"/>
      <c r="T16" s="1433"/>
      <c r="U16" s="1433"/>
      <c r="V16" s="1433"/>
      <c r="W16" s="1433"/>
      <c r="X16" s="1433"/>
      <c r="Y16" s="1433"/>
      <c r="Z16" s="1433"/>
      <c r="AA16" s="1433"/>
      <c r="AB16" s="1433"/>
      <c r="AC16" s="1433"/>
      <c r="AD16" s="1433"/>
      <c r="AE16" s="1433"/>
      <c r="AF16" s="1433"/>
      <c r="AG16" s="1433"/>
      <c r="AH16" s="1433"/>
      <c r="AI16" s="1433"/>
      <c r="AJ16" s="1433"/>
      <c r="BD16" s="1248" t="s">
        <v>656</v>
      </c>
      <c r="BE16" s="1249" t="str">
        <f>Application!H18</f>
        <v>Cypress Place at Garden City II</v>
      </c>
    </row>
    <row r="17" spans="1:58" ht="12.95" customHeight="1">
      <c r="BD17" s="1247" t="s">
        <v>2518</v>
      </c>
      <c r="BE17" s="1249">
        <f>Application!AA934</f>
        <v>0</v>
      </c>
    </row>
    <row r="18" spans="1:58" ht="12.95" customHeight="1">
      <c r="A18" s="57" t="s">
        <v>101</v>
      </c>
      <c r="C18" s="4"/>
      <c r="D18" s="4"/>
      <c r="E18" s="4"/>
      <c r="F18" s="4"/>
      <c r="G18" s="4"/>
      <c r="H18" s="1429" t="s">
        <v>2613</v>
      </c>
      <c r="I18" s="1430"/>
      <c r="J18" s="1430"/>
      <c r="K18" s="1430"/>
      <c r="L18" s="1430"/>
      <c r="M18" s="1430"/>
      <c r="N18" s="1430"/>
      <c r="O18" s="1430"/>
      <c r="P18" s="1430"/>
      <c r="Q18" s="1430"/>
      <c r="R18" s="1430"/>
      <c r="S18" s="1430"/>
      <c r="T18" s="1430"/>
      <c r="U18" s="1430"/>
      <c r="V18" s="1430"/>
      <c r="W18" s="1430"/>
      <c r="X18" s="1430"/>
      <c r="Y18" s="1430"/>
      <c r="Z18" s="1430"/>
      <c r="AA18" s="1430"/>
      <c r="AB18" s="1430"/>
      <c r="AC18" s="1430"/>
      <c r="AD18" s="1430"/>
      <c r="AE18" s="1430"/>
      <c r="AF18" s="1430"/>
      <c r="AG18" s="1430"/>
      <c r="AH18" s="1430"/>
      <c r="AI18" s="1430"/>
      <c r="AJ18" s="1430"/>
      <c r="BD18" s="1248" t="s">
        <v>2519</v>
      </c>
      <c r="BE18" s="1249">
        <f>'CalHFA Addendum'!N11</f>
        <v>0</v>
      </c>
    </row>
    <row r="19" spans="1:58" ht="12.95" customHeight="1">
      <c r="BD19" s="1247" t="s">
        <v>2520</v>
      </c>
      <c r="BE19" s="1249">
        <f>Application!M26</f>
        <v>1914812</v>
      </c>
    </row>
    <row r="20" spans="1:58" ht="12.95" customHeight="1">
      <c r="A20" s="1425" t="s">
        <v>873</v>
      </c>
      <c r="B20" s="1425"/>
      <c r="C20" s="1425"/>
      <c r="D20" s="1425"/>
      <c r="E20" s="1425"/>
      <c r="F20" s="1425"/>
      <c r="G20" s="1425"/>
      <c r="H20" s="1425"/>
      <c r="I20" s="1425"/>
      <c r="J20" s="1425"/>
      <c r="K20" s="1425"/>
      <c r="L20" s="1425"/>
      <c r="M20" s="1425"/>
      <c r="N20" s="1425"/>
      <c r="O20" s="1425"/>
      <c r="P20" s="1425"/>
      <c r="Q20" s="1425"/>
      <c r="R20" s="1425"/>
      <c r="S20" s="1425"/>
      <c r="T20" s="1425"/>
      <c r="U20" s="1425"/>
      <c r="V20" s="1425"/>
      <c r="W20" s="1425"/>
      <c r="X20" s="1425"/>
      <c r="Y20" s="1425"/>
      <c r="Z20" s="1425"/>
      <c r="AA20" s="1425"/>
      <c r="AB20" s="1425"/>
      <c r="AC20" s="1425"/>
      <c r="AD20" s="1425"/>
      <c r="AE20" s="1425"/>
      <c r="AF20" s="1425"/>
      <c r="AG20" s="1425"/>
      <c r="AH20" s="1425"/>
      <c r="AI20" s="1425"/>
      <c r="AJ20" s="1425"/>
      <c r="AK20" s="1425"/>
      <c r="AL20" s="1425"/>
      <c r="AM20" s="1425"/>
      <c r="AN20" s="1425"/>
      <c r="AO20" s="1425"/>
      <c r="AP20" s="1425"/>
      <c r="AQ20" s="1425"/>
      <c r="AR20" s="1425"/>
      <c r="AS20" s="1425"/>
      <c r="AT20" s="1425"/>
      <c r="AU20" s="900"/>
      <c r="AV20" s="900"/>
      <c r="AW20" s="900"/>
      <c r="AX20" s="900"/>
      <c r="AY20" s="900"/>
      <c r="BD20" s="1248" t="s">
        <v>2521</v>
      </c>
      <c r="BE20" s="1249">
        <f>Application!M27</f>
        <v>0</v>
      </c>
    </row>
    <row r="21" spans="1:58" ht="12.95" customHeight="1">
      <c r="A21" s="1434" t="s">
        <v>1009</v>
      </c>
      <c r="B21" s="1434"/>
      <c r="C21" s="1434"/>
      <c r="D21" s="1434"/>
      <c r="E21" s="1434"/>
      <c r="F21" s="1434"/>
      <c r="G21" s="1434"/>
      <c r="H21" s="1434"/>
      <c r="I21" s="1434"/>
      <c r="J21" s="1434"/>
      <c r="K21" s="1434"/>
      <c r="L21" s="1434"/>
      <c r="M21" s="1434"/>
      <c r="N21" s="1434"/>
      <c r="O21" s="1434"/>
      <c r="P21" s="1434"/>
      <c r="Q21" s="1434"/>
      <c r="R21" s="1434"/>
      <c r="S21" s="1434"/>
      <c r="T21" s="1434"/>
      <c r="U21" s="1434"/>
      <c r="V21" s="1434"/>
      <c r="W21" s="1434"/>
      <c r="X21" s="1434"/>
      <c r="Y21" s="1434"/>
      <c r="Z21" s="1434"/>
      <c r="AA21" s="1434"/>
      <c r="AB21" s="1434"/>
      <c r="AC21" s="1434"/>
      <c r="AD21" s="1434"/>
      <c r="AE21" s="1434"/>
      <c r="AF21" s="1434"/>
      <c r="AG21" s="1434"/>
      <c r="AH21" s="1434"/>
      <c r="AI21" s="1434"/>
      <c r="AJ21" s="1434"/>
      <c r="AK21" s="1434"/>
      <c r="AL21" s="1434"/>
      <c r="AM21" s="901"/>
      <c r="AN21" s="901"/>
      <c r="AO21" s="901"/>
      <c r="AP21" s="901"/>
      <c r="AQ21" s="901"/>
      <c r="AR21" s="901"/>
      <c r="AS21" s="901"/>
      <c r="AT21" s="901"/>
      <c r="AU21" s="901"/>
      <c r="AV21" s="901"/>
      <c r="AW21" s="901"/>
      <c r="AX21" s="901"/>
      <c r="AY21" s="901"/>
      <c r="BD21" s="1247" t="s">
        <v>2522</v>
      </c>
      <c r="BE21" s="1249">
        <f>Application!AM554</f>
        <v>11757568</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282</v>
      </c>
      <c r="BE22" s="1249">
        <f>'Sources and Uses Budget'!B105</f>
        <v>40811619</v>
      </c>
      <c r="BF22" s="3" t="s">
        <v>2595</v>
      </c>
    </row>
    <row r="23" spans="1:58" ht="12.95" customHeight="1">
      <c r="A23" s="1292" t="s">
        <v>2146</v>
      </c>
      <c r="B23" s="1292"/>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1292"/>
      <c r="AL23" s="1292"/>
      <c r="AM23" s="1292"/>
      <c r="AN23" s="1292"/>
      <c r="AO23" s="1292"/>
      <c r="AP23" s="1292"/>
      <c r="AQ23" s="1292"/>
      <c r="AR23" s="1292"/>
      <c r="AS23" s="1292"/>
      <c r="AT23" s="1292"/>
      <c r="AU23" s="18"/>
      <c r="AV23" s="18"/>
      <c r="AW23" s="18"/>
      <c r="AX23" s="18"/>
      <c r="AY23" s="18"/>
      <c r="AZ23" s="18"/>
      <c r="BD23" s="1247" t="s">
        <v>2523</v>
      </c>
      <c r="BE23" s="1249">
        <f>'Sources and Uses Budget'!B4</f>
        <v>1631453</v>
      </c>
    </row>
    <row r="24" spans="1:58" ht="12.95" customHeight="1">
      <c r="A24" s="1292"/>
      <c r="B24" s="1292"/>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c r="AK24" s="1292"/>
      <c r="AL24" s="1292"/>
      <c r="AM24" s="1292"/>
      <c r="AN24" s="1292"/>
      <c r="AO24" s="1292"/>
      <c r="AP24" s="1292"/>
      <c r="AQ24" s="1292"/>
      <c r="AR24" s="1292"/>
      <c r="AS24" s="1292"/>
      <c r="AT24" s="1292"/>
      <c r="AU24" s="18"/>
      <c r="AV24" s="18"/>
      <c r="AW24" s="18"/>
      <c r="AX24" s="18"/>
      <c r="AY24" s="18"/>
      <c r="AZ24" s="18"/>
      <c r="BD24" s="1248" t="s">
        <v>2524</v>
      </c>
      <c r="BE24" s="1249">
        <f>Application!AG450</f>
        <v>49137</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2525</v>
      </c>
      <c r="BE25" s="1249" t="str">
        <f>Application!D208</f>
        <v>40%/60%</v>
      </c>
    </row>
    <row r="26" spans="1:58" ht="12.95" customHeight="1">
      <c r="A26" s="4"/>
      <c r="C26" s="4"/>
      <c r="D26" s="4"/>
      <c r="E26" s="4"/>
      <c r="F26" s="4"/>
      <c r="G26" s="4"/>
      <c r="H26" s="4"/>
      <c r="I26" s="4"/>
      <c r="J26" s="4"/>
      <c r="K26" s="4"/>
      <c r="L26" s="4"/>
      <c r="M26" s="1431">
        <f>'Basis &amp; Credits'!AB56</f>
        <v>1914812</v>
      </c>
      <c r="N26" s="1431"/>
      <c r="O26" s="1431"/>
      <c r="P26" s="1431"/>
      <c r="Q26" s="1431"/>
      <c r="R26" s="4" t="s">
        <v>759</v>
      </c>
      <c r="S26" s="4"/>
      <c r="T26" s="4"/>
      <c r="U26" s="4"/>
      <c r="V26" s="4"/>
      <c r="W26" s="4"/>
      <c r="X26" s="4"/>
      <c r="Y26" s="4"/>
      <c r="Z26" s="4"/>
      <c r="AF26" s="4"/>
      <c r="AG26" s="4"/>
      <c r="AH26" s="4"/>
      <c r="AI26" s="4"/>
      <c r="AJ26" s="4"/>
      <c r="AK26" s="4"/>
      <c r="BD26" s="1248" t="s">
        <v>1639</v>
      </c>
      <c r="BE26" s="1249" t="b">
        <f>Application!M356="Yes"</f>
        <v>0</v>
      </c>
    </row>
    <row r="27" spans="1:58" ht="12.95" customHeight="1">
      <c r="A27" s="4"/>
      <c r="C27" s="4"/>
      <c r="D27" s="4"/>
      <c r="E27" s="4"/>
      <c r="F27" s="4"/>
      <c r="G27" s="4"/>
      <c r="H27" s="4"/>
      <c r="I27" s="4"/>
      <c r="J27" s="4"/>
      <c r="K27" s="4"/>
      <c r="L27" s="4"/>
      <c r="M27" s="1353">
        <f>'Basis &amp; Credits'!AB78</f>
        <v>0</v>
      </c>
      <c r="N27" s="1353"/>
      <c r="O27" s="1353"/>
      <c r="P27" s="1353"/>
      <c r="Q27" s="1353"/>
      <c r="R27" s="3" t="s">
        <v>1267</v>
      </c>
      <c r="S27" s="4"/>
      <c r="T27" s="4"/>
      <c r="U27" s="4"/>
      <c r="V27" s="4"/>
      <c r="W27" s="4"/>
      <c r="X27" s="4"/>
      <c r="Y27" s="4"/>
      <c r="Z27" s="4"/>
      <c r="AF27" s="4"/>
      <c r="AG27" s="4"/>
      <c r="AH27" s="4"/>
      <c r="AI27" s="4"/>
      <c r="AJ27" s="4"/>
      <c r="AK27" s="4"/>
      <c r="BD27" s="1247" t="s">
        <v>2098</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2526</v>
      </c>
      <c r="BE28" s="1249" t="b">
        <f>Application!M357="Yes"</f>
        <v>0</v>
      </c>
    </row>
    <row r="29" spans="1:58" ht="12.95" customHeight="1">
      <c r="A29" s="1426" t="s">
        <v>2147</v>
      </c>
      <c r="B29" s="1426"/>
      <c r="C29" s="1426"/>
      <c r="D29" s="1426"/>
      <c r="E29" s="1426"/>
      <c r="F29" s="1426"/>
      <c r="G29" s="1426"/>
      <c r="H29" s="1426"/>
      <c r="I29" s="1426"/>
      <c r="J29" s="1426"/>
      <c r="K29" s="1426"/>
      <c r="L29" s="1426"/>
      <c r="M29" s="1426"/>
      <c r="N29" s="1426"/>
      <c r="O29" s="1426"/>
      <c r="P29" s="1426"/>
      <c r="Q29" s="1426"/>
      <c r="R29" s="1426"/>
      <c r="S29" s="1426"/>
      <c r="T29" s="1426"/>
      <c r="U29" s="1426"/>
      <c r="V29" s="1426"/>
      <c r="W29" s="1426"/>
      <c r="X29" s="1426"/>
      <c r="Y29" s="1426"/>
      <c r="Z29" s="1426"/>
      <c r="AA29" s="1426"/>
      <c r="AB29" s="1426"/>
      <c r="AC29" s="1426"/>
      <c r="AD29" s="1426"/>
      <c r="AE29" s="1426"/>
      <c r="AF29" s="1426"/>
      <c r="AG29" s="1426"/>
      <c r="AH29" s="1426"/>
      <c r="AI29" s="1426"/>
      <c r="AJ29" s="1426"/>
      <c r="AK29" s="1426"/>
      <c r="AL29" s="1426"/>
      <c r="AM29" s="1426"/>
      <c r="AN29" s="1426"/>
      <c r="AO29" s="1426"/>
      <c r="AP29" s="1426"/>
      <c r="AQ29" s="1426"/>
      <c r="AR29" s="1426"/>
      <c r="AS29" s="1426"/>
      <c r="AT29" s="1426"/>
      <c r="BD29" s="1247" t="s">
        <v>2527</v>
      </c>
      <c r="BE29" s="1249" t="b">
        <f>Application!M358="Yes"</f>
        <v>0</v>
      </c>
    </row>
    <row r="30" spans="1:58" ht="12.95" customHeight="1">
      <c r="A30" s="1426"/>
      <c r="B30" s="1426"/>
      <c r="C30" s="1426"/>
      <c r="D30" s="1426"/>
      <c r="E30" s="1426"/>
      <c r="F30" s="1426"/>
      <c r="G30" s="1426"/>
      <c r="H30" s="1426"/>
      <c r="I30" s="1426"/>
      <c r="J30" s="1426"/>
      <c r="K30" s="1426"/>
      <c r="L30" s="1426"/>
      <c r="M30" s="1426"/>
      <c r="N30" s="1426"/>
      <c r="O30" s="1426"/>
      <c r="P30" s="1426"/>
      <c r="Q30" s="1426"/>
      <c r="R30" s="1426"/>
      <c r="S30" s="1426"/>
      <c r="T30" s="1426"/>
      <c r="U30" s="1426"/>
      <c r="V30" s="1426"/>
      <c r="W30" s="1426"/>
      <c r="X30" s="1426"/>
      <c r="Y30" s="1426"/>
      <c r="Z30" s="1426"/>
      <c r="AA30" s="1426"/>
      <c r="AB30" s="1426"/>
      <c r="AC30" s="1426"/>
      <c r="AD30" s="1426"/>
      <c r="AE30" s="1426"/>
      <c r="AF30" s="1426"/>
      <c r="AG30" s="1426"/>
      <c r="AH30" s="1426"/>
      <c r="AI30" s="1426"/>
      <c r="AJ30" s="1426"/>
      <c r="AK30" s="1426"/>
      <c r="AL30" s="1426"/>
      <c r="AM30" s="1426"/>
      <c r="AN30" s="1426"/>
      <c r="AO30" s="1426"/>
      <c r="AP30" s="1426"/>
      <c r="AQ30" s="1426"/>
      <c r="AR30" s="1426"/>
      <c r="AS30" s="1426"/>
      <c r="AT30" s="1426"/>
      <c r="AZ30" s="20"/>
      <c r="BD30" s="1248" t="s">
        <v>28</v>
      </c>
      <c r="BE30" s="1249" t="b">
        <f>Application!AJ355="Yes"</f>
        <v>0</v>
      </c>
    </row>
    <row r="31" spans="1:58" ht="12.95" customHeight="1">
      <c r="A31" s="1426"/>
      <c r="B31" s="1426"/>
      <c r="C31" s="1426"/>
      <c r="D31" s="1426"/>
      <c r="E31" s="1426"/>
      <c r="F31" s="1426"/>
      <c r="G31" s="1426"/>
      <c r="H31" s="1426"/>
      <c r="I31" s="1426"/>
      <c r="J31" s="1426"/>
      <c r="K31" s="1426"/>
      <c r="L31" s="1426"/>
      <c r="M31" s="1426"/>
      <c r="N31" s="1426"/>
      <c r="O31" s="1426"/>
      <c r="P31" s="1426"/>
      <c r="Q31" s="1426"/>
      <c r="R31" s="1426"/>
      <c r="S31" s="1426"/>
      <c r="T31" s="1426"/>
      <c r="U31" s="1426"/>
      <c r="V31" s="1426"/>
      <c r="W31" s="1426"/>
      <c r="X31" s="1426"/>
      <c r="Y31" s="1426"/>
      <c r="Z31" s="1426"/>
      <c r="AA31" s="1426"/>
      <c r="AB31" s="1426"/>
      <c r="AC31" s="1426"/>
      <c r="AD31" s="1426"/>
      <c r="AE31" s="1426"/>
      <c r="AF31" s="1426"/>
      <c r="AG31" s="1426"/>
      <c r="AH31" s="1426"/>
      <c r="AI31" s="1426"/>
      <c r="AJ31" s="1426"/>
      <c r="AK31" s="1426"/>
      <c r="AL31" s="1426"/>
      <c r="AM31" s="1426"/>
      <c r="AN31" s="1426"/>
      <c r="AO31" s="1426"/>
      <c r="AP31" s="1426"/>
      <c r="AQ31" s="1426"/>
      <c r="AR31" s="1426"/>
      <c r="AS31" s="1426"/>
      <c r="AT31" s="1426"/>
      <c r="AU31" s="20"/>
      <c r="AV31" s="20"/>
      <c r="AW31" s="20"/>
      <c r="AX31" s="20"/>
      <c r="AY31" s="20"/>
      <c r="AZ31" s="20"/>
      <c r="BD31" s="1247" t="s">
        <v>2528</v>
      </c>
      <c r="BE31" s="1249" t="str">
        <f>Application!D211</f>
        <v>Large Family</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2529</v>
      </c>
      <c r="BE32" s="1249">
        <f>IF(ISNUMBER(Application!W465),W465,0)</f>
        <v>0</v>
      </c>
    </row>
    <row r="33" spans="1:57" ht="12.95" customHeight="1">
      <c r="A33" s="519" t="s">
        <v>1278</v>
      </c>
      <c r="C33" s="519"/>
      <c r="D33" s="519"/>
      <c r="E33" s="519"/>
      <c r="F33" s="519"/>
      <c r="G33" s="519"/>
      <c r="H33" s="519"/>
      <c r="I33" s="519"/>
      <c r="J33" s="519"/>
      <c r="K33" s="519"/>
      <c r="L33" s="519"/>
      <c r="M33" s="519"/>
      <c r="N33" s="519"/>
      <c r="O33" s="1333" t="s">
        <v>669</v>
      </c>
      <c r="P33" s="1333"/>
      <c r="Q33" s="1427" t="s">
        <v>2148</v>
      </c>
      <c r="R33" s="1427"/>
      <c r="S33" s="1427"/>
      <c r="T33" s="1427"/>
      <c r="U33" s="1427"/>
      <c r="V33" s="1427"/>
      <c r="W33" s="1427"/>
      <c r="X33" s="1427"/>
      <c r="Y33" s="1427"/>
      <c r="Z33" s="1427"/>
      <c r="AA33" s="1427"/>
      <c r="AB33" s="1427"/>
      <c r="AC33" s="1427"/>
      <c r="AD33" s="1427"/>
      <c r="AE33" s="1427"/>
      <c r="AF33" s="1427"/>
      <c r="AG33" s="1427"/>
      <c r="AH33" s="1427"/>
      <c r="AI33" s="1427"/>
      <c r="AJ33" s="1427"/>
      <c r="AK33" s="1427"/>
      <c r="AL33" s="1427"/>
      <c r="AM33" s="1427"/>
      <c r="AN33" s="1427"/>
      <c r="AO33" s="1427"/>
      <c r="AP33" s="1427"/>
      <c r="AQ33" s="1427"/>
      <c r="AR33" s="1427"/>
      <c r="AS33" s="1427"/>
      <c r="AT33" s="1427"/>
      <c r="AU33" s="20"/>
      <c r="AV33" s="20"/>
      <c r="AW33" s="20"/>
      <c r="AX33" s="20"/>
      <c r="AY33" s="20"/>
      <c r="BD33" s="1247" t="s">
        <v>2596</v>
      </c>
      <c r="BE33" s="1249" t="str">
        <f>Application!D220</f>
        <v>Central Coast Region: Monterey, San Luis Obispo, Santa Barbara, Santa Cruz, and Ventura Counties</v>
      </c>
    </row>
    <row r="34" spans="1:57" ht="12.95" customHeight="1">
      <c r="A34" s="1426" t="s">
        <v>2149</v>
      </c>
      <c r="B34" s="1426"/>
      <c r="C34" s="1426"/>
      <c r="D34" s="1426"/>
      <c r="E34" s="1426"/>
      <c r="F34" s="1426"/>
      <c r="G34" s="1426"/>
      <c r="H34" s="1426"/>
      <c r="I34" s="1426"/>
      <c r="J34" s="1426"/>
      <c r="K34" s="1426"/>
      <c r="L34" s="1426"/>
      <c r="M34" s="1426"/>
      <c r="N34" s="1426"/>
      <c r="O34" s="1426"/>
      <c r="P34" s="1426"/>
      <c r="Q34" s="1426"/>
      <c r="R34" s="1426"/>
      <c r="S34" s="1426"/>
      <c r="T34" s="1426"/>
      <c r="U34" s="1426"/>
      <c r="V34" s="1426"/>
      <c r="W34" s="1426"/>
      <c r="X34" s="1426"/>
      <c r="Y34" s="1426"/>
      <c r="Z34" s="1426"/>
      <c r="AA34" s="1426"/>
      <c r="AB34" s="1426"/>
      <c r="AC34" s="1426"/>
      <c r="AD34" s="1426"/>
      <c r="AE34" s="1426"/>
      <c r="AF34" s="1426"/>
      <c r="AG34" s="1426"/>
      <c r="AH34" s="1426"/>
      <c r="AI34" s="1426"/>
      <c r="AJ34" s="1426"/>
      <c r="AK34" s="1426"/>
      <c r="AL34" s="1426"/>
      <c r="AM34" s="1426"/>
      <c r="AN34" s="1426"/>
      <c r="AO34" s="1426"/>
      <c r="AP34" s="1426"/>
      <c r="AQ34" s="1426"/>
      <c r="AR34" s="1426"/>
      <c r="AS34" s="1426"/>
      <c r="AT34" s="1426"/>
      <c r="AU34" s="20"/>
      <c r="AV34" s="20"/>
      <c r="AW34" s="20"/>
      <c r="AX34" s="20"/>
      <c r="AY34" s="20"/>
      <c r="AZ34" s="20"/>
      <c r="BD34" s="1248" t="s">
        <v>2530</v>
      </c>
      <c r="BE34" s="1249" t="str">
        <f>Application!I185</f>
        <v>5482 Cypress Road</v>
      </c>
    </row>
    <row r="35" spans="1:57" ht="12.95" customHeight="1">
      <c r="A35" s="1426"/>
      <c r="B35" s="1426"/>
      <c r="C35" s="1426"/>
      <c r="D35" s="1426"/>
      <c r="E35" s="1426"/>
      <c r="F35" s="1426"/>
      <c r="G35" s="1426"/>
      <c r="H35" s="1426"/>
      <c r="I35" s="1426"/>
      <c r="J35" s="1426"/>
      <c r="K35" s="1426"/>
      <c r="L35" s="1426"/>
      <c r="M35" s="1426"/>
      <c r="N35" s="1426"/>
      <c r="O35" s="1426"/>
      <c r="P35" s="1426"/>
      <c r="Q35" s="1426"/>
      <c r="R35" s="1426"/>
      <c r="S35" s="1426"/>
      <c r="T35" s="1426"/>
      <c r="U35" s="1426"/>
      <c r="V35" s="1426"/>
      <c r="W35" s="1426"/>
      <c r="X35" s="1426"/>
      <c r="Y35" s="1426"/>
      <c r="Z35" s="1426"/>
      <c r="AA35" s="1426"/>
      <c r="AB35" s="1426"/>
      <c r="AC35" s="1426"/>
      <c r="AD35" s="1426"/>
      <c r="AE35" s="1426"/>
      <c r="AF35" s="1426"/>
      <c r="AG35" s="1426"/>
      <c r="AH35" s="1426"/>
      <c r="AI35" s="1426"/>
      <c r="AJ35" s="1426"/>
      <c r="AK35" s="1426"/>
      <c r="AL35" s="1426"/>
      <c r="AM35" s="1426"/>
      <c r="AN35" s="1426"/>
      <c r="AO35" s="1426"/>
      <c r="AP35" s="1426"/>
      <c r="AQ35" s="1426"/>
      <c r="AR35" s="1426"/>
      <c r="AS35" s="1426"/>
      <c r="AT35" s="1426"/>
      <c r="AU35" s="20"/>
      <c r="AV35" s="20"/>
      <c r="AW35" s="20"/>
      <c r="AX35" s="20"/>
      <c r="AY35" s="20"/>
      <c r="AZ35" s="20"/>
      <c r="BD35" s="1247" t="s">
        <v>2531</v>
      </c>
      <c r="BE35" s="1249" t="str">
        <f>IF(Application!E187="","",Application!E187)</f>
        <v/>
      </c>
    </row>
    <row r="36" spans="1:57" ht="12.95" customHeight="1">
      <c r="A36" s="1426"/>
      <c r="B36" s="1426"/>
      <c r="C36" s="1426"/>
      <c r="D36" s="1426"/>
      <c r="E36" s="1426"/>
      <c r="F36" s="1426"/>
      <c r="G36" s="1426"/>
      <c r="H36" s="1426"/>
      <c r="I36" s="1426"/>
      <c r="J36" s="1426"/>
      <c r="K36" s="1426"/>
      <c r="L36" s="1426"/>
      <c r="M36" s="1426"/>
      <c r="N36" s="1426"/>
      <c r="O36" s="1426"/>
      <c r="P36" s="1426"/>
      <c r="Q36" s="1426"/>
      <c r="R36" s="1426"/>
      <c r="S36" s="1426"/>
      <c r="T36" s="1426"/>
      <c r="U36" s="1426"/>
      <c r="V36" s="1426"/>
      <c r="W36" s="1426"/>
      <c r="X36" s="1426"/>
      <c r="Y36" s="1426"/>
      <c r="Z36" s="1426"/>
      <c r="AA36" s="1426"/>
      <c r="AB36" s="1426"/>
      <c r="AC36" s="1426"/>
      <c r="AD36" s="1426"/>
      <c r="AE36" s="1426"/>
      <c r="AF36" s="1426"/>
      <c r="AG36" s="1426"/>
      <c r="AH36" s="1426"/>
      <c r="AI36" s="1426"/>
      <c r="AJ36" s="1426"/>
      <c r="AK36" s="1426"/>
      <c r="AL36" s="1426"/>
      <c r="AM36" s="1426"/>
      <c r="AN36" s="1426"/>
      <c r="AO36" s="1426"/>
      <c r="AP36" s="1426"/>
      <c r="AQ36" s="1426"/>
      <c r="AR36" s="1426"/>
      <c r="AS36" s="1426"/>
      <c r="AT36" s="1426"/>
      <c r="AU36" s="20"/>
      <c r="AV36" s="20"/>
      <c r="AW36" s="20"/>
      <c r="AX36" s="20"/>
      <c r="AY36" s="20"/>
      <c r="AZ36" s="20"/>
      <c r="BD36" s="1248" t="s">
        <v>2532</v>
      </c>
      <c r="BE36" s="1249" t="str">
        <f>Application!I189</f>
        <v>Oxnard</v>
      </c>
    </row>
    <row r="37" spans="1:57" ht="12.95" customHeight="1">
      <c r="A37" s="1426"/>
      <c r="B37" s="1426"/>
      <c r="C37" s="1426"/>
      <c r="D37" s="1426"/>
      <c r="E37" s="1426"/>
      <c r="F37" s="1426"/>
      <c r="G37" s="1426"/>
      <c r="H37" s="1426"/>
      <c r="I37" s="1426"/>
      <c r="J37" s="1426"/>
      <c r="K37" s="1426"/>
      <c r="L37" s="1426"/>
      <c r="M37" s="1426"/>
      <c r="N37" s="1426"/>
      <c r="O37" s="1426"/>
      <c r="P37" s="1426"/>
      <c r="Q37" s="1426"/>
      <c r="R37" s="1426"/>
      <c r="S37" s="1426"/>
      <c r="T37" s="1426"/>
      <c r="U37" s="1426"/>
      <c r="V37" s="1426"/>
      <c r="W37" s="1426"/>
      <c r="X37" s="1426"/>
      <c r="Y37" s="1426"/>
      <c r="Z37" s="1426"/>
      <c r="AA37" s="1426"/>
      <c r="AB37" s="1426"/>
      <c r="AC37" s="1426"/>
      <c r="AD37" s="1426"/>
      <c r="AE37" s="1426"/>
      <c r="AF37" s="1426"/>
      <c r="AG37" s="1426"/>
      <c r="AH37" s="1426"/>
      <c r="AI37" s="1426"/>
      <c r="AJ37" s="1426"/>
      <c r="AK37" s="1426"/>
      <c r="AL37" s="1426"/>
      <c r="AM37" s="1426"/>
      <c r="AN37" s="1426"/>
      <c r="AO37" s="1426"/>
      <c r="AP37" s="1426"/>
      <c r="AQ37" s="1426"/>
      <c r="AR37" s="1426"/>
      <c r="AS37" s="1426"/>
      <c r="AT37" s="1426"/>
      <c r="AZ37" s="20"/>
      <c r="BD37" s="1247" t="s">
        <v>2533</v>
      </c>
      <c r="BE37" s="1249" t="str">
        <f>Application!T189</f>
        <v>Ventura</v>
      </c>
    </row>
    <row r="38" spans="1:57" ht="12.95" customHeight="1">
      <c r="A38" s="3"/>
      <c r="AZ38" s="20"/>
      <c r="BD38" s="1248" t="s">
        <v>2534</v>
      </c>
      <c r="BE38" s="1249">
        <f>Application!I190</f>
        <v>93033</v>
      </c>
    </row>
    <row r="39" spans="1:57" ht="12.95" customHeight="1">
      <c r="A39" s="1262" t="s">
        <v>2150</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2535</v>
      </c>
      <c r="BE39" s="1249">
        <f>Application!AG437</f>
        <v>60</v>
      </c>
    </row>
    <row r="40" spans="1:57" ht="12.95"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383</v>
      </c>
      <c r="BE40" s="1249">
        <f>Application!AG440</f>
        <v>59</v>
      </c>
    </row>
    <row r="41" spans="1:57" ht="12.95"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286</v>
      </c>
      <c r="BE41" s="1249">
        <f>Application!AG438</f>
        <v>0</v>
      </c>
    </row>
    <row r="42" spans="1:57" ht="12.95"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2536</v>
      </c>
      <c r="BE42" s="1251">
        <f>Application!AC753</f>
        <v>0.45169491525423727</v>
      </c>
    </row>
    <row r="43" spans="1:57" ht="12.95"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2537</v>
      </c>
      <c r="BE43" s="1251">
        <f>Application!AH753</f>
        <v>0.45167249218752786</v>
      </c>
    </row>
    <row r="44" spans="1:57" ht="12.95"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2538</v>
      </c>
      <c r="BE44" s="1249">
        <f>Application!AC454</f>
        <v>680193.65</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2539</v>
      </c>
      <c r="BE45" s="1249">
        <f>Application!AE424</f>
        <v>3</v>
      </c>
    </row>
    <row r="46" spans="1:57" ht="12.95" customHeight="1">
      <c r="A46" s="1292" t="s">
        <v>2151</v>
      </c>
      <c r="B46" s="1292"/>
      <c r="C46" s="1292"/>
      <c r="D46" s="1292"/>
      <c r="E46" s="1292"/>
      <c r="F46" s="1292"/>
      <c r="G46" s="1292"/>
      <c r="H46" s="1292"/>
      <c r="I46" s="1292"/>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1292"/>
      <c r="AJ46" s="1292"/>
      <c r="AK46" s="1292"/>
      <c r="AL46" s="1292"/>
      <c r="AM46" s="1292"/>
      <c r="AN46" s="1292"/>
      <c r="AO46" s="1292"/>
      <c r="AP46" s="1292"/>
      <c r="AQ46" s="1292"/>
      <c r="AR46" s="1292"/>
      <c r="AS46" s="1292"/>
      <c r="AT46" s="1292"/>
      <c r="AU46" s="20"/>
      <c r="AV46" s="20"/>
      <c r="AW46" s="20"/>
      <c r="AX46" s="20"/>
      <c r="AY46" s="20"/>
      <c r="AZ46" s="20"/>
      <c r="BD46" s="1248" t="s">
        <v>2540</v>
      </c>
      <c r="BE46" s="1249" t="b">
        <f>Application!T195="Yes"</f>
        <v>0</v>
      </c>
    </row>
    <row r="47" spans="1:57" ht="12.95" customHeight="1">
      <c r="A47" s="1292"/>
      <c r="B47" s="1292"/>
      <c r="C47" s="1292"/>
      <c r="D47" s="1292"/>
      <c r="E47" s="1292"/>
      <c r="F47" s="1292"/>
      <c r="G47" s="1292"/>
      <c r="H47" s="1292"/>
      <c r="I47" s="1292"/>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1292"/>
      <c r="AJ47" s="1292"/>
      <c r="AK47" s="1292"/>
      <c r="AL47" s="1292"/>
      <c r="AM47" s="1292"/>
      <c r="AN47" s="1292"/>
      <c r="AO47" s="1292"/>
      <c r="AP47" s="1292"/>
      <c r="AQ47" s="1292"/>
      <c r="AR47" s="1292"/>
      <c r="AS47" s="1292"/>
      <c r="AT47" s="1292"/>
      <c r="AU47" s="20"/>
      <c r="AV47" s="20"/>
      <c r="AW47" s="20"/>
      <c r="AX47" s="20"/>
      <c r="AY47" s="20"/>
      <c r="AZ47" s="20"/>
      <c r="BD47" s="1247" t="s">
        <v>2541</v>
      </c>
      <c r="BE47" s="1249" t="b">
        <f>Application!T196="Yes"</f>
        <v>1</v>
      </c>
    </row>
    <row r="48" spans="1:57" ht="12.95" customHeight="1">
      <c r="A48" s="1292"/>
      <c r="B48" s="1292"/>
      <c r="C48" s="1292"/>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1292"/>
      <c r="AJ48" s="1292"/>
      <c r="AK48" s="1292"/>
      <c r="AL48" s="1292"/>
      <c r="AM48" s="1292"/>
      <c r="AN48" s="1292"/>
      <c r="AO48" s="1292"/>
      <c r="AP48" s="1292"/>
      <c r="AQ48" s="1292"/>
      <c r="AR48" s="1292"/>
      <c r="AS48" s="1292"/>
      <c r="AT48" s="1292"/>
      <c r="AU48" s="20"/>
      <c r="AV48" s="20"/>
      <c r="AW48" s="20"/>
      <c r="AX48" s="20"/>
      <c r="AY48" s="20"/>
      <c r="AZ48" s="20"/>
      <c r="BD48" s="1248" t="s">
        <v>2542</v>
      </c>
      <c r="BE48" s="1249" t="str">
        <f>Application!M243</f>
        <v>Cypress Place at Garden City II LLC</v>
      </c>
    </row>
    <row r="49" spans="1:57" ht="12.95" customHeight="1">
      <c r="A49" s="1292"/>
      <c r="B49" s="1292"/>
      <c r="C49" s="1292"/>
      <c r="D49" s="1292"/>
      <c r="E49" s="1292"/>
      <c r="F49" s="1292"/>
      <c r="G49" s="1292"/>
      <c r="H49" s="1292"/>
      <c r="I49" s="1292"/>
      <c r="J49" s="1292"/>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1292"/>
      <c r="AJ49" s="1292"/>
      <c r="AK49" s="1292"/>
      <c r="AL49" s="1292"/>
      <c r="AM49" s="1292"/>
      <c r="AN49" s="1292"/>
      <c r="AO49" s="1292"/>
      <c r="AP49" s="1292"/>
      <c r="AQ49" s="1292"/>
      <c r="AR49" s="1292"/>
      <c r="AS49" s="1292"/>
      <c r="AT49" s="1292"/>
      <c r="AU49" s="20"/>
      <c r="AV49" s="20"/>
      <c r="AW49" s="20"/>
      <c r="AX49" s="20"/>
      <c r="AY49" s="20"/>
      <c r="AZ49" s="20"/>
      <c r="BD49" s="1247" t="s">
        <v>2543</v>
      </c>
      <c r="BE49" s="1249" t="str">
        <f>Application!M246</f>
        <v>Kenneth Trigueiro</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2544</v>
      </c>
      <c r="BE50" s="1249" t="str">
        <f>Application!AA249</f>
        <v>People's Self-Help Housing Corporation</v>
      </c>
    </row>
    <row r="51" spans="1:57" ht="12.95" customHeight="1">
      <c r="A51" s="1262" t="s">
        <v>2152</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2545</v>
      </c>
      <c r="BE51" s="1249" t="str">
        <f>Application!M251</f>
        <v>N/A</v>
      </c>
    </row>
    <row r="52" spans="1:57" ht="12.95"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2546</v>
      </c>
      <c r="BE52" s="1249">
        <f>Application!M254</f>
        <v>0</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2547</v>
      </c>
      <c r="BE53" s="1249">
        <f>Application!AA257</f>
        <v>0</v>
      </c>
    </row>
    <row r="54" spans="1:57" ht="12.95" customHeight="1">
      <c r="A54" s="1262" t="s">
        <v>2153</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2548</v>
      </c>
      <c r="BE54" s="1249" t="str">
        <f>Application!M259</f>
        <v>N/A</v>
      </c>
    </row>
    <row r="55" spans="1:57" ht="12.95"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2549</v>
      </c>
      <c r="BE55" s="1249">
        <f>Application!M262</f>
        <v>0</v>
      </c>
    </row>
    <row r="56" spans="1:57" ht="12.95"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2550</v>
      </c>
      <c r="BE56" s="1249">
        <f>Application!AA265</f>
        <v>0</v>
      </c>
    </row>
    <row r="57" spans="1:57" ht="12.95"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2551</v>
      </c>
      <c r="BE57" s="1249" t="str">
        <f>Application!H287</f>
        <v xml:space="preserve">People's Self-Help Housing </v>
      </c>
    </row>
    <row r="58" spans="1:57" ht="12.95"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2552</v>
      </c>
      <c r="BE58" s="1249" t="str">
        <f>Application!H288</f>
        <v xml:space="preserve">1060 Kendall Road </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2553</v>
      </c>
      <c r="BE59" s="1249" t="str">
        <f>Application!H289</f>
        <v>San Luis Obispo, CA, 93401</v>
      </c>
    </row>
    <row r="60" spans="1:57" ht="12.95" customHeight="1">
      <c r="A60" s="1262" t="s">
        <v>2154</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2554</v>
      </c>
      <c r="BE60" s="1249" t="str">
        <f>Application!H290</f>
        <v>Veronica Garcia</v>
      </c>
    </row>
    <row r="61" spans="1:57" ht="12.95"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2555</v>
      </c>
      <c r="BE61" s="1249" t="str">
        <f>Application!H293</f>
        <v xml:space="preserve">veronicag@pshhc.org </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2556</v>
      </c>
      <c r="BE62" s="1252">
        <f>'Basis &amp; Credits'!AB50</f>
        <v>0.80712435476694322</v>
      </c>
    </row>
    <row r="63" spans="1:57" ht="12.95" customHeight="1">
      <c r="A63" s="91" t="s">
        <v>2155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1250</v>
      </c>
      <c r="BE63" s="1252">
        <f>'Basis &amp; Credits'!AB72</f>
        <v>0</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2557</v>
      </c>
      <c r="BE64" s="1249" t="str">
        <f>Application!X180</f>
        <v>No</v>
      </c>
    </row>
    <row r="65" spans="1:57" ht="12.95" customHeight="1">
      <c r="A65" s="1428" t="s">
        <v>2156</v>
      </c>
      <c r="B65" s="1428"/>
      <c r="C65" s="1428"/>
      <c r="D65" s="1428"/>
      <c r="E65" s="1428"/>
      <c r="F65" s="1428"/>
      <c r="G65" s="1428"/>
      <c r="H65" s="1428"/>
      <c r="I65" s="1428"/>
      <c r="J65" s="1428"/>
      <c r="K65" s="1428"/>
      <c r="L65" s="1428"/>
      <c r="M65" s="1428"/>
      <c r="N65" s="1428"/>
      <c r="O65" s="1428"/>
      <c r="P65" s="1428"/>
      <c r="Q65" s="1428"/>
      <c r="R65" s="1428"/>
      <c r="S65" s="1428"/>
      <c r="T65" s="1428"/>
      <c r="U65" s="1428"/>
      <c r="V65" s="1428"/>
      <c r="W65" s="1428"/>
      <c r="X65" s="1428"/>
      <c r="Y65" s="1428"/>
      <c r="Z65" s="1428"/>
      <c r="AA65" s="1428"/>
      <c r="AB65" s="1428"/>
      <c r="AC65" s="1428"/>
      <c r="AD65" s="1428"/>
      <c r="AE65" s="1428"/>
      <c r="AF65" s="1428"/>
      <c r="AG65" s="1428"/>
      <c r="AH65" s="1428"/>
      <c r="AI65" s="1428"/>
      <c r="AJ65" s="1428"/>
      <c r="AK65" s="1428"/>
      <c r="AL65" s="1428"/>
      <c r="AM65" s="1428"/>
      <c r="AN65" s="1428"/>
      <c r="AO65" s="1428"/>
      <c r="AP65" s="1428"/>
      <c r="AQ65" s="1428"/>
      <c r="AR65" s="1428"/>
      <c r="AS65" s="1428"/>
      <c r="AT65" s="1428"/>
      <c r="AU65" s="21"/>
      <c r="AV65" s="21"/>
      <c r="AW65" s="21"/>
      <c r="AX65" s="21"/>
      <c r="AY65" s="21"/>
      <c r="AZ65" s="20"/>
      <c r="BD65" s="1247" t="s">
        <v>2593</v>
      </c>
      <c r="BE65" s="1249" t="str">
        <f>Z205</f>
        <v>(select)</v>
      </c>
    </row>
    <row r="66" spans="1:57" ht="12.95" customHeight="1">
      <c r="A66" s="1428"/>
      <c r="B66" s="1428"/>
      <c r="C66" s="1428"/>
      <c r="D66" s="1428"/>
      <c r="E66" s="1428"/>
      <c r="F66" s="1428"/>
      <c r="G66" s="1428"/>
      <c r="H66" s="1428"/>
      <c r="I66" s="1428"/>
      <c r="J66" s="1428"/>
      <c r="K66" s="1428"/>
      <c r="L66" s="1428"/>
      <c r="M66" s="1428"/>
      <c r="N66" s="1428"/>
      <c r="O66" s="1428"/>
      <c r="P66" s="1428"/>
      <c r="Q66" s="1428"/>
      <c r="R66" s="1428"/>
      <c r="S66" s="1428"/>
      <c r="T66" s="1428"/>
      <c r="U66" s="1428"/>
      <c r="V66" s="1428"/>
      <c r="W66" s="1428"/>
      <c r="X66" s="1428"/>
      <c r="Y66" s="1428"/>
      <c r="Z66" s="1428"/>
      <c r="AA66" s="1428"/>
      <c r="AB66" s="1428"/>
      <c r="AC66" s="1428"/>
      <c r="AD66" s="1428"/>
      <c r="AE66" s="1428"/>
      <c r="AF66" s="1428"/>
      <c r="AG66" s="1428"/>
      <c r="AH66" s="1428"/>
      <c r="AI66" s="1428"/>
      <c r="AJ66" s="1428"/>
      <c r="AK66" s="1428"/>
      <c r="AL66" s="1428"/>
      <c r="AM66" s="1428"/>
      <c r="AN66" s="1428"/>
      <c r="AO66" s="1428"/>
      <c r="AP66" s="1428"/>
      <c r="AQ66" s="1428"/>
      <c r="AR66" s="1428"/>
      <c r="AS66" s="1428"/>
      <c r="AT66" s="1428"/>
      <c r="AU66" s="21"/>
      <c r="AV66" s="21"/>
      <c r="AW66" s="21"/>
      <c r="AX66" s="21"/>
      <c r="AY66" s="21"/>
      <c r="AZ66" s="20"/>
      <c r="BD66" s="1248" t="s">
        <v>2558</v>
      </c>
      <c r="BE66" s="1249" t="b">
        <f>Application!Z205="State Farmworker Credit"</f>
        <v>0</v>
      </c>
    </row>
    <row r="67" spans="1:57" ht="12.95" customHeight="1">
      <c r="A67" s="1428"/>
      <c r="B67" s="1428"/>
      <c r="C67" s="1428"/>
      <c r="D67" s="1428"/>
      <c r="E67" s="1428"/>
      <c r="F67" s="1428"/>
      <c r="G67" s="1428"/>
      <c r="H67" s="1428"/>
      <c r="I67" s="1428"/>
      <c r="J67" s="1428"/>
      <c r="K67" s="1428"/>
      <c r="L67" s="1428"/>
      <c r="M67" s="1428"/>
      <c r="N67" s="1428"/>
      <c r="O67" s="1428"/>
      <c r="P67" s="1428"/>
      <c r="Q67" s="1428"/>
      <c r="R67" s="1428"/>
      <c r="S67" s="1428"/>
      <c r="T67" s="1428"/>
      <c r="U67" s="1428"/>
      <c r="V67" s="1428"/>
      <c r="W67" s="1428"/>
      <c r="X67" s="1428"/>
      <c r="Y67" s="1428"/>
      <c r="Z67" s="1428"/>
      <c r="AA67" s="1428"/>
      <c r="AB67" s="1428"/>
      <c r="AC67" s="1428"/>
      <c r="AD67" s="1428"/>
      <c r="AE67" s="1428"/>
      <c r="AF67" s="1428"/>
      <c r="AG67" s="1428"/>
      <c r="AH67" s="1428"/>
      <c r="AI67" s="1428"/>
      <c r="AJ67" s="1428"/>
      <c r="AK67" s="1428"/>
      <c r="AL67" s="1428"/>
      <c r="AM67" s="1428"/>
      <c r="AN67" s="1428"/>
      <c r="AO67" s="1428"/>
      <c r="AP67" s="1428"/>
      <c r="AQ67" s="1428"/>
      <c r="AR67" s="1428"/>
      <c r="AS67" s="1428"/>
      <c r="AT67" s="1428"/>
      <c r="AZ67" s="20"/>
      <c r="BD67" s="1247" t="s">
        <v>2559</v>
      </c>
      <c r="BE67" s="1249"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2560</v>
      </c>
      <c r="BE68" s="1249">
        <f>'Sources and Uses Budget'!D105</f>
        <v>0</v>
      </c>
    </row>
    <row r="69" spans="1:57" ht="12.95" customHeight="1">
      <c r="A69" s="1428" t="s">
        <v>2157</v>
      </c>
      <c r="B69" s="1428"/>
      <c r="C69" s="1428"/>
      <c r="D69" s="1428"/>
      <c r="E69" s="1428"/>
      <c r="F69" s="1428"/>
      <c r="G69" s="1428"/>
      <c r="H69" s="1428"/>
      <c r="I69" s="1428"/>
      <c r="J69" s="1428"/>
      <c r="K69" s="1428"/>
      <c r="L69" s="1428"/>
      <c r="M69" s="1428"/>
      <c r="N69" s="1428"/>
      <c r="O69" s="1428"/>
      <c r="P69" s="1428"/>
      <c r="Q69" s="1428"/>
      <c r="R69" s="1428"/>
      <c r="S69" s="1428"/>
      <c r="T69" s="1428"/>
      <c r="U69" s="1428"/>
      <c r="V69" s="1428"/>
      <c r="W69" s="1428"/>
      <c r="X69" s="1428"/>
      <c r="Y69" s="1428"/>
      <c r="Z69" s="1428"/>
      <c r="AA69" s="1428"/>
      <c r="AB69" s="1428"/>
      <c r="AC69" s="1428"/>
      <c r="AD69" s="1428"/>
      <c r="AE69" s="1428"/>
      <c r="AF69" s="1428"/>
      <c r="AG69" s="1428"/>
      <c r="AH69" s="1428"/>
      <c r="AI69" s="1428"/>
      <c r="AJ69" s="1428"/>
      <c r="AK69" s="1428"/>
      <c r="AL69" s="1428"/>
      <c r="AM69" s="1428"/>
      <c r="AN69" s="1428"/>
      <c r="AO69" s="1428"/>
      <c r="AP69" s="1428"/>
      <c r="AQ69" s="1428"/>
      <c r="AR69" s="1428"/>
      <c r="AS69" s="1428"/>
      <c r="AT69" s="1428"/>
      <c r="AZ69" s="20"/>
      <c r="BD69" s="1247" t="s">
        <v>2561</v>
      </c>
      <c r="BE69" s="1249" t="str">
        <f>Application!W700</f>
        <v>California Municipal Finance Authority</v>
      </c>
    </row>
    <row r="70" spans="1:57" ht="12.95" customHeight="1">
      <c r="A70" s="1428"/>
      <c r="B70" s="1428"/>
      <c r="C70" s="1428"/>
      <c r="D70" s="1428"/>
      <c r="E70" s="1428"/>
      <c r="F70" s="1428"/>
      <c r="G70" s="1428"/>
      <c r="H70" s="1428"/>
      <c r="I70" s="1428"/>
      <c r="J70" s="1428"/>
      <c r="K70" s="1428"/>
      <c r="L70" s="1428"/>
      <c r="M70" s="1428"/>
      <c r="N70" s="1428"/>
      <c r="O70" s="1428"/>
      <c r="P70" s="1428"/>
      <c r="Q70" s="1428"/>
      <c r="R70" s="1428"/>
      <c r="S70" s="1428"/>
      <c r="T70" s="1428"/>
      <c r="U70" s="1428"/>
      <c r="V70" s="1428"/>
      <c r="W70" s="1428"/>
      <c r="X70" s="1428"/>
      <c r="Y70" s="1428"/>
      <c r="Z70" s="1428"/>
      <c r="AA70" s="1428"/>
      <c r="AB70" s="1428"/>
      <c r="AC70" s="1428"/>
      <c r="AD70" s="1428"/>
      <c r="AE70" s="1428"/>
      <c r="AF70" s="1428"/>
      <c r="AG70" s="1428"/>
      <c r="AH70" s="1428"/>
      <c r="AI70" s="1428"/>
      <c r="AJ70" s="1428"/>
      <c r="AK70" s="1428"/>
      <c r="AL70" s="1428"/>
      <c r="AM70" s="1428"/>
      <c r="AN70" s="1428"/>
      <c r="AO70" s="1428"/>
      <c r="AP70" s="1428"/>
      <c r="AQ70" s="1428"/>
      <c r="AR70" s="1428"/>
      <c r="AS70" s="1428"/>
      <c r="AT70" s="1428"/>
      <c r="AU70" s="20"/>
      <c r="AV70" s="20"/>
      <c r="AW70" s="20"/>
      <c r="AX70" s="20"/>
      <c r="AY70" s="20"/>
      <c r="AZ70" s="20"/>
      <c r="BD70" s="1248" t="s">
        <v>2562</v>
      </c>
      <c r="BE70" s="1249">
        <f>'Points System'!AF821</f>
        <v>119</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2563</v>
      </c>
      <c r="BE71" s="1249">
        <f>'Points System'!AF804</f>
        <v>0</v>
      </c>
    </row>
    <row r="72" spans="1:57" ht="12.95" customHeight="1">
      <c r="A72" s="1426" t="s">
        <v>2158</v>
      </c>
      <c r="B72" s="1426"/>
      <c r="C72" s="1426"/>
      <c r="D72" s="1426"/>
      <c r="E72" s="1426"/>
      <c r="F72" s="1426"/>
      <c r="G72" s="1426"/>
      <c r="H72" s="1426"/>
      <c r="I72" s="1426"/>
      <c r="J72" s="1426"/>
      <c r="K72" s="1426"/>
      <c r="L72" s="1426"/>
      <c r="M72" s="1426"/>
      <c r="N72" s="1426"/>
      <c r="O72" s="1426"/>
      <c r="P72" s="1426"/>
      <c r="Q72" s="1426"/>
      <c r="R72" s="1426"/>
      <c r="S72" s="1426"/>
      <c r="T72" s="1426"/>
      <c r="U72" s="1426"/>
      <c r="V72" s="1426"/>
      <c r="W72" s="1426"/>
      <c r="X72" s="1426"/>
      <c r="Y72" s="1426"/>
      <c r="Z72" s="1426"/>
      <c r="AA72" s="1426"/>
      <c r="AB72" s="1426"/>
      <c r="AC72" s="1426"/>
      <c r="AD72" s="1426"/>
      <c r="AE72" s="1426"/>
      <c r="AF72" s="1426"/>
      <c r="AG72" s="1426"/>
      <c r="AH72" s="1426"/>
      <c r="AI72" s="1426"/>
      <c r="AJ72" s="1426"/>
      <c r="AK72" s="1426"/>
      <c r="AL72" s="1426"/>
      <c r="AM72" s="1426"/>
      <c r="AN72" s="1426"/>
      <c r="AO72" s="1426"/>
      <c r="AP72" s="1426"/>
      <c r="AQ72" s="1426"/>
      <c r="AR72" s="1426"/>
      <c r="AS72" s="1426"/>
      <c r="AT72" s="1426"/>
      <c r="AU72" s="20"/>
      <c r="AV72" s="20"/>
      <c r="AW72" s="20"/>
      <c r="AX72" s="20"/>
      <c r="AY72" s="20"/>
      <c r="AZ72" s="20"/>
      <c r="BD72" s="1248" t="s">
        <v>2564</v>
      </c>
      <c r="BE72" s="1249">
        <f>'Points System'!AF805</f>
        <v>10</v>
      </c>
    </row>
    <row r="73" spans="1:57" ht="12.95" customHeight="1">
      <c r="A73" s="1426"/>
      <c r="B73" s="1426"/>
      <c r="C73" s="1426"/>
      <c r="D73" s="1426"/>
      <c r="E73" s="1426"/>
      <c r="F73" s="1426"/>
      <c r="G73" s="1426"/>
      <c r="H73" s="1426"/>
      <c r="I73" s="1426"/>
      <c r="J73" s="1426"/>
      <c r="K73" s="1426"/>
      <c r="L73" s="1426"/>
      <c r="M73" s="1426"/>
      <c r="N73" s="1426"/>
      <c r="O73" s="1426"/>
      <c r="P73" s="1426"/>
      <c r="Q73" s="1426"/>
      <c r="R73" s="1426"/>
      <c r="S73" s="1426"/>
      <c r="T73" s="1426"/>
      <c r="U73" s="1426"/>
      <c r="V73" s="1426"/>
      <c r="W73" s="1426"/>
      <c r="X73" s="1426"/>
      <c r="Y73" s="1426"/>
      <c r="Z73" s="1426"/>
      <c r="AA73" s="1426"/>
      <c r="AB73" s="1426"/>
      <c r="AC73" s="1426"/>
      <c r="AD73" s="1426"/>
      <c r="AE73" s="1426"/>
      <c r="AF73" s="1426"/>
      <c r="AG73" s="1426"/>
      <c r="AH73" s="1426"/>
      <c r="AI73" s="1426"/>
      <c r="AJ73" s="1426"/>
      <c r="AK73" s="1426"/>
      <c r="AL73" s="1426"/>
      <c r="AM73" s="1426"/>
      <c r="AN73" s="1426"/>
      <c r="AO73" s="1426"/>
      <c r="AP73" s="1426"/>
      <c r="AQ73" s="1426"/>
      <c r="AR73" s="1426"/>
      <c r="AS73" s="1426"/>
      <c r="AT73" s="1426"/>
      <c r="AU73" s="20"/>
      <c r="AV73" s="20"/>
      <c r="AW73" s="20"/>
      <c r="AX73" s="20"/>
      <c r="AY73" s="20"/>
      <c r="AZ73" s="20"/>
      <c r="BD73" s="1247" t="s">
        <v>2565</v>
      </c>
      <c r="BE73" s="1249">
        <f>'Points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2566</v>
      </c>
      <c r="BE74" s="1249">
        <f>'Points System'!AF807</f>
        <v>10</v>
      </c>
    </row>
    <row r="75" spans="1:57" ht="12.95" customHeight="1">
      <c r="A75" s="1784" t="s">
        <v>2159</v>
      </c>
      <c r="B75" s="1784"/>
      <c r="C75" s="1784"/>
      <c r="D75" s="1784"/>
      <c r="E75" s="1784"/>
      <c r="F75" s="1784"/>
      <c r="G75" s="1784"/>
      <c r="H75" s="1784"/>
      <c r="I75" s="1784"/>
      <c r="J75" s="1784"/>
      <c r="K75" s="1784"/>
      <c r="L75" s="1784"/>
      <c r="M75" s="1784"/>
      <c r="N75" s="1784"/>
      <c r="O75" s="1784"/>
      <c r="P75" s="1784"/>
      <c r="Q75" s="1784"/>
      <c r="R75" s="1784"/>
      <c r="S75" s="1784"/>
      <c r="T75" s="1784"/>
      <c r="U75" s="1784"/>
      <c r="V75" s="1784"/>
      <c r="W75" s="1784"/>
      <c r="X75" s="1784"/>
      <c r="Y75" s="1784"/>
      <c r="Z75" s="1784"/>
      <c r="AA75" s="1784"/>
      <c r="AB75" s="1784"/>
      <c r="AC75" s="1784"/>
      <c r="AD75" s="1784"/>
      <c r="AE75" s="1784"/>
      <c r="AF75" s="1784"/>
      <c r="AG75" s="1784"/>
      <c r="AH75" s="1784"/>
      <c r="AI75" s="1784"/>
      <c r="AJ75" s="1784"/>
      <c r="AK75" s="1784"/>
      <c r="AL75" s="1784"/>
      <c r="AM75" s="1784"/>
      <c r="AN75" s="1784"/>
      <c r="AO75" s="1784"/>
      <c r="AP75" s="1784"/>
      <c r="AQ75" s="1784"/>
      <c r="AR75" s="1784"/>
      <c r="AS75" s="1784"/>
      <c r="AT75" s="1784"/>
      <c r="AU75" s="20"/>
      <c r="AV75" s="20"/>
      <c r="AW75" s="20"/>
      <c r="AX75" s="20"/>
      <c r="AY75" s="20"/>
      <c r="AZ75" s="20"/>
      <c r="BD75" s="1247" t="s">
        <v>2567</v>
      </c>
      <c r="BE75" s="1249">
        <f>'Points System'!AF808</f>
        <v>10</v>
      </c>
    </row>
    <row r="76" spans="1:57" ht="12.95" customHeight="1">
      <c r="A76" s="1784"/>
      <c r="B76" s="1784"/>
      <c r="C76" s="1784"/>
      <c r="D76" s="1784"/>
      <c r="E76" s="1784"/>
      <c r="F76" s="1784"/>
      <c r="G76" s="1784"/>
      <c r="H76" s="1784"/>
      <c r="I76" s="1784"/>
      <c r="J76" s="1784"/>
      <c r="K76" s="1784"/>
      <c r="L76" s="1784"/>
      <c r="M76" s="1784"/>
      <c r="N76" s="1784"/>
      <c r="O76" s="1784"/>
      <c r="P76" s="1784"/>
      <c r="Q76" s="1784"/>
      <c r="R76" s="1784"/>
      <c r="S76" s="1784"/>
      <c r="T76" s="1784"/>
      <c r="U76" s="1784"/>
      <c r="V76" s="1784"/>
      <c r="W76" s="1784"/>
      <c r="X76" s="1784"/>
      <c r="Y76" s="1784"/>
      <c r="Z76" s="1784"/>
      <c r="AA76" s="1784"/>
      <c r="AB76" s="1784"/>
      <c r="AC76" s="1784"/>
      <c r="AD76" s="1784"/>
      <c r="AE76" s="1784"/>
      <c r="AF76" s="1784"/>
      <c r="AG76" s="1784"/>
      <c r="AH76" s="1784"/>
      <c r="AI76" s="1784"/>
      <c r="AJ76" s="1784"/>
      <c r="AK76" s="1784"/>
      <c r="AL76" s="1784"/>
      <c r="AM76" s="1784"/>
      <c r="AN76" s="1784"/>
      <c r="AO76" s="1784"/>
      <c r="AP76" s="1784"/>
      <c r="AQ76" s="1784"/>
      <c r="AR76" s="1784"/>
      <c r="AS76" s="1784"/>
      <c r="AT76" s="1784"/>
      <c r="AU76" s="20"/>
      <c r="AV76" s="20"/>
      <c r="AW76" s="20"/>
      <c r="AX76" s="20"/>
      <c r="AY76" s="20"/>
      <c r="AZ76" s="17"/>
      <c r="BD76" s="1248" t="s">
        <v>2568</v>
      </c>
      <c r="BE76" s="1249">
        <f>'Points System'!AF811</f>
        <v>10</v>
      </c>
    </row>
    <row r="77" spans="1:57" ht="12.95" customHeight="1">
      <c r="A77" s="1784"/>
      <c r="B77" s="1784"/>
      <c r="C77" s="1784"/>
      <c r="D77" s="1784"/>
      <c r="E77" s="1784"/>
      <c r="F77" s="1784"/>
      <c r="G77" s="1784"/>
      <c r="H77" s="1784"/>
      <c r="I77" s="1784"/>
      <c r="J77" s="1784"/>
      <c r="K77" s="1784"/>
      <c r="L77" s="1784"/>
      <c r="M77" s="1784"/>
      <c r="N77" s="1784"/>
      <c r="O77" s="1784"/>
      <c r="P77" s="1784"/>
      <c r="Q77" s="1784"/>
      <c r="R77" s="1784"/>
      <c r="S77" s="1784"/>
      <c r="T77" s="1784"/>
      <c r="U77" s="1784"/>
      <c r="V77" s="1784"/>
      <c r="W77" s="1784"/>
      <c r="X77" s="1784"/>
      <c r="Y77" s="1784"/>
      <c r="Z77" s="1784"/>
      <c r="AA77" s="1784"/>
      <c r="AB77" s="1784"/>
      <c r="AC77" s="1784"/>
      <c r="AD77" s="1784"/>
      <c r="AE77" s="1784"/>
      <c r="AF77" s="1784"/>
      <c r="AG77" s="1784"/>
      <c r="AH77" s="1784"/>
      <c r="AI77" s="1784"/>
      <c r="AJ77" s="1784"/>
      <c r="AK77" s="1784"/>
      <c r="AL77" s="1784"/>
      <c r="AM77" s="1784"/>
      <c r="AN77" s="1784"/>
      <c r="AO77" s="1784"/>
      <c r="AP77" s="1784"/>
      <c r="AQ77" s="1784"/>
      <c r="AR77" s="1784"/>
      <c r="AS77" s="1784"/>
      <c r="AT77" s="1784"/>
      <c r="AU77" s="20"/>
      <c r="AV77" s="20"/>
      <c r="AW77" s="20"/>
      <c r="AX77" s="20"/>
      <c r="AY77" s="20"/>
      <c r="AZ77" s="17"/>
      <c r="BD77" s="1247" t="s">
        <v>2569</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2570</v>
      </c>
      <c r="BE78" s="1249">
        <f>'Points System'!AF814</f>
        <v>10</v>
      </c>
    </row>
    <row r="79" spans="1:57" ht="12.95" customHeight="1">
      <c r="A79" s="1428" t="s">
        <v>2160</v>
      </c>
      <c r="B79" s="1428"/>
      <c r="C79" s="1428"/>
      <c r="D79" s="1428"/>
      <c r="E79" s="1428"/>
      <c r="F79" s="1428"/>
      <c r="G79" s="1428"/>
      <c r="H79" s="1428"/>
      <c r="I79" s="1428"/>
      <c r="J79" s="1428"/>
      <c r="K79" s="1428"/>
      <c r="L79" s="1428"/>
      <c r="M79" s="1428"/>
      <c r="N79" s="1428"/>
      <c r="O79" s="1428"/>
      <c r="P79" s="1428"/>
      <c r="Q79" s="1428"/>
      <c r="R79" s="1428"/>
      <c r="S79" s="1428"/>
      <c r="T79" s="1428"/>
      <c r="U79" s="1428"/>
      <c r="V79" s="1428"/>
      <c r="W79" s="1428"/>
      <c r="X79" s="1428"/>
      <c r="Y79" s="1428"/>
      <c r="Z79" s="1428"/>
      <c r="AA79" s="1428"/>
      <c r="AB79" s="1428"/>
      <c r="AC79" s="1428"/>
      <c r="AD79" s="1428"/>
      <c r="AE79" s="1428"/>
      <c r="AF79" s="1428"/>
      <c r="AG79" s="1428"/>
      <c r="AH79" s="1428"/>
      <c r="AI79" s="1428"/>
      <c r="AJ79" s="1428"/>
      <c r="AK79" s="1428"/>
      <c r="AL79" s="1428"/>
      <c r="AM79" s="1428"/>
      <c r="AN79" s="1428"/>
      <c r="AO79" s="1428"/>
      <c r="AP79" s="1428"/>
      <c r="AQ79" s="1428"/>
      <c r="AR79" s="1428"/>
      <c r="AS79" s="1428"/>
      <c r="AT79" s="1428"/>
      <c r="AU79" s="20"/>
      <c r="AV79" s="20"/>
      <c r="AW79" s="20"/>
      <c r="AX79" s="20"/>
      <c r="AY79" s="20"/>
      <c r="AZ79" s="20"/>
      <c r="BD79" s="1247" t="s">
        <v>2571</v>
      </c>
      <c r="BE79" s="1249">
        <f>'Points System'!AF815</f>
        <v>9</v>
      </c>
    </row>
    <row r="80" spans="1:57" ht="12.95" customHeight="1">
      <c r="A80" s="1428"/>
      <c r="B80" s="1428"/>
      <c r="C80" s="1428"/>
      <c r="D80" s="1428"/>
      <c r="E80" s="1428"/>
      <c r="F80" s="1428"/>
      <c r="G80" s="1428"/>
      <c r="H80" s="1428"/>
      <c r="I80" s="1428"/>
      <c r="J80" s="1428"/>
      <c r="K80" s="1428"/>
      <c r="L80" s="1428"/>
      <c r="M80" s="1428"/>
      <c r="N80" s="1428"/>
      <c r="O80" s="1428"/>
      <c r="P80" s="1428"/>
      <c r="Q80" s="1428"/>
      <c r="R80" s="1428"/>
      <c r="S80" s="1428"/>
      <c r="T80" s="1428"/>
      <c r="U80" s="1428"/>
      <c r="V80" s="1428"/>
      <c r="W80" s="1428"/>
      <c r="X80" s="1428"/>
      <c r="Y80" s="1428"/>
      <c r="Z80" s="1428"/>
      <c r="AA80" s="1428"/>
      <c r="AB80" s="1428"/>
      <c r="AC80" s="1428"/>
      <c r="AD80" s="1428"/>
      <c r="AE80" s="1428"/>
      <c r="AF80" s="1428"/>
      <c r="AG80" s="1428"/>
      <c r="AH80" s="1428"/>
      <c r="AI80" s="1428"/>
      <c r="AJ80" s="1428"/>
      <c r="AK80" s="1428"/>
      <c r="AL80" s="1428"/>
      <c r="AM80" s="1428"/>
      <c r="AN80" s="1428"/>
      <c r="AO80" s="1428"/>
      <c r="AP80" s="1428"/>
      <c r="AQ80" s="1428"/>
      <c r="AR80" s="1428"/>
      <c r="AS80" s="1428"/>
      <c r="AT80" s="1428"/>
      <c r="AU80" s="20"/>
      <c r="AV80" s="20"/>
      <c r="AW80" s="20"/>
      <c r="AX80" s="20"/>
      <c r="AY80" s="20"/>
      <c r="AZ80" s="20"/>
      <c r="BD80" s="1248" t="s">
        <v>2572</v>
      </c>
      <c r="BE80" s="1249">
        <f>'Points System'!AF817</f>
        <v>10</v>
      </c>
    </row>
    <row r="81" spans="1:57" ht="12.95" customHeight="1">
      <c r="A81" s="1428"/>
      <c r="B81" s="1428"/>
      <c r="C81" s="1428"/>
      <c r="D81" s="1428"/>
      <c r="E81" s="1428"/>
      <c r="F81" s="1428"/>
      <c r="G81" s="1428"/>
      <c r="H81" s="1428"/>
      <c r="I81" s="1428"/>
      <c r="J81" s="1428"/>
      <c r="K81" s="1428"/>
      <c r="L81" s="1428"/>
      <c r="M81" s="1428"/>
      <c r="N81" s="1428"/>
      <c r="O81" s="1428"/>
      <c r="P81" s="1428"/>
      <c r="Q81" s="1428"/>
      <c r="R81" s="1428"/>
      <c r="S81" s="1428"/>
      <c r="T81" s="1428"/>
      <c r="U81" s="1428"/>
      <c r="V81" s="1428"/>
      <c r="W81" s="1428"/>
      <c r="X81" s="1428"/>
      <c r="Y81" s="1428"/>
      <c r="Z81" s="1428"/>
      <c r="AA81" s="1428"/>
      <c r="AB81" s="1428"/>
      <c r="AC81" s="1428"/>
      <c r="AD81" s="1428"/>
      <c r="AE81" s="1428"/>
      <c r="AF81" s="1428"/>
      <c r="AG81" s="1428"/>
      <c r="AH81" s="1428"/>
      <c r="AI81" s="1428"/>
      <c r="AJ81" s="1428"/>
      <c r="AK81" s="1428"/>
      <c r="AL81" s="1428"/>
      <c r="AM81" s="1428"/>
      <c r="AN81" s="1428"/>
      <c r="AO81" s="1428"/>
      <c r="AP81" s="1428"/>
      <c r="AQ81" s="1428"/>
      <c r="AR81" s="1428"/>
      <c r="AS81" s="1428"/>
      <c r="AT81" s="1428"/>
      <c r="AU81" s="20"/>
      <c r="AV81" s="20"/>
      <c r="AW81" s="20"/>
      <c r="AX81" s="20"/>
      <c r="AY81" s="20"/>
      <c r="AZ81" s="20"/>
      <c r="BD81" s="1247" t="s">
        <v>2573</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2574</v>
      </c>
      <c r="BE82" s="1249">
        <f>'Points System'!AF819</f>
        <v>10</v>
      </c>
    </row>
    <row r="83" spans="1:57" ht="12.95" customHeight="1">
      <c r="A83" s="1262" t="s">
        <v>2161</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2575</v>
      </c>
      <c r="BE83" s="1253">
        <f>'Tie Breaker'!H5</f>
        <v>2.1299868880147836</v>
      </c>
    </row>
    <row r="84" spans="1:57" ht="12.95"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2576</v>
      </c>
      <c r="BE84" s="1249" t="str">
        <f>Application!O153</f>
        <v>City of Oxnard</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2577</v>
      </c>
      <c r="BE85" s="1249" t="str">
        <f>Application!O154</f>
        <v>Karl Larson</v>
      </c>
    </row>
    <row r="86" spans="1:57" ht="12.95" customHeight="1">
      <c r="A86" s="1262" t="s">
        <v>2162</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2578</v>
      </c>
      <c r="BE86" s="1249" t="str">
        <f>Application!O155</f>
        <v>City Manager</v>
      </c>
    </row>
    <row r="87" spans="1:57" ht="12.95"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2579</v>
      </c>
      <c r="BE87" s="1249" t="str">
        <f>Application!O156</f>
        <v>435 South D Street</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2580</v>
      </c>
      <c r="BE88" s="1249" t="str">
        <f>Application!O157</f>
        <v>Oxnard</v>
      </c>
    </row>
    <row r="89" spans="1:57" ht="12.95" customHeight="1">
      <c r="A89" s="1804" t="s">
        <v>2163</v>
      </c>
      <c r="B89" s="1804"/>
      <c r="C89" s="1804"/>
      <c r="D89" s="1804"/>
      <c r="E89" s="1804"/>
      <c r="F89" s="1804"/>
      <c r="G89" s="1804"/>
      <c r="H89" s="1804"/>
      <c r="I89" s="1804"/>
      <c r="J89" s="1804"/>
      <c r="K89" s="1804"/>
      <c r="L89" s="1804"/>
      <c r="M89" s="1804"/>
      <c r="N89" s="1804"/>
      <c r="O89" s="1804"/>
      <c r="P89" s="1804"/>
      <c r="Q89" s="1804"/>
      <c r="R89" s="1804"/>
      <c r="S89" s="1804"/>
      <c r="T89" s="1804"/>
      <c r="U89" s="1804"/>
      <c r="V89" s="1804"/>
      <c r="W89" s="1804"/>
      <c r="X89" s="1804"/>
      <c r="Y89" s="1804"/>
      <c r="Z89" s="1804"/>
      <c r="AA89" s="1804"/>
      <c r="AB89" s="1804"/>
      <c r="AC89" s="1804"/>
      <c r="AD89" s="1804"/>
      <c r="AE89" s="1804"/>
      <c r="AF89" s="1804"/>
      <c r="AG89" s="1804"/>
      <c r="AH89" s="1804"/>
      <c r="AI89" s="1804"/>
      <c r="AJ89" s="1804"/>
      <c r="AK89" s="1804"/>
      <c r="AL89" s="1804"/>
      <c r="AM89" s="1804"/>
      <c r="AN89" s="1804"/>
      <c r="AO89" s="1804"/>
      <c r="AP89" s="1804"/>
      <c r="AQ89" s="1804"/>
      <c r="AR89" s="1804"/>
      <c r="AS89" s="1804"/>
      <c r="AT89" s="1804"/>
      <c r="AU89" s="17"/>
      <c r="AV89" s="17"/>
      <c r="AW89" s="17"/>
      <c r="AX89" s="17"/>
      <c r="AY89" s="17"/>
      <c r="AZ89" s="20"/>
      <c r="BD89" s="1247" t="s">
        <v>2581</v>
      </c>
      <c r="BE89" s="1249">
        <f>Application!O158</f>
        <v>93030</v>
      </c>
    </row>
    <row r="90" spans="1:57" ht="12.95" customHeight="1">
      <c r="A90" s="1804"/>
      <c r="B90" s="1804"/>
      <c r="C90" s="1804"/>
      <c r="D90" s="1804"/>
      <c r="E90" s="1804"/>
      <c r="F90" s="1804"/>
      <c r="G90" s="1804"/>
      <c r="H90" s="1804"/>
      <c r="I90" s="1804"/>
      <c r="J90" s="1804"/>
      <c r="K90" s="1804"/>
      <c r="L90" s="1804"/>
      <c r="M90" s="1804"/>
      <c r="N90" s="1804"/>
      <c r="O90" s="1804"/>
      <c r="P90" s="1804"/>
      <c r="Q90" s="1804"/>
      <c r="R90" s="1804"/>
      <c r="S90" s="1804"/>
      <c r="T90" s="1804"/>
      <c r="U90" s="1804"/>
      <c r="V90" s="1804"/>
      <c r="W90" s="1804"/>
      <c r="X90" s="1804"/>
      <c r="Y90" s="1804"/>
      <c r="Z90" s="1804"/>
      <c r="AA90" s="1804"/>
      <c r="AB90" s="1804"/>
      <c r="AC90" s="1804"/>
      <c r="AD90" s="1804"/>
      <c r="AE90" s="1804"/>
      <c r="AF90" s="1804"/>
      <c r="AG90" s="1804"/>
      <c r="AH90" s="1804"/>
      <c r="AI90" s="1804"/>
      <c r="AJ90" s="1804"/>
      <c r="AK90" s="1804"/>
      <c r="AL90" s="1804"/>
      <c r="AM90" s="1804"/>
      <c r="AN90" s="1804"/>
      <c r="AO90" s="1804"/>
      <c r="AP90" s="1804"/>
      <c r="AQ90" s="1804"/>
      <c r="AR90" s="1804"/>
      <c r="AS90" s="1804"/>
      <c r="AT90" s="1804"/>
      <c r="AU90" s="17"/>
      <c r="AV90" s="17"/>
      <c r="AW90" s="17"/>
      <c r="AX90" s="17"/>
      <c r="AY90" s="17"/>
      <c r="AZ90" s="20"/>
      <c r="BD90" s="1248" t="s">
        <v>2582</v>
      </c>
      <c r="BE90" s="1249" t="str">
        <f>Application!H16</f>
        <v>People's Self-Help Housing Corporation</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2583</v>
      </c>
      <c r="BE91" s="1249" t="str">
        <f>Application!M233</f>
        <v>1060 Kendall Road</v>
      </c>
    </row>
    <row r="92" spans="1:57" ht="12.95" customHeight="1">
      <c r="A92" s="1784" t="s">
        <v>2164</v>
      </c>
      <c r="B92" s="1784"/>
      <c r="C92" s="1784"/>
      <c r="D92" s="1784"/>
      <c r="E92" s="1784"/>
      <c r="F92" s="1784"/>
      <c r="G92" s="1784"/>
      <c r="H92" s="1784"/>
      <c r="I92" s="1784"/>
      <c r="J92" s="1784"/>
      <c r="K92" s="1784"/>
      <c r="L92" s="1784"/>
      <c r="M92" s="1784"/>
      <c r="N92" s="1784"/>
      <c r="O92" s="1784"/>
      <c r="P92" s="1784"/>
      <c r="Q92" s="1784"/>
      <c r="R92" s="1784"/>
      <c r="S92" s="1784"/>
      <c r="T92" s="1784"/>
      <c r="U92" s="1784"/>
      <c r="V92" s="1784"/>
      <c r="W92" s="1784"/>
      <c r="X92" s="1784"/>
      <c r="Y92" s="1784"/>
      <c r="Z92" s="1784"/>
      <c r="AA92" s="1784"/>
      <c r="AB92" s="1784"/>
      <c r="AC92" s="1784"/>
      <c r="AD92" s="1784"/>
      <c r="AE92" s="1784"/>
      <c r="AF92" s="1784"/>
      <c r="AG92" s="1784"/>
      <c r="AH92" s="1784"/>
      <c r="AI92" s="1784"/>
      <c r="AJ92" s="1784"/>
      <c r="AK92" s="1784"/>
      <c r="AL92" s="1784"/>
      <c r="AM92" s="1784"/>
      <c r="AN92" s="1784"/>
      <c r="AO92" s="1784"/>
      <c r="AP92" s="1784"/>
      <c r="AQ92" s="1784"/>
      <c r="AR92" s="1784"/>
      <c r="AS92" s="1784"/>
      <c r="AT92" s="1784"/>
      <c r="AU92" s="20"/>
      <c r="AV92" s="20"/>
      <c r="AW92" s="20"/>
      <c r="AX92" s="20"/>
      <c r="AY92" s="20"/>
      <c r="AZ92" s="20"/>
      <c r="BD92" s="1248" t="s">
        <v>2584</v>
      </c>
      <c r="BE92" s="1249" t="str">
        <f>Application!M234</f>
        <v>San Luis Obispo</v>
      </c>
    </row>
    <row r="93" spans="1:57" ht="12.95" customHeight="1">
      <c r="A93" s="1784"/>
      <c r="B93" s="1784"/>
      <c r="C93" s="1784"/>
      <c r="D93" s="1784"/>
      <c r="E93" s="1784"/>
      <c r="F93" s="1784"/>
      <c r="G93" s="1784"/>
      <c r="H93" s="1784"/>
      <c r="I93" s="1784"/>
      <c r="J93" s="1784"/>
      <c r="K93" s="1784"/>
      <c r="L93" s="1784"/>
      <c r="M93" s="1784"/>
      <c r="N93" s="1784"/>
      <c r="O93" s="1784"/>
      <c r="P93" s="1784"/>
      <c r="Q93" s="1784"/>
      <c r="R93" s="1784"/>
      <c r="S93" s="1784"/>
      <c r="T93" s="1784"/>
      <c r="U93" s="1784"/>
      <c r="V93" s="1784"/>
      <c r="W93" s="1784"/>
      <c r="X93" s="1784"/>
      <c r="Y93" s="1784"/>
      <c r="Z93" s="1784"/>
      <c r="AA93" s="1784"/>
      <c r="AB93" s="1784"/>
      <c r="AC93" s="1784"/>
      <c r="AD93" s="1784"/>
      <c r="AE93" s="1784"/>
      <c r="AF93" s="1784"/>
      <c r="AG93" s="1784"/>
      <c r="AH93" s="1784"/>
      <c r="AI93" s="1784"/>
      <c r="AJ93" s="1784"/>
      <c r="AK93" s="1784"/>
      <c r="AL93" s="1784"/>
      <c r="AM93" s="1784"/>
      <c r="AN93" s="1784"/>
      <c r="AO93" s="1784"/>
      <c r="AP93" s="1784"/>
      <c r="AQ93" s="1784"/>
      <c r="AR93" s="1784"/>
      <c r="AS93" s="1784"/>
      <c r="AT93" s="1784"/>
      <c r="AU93" s="20"/>
      <c r="AV93" s="20"/>
      <c r="AW93" s="20"/>
      <c r="AX93" s="20"/>
      <c r="AY93" s="20"/>
      <c r="AZ93" s="20"/>
      <c r="BD93" s="1247" t="s">
        <v>2585</v>
      </c>
      <c r="BE93" s="1249" t="str">
        <f>Application!W234</f>
        <v>CA</v>
      </c>
    </row>
    <row r="94" spans="1:57" ht="12.95" customHeight="1">
      <c r="A94" s="1784"/>
      <c r="B94" s="1784"/>
      <c r="C94" s="1784"/>
      <c r="D94" s="1784"/>
      <c r="E94" s="1784"/>
      <c r="F94" s="1784"/>
      <c r="G94" s="1784"/>
      <c r="H94" s="1784"/>
      <c r="I94" s="1784"/>
      <c r="J94" s="1784"/>
      <c r="K94" s="1784"/>
      <c r="L94" s="1784"/>
      <c r="M94" s="1784"/>
      <c r="N94" s="1784"/>
      <c r="O94" s="1784"/>
      <c r="P94" s="1784"/>
      <c r="Q94" s="1784"/>
      <c r="R94" s="1784"/>
      <c r="S94" s="1784"/>
      <c r="T94" s="1784"/>
      <c r="U94" s="1784"/>
      <c r="V94" s="1784"/>
      <c r="W94" s="1784"/>
      <c r="X94" s="1784"/>
      <c r="Y94" s="1784"/>
      <c r="Z94" s="1784"/>
      <c r="AA94" s="1784"/>
      <c r="AB94" s="1784"/>
      <c r="AC94" s="1784"/>
      <c r="AD94" s="1784"/>
      <c r="AE94" s="1784"/>
      <c r="AF94" s="1784"/>
      <c r="AG94" s="1784"/>
      <c r="AH94" s="1784"/>
      <c r="AI94" s="1784"/>
      <c r="AJ94" s="1784"/>
      <c r="AK94" s="1784"/>
      <c r="AL94" s="1784"/>
      <c r="AM94" s="1784"/>
      <c r="AN94" s="1784"/>
      <c r="AO94" s="1784"/>
      <c r="AP94" s="1784"/>
      <c r="AQ94" s="1784"/>
      <c r="AR94" s="1784"/>
      <c r="AS94" s="1784"/>
      <c r="AT94" s="1784"/>
      <c r="AU94" s="20"/>
      <c r="AV94" s="20"/>
      <c r="AW94" s="20"/>
      <c r="AX94" s="20"/>
      <c r="AY94" s="20"/>
      <c r="AZ94" s="20"/>
      <c r="BD94" s="1248" t="s">
        <v>2586</v>
      </c>
      <c r="BE94" s="1249">
        <f>Application!AC234</f>
        <v>93401</v>
      </c>
    </row>
    <row r="95" spans="1:57" ht="12.95" customHeight="1">
      <c r="A95" s="1784"/>
      <c r="B95" s="1784"/>
      <c r="C95" s="1784"/>
      <c r="D95" s="1784"/>
      <c r="E95" s="1784"/>
      <c r="F95" s="1784"/>
      <c r="G95" s="1784"/>
      <c r="H95" s="1784"/>
      <c r="I95" s="1784"/>
      <c r="J95" s="1784"/>
      <c r="K95" s="1784"/>
      <c r="L95" s="1784"/>
      <c r="M95" s="1784"/>
      <c r="N95" s="1784"/>
      <c r="O95" s="1784"/>
      <c r="P95" s="1784"/>
      <c r="Q95" s="1784"/>
      <c r="R95" s="1784"/>
      <c r="S95" s="1784"/>
      <c r="T95" s="1784"/>
      <c r="U95" s="1784"/>
      <c r="V95" s="1784"/>
      <c r="W95" s="1784"/>
      <c r="X95" s="1784"/>
      <c r="Y95" s="1784"/>
      <c r="Z95" s="1784"/>
      <c r="AA95" s="1784"/>
      <c r="AB95" s="1784"/>
      <c r="AC95" s="1784"/>
      <c r="AD95" s="1784"/>
      <c r="AE95" s="1784"/>
      <c r="AF95" s="1784"/>
      <c r="AG95" s="1784"/>
      <c r="AH95" s="1784"/>
      <c r="AI95" s="1784"/>
      <c r="AJ95" s="1784"/>
      <c r="AK95" s="1784"/>
      <c r="AL95" s="1784"/>
      <c r="AM95" s="1784"/>
      <c r="AN95" s="1784"/>
      <c r="AO95" s="1784"/>
      <c r="AP95" s="1784"/>
      <c r="AQ95" s="1784"/>
      <c r="AR95" s="1784"/>
      <c r="AS95" s="1784"/>
      <c r="AT95" s="1784"/>
      <c r="AU95" s="20"/>
      <c r="AV95" s="20"/>
      <c r="AW95" s="20"/>
      <c r="AX95" s="20"/>
      <c r="AY95" s="20"/>
      <c r="AZ95" s="20"/>
      <c r="BD95" s="1247" t="s">
        <v>2587</v>
      </c>
      <c r="BE95" s="1249" t="str">
        <f>Application!M235</f>
        <v>Kenneth Trigueiro</v>
      </c>
    </row>
    <row r="96" spans="1:57" ht="12.95" customHeight="1">
      <c r="A96" s="1784"/>
      <c r="B96" s="1784"/>
      <c r="C96" s="1784"/>
      <c r="D96" s="1784"/>
      <c r="E96" s="1784"/>
      <c r="F96" s="1784"/>
      <c r="G96" s="1784"/>
      <c r="H96" s="1784"/>
      <c r="I96" s="1784"/>
      <c r="J96" s="1784"/>
      <c r="K96" s="1784"/>
      <c r="L96" s="1784"/>
      <c r="M96" s="1784"/>
      <c r="N96" s="1784"/>
      <c r="O96" s="1784"/>
      <c r="P96" s="1784"/>
      <c r="Q96" s="1784"/>
      <c r="R96" s="1784"/>
      <c r="S96" s="1784"/>
      <c r="T96" s="1784"/>
      <c r="U96" s="1784"/>
      <c r="V96" s="1784"/>
      <c r="W96" s="1784"/>
      <c r="X96" s="1784"/>
      <c r="Y96" s="1784"/>
      <c r="Z96" s="1784"/>
      <c r="AA96" s="1784"/>
      <c r="AB96" s="1784"/>
      <c r="AC96" s="1784"/>
      <c r="AD96" s="1784"/>
      <c r="AE96" s="1784"/>
      <c r="AF96" s="1784"/>
      <c r="AG96" s="1784"/>
      <c r="AH96" s="1784"/>
      <c r="AI96" s="1784"/>
      <c r="AJ96" s="1784"/>
      <c r="AK96" s="1784"/>
      <c r="AL96" s="1784"/>
      <c r="AM96" s="1784"/>
      <c r="AN96" s="1784"/>
      <c r="AO96" s="1784"/>
      <c r="AP96" s="1784"/>
      <c r="AQ96" s="1784"/>
      <c r="AR96" s="1784"/>
      <c r="AS96" s="1784"/>
      <c r="AT96" s="1784"/>
      <c r="AU96" s="20"/>
      <c r="AV96" s="20"/>
      <c r="AW96" s="20"/>
      <c r="AX96" s="20"/>
      <c r="AY96" s="20"/>
      <c r="AZ96" s="20"/>
      <c r="BD96" s="1248" t="s">
        <v>2588</v>
      </c>
      <c r="BE96" s="1249" t="str">
        <f>Application!M237</f>
        <v>kennetht@pshhc.org</v>
      </c>
    </row>
    <row r="97" spans="1:57" ht="12.95" customHeight="1">
      <c r="A97" s="1784"/>
      <c r="B97" s="1784"/>
      <c r="C97" s="1784"/>
      <c r="D97" s="1784"/>
      <c r="E97" s="1784"/>
      <c r="F97" s="1784"/>
      <c r="G97" s="1784"/>
      <c r="H97" s="1784"/>
      <c r="I97" s="1784"/>
      <c r="J97" s="1784"/>
      <c r="K97" s="1784"/>
      <c r="L97" s="1784"/>
      <c r="M97" s="1784"/>
      <c r="N97" s="1784"/>
      <c r="O97" s="1784"/>
      <c r="P97" s="1784"/>
      <c r="Q97" s="1784"/>
      <c r="R97" s="1784"/>
      <c r="S97" s="1784"/>
      <c r="T97" s="1784"/>
      <c r="U97" s="1784"/>
      <c r="V97" s="1784"/>
      <c r="W97" s="1784"/>
      <c r="X97" s="1784"/>
      <c r="Y97" s="1784"/>
      <c r="Z97" s="1784"/>
      <c r="AA97" s="1784"/>
      <c r="AB97" s="1784"/>
      <c r="AC97" s="1784"/>
      <c r="AD97" s="1784"/>
      <c r="AE97" s="1784"/>
      <c r="AF97" s="1784"/>
      <c r="AG97" s="1784"/>
      <c r="AH97" s="1784"/>
      <c r="AI97" s="1784"/>
      <c r="AJ97" s="1784"/>
      <c r="AK97" s="1784"/>
      <c r="AL97" s="1784"/>
      <c r="AM97" s="1784"/>
      <c r="AN97" s="1784"/>
      <c r="AO97" s="1784"/>
      <c r="AP97" s="1784"/>
      <c r="AQ97" s="1784"/>
      <c r="AR97" s="1784"/>
      <c r="AS97" s="1784"/>
      <c r="AT97" s="1784"/>
      <c r="AU97" s="20"/>
      <c r="AV97" s="20"/>
      <c r="AW97" s="20"/>
      <c r="AX97" s="20"/>
      <c r="AY97" s="20"/>
      <c r="AZ97" s="20"/>
      <c r="BD97" s="1247" t="s">
        <v>2589</v>
      </c>
      <c r="BE97" s="1249" t="str">
        <f>Application!M248</f>
        <v>Kennetht@pshhc.org</v>
      </c>
    </row>
    <row r="98" spans="1:57" ht="12.95" customHeight="1">
      <c r="A98" s="1784"/>
      <c r="B98" s="1784"/>
      <c r="C98" s="1784"/>
      <c r="D98" s="1784"/>
      <c r="E98" s="1784"/>
      <c r="F98" s="1784"/>
      <c r="G98" s="1784"/>
      <c r="H98" s="1784"/>
      <c r="I98" s="1784"/>
      <c r="J98" s="1784"/>
      <c r="K98" s="1784"/>
      <c r="L98" s="1784"/>
      <c r="M98" s="1784"/>
      <c r="N98" s="1784"/>
      <c r="O98" s="1784"/>
      <c r="P98" s="1784"/>
      <c r="Q98" s="1784"/>
      <c r="R98" s="1784"/>
      <c r="S98" s="1784"/>
      <c r="T98" s="1784"/>
      <c r="U98" s="1784"/>
      <c r="V98" s="1784"/>
      <c r="W98" s="1784"/>
      <c r="X98" s="1784"/>
      <c r="Y98" s="1784"/>
      <c r="Z98" s="1784"/>
      <c r="AA98" s="1784"/>
      <c r="AB98" s="1784"/>
      <c r="AC98" s="1784"/>
      <c r="AD98" s="1784"/>
      <c r="AE98" s="1784"/>
      <c r="AF98" s="1784"/>
      <c r="AG98" s="1784"/>
      <c r="AH98" s="1784"/>
      <c r="AI98" s="1784"/>
      <c r="AJ98" s="1784"/>
      <c r="AK98" s="1784"/>
      <c r="AL98" s="1784"/>
      <c r="AM98" s="1784"/>
      <c r="AN98" s="1784"/>
      <c r="AO98" s="1784"/>
      <c r="AP98" s="1784"/>
      <c r="AQ98" s="1784"/>
      <c r="AR98" s="1784"/>
      <c r="AS98" s="1784"/>
      <c r="AT98" s="1784"/>
      <c r="AU98" s="20"/>
      <c r="AV98" s="20"/>
      <c r="AW98" s="20"/>
      <c r="AX98" s="20"/>
      <c r="AY98" s="20"/>
      <c r="AZ98" s="20"/>
      <c r="BD98" s="1248" t="s">
        <v>2590</v>
      </c>
      <c r="BE98" s="1249">
        <f>Application!M256</f>
        <v>0</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2591</v>
      </c>
      <c r="BE99" s="1249">
        <f>Application!M264</f>
        <v>0</v>
      </c>
    </row>
    <row r="100" spans="1:57" ht="12.95" customHeight="1">
      <c r="A100" s="1785" t="s">
        <v>2165</v>
      </c>
      <c r="B100" s="1785"/>
      <c r="C100" s="1785"/>
      <c r="D100" s="1785"/>
      <c r="E100" s="1785"/>
      <c r="F100" s="1785"/>
      <c r="G100" s="1785"/>
      <c r="H100" s="1785"/>
      <c r="I100" s="1785"/>
      <c r="J100" s="1785"/>
      <c r="K100" s="1785"/>
      <c r="L100" s="1785"/>
      <c r="M100" s="1785"/>
      <c r="N100" s="1785"/>
      <c r="O100" s="1785"/>
      <c r="P100" s="1785"/>
      <c r="Q100" s="1785"/>
      <c r="R100" s="1785"/>
      <c r="S100" s="1785"/>
      <c r="T100" s="1785"/>
      <c r="U100" s="1785"/>
      <c r="V100" s="1785"/>
      <c r="W100" s="1785"/>
      <c r="X100" s="1785"/>
      <c r="Y100" s="1785"/>
      <c r="Z100" s="1785"/>
      <c r="AA100" s="1785"/>
      <c r="AB100" s="1785"/>
      <c r="AC100" s="1785"/>
      <c r="AD100" s="1785"/>
      <c r="AE100" s="1785"/>
      <c r="AF100" s="1785"/>
      <c r="AG100" s="1785"/>
      <c r="AH100" s="1785"/>
      <c r="AI100" s="1785"/>
      <c r="AJ100" s="1785"/>
      <c r="AK100" s="1785"/>
      <c r="AL100" s="1785"/>
      <c r="AM100" s="1785"/>
      <c r="AN100" s="1785"/>
      <c r="AO100" s="1785"/>
      <c r="AP100" s="1785"/>
      <c r="AQ100" s="1785"/>
      <c r="AR100" s="1785"/>
      <c r="AS100" s="1785"/>
      <c r="AT100" s="1785"/>
      <c r="AU100" s="20"/>
      <c r="AV100" s="20"/>
      <c r="AW100" s="20"/>
      <c r="AX100" s="20"/>
      <c r="AY100" s="20"/>
      <c r="AZ100" s="20"/>
      <c r="BD100" s="1248" t="s">
        <v>2592</v>
      </c>
      <c r="BE100" s="1249" t="str">
        <f>Application!L279</f>
        <v>katherinea@pshhc.org</v>
      </c>
    </row>
    <row r="101" spans="1:57" ht="12.95" customHeight="1">
      <c r="A101" s="1785"/>
      <c r="B101" s="1785"/>
      <c r="C101" s="1785"/>
      <c r="D101" s="1785"/>
      <c r="E101" s="1785"/>
      <c r="F101" s="1785"/>
      <c r="G101" s="1785"/>
      <c r="H101" s="1785"/>
      <c r="I101" s="1785"/>
      <c r="J101" s="1785"/>
      <c r="K101" s="1785"/>
      <c r="L101" s="1785"/>
      <c r="M101" s="1785"/>
      <c r="N101" s="1785"/>
      <c r="O101" s="1785"/>
      <c r="P101" s="1785"/>
      <c r="Q101" s="1785"/>
      <c r="R101" s="1785"/>
      <c r="S101" s="1785"/>
      <c r="T101" s="1785"/>
      <c r="U101" s="1785"/>
      <c r="V101" s="1785"/>
      <c r="W101" s="1785"/>
      <c r="X101" s="1785"/>
      <c r="Y101" s="1785"/>
      <c r="Z101" s="1785"/>
      <c r="AA101" s="1785"/>
      <c r="AB101" s="1785"/>
      <c r="AC101" s="1785"/>
      <c r="AD101" s="1785"/>
      <c r="AE101" s="1785"/>
      <c r="AF101" s="1785"/>
      <c r="AG101" s="1785"/>
      <c r="AH101" s="1785"/>
      <c r="AI101" s="1785"/>
      <c r="AJ101" s="1785"/>
      <c r="AK101" s="1785"/>
      <c r="AL101" s="1785"/>
      <c r="AM101" s="1785"/>
      <c r="AN101" s="1785"/>
      <c r="AO101" s="1785"/>
      <c r="AP101" s="1785"/>
      <c r="AQ101" s="1785"/>
      <c r="AR101" s="1785"/>
      <c r="AS101" s="1785"/>
      <c r="AT101" s="1785"/>
      <c r="AU101" s="20"/>
      <c r="AV101" s="20"/>
      <c r="AW101" s="20"/>
      <c r="AX101" s="20"/>
      <c r="AY101" s="20"/>
      <c r="AZ101" s="20"/>
      <c r="BD101" s="3" t="s">
        <v>2597</v>
      </c>
      <c r="BE101">
        <f>'Sources and Uses Budget'!C105</f>
        <v>40811619</v>
      </c>
    </row>
    <row r="102" spans="1:57" ht="12.95" customHeight="1">
      <c r="A102" s="1785"/>
      <c r="B102" s="1785"/>
      <c r="C102" s="1785"/>
      <c r="D102" s="1785"/>
      <c r="E102" s="1785"/>
      <c r="F102" s="1785"/>
      <c r="G102" s="1785"/>
      <c r="H102" s="1785"/>
      <c r="I102" s="1785"/>
      <c r="J102" s="1785"/>
      <c r="K102" s="1785"/>
      <c r="L102" s="1785"/>
      <c r="M102" s="1785"/>
      <c r="N102" s="1785"/>
      <c r="O102" s="1785"/>
      <c r="P102" s="1785"/>
      <c r="Q102" s="1785"/>
      <c r="R102" s="1785"/>
      <c r="S102" s="1785"/>
      <c r="T102" s="1785"/>
      <c r="U102" s="1785"/>
      <c r="V102" s="1785"/>
      <c r="W102" s="1785"/>
      <c r="X102" s="1785"/>
      <c r="Y102" s="1785"/>
      <c r="Z102" s="1785"/>
      <c r="AA102" s="1785"/>
      <c r="AB102" s="1785"/>
      <c r="AC102" s="1785"/>
      <c r="AD102" s="1785"/>
      <c r="AE102" s="1785"/>
      <c r="AF102" s="1785"/>
      <c r="AG102" s="1785"/>
      <c r="AH102" s="1785"/>
      <c r="AI102" s="1785"/>
      <c r="AJ102" s="1785"/>
      <c r="AK102" s="1785"/>
      <c r="AL102" s="1785"/>
      <c r="AM102" s="1785"/>
      <c r="AN102" s="1785"/>
      <c r="AO102" s="1785"/>
      <c r="AP102" s="1785"/>
      <c r="AQ102" s="1785"/>
      <c r="AR102" s="1785"/>
      <c r="AS102" s="1785"/>
      <c r="AT102" s="1785"/>
      <c r="AU102" s="20"/>
      <c r="AV102" s="20"/>
      <c r="AW102" s="20"/>
      <c r="AX102" s="20"/>
      <c r="AY102" s="20"/>
      <c r="AZ102" s="20"/>
      <c r="BD102" s="3" t="s">
        <v>2598</v>
      </c>
      <c r="BE102" t="b">
        <f>T197="Yes"</f>
        <v>0</v>
      </c>
    </row>
    <row r="103" spans="1:57" ht="12.95" customHeight="1">
      <c r="A103" s="1785"/>
      <c r="B103" s="1785"/>
      <c r="C103" s="1785"/>
      <c r="D103" s="1785"/>
      <c r="E103" s="1785"/>
      <c r="F103" s="1785"/>
      <c r="G103" s="1785"/>
      <c r="H103" s="1785"/>
      <c r="I103" s="1785"/>
      <c r="J103" s="1785"/>
      <c r="K103" s="1785"/>
      <c r="L103" s="1785"/>
      <c r="M103" s="1785"/>
      <c r="N103" s="1785"/>
      <c r="O103" s="1785"/>
      <c r="P103" s="1785"/>
      <c r="Q103" s="1785"/>
      <c r="R103" s="1785"/>
      <c r="S103" s="1785"/>
      <c r="T103" s="1785"/>
      <c r="U103" s="1785"/>
      <c r="V103" s="1785"/>
      <c r="W103" s="1785"/>
      <c r="X103" s="1785"/>
      <c r="Y103" s="1785"/>
      <c r="Z103" s="1785"/>
      <c r="AA103" s="1785"/>
      <c r="AB103" s="1785"/>
      <c r="AC103" s="1785"/>
      <c r="AD103" s="1785"/>
      <c r="AE103" s="1785"/>
      <c r="AF103" s="1785"/>
      <c r="AG103" s="1785"/>
      <c r="AH103" s="1785"/>
      <c r="AI103" s="1785"/>
      <c r="AJ103" s="1785"/>
      <c r="AK103" s="1785"/>
      <c r="AL103" s="1785"/>
      <c r="AM103" s="1785"/>
      <c r="AN103" s="1785"/>
      <c r="AO103" s="1785"/>
      <c r="AP103" s="1785"/>
      <c r="AQ103" s="1785"/>
      <c r="AR103" s="1785"/>
      <c r="AS103" s="1785"/>
      <c r="AT103" s="1785"/>
      <c r="AU103" s="20"/>
      <c r="AV103" s="20"/>
      <c r="AW103" s="20"/>
      <c r="AX103" s="20"/>
      <c r="AY103" s="20"/>
      <c r="BD103" t="s">
        <v>2175</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85" t="s">
        <v>2166</v>
      </c>
      <c r="B105" s="1785"/>
      <c r="C105" s="1785"/>
      <c r="D105" s="1785"/>
      <c r="E105" s="1785"/>
      <c r="F105" s="1785"/>
      <c r="G105" s="1785"/>
      <c r="H105" s="1785"/>
      <c r="I105" s="1785"/>
      <c r="J105" s="1785"/>
      <c r="K105" s="1785"/>
      <c r="L105" s="1785"/>
      <c r="M105" s="1785"/>
      <c r="N105" s="1785"/>
      <c r="O105" s="1785"/>
      <c r="P105" s="1785"/>
      <c r="Q105" s="1785"/>
      <c r="R105" s="1785"/>
      <c r="S105" s="1785"/>
      <c r="T105" s="1785"/>
      <c r="U105" s="1785"/>
      <c r="V105" s="1785"/>
      <c r="W105" s="1785"/>
      <c r="X105" s="1785"/>
      <c r="Y105" s="1785"/>
      <c r="Z105" s="1785"/>
      <c r="AA105" s="1785"/>
      <c r="AB105" s="1785"/>
      <c r="AC105" s="1785"/>
      <c r="AD105" s="1785"/>
      <c r="AE105" s="1785"/>
      <c r="AF105" s="1785"/>
      <c r="AG105" s="1785"/>
      <c r="AH105" s="1785"/>
      <c r="AI105" s="1785"/>
      <c r="AJ105" s="1785"/>
      <c r="AK105" s="1785"/>
      <c r="AL105" s="1785"/>
      <c r="AM105" s="1785"/>
      <c r="AN105" s="1785"/>
      <c r="AO105" s="1785"/>
      <c r="AP105" s="1785"/>
      <c r="AQ105" s="1785"/>
      <c r="AR105" s="1785"/>
      <c r="AS105" s="1785"/>
      <c r="AT105" s="1785"/>
      <c r="AU105" s="20"/>
      <c r="AV105" s="20"/>
      <c r="AW105" s="20"/>
      <c r="AX105" s="20"/>
      <c r="AY105" s="20"/>
    </row>
    <row r="106" spans="1:57" ht="12.95" customHeight="1">
      <c r="A106" s="1785"/>
      <c r="B106" s="1785"/>
      <c r="C106" s="1785"/>
      <c r="D106" s="1785"/>
      <c r="E106" s="1785"/>
      <c r="F106" s="1785"/>
      <c r="G106" s="1785"/>
      <c r="H106" s="1785"/>
      <c r="I106" s="1785"/>
      <c r="J106" s="1785"/>
      <c r="K106" s="1785"/>
      <c r="L106" s="1785"/>
      <c r="M106" s="1785"/>
      <c r="N106" s="1785"/>
      <c r="O106" s="1785"/>
      <c r="P106" s="1785"/>
      <c r="Q106" s="1785"/>
      <c r="R106" s="1785"/>
      <c r="S106" s="1785"/>
      <c r="T106" s="1785"/>
      <c r="U106" s="1785"/>
      <c r="V106" s="1785"/>
      <c r="W106" s="1785"/>
      <c r="X106" s="1785"/>
      <c r="Y106" s="1785"/>
      <c r="Z106" s="1785"/>
      <c r="AA106" s="1785"/>
      <c r="AB106" s="1785"/>
      <c r="AC106" s="1785"/>
      <c r="AD106" s="1785"/>
      <c r="AE106" s="1785"/>
      <c r="AF106" s="1785"/>
      <c r="AG106" s="1785"/>
      <c r="AH106" s="1785"/>
      <c r="AI106" s="1785"/>
      <c r="AJ106" s="1785"/>
      <c r="AK106" s="1785"/>
      <c r="AL106" s="1785"/>
      <c r="AM106" s="1785"/>
      <c r="AN106" s="1785"/>
      <c r="AO106" s="1785"/>
      <c r="AP106" s="1785"/>
      <c r="AQ106" s="1785"/>
      <c r="AR106" s="1785"/>
      <c r="AS106" s="1785"/>
      <c r="AT106" s="1785"/>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180</v>
      </c>
      <c r="G113" s="1786"/>
      <c r="H113" s="1786"/>
      <c r="I113" s="3" t="s">
        <v>181</v>
      </c>
      <c r="L113" s="1786"/>
      <c r="M113" s="1786"/>
      <c r="N113" s="1786"/>
      <c r="O113" s="1786"/>
      <c r="P113" s="1792" t="s">
        <v>2239</v>
      </c>
      <c r="Q113" s="1792"/>
      <c r="R113" s="1792"/>
      <c r="S113" s="1792"/>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798"/>
      <c r="D115" s="1798"/>
      <c r="E115" s="1798"/>
      <c r="F115" s="1798"/>
      <c r="G115" s="1798"/>
      <c r="H115" s="1798"/>
      <c r="I115" s="1798"/>
      <c r="J115" s="1798"/>
      <c r="K115" s="1798"/>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628</v>
      </c>
      <c r="Y117" s="1786"/>
      <c r="Z117" s="1786"/>
      <c r="AA117" s="1786"/>
      <c r="AB117" s="1786"/>
      <c r="AC117" s="1786"/>
      <c r="AD117" s="1786"/>
      <c r="AE117" s="1786"/>
      <c r="AF117" s="1786"/>
      <c r="AG117" s="1786"/>
      <c r="AH117" s="1786"/>
      <c r="AI117" s="1786"/>
      <c r="AJ117" s="1786"/>
      <c r="AK117" s="1786"/>
    </row>
    <row r="118" spans="1:117" ht="12.95" customHeight="1">
      <c r="X118" s="3"/>
      <c r="Y118" s="3"/>
      <c r="Z118" s="3" t="s">
        <v>629</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86"/>
      <c r="Z120" s="1786"/>
      <c r="AA120" s="1786"/>
      <c r="AB120" s="1786"/>
      <c r="AC120" s="1786"/>
      <c r="AD120" s="1786"/>
      <c r="AE120" s="1786"/>
      <c r="AF120" s="1786"/>
      <c r="AG120" s="1786"/>
      <c r="AH120" s="1786"/>
      <c r="AI120" s="1786"/>
      <c r="AJ120" s="1786"/>
      <c r="AK120" s="1786"/>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48" t="s">
        <v>469</v>
      </c>
      <c r="CV122" s="1649"/>
      <c r="CW122" s="14"/>
      <c r="CX122" s="14" t="s">
        <v>634</v>
      </c>
      <c r="CY122" s="14"/>
      <c r="CZ122" s="14"/>
      <c r="DA122" s="14"/>
      <c r="DB122" s="14"/>
      <c r="DC122" s="14"/>
      <c r="DD122" s="14"/>
      <c r="DE122" s="14"/>
      <c r="DF122" s="14"/>
      <c r="DG122" s="1645" t="str">
        <f>T189</f>
        <v>Ventura</v>
      </c>
      <c r="DH122" s="1646"/>
      <c r="DI122" s="1646"/>
      <c r="DJ122" s="1646"/>
      <c r="DK122" s="1646"/>
      <c r="DL122" s="1646"/>
      <c r="DM122" s="1647"/>
    </row>
    <row r="123" spans="1:117" ht="12.95" customHeight="1">
      <c r="A123" s="3"/>
      <c r="B123" s="3"/>
      <c r="T123" s="3"/>
      <c r="U123" s="3"/>
      <c r="V123" s="3"/>
      <c r="W123" s="3"/>
      <c r="X123" s="3"/>
      <c r="Y123" s="1786"/>
      <c r="Z123" s="1786"/>
      <c r="AA123" s="1786"/>
      <c r="AB123" s="1786"/>
      <c r="AC123" s="1786"/>
      <c r="AD123" s="1786"/>
      <c r="AE123" s="1786"/>
      <c r="AF123" s="1786"/>
      <c r="AG123" s="1786"/>
      <c r="AH123" s="1786"/>
      <c r="AI123" s="1786"/>
      <c r="AJ123" s="1786"/>
      <c r="AK123" s="1786"/>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306</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2.95" customHeight="1">
      <c r="A150" s="3"/>
      <c r="B150" s="3"/>
      <c r="D150" s="3"/>
      <c r="E150" s="3"/>
      <c r="F150" s="1332"/>
      <c r="G150" s="1332"/>
      <c r="H150" s="1332"/>
      <c r="I150" s="1332"/>
      <c r="J150" s="1332"/>
      <c r="K150" s="1332"/>
      <c r="L150" s="1332"/>
      <c r="M150" s="1332"/>
      <c r="N150" s="1332"/>
      <c r="O150" s="1332"/>
      <c r="P150" s="1332"/>
      <c r="Q150" s="1332"/>
      <c r="R150" s="1332"/>
      <c r="S150" s="1332"/>
      <c r="T150" s="1332"/>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2465</v>
      </c>
    </row>
    <row r="152" spans="1:108" ht="12.95" customHeight="1">
      <c r="BM152">
        <v>4</v>
      </c>
      <c r="BN152" s="3" t="s">
        <v>2464</v>
      </c>
    </row>
    <row r="153" spans="1:108" ht="12.95" customHeight="1">
      <c r="D153" t="s">
        <v>645</v>
      </c>
      <c r="O153" s="1429" t="s">
        <v>2614</v>
      </c>
      <c r="P153" s="1430"/>
      <c r="Q153" s="1430"/>
      <c r="R153" s="1430"/>
      <c r="S153" s="1430"/>
      <c r="T153" s="1430"/>
      <c r="U153" s="1430"/>
      <c r="V153" s="1430"/>
      <c r="W153" s="1430"/>
      <c r="X153" s="1430"/>
      <c r="Y153" s="1430"/>
      <c r="Z153" s="1430"/>
      <c r="AA153" s="1430"/>
      <c r="AB153" s="1430"/>
      <c r="AC153" s="1430"/>
      <c r="AD153" s="1430"/>
      <c r="AE153" s="1430"/>
      <c r="AF153" s="1430"/>
      <c r="AG153" s="1430"/>
      <c r="AH153" s="1430"/>
      <c r="BM153">
        <v>5</v>
      </c>
      <c r="BN153" s="3" t="s">
        <v>2466</v>
      </c>
      <c r="CR153" s="31" t="s">
        <v>2599</v>
      </c>
      <c r="CS153" s="32"/>
      <c r="CT153" s="32"/>
      <c r="CU153" s="32"/>
      <c r="CV153" s="32"/>
      <c r="CW153" s="32"/>
      <c r="CX153" s="14"/>
      <c r="CY153" s="31" t="s">
        <v>2600</v>
      </c>
      <c r="CZ153" s="14"/>
      <c r="DA153" s="14"/>
      <c r="DB153" s="14"/>
      <c r="DC153" s="14"/>
      <c r="DD153" s="14"/>
    </row>
    <row r="154" spans="1:108" ht="12.95" customHeight="1">
      <c r="D154" s="303" t="s">
        <v>439</v>
      </c>
      <c r="O154" s="1553" t="s">
        <v>2615</v>
      </c>
      <c r="P154" s="1450"/>
      <c r="Q154" s="1450"/>
      <c r="R154" s="1450"/>
      <c r="S154" s="1450"/>
      <c r="T154" s="1450"/>
      <c r="U154" s="1450"/>
      <c r="V154" s="1450"/>
      <c r="W154" s="1450"/>
      <c r="X154" s="1450"/>
      <c r="Y154" s="1450"/>
      <c r="Z154" s="1450"/>
      <c r="AA154" s="1450"/>
      <c r="AB154" s="1450"/>
      <c r="AC154" s="1450"/>
      <c r="AD154" s="1450"/>
      <c r="AE154" s="1450"/>
      <c r="AF154" s="1450"/>
      <c r="AG154" s="1450"/>
      <c r="AH154" s="1450"/>
      <c r="BM154">
        <v>6</v>
      </c>
      <c r="BN154" s="3" t="s">
        <v>2467</v>
      </c>
      <c r="CR154" s="31"/>
      <c r="CS154" s="32"/>
      <c r="CT154" s="32"/>
      <c r="CU154" s="32"/>
      <c r="CV154" s="32"/>
      <c r="CW154" s="32"/>
      <c r="CX154" s="14"/>
      <c r="CY154" s="31"/>
      <c r="CZ154" s="14"/>
      <c r="DA154" s="14"/>
      <c r="DB154" s="14"/>
      <c r="DC154" s="14"/>
      <c r="DD154" s="14"/>
    </row>
    <row r="155" spans="1:108" ht="12.95" customHeight="1">
      <c r="D155" s="8" t="s">
        <v>441</v>
      </c>
      <c r="F155" s="8"/>
      <c r="G155" s="8"/>
      <c r="H155" s="8"/>
      <c r="I155" s="8"/>
      <c r="J155" s="8"/>
      <c r="K155" s="8"/>
      <c r="L155" s="8"/>
      <c r="M155" s="8"/>
      <c r="N155" s="8"/>
      <c r="O155" s="1806" t="s">
        <v>440</v>
      </c>
      <c r="P155" s="1806"/>
      <c r="Q155" s="1806"/>
      <c r="R155" s="1806"/>
      <c r="S155" s="1806"/>
      <c r="T155" s="1806"/>
      <c r="U155" s="1806"/>
      <c r="V155" s="1806"/>
      <c r="W155" s="1806"/>
      <c r="X155" s="1806"/>
      <c r="Y155" s="1806"/>
      <c r="Z155" s="1806"/>
      <c r="AA155" s="1806"/>
      <c r="AB155" s="1806"/>
      <c r="AC155" s="1806"/>
      <c r="AD155" s="1806"/>
      <c r="AE155" s="1806"/>
      <c r="AF155" s="1806"/>
      <c r="AG155" s="1806"/>
      <c r="AH155" s="1806"/>
      <c r="BM155">
        <v>7</v>
      </c>
      <c r="BN155" s="3" t="s">
        <v>591</v>
      </c>
      <c r="CR155" s="31"/>
      <c r="CS155" s="32"/>
      <c r="CT155" s="32"/>
      <c r="CU155" s="32"/>
      <c r="CV155" s="32"/>
      <c r="CW155" s="32"/>
      <c r="CX155" s="14"/>
      <c r="CY155" s="31"/>
      <c r="CZ155" s="14"/>
      <c r="DA155" s="14"/>
      <c r="DB155" s="14"/>
      <c r="DC155" s="14"/>
      <c r="DD155" s="14"/>
    </row>
    <row r="156" spans="1:108" ht="12.95" customHeight="1">
      <c r="D156" t="s">
        <v>312</v>
      </c>
      <c r="O156" s="1338" t="s">
        <v>2616</v>
      </c>
      <c r="P156" s="1338"/>
      <c r="Q156" s="1338"/>
      <c r="R156" s="1338"/>
      <c r="S156" s="1338"/>
      <c r="T156" s="1338"/>
      <c r="U156" s="1338"/>
      <c r="V156" s="1338"/>
      <c r="W156" s="1338"/>
      <c r="X156" s="1338"/>
      <c r="Y156" s="1338"/>
      <c r="Z156" s="1338"/>
      <c r="AA156" s="1338"/>
      <c r="AB156" s="1338"/>
      <c r="AC156" s="1338"/>
      <c r="AD156" s="1338"/>
      <c r="AE156" s="1338"/>
      <c r="AF156" s="1338"/>
      <c r="AG156" s="1338"/>
      <c r="AH156" s="1338"/>
      <c r="BT156" t="s">
        <v>306</v>
      </c>
      <c r="CB156" s="195" t="s">
        <v>2609</v>
      </c>
      <c r="CC156" s="196"/>
      <c r="CD156" s="196"/>
      <c r="CE156" s="196"/>
      <c r="CF156" s="196"/>
      <c r="CG156" s="196"/>
      <c r="CH156" s="196"/>
      <c r="CI156" s="3"/>
      <c r="CJ156" s="195" t="s">
        <v>2607</v>
      </c>
      <c r="CK156" s="3"/>
      <c r="CL156" s="3"/>
      <c r="CM156" s="3"/>
      <c r="CN156" s="3"/>
      <c r="CR156" s="31"/>
      <c r="CS156" s="32"/>
      <c r="CT156" s="32"/>
      <c r="CU156" s="32"/>
      <c r="CV156" s="32"/>
      <c r="CW156" s="32"/>
      <c r="CX156" s="14"/>
      <c r="CY156" s="31"/>
      <c r="CZ156" s="14"/>
      <c r="DA156" s="14"/>
      <c r="DB156" s="14"/>
      <c r="DC156" s="14"/>
      <c r="DD156" s="14"/>
    </row>
    <row r="157" spans="1:108" ht="12.95" customHeight="1">
      <c r="D157" t="s">
        <v>313</v>
      </c>
      <c r="O157" s="1429" t="s">
        <v>2617</v>
      </c>
      <c r="P157" s="1430"/>
      <c r="Q157" s="1430"/>
      <c r="R157" s="1430"/>
      <c r="S157" s="1430"/>
      <c r="T157" s="1430"/>
      <c r="U157" s="1430"/>
      <c r="V157" s="1430"/>
      <c r="W157" s="1430"/>
      <c r="X157" s="1430"/>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1932</v>
      </c>
      <c r="CK157" s="3"/>
      <c r="CL157" s="3"/>
      <c r="CM157" s="3"/>
      <c r="CN157" s="3"/>
      <c r="CR157" s="14"/>
      <c r="CS157" s="32"/>
      <c r="CT157" s="32"/>
      <c r="CU157" s="32"/>
      <c r="CV157" s="32"/>
      <c r="CW157" s="32"/>
      <c r="CX157" s="14"/>
      <c r="CY157" s="14"/>
      <c r="CZ157" s="14"/>
      <c r="DA157" s="14"/>
      <c r="DB157" s="14"/>
      <c r="DC157" s="14"/>
      <c r="DD157" s="14"/>
    </row>
    <row r="158" spans="1:108" ht="12.95" customHeight="1">
      <c r="D158" t="s">
        <v>314</v>
      </c>
      <c r="O158" s="1789">
        <v>93030</v>
      </c>
      <c r="P158" s="1789"/>
      <c r="Q158" s="1789"/>
      <c r="R158" s="1789"/>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315</v>
      </c>
      <c r="O159" s="1778" t="s">
        <v>2618</v>
      </c>
      <c r="P159" s="1778"/>
      <c r="Q159" s="1778"/>
      <c r="R159" s="1778"/>
      <c r="S159" s="1778"/>
      <c r="T159" s="1778"/>
      <c r="V159" s="97" t="s">
        <v>270</v>
      </c>
      <c r="W159" s="1790"/>
      <c r="X159" s="1790"/>
      <c r="Y159" s="10"/>
      <c r="Z159" s="10"/>
      <c r="AA159" s="10"/>
      <c r="AB159" s="10"/>
      <c r="AC159" s="10"/>
      <c r="AD159" s="10"/>
      <c r="AE159" s="10"/>
      <c r="AF159" s="10"/>
      <c r="BN159" s="23" t="s">
        <v>338</v>
      </c>
      <c r="BS159">
        <v>7</v>
      </c>
      <c r="BT159" t="s">
        <v>478</v>
      </c>
      <c r="CB159" s="347" t="s">
        <v>648</v>
      </c>
      <c r="CC159" s="348" t="s">
        <v>323</v>
      </c>
      <c r="CD159" s="348" t="s">
        <v>324</v>
      </c>
      <c r="CE159" s="348" t="s">
        <v>163</v>
      </c>
      <c r="CF159" s="348" t="s">
        <v>164</v>
      </c>
      <c r="CG159" s="348" t="s">
        <v>165</v>
      </c>
      <c r="CH159" s="348" t="s">
        <v>30</v>
      </c>
      <c r="CI159" s="3"/>
      <c r="CJ159" s="348" t="s">
        <v>323</v>
      </c>
      <c r="CK159" s="348" t="s">
        <v>324</v>
      </c>
      <c r="CL159" s="348" t="s">
        <v>163</v>
      </c>
      <c r="CM159" s="348" t="s">
        <v>164</v>
      </c>
      <c r="CN159" s="348" t="s">
        <v>165</v>
      </c>
      <c r="CR159" s="14"/>
      <c r="CS159" s="71" t="s">
        <v>633</v>
      </c>
      <c r="CT159" s="72" t="s">
        <v>324</v>
      </c>
      <c r="CU159" s="72" t="s">
        <v>163</v>
      </c>
      <c r="CV159" s="72" t="s">
        <v>164</v>
      </c>
      <c r="CW159" s="72" t="s">
        <v>460</v>
      </c>
      <c r="CX159" s="14"/>
      <c r="CY159" s="14"/>
      <c r="CZ159" s="71" t="s">
        <v>633</v>
      </c>
      <c r="DA159" s="72" t="s">
        <v>324</v>
      </c>
      <c r="DB159" s="72" t="s">
        <v>163</v>
      </c>
      <c r="DC159" s="72" t="s">
        <v>164</v>
      </c>
      <c r="DD159" s="72" t="s">
        <v>460</v>
      </c>
    </row>
    <row r="160" spans="1:108" ht="12.95" customHeight="1">
      <c r="D160" t="s">
        <v>316</v>
      </c>
      <c r="O160" s="1778" t="s">
        <v>2619</v>
      </c>
      <c r="P160" s="1778"/>
      <c r="Q160" s="1778"/>
      <c r="R160" s="1778"/>
      <c r="S160" s="1778"/>
      <c r="T160" s="1778"/>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2.95" customHeight="1">
      <c r="D161" t="s">
        <v>317</v>
      </c>
      <c r="O161" s="1782" t="s">
        <v>2620</v>
      </c>
      <c r="P161" s="1782"/>
      <c r="Q161" s="1782"/>
      <c r="R161" s="1782"/>
      <c r="S161" s="1782"/>
      <c r="T161" s="1782"/>
      <c r="U161" s="1782"/>
      <c r="V161" s="1782"/>
      <c r="W161" s="1782"/>
      <c r="X161" s="1782"/>
      <c r="Y161" s="1782"/>
      <c r="Z161" s="1782"/>
      <c r="AA161" s="1782"/>
      <c r="AB161" s="1782"/>
      <c r="AC161" s="1782"/>
      <c r="AD161" s="1782"/>
      <c r="AE161" s="1782"/>
      <c r="AF161" s="1782"/>
      <c r="AG161" s="1782"/>
      <c r="AH161" s="1782"/>
      <c r="BJ161" t="s">
        <v>669</v>
      </c>
      <c r="BN161" s="23" t="s">
        <v>661</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338</v>
      </c>
      <c r="CS162" s="323">
        <v>352022</v>
      </c>
      <c r="CT162" s="323">
        <v>405878</v>
      </c>
      <c r="CU162" s="323">
        <v>489600</v>
      </c>
      <c r="CV162" s="323">
        <v>626688</v>
      </c>
      <c r="CW162" s="323">
        <v>698170</v>
      </c>
      <c r="CX162" s="14"/>
      <c r="CY162" s="23" t="s">
        <v>338</v>
      </c>
      <c r="CZ162" s="323">
        <v>352022</v>
      </c>
      <c r="DA162" s="323">
        <v>405878</v>
      </c>
      <c r="DB162" s="323">
        <v>489600</v>
      </c>
      <c r="DC162" s="323">
        <v>626688</v>
      </c>
      <c r="DD162" s="323">
        <v>698170</v>
      </c>
    </row>
    <row r="163" spans="1:108" ht="12.95" customHeight="1">
      <c r="C163" s="27" t="s">
        <v>82</v>
      </c>
      <c r="D163" s="3" t="s">
        <v>2096</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2.95" customHeight="1">
      <c r="C164" s="27"/>
      <c r="D164" s="1799" t="s">
        <v>2216</v>
      </c>
      <c r="E164" s="1799"/>
      <c r="F164" s="1799"/>
      <c r="G164" s="1799"/>
      <c r="H164" s="1799"/>
      <c r="I164" s="1799"/>
      <c r="J164" s="1799"/>
      <c r="K164" s="1799"/>
      <c r="L164" s="1799"/>
      <c r="M164" s="1799"/>
      <c r="N164" s="1799"/>
      <c r="O164" s="1799"/>
      <c r="P164" s="1799"/>
      <c r="Q164" s="1799"/>
      <c r="R164" s="1799"/>
      <c r="S164" s="1799"/>
      <c r="T164" s="1799"/>
      <c r="U164" s="1799"/>
      <c r="V164" s="1799"/>
      <c r="W164" s="1799"/>
      <c r="X164" s="1799"/>
      <c r="Y164" s="1799"/>
      <c r="Z164" s="1799"/>
      <c r="AA164" s="1799"/>
      <c r="AB164" s="1799"/>
      <c r="AC164" s="1799"/>
      <c r="AD164" s="1799"/>
      <c r="AE164" s="1799"/>
      <c r="AF164" s="1799"/>
      <c r="AG164" s="1799"/>
      <c r="AH164" s="1799"/>
      <c r="BN164" s="23" t="s">
        <v>664</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2.95" customHeight="1">
      <c r="A169" s="1435" t="s">
        <v>539</v>
      </c>
      <c r="B169" s="1435"/>
      <c r="C169" s="1435"/>
      <c r="D169" s="1435"/>
      <c r="E169" s="1435"/>
      <c r="F169" s="1435"/>
      <c r="G169" s="1435"/>
      <c r="H169" s="1435"/>
      <c r="I169" s="1435"/>
      <c r="J169" s="1435"/>
      <c r="K169" s="1435"/>
      <c r="L169" s="1435"/>
      <c r="M169" s="1435"/>
      <c r="N169" s="1435"/>
      <c r="O169" s="1435"/>
      <c r="P169" s="1435"/>
      <c r="Q169" s="1435"/>
      <c r="R169" s="1435"/>
      <c r="S169" s="1435"/>
      <c r="T169" s="1435"/>
      <c r="U169" s="1435"/>
      <c r="V169" s="1435"/>
      <c r="W169" s="1435"/>
      <c r="X169" s="1435"/>
      <c r="Y169" s="1435"/>
      <c r="Z169" s="1435"/>
      <c r="AA169" s="1435"/>
      <c r="AB169" s="1435"/>
      <c r="AC169" s="1435"/>
      <c r="AD169" s="1435"/>
      <c r="AE169" s="1435"/>
      <c r="AF169" s="1435"/>
      <c r="AG169" s="1435"/>
      <c r="AH169" s="1435"/>
      <c r="AI169" s="1435"/>
      <c r="AJ169" s="1435"/>
      <c r="AK169" s="1435"/>
      <c r="AL169" s="1435"/>
      <c r="AM169" s="1435"/>
      <c r="AN169" s="1435"/>
      <c r="AO169" s="1435"/>
      <c r="AP169" s="1435"/>
      <c r="AQ169" s="1435"/>
      <c r="AR169" s="1435"/>
      <c r="AS169" s="1435"/>
      <c r="AT169" s="1435"/>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2.95" customHeight="1">
      <c r="A170" s="1435"/>
      <c r="B170" s="1435"/>
      <c r="C170" s="1435"/>
      <c r="D170" s="1435"/>
      <c r="E170" s="1435"/>
      <c r="F170" s="1435"/>
      <c r="G170" s="1435"/>
      <c r="H170" s="1435"/>
      <c r="I170" s="1435"/>
      <c r="J170" s="1435"/>
      <c r="K170" s="1435"/>
      <c r="L170" s="1435"/>
      <c r="M170" s="1435"/>
      <c r="N170" s="1435"/>
      <c r="O170" s="1435"/>
      <c r="P170" s="1435"/>
      <c r="Q170" s="1435"/>
      <c r="R170" s="1435"/>
      <c r="S170" s="1435"/>
      <c r="T170" s="1435"/>
      <c r="U170" s="1435"/>
      <c r="V170" s="1435"/>
      <c r="W170" s="1435"/>
      <c r="X170" s="1435"/>
      <c r="Y170" s="1435"/>
      <c r="Z170" s="1435"/>
      <c r="AA170" s="1435"/>
      <c r="AB170" s="1435"/>
      <c r="AC170" s="1435"/>
      <c r="AD170" s="1435"/>
      <c r="AE170" s="1435"/>
      <c r="AF170" s="1435"/>
      <c r="AG170" s="1435"/>
      <c r="AH170" s="1435"/>
      <c r="AI170" s="1435"/>
      <c r="AJ170" s="1435"/>
      <c r="AK170" s="1435"/>
      <c r="AL170" s="1435"/>
      <c r="AM170" s="1435"/>
      <c r="AN170" s="1435"/>
      <c r="AO170" s="1435"/>
      <c r="AP170" s="1435"/>
      <c r="AQ170" s="1435"/>
      <c r="AR170" s="1435"/>
      <c r="AS170" s="1435"/>
      <c r="AT170" s="1435"/>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2.95" customHeight="1">
      <c r="BN171" s="23" t="s">
        <v>210</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2.95" customHeight="1">
      <c r="A172" s="2" t="s">
        <v>318</v>
      </c>
      <c r="C172" s="2" t="s">
        <v>319</v>
      </c>
      <c r="BN172" s="23" t="s">
        <v>212</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2.95" customHeight="1">
      <c r="C173" s="24"/>
      <c r="D173" t="s">
        <v>320</v>
      </c>
      <c r="J173" s="1805" t="s">
        <v>370</v>
      </c>
      <c r="K173" s="1805"/>
      <c r="L173" s="1805"/>
      <c r="M173" s="1805"/>
      <c r="N173" s="1805"/>
      <c r="O173" s="1805"/>
      <c r="P173" s="1805"/>
      <c r="Q173" s="1805"/>
      <c r="R173" s="1805"/>
      <c r="S173" s="1805"/>
      <c r="U173" s="25"/>
      <c r="X173" s="25"/>
      <c r="BB173" s="3" t="s">
        <v>306</v>
      </c>
      <c r="BN173" s="23" t="s">
        <v>213</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2.95" customHeight="1">
      <c r="C174" s="24"/>
      <c r="D174" s="3" t="s">
        <v>1202</v>
      </c>
      <c r="J174" s="1338" t="s">
        <v>2101</v>
      </c>
      <c r="K174" s="1338"/>
      <c r="L174" s="1338"/>
      <c r="M174" s="1338"/>
      <c r="N174" s="1338"/>
      <c r="O174" s="1338"/>
      <c r="P174" s="1338"/>
      <c r="Q174" s="1338"/>
      <c r="R174" s="1338"/>
      <c r="S174" s="1338"/>
      <c r="T174" s="1338"/>
      <c r="U174" s="1338"/>
      <c r="V174" s="1338"/>
      <c r="W174" s="1338"/>
      <c r="X174" s="1338"/>
      <c r="Y174" s="1338"/>
      <c r="Z174" s="1338"/>
      <c r="AA174" s="1338"/>
      <c r="AB174" s="1338"/>
      <c r="BB174" t="s">
        <v>1969</v>
      </c>
      <c r="BN174" s="23" t="s">
        <v>215</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210</v>
      </c>
      <c r="CS174" s="323">
        <v>307732</v>
      </c>
      <c r="CT174" s="323">
        <v>354812</v>
      </c>
      <c r="CU174" s="323">
        <v>428000</v>
      </c>
      <c r="CV174" s="323">
        <v>547840</v>
      </c>
      <c r="CW174" s="323">
        <v>610328</v>
      </c>
      <c r="CX174" s="14"/>
      <c r="CY174" s="23" t="s">
        <v>210</v>
      </c>
      <c r="CZ174" s="323">
        <v>307732</v>
      </c>
      <c r="DA174" s="323">
        <v>354812</v>
      </c>
      <c r="DB174" s="323">
        <v>428000</v>
      </c>
      <c r="DC174" s="323">
        <v>547840</v>
      </c>
      <c r="DD174" s="323">
        <v>610328</v>
      </c>
    </row>
    <row r="175" spans="1:108" ht="12.95" customHeight="1">
      <c r="C175" s="8"/>
      <c r="D175" s="3" t="s">
        <v>321</v>
      </c>
      <c r="O175" s="27"/>
      <c r="U175" s="1333" t="s">
        <v>669</v>
      </c>
      <c r="V175" s="1333"/>
      <c r="BB175" t="s">
        <v>1937</v>
      </c>
      <c r="BN175" s="23" t="s">
        <v>216</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212</v>
      </c>
      <c r="CS175" s="321">
        <v>307732</v>
      </c>
      <c r="CT175" s="321">
        <v>354812</v>
      </c>
      <c r="CU175" s="321">
        <v>428000</v>
      </c>
      <c r="CV175" s="321">
        <v>547840</v>
      </c>
      <c r="CW175" s="321">
        <v>610328</v>
      </c>
      <c r="CX175" s="14"/>
      <c r="CY175" s="23" t="s">
        <v>212</v>
      </c>
      <c r="CZ175" s="321">
        <v>307732</v>
      </c>
      <c r="DA175" s="321">
        <v>354812</v>
      </c>
      <c r="DB175" s="321">
        <v>428000</v>
      </c>
      <c r="DC175" s="321">
        <v>547840</v>
      </c>
      <c r="DD175" s="321">
        <v>610328</v>
      </c>
    </row>
    <row r="176" spans="1:108" ht="12.95" customHeight="1">
      <c r="C176" s="8"/>
      <c r="D176" s="26"/>
      <c r="E176" t="s">
        <v>303</v>
      </c>
      <c r="O176" s="27"/>
      <c r="P176" t="s">
        <v>2079</v>
      </c>
      <c r="T176" s="27" t="s">
        <v>304</v>
      </c>
      <c r="U176" s="1438"/>
      <c r="V176" s="1438"/>
      <c r="W176" s="1" t="s">
        <v>305</v>
      </c>
      <c r="X176" s="1781"/>
      <c r="Y176" s="1781"/>
      <c r="BB176" t="s">
        <v>1970</v>
      </c>
      <c r="BN176" s="23" t="s">
        <v>218</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213</v>
      </c>
      <c r="CS176" s="323">
        <v>352022</v>
      </c>
      <c r="CT176" s="323">
        <v>405878</v>
      </c>
      <c r="CU176" s="323">
        <v>489600</v>
      </c>
      <c r="CV176" s="323">
        <v>626688</v>
      </c>
      <c r="CW176" s="323">
        <v>698170</v>
      </c>
      <c r="CX176" s="14"/>
      <c r="CY176" s="23" t="s">
        <v>213</v>
      </c>
      <c r="CZ176" s="323">
        <v>352022</v>
      </c>
      <c r="DA176" s="323">
        <v>405878</v>
      </c>
      <c r="DB176" s="323">
        <v>489600</v>
      </c>
      <c r="DC176" s="323">
        <v>626688</v>
      </c>
      <c r="DD176" s="323">
        <v>698170</v>
      </c>
    </row>
    <row r="177" spans="1:108" ht="12.95" customHeight="1">
      <c r="C177" s="24"/>
      <c r="D177" t="s">
        <v>248</v>
      </c>
      <c r="R177" s="1333" t="s">
        <v>669</v>
      </c>
      <c r="S177" s="1333"/>
      <c r="BB177" t="s">
        <v>2213</v>
      </c>
      <c r="BN177" s="23" t="s">
        <v>219</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215</v>
      </c>
      <c r="CS177" s="321">
        <v>352022</v>
      </c>
      <c r="CT177" s="321">
        <v>405878</v>
      </c>
      <c r="CU177" s="321">
        <v>489600</v>
      </c>
      <c r="CV177" s="321">
        <v>626688</v>
      </c>
      <c r="CW177" s="321">
        <v>698170</v>
      </c>
      <c r="CX177" s="14"/>
      <c r="CY177" s="23" t="s">
        <v>215</v>
      </c>
      <c r="CZ177" s="321">
        <v>352022</v>
      </c>
      <c r="DA177" s="321">
        <v>405878</v>
      </c>
      <c r="DB177" s="321">
        <v>489600</v>
      </c>
      <c r="DC177" s="321">
        <v>626688</v>
      </c>
      <c r="DD177" s="321">
        <v>698170</v>
      </c>
    </row>
    <row r="178" spans="1:108" ht="12.95" customHeight="1">
      <c r="C178" s="24"/>
      <c r="D178" s="3" t="s">
        <v>1203</v>
      </c>
      <c r="AA178" t="s">
        <v>2079</v>
      </c>
      <c r="AE178" s="27" t="s">
        <v>304</v>
      </c>
      <c r="AF178" s="1780"/>
      <c r="AG178" s="1780"/>
      <c r="AH178" s="1" t="s">
        <v>305</v>
      </c>
      <c r="AI178" s="1803"/>
      <c r="AJ178" s="1803"/>
      <c r="AK178" s="1803"/>
      <c r="BB178" t="s">
        <v>2214</v>
      </c>
      <c r="BN178" s="23" t="s">
        <v>220</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216</v>
      </c>
      <c r="CS178" s="323">
        <v>437727</v>
      </c>
      <c r="CT178" s="323">
        <v>504695</v>
      </c>
      <c r="CU178" s="323">
        <v>608800</v>
      </c>
      <c r="CV178" s="323">
        <v>779264</v>
      </c>
      <c r="CW178" s="323">
        <v>868149</v>
      </c>
      <c r="CX178" s="14"/>
      <c r="CY178" s="23" t="s">
        <v>216</v>
      </c>
      <c r="CZ178" s="323">
        <v>437727</v>
      </c>
      <c r="DA178" s="323">
        <v>504695</v>
      </c>
      <c r="DB178" s="323">
        <v>608800</v>
      </c>
      <c r="DC178" s="323">
        <v>779264</v>
      </c>
      <c r="DD178" s="323">
        <v>868149</v>
      </c>
    </row>
    <row r="179" spans="1:108" ht="12.95" customHeight="1">
      <c r="C179" s="24"/>
      <c r="BN179" s="23" t="s">
        <v>221</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218</v>
      </c>
      <c r="CS179" s="321">
        <v>307732</v>
      </c>
      <c r="CT179" s="321">
        <v>354812</v>
      </c>
      <c r="CU179" s="321">
        <v>428000</v>
      </c>
      <c r="CV179" s="321">
        <v>547840</v>
      </c>
      <c r="CW179" s="321">
        <v>610328</v>
      </c>
      <c r="CX179" s="14"/>
      <c r="CY179" s="23" t="s">
        <v>218</v>
      </c>
      <c r="CZ179" s="321">
        <v>307732</v>
      </c>
      <c r="DA179" s="321">
        <v>354812</v>
      </c>
      <c r="DB179" s="321">
        <v>428000</v>
      </c>
      <c r="DC179" s="321">
        <v>547840</v>
      </c>
      <c r="DD179" s="321">
        <v>610328</v>
      </c>
    </row>
    <row r="180" spans="1:108" ht="12.95" customHeight="1">
      <c r="C180" s="24"/>
      <c r="D180" t="s">
        <v>2080</v>
      </c>
      <c r="X180" s="1333" t="s">
        <v>669</v>
      </c>
      <c r="Y180" s="1333"/>
      <c r="BN180" s="23" t="s">
        <v>223</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219</v>
      </c>
      <c r="CS180" s="323">
        <v>384234</v>
      </c>
      <c r="CT180" s="323">
        <v>443018</v>
      </c>
      <c r="CU180" s="323">
        <v>534400</v>
      </c>
      <c r="CV180" s="323">
        <v>684032</v>
      </c>
      <c r="CW180" s="323">
        <v>762054</v>
      </c>
      <c r="CX180" s="14"/>
      <c r="CY180" s="23" t="s">
        <v>219</v>
      </c>
      <c r="CZ180" s="323">
        <v>384234</v>
      </c>
      <c r="DA180" s="323">
        <v>443018</v>
      </c>
      <c r="DB180" s="323">
        <v>534400</v>
      </c>
      <c r="DC180" s="323">
        <v>684032</v>
      </c>
      <c r="DD180" s="323">
        <v>762054</v>
      </c>
    </row>
    <row r="181" spans="1:108" ht="12.95" customHeight="1">
      <c r="C181" s="8"/>
      <c r="E181" s="4" t="s">
        <v>976</v>
      </c>
      <c r="BN181" s="23" t="s">
        <v>224</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220</v>
      </c>
      <c r="CS181" s="321">
        <v>352022</v>
      </c>
      <c r="CT181" s="321">
        <v>405878</v>
      </c>
      <c r="CU181" s="321">
        <v>489600</v>
      </c>
      <c r="CV181" s="321">
        <v>626688</v>
      </c>
      <c r="CW181" s="321">
        <v>698170</v>
      </c>
      <c r="CX181" s="14"/>
      <c r="CY181" s="23" t="s">
        <v>220</v>
      </c>
      <c r="CZ181" s="321">
        <v>352022</v>
      </c>
      <c r="DA181" s="321">
        <v>405878</v>
      </c>
      <c r="DB181" s="321">
        <v>489600</v>
      </c>
      <c r="DC181" s="321">
        <v>626688</v>
      </c>
      <c r="DD181" s="321">
        <v>698170</v>
      </c>
    </row>
    <row r="182" spans="1:108" ht="12.95" customHeight="1">
      <c r="C182" s="530"/>
      <c r="BN182" s="23" t="s">
        <v>225</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221</v>
      </c>
      <c r="CS182" s="323">
        <v>352022</v>
      </c>
      <c r="CT182" s="323">
        <v>405878</v>
      </c>
      <c r="CU182" s="323">
        <v>489600</v>
      </c>
      <c r="CV182" s="323">
        <v>626688</v>
      </c>
      <c r="CW182" s="323">
        <v>698170</v>
      </c>
      <c r="CX182" s="14"/>
      <c r="CY182" s="23" t="s">
        <v>221</v>
      </c>
      <c r="CZ182" s="323">
        <v>352022</v>
      </c>
      <c r="DA182" s="323">
        <v>405878</v>
      </c>
      <c r="DB182" s="323">
        <v>489600</v>
      </c>
      <c r="DC182" s="323">
        <v>626688</v>
      </c>
      <c r="DD182" s="323">
        <v>698170</v>
      </c>
    </row>
    <row r="183" spans="1:108" ht="12.95" customHeight="1">
      <c r="A183" s="2" t="s">
        <v>576</v>
      </c>
      <c r="C183" s="2" t="s">
        <v>577</v>
      </c>
      <c r="BN183" s="23" t="s">
        <v>227</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223</v>
      </c>
      <c r="CS183" s="321">
        <v>307732</v>
      </c>
      <c r="CT183" s="321">
        <v>354812</v>
      </c>
      <c r="CU183" s="321">
        <v>428000</v>
      </c>
      <c r="CV183" s="321">
        <v>547840</v>
      </c>
      <c r="CW183" s="321">
        <v>610328</v>
      </c>
      <c r="CX183" s="14"/>
      <c r="CY183" s="23" t="s">
        <v>223</v>
      </c>
      <c r="CZ183" s="321">
        <v>307732</v>
      </c>
      <c r="DA183" s="321">
        <v>354812</v>
      </c>
      <c r="DB183" s="321">
        <v>428000</v>
      </c>
      <c r="DC183" s="321">
        <v>547840</v>
      </c>
      <c r="DD183" s="321">
        <v>610328</v>
      </c>
    </row>
    <row r="184" spans="1:108" ht="12.95" customHeight="1">
      <c r="C184" s="21"/>
      <c r="D184" t="s">
        <v>578</v>
      </c>
      <c r="I184" s="1358" t="str">
        <f>H18</f>
        <v>Cypress Place at Garden City II</v>
      </c>
      <c r="J184" s="1358"/>
      <c r="K184" s="1358"/>
      <c r="L184" s="1358"/>
      <c r="M184" s="1358"/>
      <c r="N184" s="1358"/>
      <c r="O184" s="1358"/>
      <c r="P184" s="1358"/>
      <c r="Q184" s="1358"/>
      <c r="R184" s="1358"/>
      <c r="S184" s="1358"/>
      <c r="T184" s="1358"/>
      <c r="U184" s="1358"/>
      <c r="V184" s="1358"/>
      <c r="W184" s="1358"/>
      <c r="X184" s="1358"/>
      <c r="Y184" s="1358"/>
      <c r="Z184" s="1358"/>
      <c r="AA184" s="1358"/>
      <c r="AB184" s="1358"/>
      <c r="AC184" s="1358"/>
      <c r="AD184" s="1358"/>
      <c r="AE184" s="1358"/>
      <c r="BC184" t="s">
        <v>587</v>
      </c>
      <c r="BN184" s="23" t="s">
        <v>229</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224</v>
      </c>
      <c r="CS184" s="323">
        <v>352022</v>
      </c>
      <c r="CT184" s="323">
        <v>405878</v>
      </c>
      <c r="CU184" s="323">
        <v>489600</v>
      </c>
      <c r="CV184" s="323">
        <v>626688</v>
      </c>
      <c r="CW184" s="323">
        <v>698170</v>
      </c>
      <c r="CX184" s="14"/>
      <c r="CY184" s="23" t="s">
        <v>224</v>
      </c>
      <c r="CZ184" s="323">
        <v>352022</v>
      </c>
      <c r="DA184" s="323">
        <v>405878</v>
      </c>
      <c r="DB184" s="323">
        <v>489600</v>
      </c>
      <c r="DC184" s="323">
        <v>626688</v>
      </c>
      <c r="DD184" s="323">
        <v>698170</v>
      </c>
    </row>
    <row r="185" spans="1:108" ht="12.95" customHeight="1">
      <c r="C185" s="21"/>
      <c r="D185" t="s">
        <v>579</v>
      </c>
      <c r="I185" s="1351" t="s">
        <v>2621</v>
      </c>
      <c r="J185" s="1351"/>
      <c r="K185" s="1351"/>
      <c r="L185" s="1351"/>
      <c r="M185" s="1351"/>
      <c r="N185" s="1351"/>
      <c r="O185" s="1351"/>
      <c r="P185" s="1351"/>
      <c r="Q185" s="1351"/>
      <c r="R185" s="1351"/>
      <c r="S185" s="1351"/>
      <c r="T185" s="1351"/>
      <c r="U185" s="1351"/>
      <c r="V185" s="1351"/>
      <c r="W185" s="1351"/>
      <c r="X185" s="1351"/>
      <c r="Y185" s="1351"/>
      <c r="Z185" s="1351"/>
      <c r="AA185" s="1351"/>
      <c r="AB185" s="1351"/>
      <c r="AC185" s="1351"/>
      <c r="AD185" s="1351"/>
      <c r="AE185" s="1351"/>
      <c r="BC185" t="s">
        <v>588</v>
      </c>
      <c r="BN185" s="23" t="s">
        <v>230</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225</v>
      </c>
      <c r="CS185" s="321">
        <v>352022</v>
      </c>
      <c r="CT185" s="321">
        <v>405878</v>
      </c>
      <c r="CU185" s="321">
        <v>489600</v>
      </c>
      <c r="CV185" s="321">
        <v>626688</v>
      </c>
      <c r="CW185" s="321">
        <v>698170</v>
      </c>
      <c r="CX185" s="14"/>
      <c r="CY185" s="23" t="s">
        <v>225</v>
      </c>
      <c r="CZ185" s="321">
        <v>352022</v>
      </c>
      <c r="DA185" s="321">
        <v>405878</v>
      </c>
      <c r="DB185" s="321">
        <v>489600</v>
      </c>
      <c r="DC185" s="321">
        <v>626688</v>
      </c>
      <c r="DD185" s="321">
        <v>698170</v>
      </c>
    </row>
    <row r="186" spans="1:108" ht="12.95" customHeight="1">
      <c r="C186" s="21"/>
      <c r="E186" t="s">
        <v>167</v>
      </c>
      <c r="BN186" s="23" t="s">
        <v>231</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227</v>
      </c>
      <c r="CS186" s="323">
        <v>404366</v>
      </c>
      <c r="CT186" s="323">
        <v>466230</v>
      </c>
      <c r="CU186" s="323">
        <v>562400</v>
      </c>
      <c r="CV186" s="323">
        <v>719872</v>
      </c>
      <c r="CW186" s="323">
        <v>801982</v>
      </c>
      <c r="CX186" s="14"/>
      <c r="CY186" s="23" t="s">
        <v>227</v>
      </c>
      <c r="CZ186" s="323">
        <v>404366</v>
      </c>
      <c r="DA186" s="323">
        <v>466230</v>
      </c>
      <c r="DB186" s="323">
        <v>562400</v>
      </c>
      <c r="DC186" s="323">
        <v>719872</v>
      </c>
      <c r="DD186" s="323">
        <v>801982</v>
      </c>
    </row>
    <row r="187" spans="1:108" ht="12.95" customHeight="1">
      <c r="C187" s="21"/>
      <c r="E187" s="1802"/>
      <c r="F187" s="1802"/>
      <c r="G187" s="1802"/>
      <c r="H187" s="1802"/>
      <c r="I187" s="1802"/>
      <c r="J187" s="1802"/>
      <c r="K187" s="1802"/>
      <c r="L187" s="1802"/>
      <c r="M187" s="1802"/>
      <c r="N187" s="1802"/>
      <c r="O187" s="1802"/>
      <c r="P187" s="1802"/>
      <c r="Q187" s="1802"/>
      <c r="R187" s="1802"/>
      <c r="S187" s="1802"/>
      <c r="T187" s="1802"/>
      <c r="U187" s="1802"/>
      <c r="V187" s="1802"/>
      <c r="W187" s="1802"/>
      <c r="X187" s="1802"/>
      <c r="Y187" s="1802"/>
      <c r="Z187" s="1802"/>
      <c r="AA187" s="1802"/>
      <c r="AB187" s="1802"/>
      <c r="AC187" s="1802"/>
      <c r="AD187" s="1802"/>
      <c r="AE187" s="1802"/>
      <c r="BN187" s="23" t="s">
        <v>232</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229</v>
      </c>
      <c r="CS187" s="321">
        <v>384234</v>
      </c>
      <c r="CT187" s="321">
        <v>443018</v>
      </c>
      <c r="CU187" s="321">
        <v>534400</v>
      </c>
      <c r="CV187" s="321">
        <v>684032</v>
      </c>
      <c r="CW187" s="321">
        <v>762054</v>
      </c>
      <c r="CX187" s="14"/>
      <c r="CY187" s="23" t="s">
        <v>229</v>
      </c>
      <c r="CZ187" s="321">
        <v>384234</v>
      </c>
      <c r="DA187" s="321">
        <v>443018</v>
      </c>
      <c r="DB187" s="321">
        <v>534400</v>
      </c>
      <c r="DC187" s="321">
        <v>684032</v>
      </c>
      <c r="DD187" s="321">
        <v>762054</v>
      </c>
    </row>
    <row r="188" spans="1:108" ht="12.95" customHeight="1">
      <c r="C188" s="21"/>
      <c r="E188" s="1772"/>
      <c r="F188" s="1772"/>
      <c r="G188" s="1772"/>
      <c r="H188" s="1772"/>
      <c r="I188" s="1772"/>
      <c r="J188" s="1772"/>
      <c r="K188" s="1772"/>
      <c r="L188" s="1772"/>
      <c r="M188" s="1772"/>
      <c r="N188" s="1772"/>
      <c r="O188" s="1772"/>
      <c r="P188" s="1772"/>
      <c r="Q188" s="1772"/>
      <c r="R188" s="1772"/>
      <c r="S188" s="1772"/>
      <c r="T188" s="1772"/>
      <c r="U188" s="1772"/>
      <c r="V188" s="1772"/>
      <c r="W188" s="1772"/>
      <c r="X188" s="1772"/>
      <c r="Y188" s="1772"/>
      <c r="Z188" s="1772"/>
      <c r="AA188" s="1772"/>
      <c r="AB188" s="1772"/>
      <c r="AC188" s="1772"/>
      <c r="AD188" s="1772"/>
      <c r="AE188" s="1772"/>
      <c r="BN188" s="23" t="s">
        <v>234</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230</v>
      </c>
      <c r="CS188" s="323">
        <v>352022</v>
      </c>
      <c r="CT188" s="323">
        <v>405878</v>
      </c>
      <c r="CU188" s="323">
        <v>489600</v>
      </c>
      <c r="CV188" s="323">
        <v>626688</v>
      </c>
      <c r="CW188" s="323">
        <v>698170</v>
      </c>
      <c r="CX188" s="14"/>
      <c r="CY188" s="23" t="s">
        <v>230</v>
      </c>
      <c r="CZ188" s="323">
        <v>352022</v>
      </c>
      <c r="DA188" s="323">
        <v>405878</v>
      </c>
      <c r="DB188" s="323">
        <v>489600</v>
      </c>
      <c r="DC188" s="323">
        <v>626688</v>
      </c>
      <c r="DD188" s="323">
        <v>698170</v>
      </c>
    </row>
    <row r="189" spans="1:108" ht="12.95" customHeight="1">
      <c r="C189" s="21"/>
      <c r="D189" t="s">
        <v>580</v>
      </c>
      <c r="I189" s="1429" t="s">
        <v>2617</v>
      </c>
      <c r="J189" s="1338"/>
      <c r="K189" s="1338"/>
      <c r="L189" s="1338"/>
      <c r="M189" s="1338"/>
      <c r="N189" s="1338"/>
      <c r="O189" s="1338"/>
      <c r="P189" s="1338"/>
      <c r="Q189" t="s">
        <v>582</v>
      </c>
      <c r="T189" s="1338" t="s">
        <v>202</v>
      </c>
      <c r="U189" s="1338"/>
      <c r="V189" s="1338"/>
      <c r="W189" s="1338"/>
      <c r="X189" s="1338"/>
      <c r="Y189" s="1338"/>
      <c r="Z189" s="1338"/>
      <c r="AA189" s="1338"/>
      <c r="AB189" s="1338"/>
      <c r="AC189" s="1338"/>
      <c r="AD189" s="1338"/>
      <c r="AE189" s="1338"/>
      <c r="BC189" t="s">
        <v>306</v>
      </c>
      <c r="BH189" s="3" t="s">
        <v>591</v>
      </c>
      <c r="BN189" s="23" t="s">
        <v>235</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231</v>
      </c>
      <c r="CS189" s="321">
        <v>396888</v>
      </c>
      <c r="CT189" s="321">
        <v>457608</v>
      </c>
      <c r="CU189" s="321">
        <v>552000</v>
      </c>
      <c r="CV189" s="321">
        <v>706560</v>
      </c>
      <c r="CW189" s="321">
        <v>787152</v>
      </c>
      <c r="CX189" s="14"/>
      <c r="CY189" s="23" t="s">
        <v>231</v>
      </c>
      <c r="CZ189" s="321">
        <v>396888</v>
      </c>
      <c r="DA189" s="321">
        <v>457608</v>
      </c>
      <c r="DB189" s="321">
        <v>552000</v>
      </c>
      <c r="DC189" s="321">
        <v>706560</v>
      </c>
      <c r="DD189" s="321">
        <v>787152</v>
      </c>
    </row>
    <row r="190" spans="1:108" ht="12.95" customHeight="1">
      <c r="C190" s="21"/>
      <c r="D190" t="s">
        <v>583</v>
      </c>
      <c r="I190" s="1351">
        <v>93033</v>
      </c>
      <c r="J190" s="1351"/>
      <c r="K190" s="1351"/>
      <c r="L190" s="1351"/>
      <c r="M190" s="1351"/>
      <c r="N190" s="1351"/>
      <c r="O190" t="s">
        <v>585</v>
      </c>
      <c r="T190" s="1787">
        <v>45.03</v>
      </c>
      <c r="U190" s="1787"/>
      <c r="V190" s="1787"/>
      <c r="W190" s="1787"/>
      <c r="X190" s="1787"/>
      <c r="Y190" s="1787"/>
      <c r="Z190" s="1787"/>
      <c r="AA190" s="1787"/>
      <c r="AB190" s="1787"/>
      <c r="AC190" s="1787"/>
      <c r="AD190" s="1787"/>
      <c r="AE190" s="1787"/>
      <c r="BC190" t="s">
        <v>1041</v>
      </c>
      <c r="BH190" t="s">
        <v>1041</v>
      </c>
      <c r="BN190" s="23" t="s">
        <v>635</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232</v>
      </c>
      <c r="CS190" s="323">
        <v>331890</v>
      </c>
      <c r="CT190" s="323">
        <v>382666</v>
      </c>
      <c r="CU190" s="323">
        <v>461600</v>
      </c>
      <c r="CV190" s="323">
        <v>590848</v>
      </c>
      <c r="CW190" s="323">
        <v>658242</v>
      </c>
      <c r="CX190" s="14"/>
      <c r="CY190" s="23" t="s">
        <v>232</v>
      </c>
      <c r="CZ190" s="323">
        <v>331890</v>
      </c>
      <c r="DA190" s="323">
        <v>382666</v>
      </c>
      <c r="DB190" s="323">
        <v>461600</v>
      </c>
      <c r="DC190" s="323">
        <v>590848</v>
      </c>
      <c r="DD190" s="323">
        <v>658242</v>
      </c>
    </row>
    <row r="191" spans="1:108" ht="12.95" customHeight="1">
      <c r="C191" s="21"/>
      <c r="D191" t="s">
        <v>462</v>
      </c>
      <c r="N191" s="1801" t="s">
        <v>2718</v>
      </c>
      <c r="O191" s="1802"/>
      <c r="P191" s="1802"/>
      <c r="Q191" s="1802"/>
      <c r="R191" s="1802"/>
      <c r="S191" s="1802"/>
      <c r="T191" s="1802"/>
      <c r="U191" s="1802"/>
      <c r="V191" s="1802"/>
      <c r="W191" s="1802"/>
      <c r="X191" s="1802"/>
      <c r="Y191" s="1802"/>
      <c r="Z191" s="1802"/>
      <c r="AA191" s="1802"/>
      <c r="AB191" s="1802"/>
      <c r="AC191" s="1802"/>
      <c r="AD191" s="1802"/>
      <c r="AE191" s="1802"/>
      <c r="BC191" t="s">
        <v>1040</v>
      </c>
      <c r="BH191" t="s">
        <v>1040</v>
      </c>
      <c r="BN191" s="23" t="s">
        <v>688</v>
      </c>
      <c r="BS191">
        <v>4</v>
      </c>
      <c r="BT191" t="s">
        <v>727</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234</v>
      </c>
      <c r="CS191" s="321">
        <v>352022</v>
      </c>
      <c r="CT191" s="321">
        <v>405878</v>
      </c>
      <c r="CU191" s="321">
        <v>489600</v>
      </c>
      <c r="CV191" s="321">
        <v>626688</v>
      </c>
      <c r="CW191" s="321">
        <v>698170</v>
      </c>
      <c r="CX191" s="14"/>
      <c r="CY191" s="23" t="s">
        <v>234</v>
      </c>
      <c r="CZ191" s="321">
        <v>352022</v>
      </c>
      <c r="DA191" s="321">
        <v>405878</v>
      </c>
      <c r="DB191" s="321">
        <v>489600</v>
      </c>
      <c r="DC191" s="321">
        <v>626688</v>
      </c>
      <c r="DD191" s="321">
        <v>698170</v>
      </c>
    </row>
    <row r="192" spans="1:108" ht="12.95" customHeight="1">
      <c r="C192" s="21"/>
      <c r="M192" s="40"/>
      <c r="N192" s="1772"/>
      <c r="O192" s="1772"/>
      <c r="P192" s="1772"/>
      <c r="Q192" s="1772"/>
      <c r="R192" s="1772"/>
      <c r="S192" s="1772"/>
      <c r="T192" s="1772"/>
      <c r="U192" s="1772"/>
      <c r="V192" s="1772"/>
      <c r="W192" s="1772"/>
      <c r="X192" s="1772"/>
      <c r="Y192" s="1772"/>
      <c r="Z192" s="1772"/>
      <c r="AA192" s="1772"/>
      <c r="AB192" s="1772"/>
      <c r="AC192" s="1772"/>
      <c r="AD192" s="1772"/>
      <c r="AE192" s="1772"/>
      <c r="BC192" t="s">
        <v>1043</v>
      </c>
      <c r="BH192" s="3" t="s">
        <v>1364</v>
      </c>
      <c r="BN192" s="23" t="s">
        <v>689</v>
      </c>
      <c r="BS192">
        <v>5</v>
      </c>
      <c r="BT192" t="s">
        <v>728</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235</v>
      </c>
      <c r="CS192" s="323">
        <v>324988</v>
      </c>
      <c r="CT192" s="323">
        <v>374708</v>
      </c>
      <c r="CU192" s="323">
        <v>452000</v>
      </c>
      <c r="CV192" s="323">
        <v>578560</v>
      </c>
      <c r="CW192" s="323">
        <v>644552</v>
      </c>
      <c r="CX192" s="14"/>
      <c r="CY192" s="23" t="s">
        <v>235</v>
      </c>
      <c r="CZ192" s="323">
        <v>324988</v>
      </c>
      <c r="DA192" s="323">
        <v>374708</v>
      </c>
      <c r="DB192" s="323">
        <v>452000</v>
      </c>
      <c r="DC192" s="323">
        <v>578560</v>
      </c>
      <c r="DD192" s="323">
        <v>644552</v>
      </c>
    </row>
    <row r="193" spans="1:108" ht="12.95" customHeight="1">
      <c r="C193" s="21"/>
      <c r="D193" t="s">
        <v>2081</v>
      </c>
      <c r="M193" s="40"/>
      <c r="N193" s="894"/>
      <c r="O193" s="894"/>
      <c r="P193" s="894"/>
      <c r="Q193" s="894"/>
      <c r="R193" s="894"/>
      <c r="S193" s="894"/>
      <c r="T193" s="1791" t="s">
        <v>2213</v>
      </c>
      <c r="U193" s="1791"/>
      <c r="V193" s="1791"/>
      <c r="W193" s="1791"/>
      <c r="X193" s="1791"/>
      <c r="Y193" s="1791"/>
      <c r="Z193" s="1791"/>
      <c r="AA193" s="1791"/>
      <c r="AB193" s="1791"/>
      <c r="AC193" s="1791"/>
      <c r="AD193" s="1791"/>
      <c r="AE193" s="1791"/>
      <c r="AF193" s="1791"/>
      <c r="AG193" s="1791"/>
      <c r="AH193" s="1791"/>
      <c r="AI193" s="1791"/>
      <c r="BC193" t="s">
        <v>1042</v>
      </c>
      <c r="BH193" s="3" t="s">
        <v>1629</v>
      </c>
      <c r="BN193" s="23" t="s">
        <v>690</v>
      </c>
      <c r="BS193">
        <v>4</v>
      </c>
      <c r="BT193" t="s">
        <v>729</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2.95" customHeight="1">
      <c r="C194" s="21"/>
      <c r="D194" s="3" t="s">
        <v>2215</v>
      </c>
      <c r="M194" s="40"/>
      <c r="N194" s="894"/>
      <c r="O194" s="894"/>
      <c r="P194" s="894"/>
      <c r="Q194" s="894"/>
      <c r="R194" s="894"/>
      <c r="S194" s="894"/>
      <c r="AH194" s="1333" t="s">
        <v>669</v>
      </c>
      <c r="AI194" s="1333"/>
      <c r="BC194" t="s">
        <v>1364</v>
      </c>
      <c r="BN194" s="23" t="s">
        <v>691</v>
      </c>
      <c r="BS194">
        <v>2</v>
      </c>
      <c r="BT194" t="s">
        <v>730</v>
      </c>
      <c r="CB194" s="350" t="s">
        <v>727</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2.95" customHeight="1">
      <c r="C195" s="21"/>
      <c r="D195" t="s">
        <v>330</v>
      </c>
      <c r="T195" s="1333" t="s">
        <v>669</v>
      </c>
      <c r="U195" s="1333"/>
      <c r="W195" t="s">
        <v>684</v>
      </c>
      <c r="AH195" s="1333">
        <v>26</v>
      </c>
      <c r="AI195" s="1333"/>
      <c r="BC195" t="s">
        <v>1856</v>
      </c>
      <c r="BN195" s="23" t="s">
        <v>241</v>
      </c>
      <c r="BS195">
        <v>6</v>
      </c>
      <c r="BT195" t="s">
        <v>731</v>
      </c>
      <c r="CB195" s="350" t="s">
        <v>728</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2.95" customHeight="1">
      <c r="C196" s="21"/>
      <c r="D196" t="s">
        <v>385</v>
      </c>
      <c r="T196" s="1401" t="s">
        <v>545</v>
      </c>
      <c r="U196" s="1401"/>
      <c r="W196" t="s">
        <v>685</v>
      </c>
      <c r="AH196" s="1333">
        <v>38</v>
      </c>
      <c r="AI196" s="1333"/>
      <c r="BN196" s="23" t="s">
        <v>242</v>
      </c>
      <c r="BS196">
        <v>4</v>
      </c>
      <c r="BT196" t="s">
        <v>69</v>
      </c>
      <c r="CB196" s="350" t="s">
        <v>729</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2.95" customHeight="1">
      <c r="C197" s="21"/>
      <c r="D197" s="3" t="s">
        <v>168</v>
      </c>
      <c r="T197" s="1401" t="s">
        <v>669</v>
      </c>
      <c r="U197" s="1401"/>
      <c r="W197" t="s">
        <v>686</v>
      </c>
      <c r="AH197" s="1333">
        <v>19</v>
      </c>
      <c r="AI197" s="1333"/>
      <c r="BC197" t="s">
        <v>306</v>
      </c>
      <c r="BN197" s="23" t="s">
        <v>243</v>
      </c>
      <c r="BS197">
        <v>2</v>
      </c>
      <c r="BT197" t="s">
        <v>70</v>
      </c>
      <c r="CB197" s="350" t="s">
        <v>730</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2.95" customHeight="1">
      <c r="A198"/>
      <c r="B198"/>
      <c r="C198" s="21"/>
      <c r="D198" s="3" t="s">
        <v>1652</v>
      </c>
      <c r="E198"/>
      <c r="F198"/>
      <c r="G198"/>
      <c r="H198"/>
      <c r="I198"/>
      <c r="J198"/>
      <c r="K198"/>
      <c r="L198"/>
      <c r="M198"/>
      <c r="N198"/>
      <c r="O198"/>
      <c r="P198"/>
      <c r="Q198"/>
      <c r="R198"/>
      <c r="S198"/>
      <c r="T198" s="1401"/>
      <c r="U198" s="1401"/>
      <c r="V198"/>
      <c r="X198" s="1426" t="s">
        <v>2513</v>
      </c>
      <c r="Y198" s="1426"/>
      <c r="Z198" s="1426"/>
      <c r="AA198" s="1426"/>
      <c r="AB198" s="1426"/>
      <c r="AC198" s="1426"/>
      <c r="AD198" s="1426"/>
      <c r="AE198" s="1426"/>
      <c r="AF198" s="1426"/>
      <c r="AG198" s="1426"/>
      <c r="AH198" s="1426"/>
      <c r="AI198" s="1426"/>
      <c r="AJ198" s="1426"/>
      <c r="AK198" s="1426"/>
      <c r="AL198" s="1426"/>
      <c r="AM198" s="1426"/>
      <c r="AN198" s="1426"/>
      <c r="AO198" s="1426"/>
      <c r="AP198" s="1426"/>
      <c r="AQ198" s="1426"/>
      <c r="AR198" s="1426"/>
      <c r="AS198" s="1426"/>
      <c r="AT198" s="1426"/>
      <c r="AU198"/>
      <c r="AV198"/>
      <c r="AW198"/>
      <c r="AX198"/>
      <c r="AY198"/>
      <c r="AZ198" s="30"/>
      <c r="BA198" s="30"/>
      <c r="BC198" s="14" t="s">
        <v>591</v>
      </c>
      <c r="BD198"/>
      <c r="BN198" s="23" t="s">
        <v>697</v>
      </c>
      <c r="BO198"/>
      <c r="BP198"/>
      <c r="BQ198"/>
      <c r="BR198"/>
      <c r="BS198">
        <v>4</v>
      </c>
      <c r="BT198" t="s">
        <v>190</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241</v>
      </c>
      <c r="CS198" s="323">
        <v>307732</v>
      </c>
      <c r="CT198" s="323">
        <v>354812</v>
      </c>
      <c r="CU198" s="323">
        <v>428000</v>
      </c>
      <c r="CV198" s="323">
        <v>547840</v>
      </c>
      <c r="CW198" s="323">
        <v>610328</v>
      </c>
      <c r="CY198" s="23" t="s">
        <v>241</v>
      </c>
      <c r="CZ198" s="323">
        <v>307732</v>
      </c>
      <c r="DA198" s="323">
        <v>354812</v>
      </c>
      <c r="DB198" s="323">
        <v>428000</v>
      </c>
      <c r="DC198" s="323">
        <v>547840</v>
      </c>
      <c r="DD198" s="323">
        <v>610328</v>
      </c>
    </row>
    <row r="199" spans="1:108" s="14" customFormat="1" ht="12.95" customHeight="1">
      <c r="A199"/>
      <c r="B199"/>
      <c r="C199" s="21"/>
      <c r="D199" s="118" t="s">
        <v>2516</v>
      </c>
      <c r="E199"/>
      <c r="F199"/>
      <c r="G199"/>
      <c r="H199"/>
      <c r="I199"/>
      <c r="J199"/>
      <c r="K199"/>
      <c r="L199"/>
      <c r="M199"/>
      <c r="N199"/>
      <c r="O199"/>
      <c r="P199"/>
      <c r="Q199"/>
      <c r="R199"/>
      <c r="S199"/>
      <c r="T199" s="1333" t="s">
        <v>669</v>
      </c>
      <c r="U199" s="1333"/>
      <c r="V199"/>
      <c r="W199"/>
      <c r="X199" s="1426"/>
      <c r="Y199" s="1426"/>
      <c r="Z199" s="1426"/>
      <c r="AA199" s="1426"/>
      <c r="AB199" s="1426"/>
      <c r="AC199" s="1426"/>
      <c r="AD199" s="1426"/>
      <c r="AE199" s="1426"/>
      <c r="AF199" s="1426"/>
      <c r="AG199" s="1426"/>
      <c r="AH199" s="1426"/>
      <c r="AI199" s="1426"/>
      <c r="AJ199" s="1426"/>
      <c r="AK199" s="1426"/>
      <c r="AL199" s="1426"/>
      <c r="AM199" s="1426"/>
      <c r="AN199" s="1426"/>
      <c r="AO199" s="1426"/>
      <c r="AP199" s="1426"/>
      <c r="AQ199" s="1426"/>
      <c r="AR199" s="1426"/>
      <c r="AS199" s="1426"/>
      <c r="AT199" s="1426"/>
      <c r="AU199"/>
      <c r="AV199"/>
      <c r="AW199"/>
      <c r="AX199"/>
      <c r="AY199"/>
      <c r="AZ199" s="30"/>
      <c r="BA199" s="30"/>
      <c r="BC199" t="s">
        <v>875</v>
      </c>
      <c r="BD199"/>
      <c r="BN199" s="23" t="s">
        <v>698</v>
      </c>
      <c r="BO199"/>
      <c r="BP199"/>
      <c r="BQ199"/>
      <c r="BR199"/>
      <c r="BS199">
        <v>2</v>
      </c>
      <c r="BT199" s="32" t="s">
        <v>191</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242</v>
      </c>
      <c r="CS199" s="321">
        <v>404366</v>
      </c>
      <c r="CT199" s="321">
        <v>466230</v>
      </c>
      <c r="CU199" s="321">
        <v>562400</v>
      </c>
      <c r="CV199" s="321">
        <v>719872</v>
      </c>
      <c r="CW199" s="321">
        <v>801982</v>
      </c>
      <c r="CY199" s="23" t="s">
        <v>242</v>
      </c>
      <c r="CZ199" s="321">
        <v>404366</v>
      </c>
      <c r="DA199" s="321">
        <v>466230</v>
      </c>
      <c r="DB199" s="321">
        <v>562400</v>
      </c>
      <c r="DC199" s="321">
        <v>719872</v>
      </c>
      <c r="DD199" s="321">
        <v>801982</v>
      </c>
    </row>
    <row r="200" spans="1:108" s="14" customFormat="1" ht="12.95" customHeight="1">
      <c r="A200"/>
      <c r="B200"/>
      <c r="C200" s="21"/>
      <c r="D200" s="14" t="s">
        <v>2514</v>
      </c>
      <c r="T200" s="1333" t="s">
        <v>669</v>
      </c>
      <c r="U200" s="1333"/>
      <c r="V200"/>
      <c r="W200"/>
      <c r="X200"/>
      <c r="Y200"/>
      <c r="AA200"/>
      <c r="AB200" s="1250"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192</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243</v>
      </c>
      <c r="CS200" s="322">
        <v>532060</v>
      </c>
      <c r="CT200" s="322">
        <v>613460</v>
      </c>
      <c r="CU200" s="323">
        <v>740000</v>
      </c>
      <c r="CV200" s="322">
        <v>947200</v>
      </c>
      <c r="CW200" s="322">
        <v>1055240</v>
      </c>
      <c r="CY200" s="23" t="s">
        <v>243</v>
      </c>
      <c r="CZ200" s="322">
        <v>532060</v>
      </c>
      <c r="DA200" s="322">
        <v>613460</v>
      </c>
      <c r="DB200" s="322">
        <v>740000</v>
      </c>
      <c r="DC200" s="322">
        <v>947200</v>
      </c>
      <c r="DD200" s="322">
        <v>1055240</v>
      </c>
    </row>
    <row r="201" spans="1:108" s="14" customFormat="1" ht="12.95" customHeight="1">
      <c r="A201"/>
      <c r="B201"/>
      <c r="C201" s="21"/>
      <c r="E201" s="3" t="s">
        <v>2515</v>
      </c>
      <c r="V201"/>
      <c r="X201"/>
      <c r="Y201"/>
      <c r="Z201"/>
      <c r="AB201" s="1250" t="s">
        <v>919</v>
      </c>
      <c r="AC201"/>
      <c r="AH201" s="1"/>
      <c r="AJ201"/>
      <c r="AK201"/>
      <c r="AL201"/>
      <c r="AM201"/>
      <c r="AN201"/>
      <c r="AO201"/>
      <c r="AP201"/>
      <c r="AQ201"/>
      <c r="AR201"/>
      <c r="AS201"/>
      <c r="AU201"/>
      <c r="AV201"/>
      <c r="AW201"/>
      <c r="AX201"/>
      <c r="AY201"/>
      <c r="AZ201" s="30"/>
      <c r="BA201" s="30"/>
      <c r="BC201" s="3" t="s">
        <v>1061</v>
      </c>
      <c r="BD201" s="436"/>
      <c r="BN201" s="23" t="s">
        <v>700</v>
      </c>
      <c r="BO201" s="31"/>
      <c r="BP201" s="32"/>
      <c r="BQ201" s="32"/>
      <c r="BR201" s="32"/>
      <c r="BS201">
        <v>6</v>
      </c>
      <c r="BT201" s="32" t="s">
        <v>193</v>
      </c>
      <c r="BU201"/>
      <c r="CB201" s="350" t="s">
        <v>190</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2.95" customHeight="1">
      <c r="C202" s="21"/>
      <c r="AE202" s="8"/>
      <c r="BC202" t="s">
        <v>611</v>
      </c>
      <c r="BD202" s="436"/>
      <c r="BN202" s="23" t="s">
        <v>701</v>
      </c>
      <c r="BO202" s="14"/>
      <c r="BP202" s="32"/>
      <c r="BQ202" s="32"/>
      <c r="BR202" s="32"/>
      <c r="BS202">
        <v>7</v>
      </c>
      <c r="BT202" s="32" t="s">
        <v>194</v>
      </c>
      <c r="CB202" s="350" t="s">
        <v>191</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2.95" customHeight="1">
      <c r="A203" s="2" t="s">
        <v>586</v>
      </c>
      <c r="C203" s="2" t="s">
        <v>136</v>
      </c>
      <c r="BC203" t="s">
        <v>1062</v>
      </c>
      <c r="BN203" s="23" t="s">
        <v>702</v>
      </c>
      <c r="BO203" s="14"/>
      <c r="BP203" s="32"/>
      <c r="BQ203" s="32"/>
      <c r="BR203" s="32"/>
      <c r="BS203">
        <v>7</v>
      </c>
      <c r="BT203" s="32" t="s">
        <v>195</v>
      </c>
      <c r="CB203" s="350" t="s">
        <v>192</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2.95" customHeight="1">
      <c r="D204" s="1358" t="s">
        <v>384</v>
      </c>
      <c r="E204" s="1358"/>
      <c r="F204" s="1358"/>
      <c r="G204" s="1358"/>
      <c r="H204" s="1358"/>
      <c r="I204" s="1358"/>
      <c r="J204" s="1358"/>
      <c r="K204" s="1358"/>
      <c r="L204" s="1358"/>
      <c r="M204" s="1358"/>
      <c r="P204" s="1800">
        <f>M26</f>
        <v>1914812</v>
      </c>
      <c r="Q204" s="1779"/>
      <c r="R204" s="1779"/>
      <c r="S204" s="1779"/>
      <c r="T204" s="1779"/>
      <c r="U204" s="1779"/>
      <c r="BC204" t="s">
        <v>1063</v>
      </c>
      <c r="BN204" s="23" t="s">
        <v>703</v>
      </c>
      <c r="BS204">
        <v>6</v>
      </c>
      <c r="BT204" s="32" t="s">
        <v>196</v>
      </c>
      <c r="BU204" s="14"/>
      <c r="CB204" s="350" t="s">
        <v>193</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2.95" customHeight="1">
      <c r="C205" s="21"/>
      <c r="D205" s="1809" t="s">
        <v>1247</v>
      </c>
      <c r="E205" s="1358"/>
      <c r="F205" s="1358"/>
      <c r="G205" s="1358"/>
      <c r="H205" s="1358"/>
      <c r="I205" s="1358"/>
      <c r="J205" s="1358"/>
      <c r="K205" s="1358"/>
      <c r="L205" s="1358"/>
      <c r="M205" s="1358"/>
      <c r="P205" s="1779">
        <f>M27</f>
        <v>0</v>
      </c>
      <c r="Q205" s="1779"/>
      <c r="R205" s="1779"/>
      <c r="S205" s="1779"/>
      <c r="T205" s="1779"/>
      <c r="U205" s="1779"/>
      <c r="V205" s="28"/>
      <c r="W205" s="3" t="s">
        <v>1720</v>
      </c>
      <c r="Z205" s="1807" t="s">
        <v>1184</v>
      </c>
      <c r="AA205" s="1807"/>
      <c r="AB205" s="1807"/>
      <c r="AC205" s="1807"/>
      <c r="AD205" s="1807"/>
      <c r="AE205" s="1807"/>
      <c r="AF205" s="1807"/>
      <c r="AG205" s="1807"/>
      <c r="AH205" s="1807"/>
      <c r="AI205" s="1807"/>
      <c r="AJ205" s="1807"/>
      <c r="AK205" s="1807"/>
      <c r="AL205" s="1807"/>
      <c r="AM205" s="1807"/>
      <c r="AN205" s="1807"/>
      <c r="AP205" s="1332"/>
      <c r="AQ205" s="1332"/>
      <c r="BC205" t="s">
        <v>610</v>
      </c>
      <c r="BN205" s="23" t="s">
        <v>109</v>
      </c>
      <c r="BS205">
        <v>4</v>
      </c>
      <c r="BT205" s="32" t="s">
        <v>173</v>
      </c>
      <c r="BU205" s="14"/>
      <c r="CB205" s="350" t="s">
        <v>194</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1026</v>
      </c>
      <c r="BN206" s="23" t="s">
        <v>110</v>
      </c>
      <c r="BS206">
        <v>5</v>
      </c>
      <c r="BT206" s="32" t="s">
        <v>197</v>
      </c>
      <c r="BU206" s="14"/>
      <c r="CB206" s="350" t="s">
        <v>195</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2.95" customHeight="1">
      <c r="A207" s="2" t="s">
        <v>589</v>
      </c>
      <c r="C207" s="2" t="s">
        <v>551</v>
      </c>
      <c r="BC207" s="437" t="s">
        <v>1064</v>
      </c>
      <c r="BN207" s="23" t="s">
        <v>45</v>
      </c>
      <c r="BS207">
        <v>6</v>
      </c>
      <c r="BT207" s="32" t="s">
        <v>198</v>
      </c>
      <c r="CB207" s="350" t="s">
        <v>196</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2.95" customHeight="1">
      <c r="C208" s="21"/>
      <c r="D208" s="1430" t="s">
        <v>2622</v>
      </c>
      <c r="E208" s="1430"/>
      <c r="F208" s="1430"/>
      <c r="G208" s="1430"/>
      <c r="H208" s="1430"/>
      <c r="I208" s="1430"/>
      <c r="J208" s="1430"/>
      <c r="K208" s="1430"/>
      <c r="L208" s="1430"/>
      <c r="M208" s="1430"/>
      <c r="BC208" s="3" t="s">
        <v>2206</v>
      </c>
      <c r="BN208" s="23" t="s">
        <v>46</v>
      </c>
      <c r="BS208">
        <v>7</v>
      </c>
      <c r="BT208" s="32" t="s">
        <v>199</v>
      </c>
      <c r="CB208" s="350" t="s">
        <v>173</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1065</v>
      </c>
      <c r="BN209" s="23" t="s">
        <v>47</v>
      </c>
      <c r="BS209">
        <v>7</v>
      </c>
      <c r="BT209" s="32" t="s">
        <v>200</v>
      </c>
      <c r="CB209" s="350" t="s">
        <v>197</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590</v>
      </c>
      <c r="C210" s="2" t="s">
        <v>387</v>
      </c>
      <c r="BC210" t="s">
        <v>659</v>
      </c>
      <c r="BN210" s="23" t="s">
        <v>48</v>
      </c>
      <c r="BS210">
        <v>5</v>
      </c>
      <c r="BT210" s="32" t="s">
        <v>201</v>
      </c>
      <c r="CB210" s="350" t="s">
        <v>198</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30" t="s">
        <v>1041</v>
      </c>
      <c r="E211" s="1430"/>
      <c r="F211" s="1430"/>
      <c r="G211" s="1430"/>
      <c r="H211" s="1430"/>
      <c r="I211" s="1430"/>
      <c r="J211" s="1430"/>
      <c r="K211" s="1430"/>
      <c r="L211" s="1430"/>
      <c r="M211" s="1430"/>
      <c r="BN211" s="23" t="s">
        <v>129</v>
      </c>
      <c r="BS211">
        <v>7</v>
      </c>
      <c r="BT211" s="32" t="s">
        <v>130</v>
      </c>
      <c r="CB211" s="350" t="s">
        <v>199</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2230</v>
      </c>
      <c r="Q212" s="1333"/>
      <c r="R212" s="1333"/>
      <c r="T212" s="1793">
        <f>IFERROR(Q212/AG440,0)</f>
        <v>0</v>
      </c>
      <c r="U212" s="1794"/>
      <c r="BC212" t="s">
        <v>306</v>
      </c>
      <c r="BI212" t="s">
        <v>1184</v>
      </c>
      <c r="BN212" s="23" t="s">
        <v>49</v>
      </c>
      <c r="BS212">
        <v>4</v>
      </c>
      <c r="BT212" s="32" t="s">
        <v>202</v>
      </c>
      <c r="CB212" s="350" t="s">
        <v>200</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2473</v>
      </c>
      <c r="BC213" t="s">
        <v>526</v>
      </c>
      <c r="BI213" s="3" t="s">
        <v>2227</v>
      </c>
      <c r="BN213" s="23" t="s">
        <v>50</v>
      </c>
      <c r="BS213">
        <v>6</v>
      </c>
      <c r="BT213" s="32" t="s">
        <v>203</v>
      </c>
      <c r="CB213" s="350" t="s">
        <v>201</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797" t="s">
        <v>591</v>
      </c>
      <c r="E214" s="1797"/>
      <c r="F214" s="1797"/>
      <c r="G214" s="1797"/>
      <c r="H214" s="1797"/>
      <c r="I214" s="1797"/>
      <c r="J214" s="1797"/>
      <c r="K214" s="1797"/>
      <c r="L214" s="1797"/>
      <c r="M214" s="1797"/>
      <c r="N214" s="1797"/>
      <c r="O214" s="1797"/>
      <c r="P214" s="1797"/>
      <c r="Q214" s="1797"/>
      <c r="R214" s="1797"/>
      <c r="S214" s="1797"/>
      <c r="T214" s="1797"/>
      <c r="U214" s="1797"/>
      <c r="V214" s="1797"/>
      <c r="W214" s="1797"/>
      <c r="X214" s="1797"/>
      <c r="Y214" s="1797"/>
      <c r="Z214" s="1797"/>
      <c r="AU214" s="21"/>
      <c r="AV214" s="21"/>
      <c r="AW214" s="21"/>
      <c r="AX214" s="21"/>
      <c r="AY214" s="21"/>
      <c r="BC214" t="s">
        <v>530</v>
      </c>
      <c r="BI214" s="3" t="s">
        <v>2220</v>
      </c>
      <c r="BN214" s="23" t="s">
        <v>325</v>
      </c>
      <c r="BS214">
        <v>6</v>
      </c>
      <c r="BT214" s="32" t="s">
        <v>204</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1653</v>
      </c>
      <c r="Z215" s="40"/>
      <c r="AB215" s="1796"/>
      <c r="AC215" s="1796"/>
      <c r="AD215" s="1796"/>
      <c r="AE215" s="1796"/>
      <c r="AF215" s="1796"/>
      <c r="AG215" s="1796"/>
      <c r="AH215" s="1796"/>
      <c r="AI215" s="1796"/>
      <c r="AJ215" s="1796"/>
      <c r="AK215" s="1796"/>
      <c r="AL215" s="1796"/>
      <c r="AM215" s="21"/>
      <c r="AN215" s="21"/>
      <c r="AO215" s="21"/>
      <c r="AP215" s="21"/>
      <c r="AQ215" s="21"/>
      <c r="AR215" s="21"/>
      <c r="AS215" s="21"/>
      <c r="AT215" s="21"/>
      <c r="AU215" s="21"/>
      <c r="AV215" s="21"/>
      <c r="AW215" s="21"/>
      <c r="AX215" s="21"/>
      <c r="AY215" s="21"/>
      <c r="BC215" t="s">
        <v>527</v>
      </c>
      <c r="BI215" s="3" t="s">
        <v>2221</v>
      </c>
      <c r="CB215" s="350" t="s">
        <v>202</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1651</v>
      </c>
      <c r="Z216" s="40"/>
      <c r="AB216" s="1796"/>
      <c r="AC216" s="1796"/>
      <c r="AD216" s="1796"/>
      <c r="AE216" s="1796"/>
      <c r="AF216" s="1796"/>
      <c r="AG216" s="1796"/>
      <c r="AH216" s="1796"/>
      <c r="AI216" s="1796"/>
      <c r="AJ216" s="1796"/>
      <c r="AK216" s="1796"/>
      <c r="AL216" s="1796"/>
      <c r="AM216" s="21"/>
      <c r="AN216" s="21"/>
      <c r="AO216" s="21"/>
      <c r="AP216" s="21"/>
      <c r="AQ216" s="21"/>
      <c r="AR216" s="21"/>
      <c r="AS216" s="21"/>
      <c r="AT216" s="21"/>
      <c r="AU216" s="21"/>
      <c r="AV216" s="21"/>
      <c r="AW216" s="21"/>
      <c r="AX216" s="21"/>
      <c r="AY216" s="21"/>
      <c r="BC216" t="s">
        <v>566</v>
      </c>
      <c r="BI216" t="s">
        <v>2219</v>
      </c>
      <c r="CB216" s="350" t="s">
        <v>203</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2223</v>
      </c>
      <c r="CB217" s="350" t="s">
        <v>204</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325</v>
      </c>
      <c r="CS217" s="321">
        <v>331890</v>
      </c>
      <c r="CT217" s="321">
        <v>382666</v>
      </c>
      <c r="CU217" s="321">
        <v>461600</v>
      </c>
      <c r="CV217" s="321">
        <v>590848</v>
      </c>
      <c r="CW217" s="321">
        <v>658242</v>
      </c>
      <c r="CX217" s="14"/>
      <c r="CY217" s="23" t="s">
        <v>325</v>
      </c>
      <c r="CZ217" s="321">
        <v>331890</v>
      </c>
      <c r="DA217" s="321">
        <v>382666</v>
      </c>
      <c r="DB217" s="321">
        <v>461600</v>
      </c>
      <c r="DC217" s="321">
        <v>590848</v>
      </c>
      <c r="DD217" s="321">
        <v>658242</v>
      </c>
    </row>
    <row r="218" spans="1:108" ht="12.95" customHeight="1">
      <c r="A218" s="2" t="s">
        <v>592</v>
      </c>
      <c r="C218" s="2" t="s">
        <v>2233</v>
      </c>
      <c r="D218" s="28"/>
      <c r="AC218" s="2" t="s">
        <v>2462</v>
      </c>
      <c r="BC218" t="s">
        <v>529</v>
      </c>
    </row>
    <row r="219" spans="1:108" ht="12.95" customHeight="1">
      <c r="A219" s="2"/>
      <c r="C219" s="2"/>
      <c r="D219" s="3" t="s">
        <v>2463</v>
      </c>
      <c r="AZ219" s="3"/>
      <c r="BA219" s="3"/>
      <c r="BC219" t="s">
        <v>376</v>
      </c>
    </row>
    <row r="220" spans="1:108" ht="12.95" customHeight="1">
      <c r="A220" s="2"/>
      <c r="C220" s="2"/>
      <c r="D220" s="1430" t="s">
        <v>2206</v>
      </c>
      <c r="E220" s="1430"/>
      <c r="F220" s="1430"/>
      <c r="G220" s="1430"/>
      <c r="H220" s="1430"/>
      <c r="I220" s="1430"/>
      <c r="J220" s="1430"/>
      <c r="K220" s="1430"/>
      <c r="L220" s="1430"/>
      <c r="M220" s="1430"/>
      <c r="N220" s="1430"/>
      <c r="O220" s="1430"/>
      <c r="P220" s="1430"/>
      <c r="Q220" s="1430"/>
      <c r="R220" s="1430"/>
      <c r="S220" s="1430"/>
      <c r="T220" s="1430"/>
      <c r="U220" s="1430"/>
      <c r="V220" s="1430"/>
      <c r="W220" s="1430"/>
      <c r="X220" s="1430"/>
      <c r="Y220" s="1430"/>
      <c r="Z220" s="1430"/>
      <c r="AC220" s="1808" t="s">
        <v>2464</v>
      </c>
      <c r="AD220" s="1808"/>
      <c r="AE220" s="1808"/>
      <c r="AF220" s="1808"/>
      <c r="AG220" s="1808"/>
      <c r="AH220" s="1808"/>
      <c r="AI220" s="1808"/>
      <c r="AJ220" s="1808"/>
      <c r="AK220" s="1808"/>
      <c r="AL220" s="1808"/>
      <c r="AM220" s="1808"/>
      <c r="AN220" s="1808"/>
      <c r="AO220" s="1808"/>
      <c r="AP220" s="1808"/>
      <c r="AQ220" s="1808"/>
      <c r="BA220" s="3"/>
      <c r="BC220" t="s">
        <v>299</v>
      </c>
    </row>
    <row r="221" spans="1:108" ht="12.95" customHeight="1">
      <c r="A221" s="2"/>
      <c r="B221" s="14"/>
      <c r="C221" s="2"/>
      <c r="BA221" s="3"/>
    </row>
    <row r="222" spans="1:108" ht="12.95" customHeight="1">
      <c r="A222" s="1435" t="s">
        <v>540</v>
      </c>
      <c r="B222" s="1435"/>
      <c r="C222" s="1435"/>
      <c r="D222" s="1435"/>
      <c r="E222" s="1435"/>
      <c r="F222" s="1435"/>
      <c r="G222" s="1435"/>
      <c r="H222" s="1435"/>
      <c r="I222" s="1435"/>
      <c r="J222" s="1435"/>
      <c r="K222" s="1435"/>
      <c r="L222" s="1435"/>
      <c r="M222" s="1435"/>
      <c r="N222" s="1435"/>
      <c r="O222" s="1435"/>
      <c r="P222" s="1435"/>
      <c r="Q222" s="1435"/>
      <c r="R222" s="1435"/>
      <c r="S222" s="1435"/>
      <c r="T222" s="1435"/>
      <c r="U222" s="1435"/>
      <c r="V222" s="1435"/>
      <c r="W222" s="1435"/>
      <c r="X222" s="1435"/>
      <c r="Y222" s="1435"/>
      <c r="Z222" s="1435"/>
      <c r="AA222" s="1435"/>
      <c r="AB222" s="1435"/>
      <c r="AC222" s="1435"/>
      <c r="AD222" s="1435"/>
      <c r="AE222" s="1435"/>
      <c r="AF222" s="1435"/>
      <c r="AG222" s="1435"/>
      <c r="AH222" s="1435"/>
      <c r="AI222" s="1435"/>
      <c r="AJ222" s="1435"/>
      <c r="AK222" s="1435"/>
      <c r="AL222" s="1435"/>
      <c r="AM222" s="1435"/>
      <c r="AN222" s="1435"/>
      <c r="AO222" s="1435"/>
      <c r="AP222" s="1435"/>
      <c r="AQ222" s="1435"/>
      <c r="AR222" s="1435"/>
      <c r="AS222" s="1435"/>
      <c r="AT222" s="1435"/>
      <c r="AU222" s="95"/>
      <c r="AV222" s="95"/>
      <c r="AW222" s="95"/>
      <c r="AX222" s="95"/>
      <c r="AY222" s="95"/>
      <c r="AZ222" s="3"/>
      <c r="BA222" s="3"/>
      <c r="BP222" s="34"/>
    </row>
    <row r="223" spans="1:108" ht="12.95" customHeight="1">
      <c r="A223" s="1435"/>
      <c r="B223" s="1435"/>
      <c r="C223" s="1435"/>
      <c r="D223" s="1435"/>
      <c r="E223" s="1435"/>
      <c r="F223" s="1435"/>
      <c r="G223" s="1435"/>
      <c r="H223" s="1435"/>
      <c r="I223" s="1435"/>
      <c r="J223" s="1435"/>
      <c r="K223" s="1435"/>
      <c r="L223" s="1435"/>
      <c r="M223" s="1435"/>
      <c r="N223" s="1435"/>
      <c r="O223" s="1435"/>
      <c r="P223" s="1435"/>
      <c r="Q223" s="1435"/>
      <c r="R223" s="1435"/>
      <c r="S223" s="1435"/>
      <c r="T223" s="1435"/>
      <c r="U223" s="1435"/>
      <c r="V223" s="1435"/>
      <c r="W223" s="1435"/>
      <c r="X223" s="1435"/>
      <c r="Y223" s="1435"/>
      <c r="Z223" s="1435"/>
      <c r="AA223" s="1435"/>
      <c r="AB223" s="1435"/>
      <c r="AC223" s="1435"/>
      <c r="AD223" s="1435"/>
      <c r="AE223" s="1435"/>
      <c r="AF223" s="1435"/>
      <c r="AG223" s="1435"/>
      <c r="AH223" s="1435"/>
      <c r="AI223" s="1435"/>
      <c r="AJ223" s="1435"/>
      <c r="AK223" s="1435"/>
      <c r="AL223" s="1435"/>
      <c r="AM223" s="1435"/>
      <c r="AN223" s="1435"/>
      <c r="AO223" s="1435"/>
      <c r="AP223" s="1435"/>
      <c r="AQ223" s="1435"/>
      <c r="AR223" s="1435"/>
      <c r="AS223" s="1435"/>
      <c r="AT223" s="1435"/>
      <c r="BA223" s="3"/>
      <c r="BB223" s="3"/>
      <c r="BQ223" s="34"/>
    </row>
    <row r="224" spans="1:108" ht="12.95" customHeight="1">
      <c r="AZ224" s="4"/>
      <c r="BA224" s="3"/>
      <c r="BB224" s="3"/>
      <c r="BQ224" s="34"/>
    </row>
    <row r="225" spans="1:59" ht="12.95" customHeight="1">
      <c r="A225" s="2" t="s">
        <v>318</v>
      </c>
      <c r="B225" s="2"/>
      <c r="C225" s="2" t="s">
        <v>2082</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3" t="s">
        <v>591</v>
      </c>
      <c r="AJ226" s="1333"/>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2.95"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3" t="s">
        <v>591</v>
      </c>
      <c r="AJ227" s="1333"/>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3" t="s">
        <v>545</v>
      </c>
      <c r="AJ228" s="1333"/>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2.95" customHeight="1">
      <c r="B229" s="4"/>
      <c r="D229" s="4" t="s">
        <v>293</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3" t="s">
        <v>591</v>
      </c>
      <c r="AJ229" s="1333"/>
      <c r="AL229" s="3"/>
      <c r="AM229" s="3"/>
      <c r="AN229" s="3"/>
      <c r="AO229" s="3"/>
      <c r="AP229" s="3"/>
      <c r="AQ229" s="3"/>
      <c r="AR229" s="3"/>
      <c r="AS229" s="3"/>
      <c r="AT229" s="3"/>
      <c r="AU229" s="3"/>
      <c r="AV229" s="3"/>
      <c r="AW229" s="3"/>
      <c r="AX229" s="3"/>
      <c r="AY229" s="3"/>
      <c r="BA229" s="3"/>
      <c r="BB229" s="204" t="s">
        <v>538</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0</v>
      </c>
    </row>
    <row r="231" spans="1:59" ht="12.95" customHeight="1">
      <c r="A231" s="2" t="s">
        <v>576</v>
      </c>
      <c r="B231" s="4"/>
      <c r="C231" s="2" t="s">
        <v>2083</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470</v>
      </c>
      <c r="E232" s="4"/>
      <c r="F232" s="4"/>
      <c r="G232" s="4"/>
      <c r="H232" s="4"/>
      <c r="I232" s="4"/>
      <c r="J232" s="4"/>
      <c r="K232" s="4"/>
      <c r="M232" s="1788" t="str">
        <f>H16</f>
        <v>People's Self-Help Housing Corporation</v>
      </c>
      <c r="N232" s="1788"/>
      <c r="O232" s="1788"/>
      <c r="P232" s="1788"/>
      <c r="Q232" s="1788"/>
      <c r="R232" s="1788"/>
      <c r="S232" s="1788"/>
      <c r="T232" s="1788"/>
      <c r="U232" s="1788"/>
      <c r="V232" s="1788"/>
      <c r="W232" s="1788"/>
      <c r="X232" s="1788"/>
      <c r="Y232" s="1788"/>
      <c r="Z232" s="1788"/>
      <c r="AA232" s="1788"/>
      <c r="AB232" s="1788"/>
      <c r="AC232" s="1788"/>
      <c r="AD232" s="1788"/>
      <c r="AE232" s="1788"/>
      <c r="AF232" s="1788"/>
      <c r="AG232" s="1788"/>
      <c r="AH232" s="1788"/>
      <c r="AI232" s="1788"/>
      <c r="AJ232" s="1788"/>
      <c r="AK232" s="1788"/>
      <c r="AZ232" s="4"/>
      <c r="BA232" s="3"/>
      <c r="BB232" s="205" t="s">
        <v>538</v>
      </c>
      <c r="BG232" s="241">
        <f>IF(AND(AND($M$249="nonprofit",$M$257="nonprofit",$M$265="for profit")),2,0)</f>
        <v>0</v>
      </c>
    </row>
    <row r="233" spans="1:59" ht="12.95" customHeight="1">
      <c r="D233" s="4" t="s">
        <v>85</v>
      </c>
      <c r="E233" s="4"/>
      <c r="F233" s="4"/>
      <c r="G233" s="4"/>
      <c r="H233" s="4"/>
      <c r="I233" s="4"/>
      <c r="J233" s="4"/>
      <c r="K233" s="4"/>
      <c r="M233" s="1429" t="s">
        <v>2623</v>
      </c>
      <c r="N233" s="1430"/>
      <c r="O233" s="1430"/>
      <c r="P233" s="1430"/>
      <c r="Q233" s="1430"/>
      <c r="R233" s="1430"/>
      <c r="S233" s="1430"/>
      <c r="T233" s="1430"/>
      <c r="U233" s="1430"/>
      <c r="V233" s="1430"/>
      <c r="W233" s="1430"/>
      <c r="X233" s="1430"/>
      <c r="Y233" s="1430"/>
      <c r="Z233" s="1430"/>
      <c r="AA233" s="1430"/>
      <c r="AB233" s="1430"/>
      <c r="AC233" s="1430"/>
      <c r="AD233" s="1430"/>
      <c r="AE233" s="1430"/>
      <c r="BB233" s="205" t="s">
        <v>538</v>
      </c>
      <c r="BG233" s="241">
        <f>IF(AND(AND($M$249="nonprofit",$M$257="for profit",$M$265="nonprofit")),2,0)</f>
        <v>0</v>
      </c>
    </row>
    <row r="234" spans="1:59" ht="12.95" customHeight="1">
      <c r="D234" s="4" t="s">
        <v>580</v>
      </c>
      <c r="E234" s="4"/>
      <c r="M234" s="1429" t="s">
        <v>69</v>
      </c>
      <c r="N234" s="1430"/>
      <c r="O234" s="1430"/>
      <c r="P234" s="1430"/>
      <c r="Q234" s="1430"/>
      <c r="R234" s="1430"/>
      <c r="S234" s="1430"/>
      <c r="T234" s="1430"/>
      <c r="V234" s="33" t="s">
        <v>86</v>
      </c>
      <c r="W234" s="1553" t="s">
        <v>2630</v>
      </c>
      <c r="X234" s="1450"/>
      <c r="Y234" s="4" t="s">
        <v>583</v>
      </c>
      <c r="AC234" s="1430">
        <v>93401</v>
      </c>
      <c r="AD234" s="1430"/>
      <c r="AE234" s="1430"/>
      <c r="AU234" s="4"/>
      <c r="AV234" s="4"/>
      <c r="AW234" s="4"/>
      <c r="AX234" s="4"/>
      <c r="AY234" s="4"/>
      <c r="AZ234" s="4"/>
      <c r="BB234" s="205" t="s">
        <v>538</v>
      </c>
      <c r="BG234" s="240">
        <f>IF(AND(AND($M$249="for profit",$M$257="nonprofit",$M$265="nonprofit")),2,0)</f>
        <v>0</v>
      </c>
    </row>
    <row r="235" spans="1:59" ht="12.95" customHeight="1">
      <c r="D235" s="4" t="s">
        <v>87</v>
      </c>
      <c r="E235" s="4"/>
      <c r="F235" s="4"/>
      <c r="G235" s="4"/>
      <c r="H235" s="4"/>
      <c r="I235" s="4"/>
      <c r="J235" s="4"/>
      <c r="K235" s="19"/>
      <c r="M235" s="1429" t="s">
        <v>2624</v>
      </c>
      <c r="N235" s="1430"/>
      <c r="O235" s="1430"/>
      <c r="P235" s="1430"/>
      <c r="Q235" s="1430"/>
      <c r="R235" s="1430"/>
      <c r="S235" s="1430"/>
      <c r="T235" s="1430"/>
      <c r="U235" s="1430"/>
      <c r="V235" s="1430"/>
      <c r="W235" s="1430"/>
      <c r="X235" s="1430"/>
      <c r="Y235" s="1430"/>
      <c r="Z235" s="1430"/>
      <c r="AA235" s="1430"/>
      <c r="AB235" s="1430"/>
      <c r="AC235" s="1430"/>
      <c r="AD235" s="1430"/>
      <c r="AE235" s="1430"/>
      <c r="AI235" s="4"/>
      <c r="AJ235" s="4"/>
      <c r="AK235" s="4"/>
      <c r="AL235" s="4"/>
      <c r="AM235" s="4"/>
      <c r="AN235" s="4"/>
      <c r="AO235" s="4"/>
      <c r="AP235" s="4"/>
      <c r="AQ235" s="4"/>
      <c r="AR235" s="4"/>
      <c r="AS235" s="4"/>
      <c r="AT235" s="4"/>
      <c r="BB235" s="205"/>
      <c r="BG235" s="204"/>
    </row>
    <row r="236" spans="1:59" ht="12.95" customHeight="1">
      <c r="D236" s="4" t="s">
        <v>88</v>
      </c>
      <c r="E236" s="4"/>
      <c r="F236" s="4"/>
      <c r="M236" s="1669" t="s">
        <v>2625</v>
      </c>
      <c r="N236" s="1337"/>
      <c r="O236" s="1337"/>
      <c r="P236" s="1337"/>
      <c r="Q236" s="1337"/>
      <c r="R236" s="1337"/>
      <c r="S236" s="4" t="s">
        <v>205</v>
      </c>
      <c r="T236" s="4"/>
      <c r="U236" s="1450"/>
      <c r="V236" s="1450"/>
      <c r="W236" s="1450"/>
      <c r="X236" s="4" t="s">
        <v>89</v>
      </c>
      <c r="Z236" s="1337"/>
      <c r="AA236" s="1337"/>
      <c r="AB236" s="1337"/>
      <c r="AC236" s="1337"/>
      <c r="AD236" s="1337"/>
      <c r="AE236" s="1337"/>
      <c r="AU236" s="4"/>
      <c r="AV236" s="4"/>
      <c r="AW236" s="4"/>
      <c r="AX236" s="4"/>
      <c r="AY236" s="4"/>
      <c r="AZ236" s="4"/>
      <c r="BB236" s="204" t="s">
        <v>537</v>
      </c>
      <c r="BG236" s="241">
        <f>IF(AND(AND($M$249="nonprofit",$M$257="nonprofit",$M$265="(select one)")),1,0)</f>
        <v>0</v>
      </c>
    </row>
    <row r="237" spans="1:59" ht="12.95" customHeight="1">
      <c r="D237" s="4" t="s">
        <v>90</v>
      </c>
      <c r="E237" s="4"/>
      <c r="F237" s="4"/>
      <c r="M237" s="1782" t="s">
        <v>2752</v>
      </c>
      <c r="N237" s="1782"/>
      <c r="O237" s="1782"/>
      <c r="P237" s="1782"/>
      <c r="Q237" s="1782"/>
      <c r="R237" s="1782"/>
      <c r="S237" s="1782"/>
      <c r="T237" s="1782"/>
      <c r="U237" s="1782"/>
      <c r="V237" s="1782"/>
      <c r="W237" s="1782"/>
      <c r="X237" s="1782"/>
      <c r="Y237" s="1782"/>
      <c r="Z237" s="1782"/>
      <c r="AA237" s="1782"/>
      <c r="AB237" s="1782"/>
      <c r="AC237" s="1782"/>
      <c r="AD237" s="1782"/>
      <c r="AE237" s="1782"/>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2.95" customHeight="1">
      <c r="A238" s="2" t="s">
        <v>586</v>
      </c>
      <c r="C238" s="2" t="s">
        <v>525</v>
      </c>
      <c r="M238" s="1351" t="s">
        <v>376</v>
      </c>
      <c r="N238" s="1351"/>
      <c r="O238" s="1351"/>
      <c r="P238" s="1351"/>
      <c r="Q238" s="1351"/>
      <c r="R238" s="1351"/>
      <c r="S238" s="1351"/>
      <c r="T238" s="1351"/>
      <c r="U238" s="204" t="s">
        <v>906</v>
      </c>
      <c r="V238" s="204"/>
      <c r="W238" s="204"/>
      <c r="X238" s="204"/>
      <c r="Y238" s="204"/>
      <c r="Z238" s="204"/>
      <c r="AA238" s="1774"/>
      <c r="AB238" s="1774"/>
      <c r="AC238" s="1774"/>
      <c r="AD238" s="1774"/>
      <c r="AE238" s="1774"/>
      <c r="AF238" s="1774"/>
      <c r="AG238" s="1774"/>
      <c r="AH238" s="1774"/>
      <c r="AI238" s="1774"/>
      <c r="AJ238" s="1774"/>
      <c r="AK238" s="1774"/>
      <c r="AL238" s="3"/>
      <c r="AM238" s="3"/>
      <c r="AN238" s="3"/>
      <c r="AO238" s="3"/>
      <c r="AP238" s="3"/>
      <c r="AQ238" s="3"/>
      <c r="AR238" s="3"/>
      <c r="AS238" s="3"/>
      <c r="AT238" s="3"/>
      <c r="AU238" s="3"/>
      <c r="AV238" s="3"/>
      <c r="AW238" s="3"/>
      <c r="AX238" s="3"/>
      <c r="AY238" s="3"/>
      <c r="BB238" s="204" t="s">
        <v>537</v>
      </c>
      <c r="BG238" s="241">
        <f>IF(AND(AND($M$249="nonprofit",$M$257="(select one)",$M$265="(select one)")),1,0)</f>
        <v>0</v>
      </c>
    </row>
    <row r="239" spans="1:59" ht="12.95" customHeight="1">
      <c r="D239" t="s">
        <v>531</v>
      </c>
      <c r="M239" s="1338"/>
      <c r="N239" s="1338"/>
      <c r="O239" s="1338"/>
      <c r="P239" s="1338"/>
      <c r="Q239" s="1338"/>
      <c r="R239" s="1338"/>
      <c r="S239" s="1338"/>
      <c r="T239" s="1338"/>
      <c r="U239" s="1338"/>
      <c r="V239" s="1338"/>
      <c r="W239" s="1338"/>
      <c r="X239" s="1338"/>
      <c r="Y239" s="1338"/>
      <c r="Z239" s="1338"/>
      <c r="AA239" s="1338"/>
      <c r="AB239" s="1338"/>
      <c r="AC239" s="1338"/>
      <c r="AD239" s="1338"/>
      <c r="AE239" s="1338"/>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2.95" customHeight="1">
      <c r="D240" s="4"/>
      <c r="BB240" s="204" t="s">
        <v>877</v>
      </c>
      <c r="BG240" s="241">
        <f>IF(AND(AND($M$249="for profit",$M$257="for profit",$M$265="for profit")),3,0)</f>
        <v>0</v>
      </c>
    </row>
    <row r="241" spans="1:67" ht="12.95" customHeight="1">
      <c r="A241" s="2" t="s">
        <v>589</v>
      </c>
      <c r="C241" s="2" t="s">
        <v>1183</v>
      </c>
      <c r="D241" s="4"/>
      <c r="L241" s="8"/>
      <c r="M241" s="8"/>
      <c r="N241" s="8"/>
      <c r="AU241" s="3"/>
      <c r="AV241" s="3"/>
      <c r="AW241" s="3"/>
      <c r="AX241" s="3"/>
      <c r="AY241" s="3"/>
      <c r="BB241" s="204" t="s">
        <v>877</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473</v>
      </c>
      <c r="D243" s="4" t="s">
        <v>532</v>
      </c>
      <c r="E243" s="4"/>
      <c r="F243" s="4"/>
      <c r="G243" s="4"/>
      <c r="H243" s="4"/>
      <c r="I243" s="4"/>
      <c r="J243" s="4"/>
      <c r="K243" s="4"/>
      <c r="L243" s="4"/>
      <c r="M243" s="1432" t="s">
        <v>2627</v>
      </c>
      <c r="N243" s="1433"/>
      <c r="O243" s="1433"/>
      <c r="P243" s="1433"/>
      <c r="Q243" s="1433"/>
      <c r="R243" s="1433"/>
      <c r="S243" s="1433"/>
      <c r="T243" s="1433"/>
      <c r="U243" s="1433"/>
      <c r="V243" s="1433"/>
      <c r="W243" s="1433"/>
      <c r="X243" s="1433"/>
      <c r="Y243" s="1433"/>
      <c r="Z243" s="1433"/>
      <c r="AA243" s="1433"/>
      <c r="AB243" s="1433"/>
      <c r="AC243" s="1433"/>
      <c r="AD243" s="1433"/>
      <c r="AE243" s="1433"/>
      <c r="AF243" s="1433" t="s">
        <v>2628</v>
      </c>
      <c r="AG243" s="1433"/>
      <c r="AH243" s="1433"/>
      <c r="AI243" s="1433"/>
      <c r="AJ243" s="1433"/>
      <c r="AK243" s="1433"/>
      <c r="AU243" s="4"/>
      <c r="AV243" s="4"/>
      <c r="AW243" s="4"/>
      <c r="AX243" s="4"/>
      <c r="AY243" s="4"/>
      <c r="BG243">
        <f>SUM(BG226:BG241)</f>
        <v>0</v>
      </c>
    </row>
    <row r="244" spans="1:67" ht="12.95" customHeight="1">
      <c r="A244" s="19"/>
      <c r="B244" s="4"/>
      <c r="C244" s="4"/>
      <c r="D244" s="4" t="s">
        <v>85</v>
      </c>
      <c r="E244" s="4"/>
      <c r="F244" s="4"/>
      <c r="G244" s="4"/>
      <c r="H244" s="4"/>
      <c r="I244" s="4"/>
      <c r="J244" s="4"/>
      <c r="K244" s="4"/>
      <c r="L244" s="4"/>
      <c r="M244" s="1429" t="s">
        <v>2623</v>
      </c>
      <c r="N244" s="1430"/>
      <c r="O244" s="1430"/>
      <c r="P244" s="1430"/>
      <c r="Q244" s="1430"/>
      <c r="R244" s="1430"/>
      <c r="S244" s="1430"/>
      <c r="T244" s="1430"/>
      <c r="U244" s="1430"/>
      <c r="V244" s="1430"/>
      <c r="W244" s="1430"/>
      <c r="X244" s="1430"/>
      <c r="Y244" s="1430"/>
      <c r="Z244" s="1430"/>
      <c r="AA244" s="1430"/>
      <c r="AB244" s="1430"/>
      <c r="AC244" s="1430"/>
      <c r="AD244" s="1430"/>
      <c r="AE244" s="1430"/>
      <c r="AF244" s="3" t="s">
        <v>1179</v>
      </c>
      <c r="AL244" s="4"/>
      <c r="AM244" s="4"/>
      <c r="AN244" s="4"/>
      <c r="AO244" s="4"/>
      <c r="AP244" s="4"/>
      <c r="AQ244" s="4"/>
      <c r="AR244" s="4"/>
      <c r="AS244" s="4"/>
      <c r="AT244" s="4"/>
      <c r="BB244" t="s">
        <v>306</v>
      </c>
      <c r="BG244">
        <v>1</v>
      </c>
      <c r="BH244" t="s">
        <v>534</v>
      </c>
    </row>
    <row r="245" spans="1:67" ht="12.95" customHeight="1">
      <c r="A245" s="19"/>
      <c r="B245" s="4"/>
      <c r="C245" s="4"/>
      <c r="D245" s="4" t="s">
        <v>580</v>
      </c>
      <c r="E245" s="4"/>
      <c r="M245" s="1429" t="s">
        <v>69</v>
      </c>
      <c r="N245" s="1430"/>
      <c r="O245" s="1430"/>
      <c r="P245" s="1430"/>
      <c r="Q245" s="1430"/>
      <c r="R245" s="1430"/>
      <c r="S245" s="1430"/>
      <c r="T245" s="1430"/>
      <c r="V245" s="33" t="s">
        <v>86</v>
      </c>
      <c r="W245" s="1553" t="s">
        <v>2630</v>
      </c>
      <c r="X245" s="1450"/>
      <c r="Y245" s="4" t="s">
        <v>583</v>
      </c>
      <c r="AC245" s="1430">
        <v>93401</v>
      </c>
      <c r="AD245" s="1430"/>
      <c r="AE245" s="1430"/>
      <c r="AF245" s="3" t="s">
        <v>1180</v>
      </c>
      <c r="AU245" s="4"/>
      <c r="AV245" s="4"/>
      <c r="AW245" s="4"/>
      <c r="AX245" s="4"/>
      <c r="AY245" s="4"/>
      <c r="BB245" s="4" t="s">
        <v>279</v>
      </c>
      <c r="BG245">
        <v>2</v>
      </c>
      <c r="BH245" t="s">
        <v>566</v>
      </c>
      <c r="BO245" s="239" t="str">
        <f>VLOOKUP(BG243,BG244:BH247,2,FALSE)</f>
        <v/>
      </c>
    </row>
    <row r="246" spans="1:67" ht="12.95" customHeight="1">
      <c r="A246" s="19"/>
      <c r="B246" s="4"/>
      <c r="C246" s="4"/>
      <c r="D246" s="4" t="s">
        <v>87</v>
      </c>
      <c r="E246" s="4"/>
      <c r="F246" s="4"/>
      <c r="G246" s="4"/>
      <c r="H246" s="4"/>
      <c r="I246" s="4"/>
      <c r="J246" s="4"/>
      <c r="K246" s="4"/>
      <c r="L246" s="19"/>
      <c r="M246" s="1429" t="s">
        <v>2624</v>
      </c>
      <c r="N246" s="1430"/>
      <c r="O246" s="1430"/>
      <c r="P246" s="1430"/>
      <c r="Q246" s="1430"/>
      <c r="R246" s="1430"/>
      <c r="S246" s="1430"/>
      <c r="T246" s="1430"/>
      <c r="U246" s="1430"/>
      <c r="V246" s="1430"/>
      <c r="W246" s="1430"/>
      <c r="X246" s="1430"/>
      <c r="Y246" s="1430"/>
      <c r="Z246" s="1430"/>
      <c r="AA246" s="1430"/>
      <c r="AB246" s="1430"/>
      <c r="AC246" s="1430"/>
      <c r="AD246" s="1430"/>
      <c r="AE246" s="1430"/>
      <c r="AH246" s="1776">
        <v>0.01</v>
      </c>
      <c r="AI246" s="1776"/>
      <c r="AJ246" s="1776"/>
      <c r="AK246" s="1776"/>
      <c r="AL246" s="4"/>
      <c r="AM246" s="4"/>
      <c r="AN246" s="4"/>
      <c r="AO246" s="4"/>
      <c r="AP246" s="4"/>
      <c r="AQ246" s="4"/>
      <c r="AR246" s="4"/>
      <c r="AS246" s="4"/>
      <c r="AT246" s="4"/>
      <c r="BB246" s="4" t="s">
        <v>172</v>
      </c>
      <c r="BG246">
        <v>3</v>
      </c>
      <c r="BH246" t="s">
        <v>536</v>
      </c>
      <c r="BN246" s="34"/>
    </row>
    <row r="247" spans="1:67" ht="12.95" customHeight="1">
      <c r="A247" s="19"/>
      <c r="B247" s="4"/>
      <c r="C247" s="4"/>
      <c r="D247" s="4" t="s">
        <v>88</v>
      </c>
      <c r="E247" s="4"/>
      <c r="F247" s="4"/>
      <c r="M247" s="1669" t="s">
        <v>2625</v>
      </c>
      <c r="N247" s="1337"/>
      <c r="O247" s="1337"/>
      <c r="P247" s="1337"/>
      <c r="Q247" s="1337"/>
      <c r="R247" s="1337"/>
      <c r="S247" s="4" t="s">
        <v>205</v>
      </c>
      <c r="T247" s="4"/>
      <c r="U247" s="1450"/>
      <c r="V247" s="1450"/>
      <c r="W247" s="1450"/>
      <c r="X247" s="4" t="s">
        <v>89</v>
      </c>
      <c r="Z247" s="1337"/>
      <c r="AA247" s="1337"/>
      <c r="AB247" s="1337"/>
      <c r="AC247" s="1337"/>
      <c r="AD247" s="1337"/>
      <c r="AE247" s="1337"/>
      <c r="AU247" s="4"/>
      <c r="AV247" s="4"/>
      <c r="AW247" s="4"/>
      <c r="AX247" s="4"/>
      <c r="AY247" s="4"/>
      <c r="BG247">
        <v>0</v>
      </c>
      <c r="BH247" s="3" t="str">
        <f>""</f>
        <v/>
      </c>
      <c r="BN247" s="34"/>
    </row>
    <row r="248" spans="1:67" ht="12.95" customHeight="1">
      <c r="A248" s="19"/>
      <c r="B248" s="4"/>
      <c r="C248" s="4"/>
      <c r="D248" s="4" t="s">
        <v>90</v>
      </c>
      <c r="E248" s="4"/>
      <c r="F248" s="4"/>
      <c r="M248" s="1782" t="s">
        <v>2626</v>
      </c>
      <c r="N248" s="1782"/>
      <c r="O248" s="1782"/>
      <c r="P248" s="1782"/>
      <c r="Q248" s="1782"/>
      <c r="R248" s="1782"/>
      <c r="S248" s="1782"/>
      <c r="T248" s="1782"/>
      <c r="U248" s="1782"/>
      <c r="V248" s="1782"/>
      <c r="W248" s="1782"/>
      <c r="X248" s="1782"/>
      <c r="Y248" s="1782"/>
      <c r="Z248" s="1782"/>
      <c r="AA248" s="1782"/>
      <c r="AB248" s="1782"/>
      <c r="AC248" s="1782"/>
      <c r="AD248" s="1782"/>
      <c r="AE248" s="1782"/>
      <c r="AG248" s="4"/>
      <c r="AH248" s="4"/>
      <c r="AI248" s="4"/>
      <c r="AJ248" s="4"/>
      <c r="AK248" s="4"/>
      <c r="AL248" s="4"/>
      <c r="AM248" s="4"/>
      <c r="AN248" s="4"/>
      <c r="AO248" s="4"/>
      <c r="AP248" s="4"/>
      <c r="AQ248" s="4"/>
      <c r="AR248" s="4"/>
      <c r="AS248" s="4"/>
      <c r="AT248" s="4"/>
      <c r="BN248" s="34"/>
    </row>
    <row r="249" spans="1:67" ht="12.95" customHeight="1">
      <c r="A249" s="13"/>
      <c r="B249" s="4"/>
      <c r="C249" s="56"/>
      <c r="D249" s="4" t="s">
        <v>535</v>
      </c>
      <c r="E249" s="4"/>
      <c r="F249" s="4"/>
      <c r="G249" s="4"/>
      <c r="H249" s="4"/>
      <c r="I249" s="4"/>
      <c r="J249" s="4"/>
      <c r="K249" s="4"/>
      <c r="L249" s="4"/>
      <c r="M249" s="1351" t="s">
        <v>534</v>
      </c>
      <c r="N249" s="1351"/>
      <c r="O249" s="1351"/>
      <c r="P249" s="1351"/>
      <c r="Q249" s="1351"/>
      <c r="R249" s="1351"/>
      <c r="S249" s="1351"/>
      <c r="T249" s="1351"/>
      <c r="U249" s="204" t="s">
        <v>906</v>
      </c>
      <c r="V249" s="204"/>
      <c r="W249" s="204"/>
      <c r="X249" s="204"/>
      <c r="Y249" s="204"/>
      <c r="Z249" s="204"/>
      <c r="AA249" s="1795" t="s">
        <v>2612</v>
      </c>
      <c r="AB249" s="1774"/>
      <c r="AC249" s="1774"/>
      <c r="AD249" s="1774"/>
      <c r="AE249" s="1774"/>
      <c r="AF249" s="1774"/>
      <c r="AG249" s="1774"/>
      <c r="AH249" s="1774"/>
      <c r="AI249" s="1774"/>
      <c r="AJ249" s="1774"/>
      <c r="AK249" s="1774"/>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955</v>
      </c>
      <c r="E251" s="4"/>
      <c r="F251" s="4"/>
      <c r="G251" s="4"/>
      <c r="H251" s="4"/>
      <c r="I251" s="4"/>
      <c r="J251" s="4"/>
      <c r="K251" s="4"/>
      <c r="L251" s="4"/>
      <c r="M251" s="1432" t="s">
        <v>591</v>
      </c>
      <c r="N251" s="1433"/>
      <c r="O251" s="1433"/>
      <c r="P251" s="1433"/>
      <c r="Q251" s="1433"/>
      <c r="R251" s="1433"/>
      <c r="S251" s="1433"/>
      <c r="T251" s="1433"/>
      <c r="U251" s="1433"/>
      <c r="V251" s="1433"/>
      <c r="W251" s="1433"/>
      <c r="X251" s="1433"/>
      <c r="Y251" s="1433"/>
      <c r="Z251" s="1433"/>
      <c r="AA251" s="1433"/>
      <c r="AB251" s="1433"/>
      <c r="AC251" s="1433"/>
      <c r="AD251" s="1433"/>
      <c r="AE251" s="1433"/>
      <c r="AF251" s="1433" t="s">
        <v>306</v>
      </c>
      <c r="AG251" s="1433"/>
      <c r="AH251" s="1433"/>
      <c r="AI251" s="1433"/>
      <c r="AJ251" s="1433"/>
      <c r="AK251" s="1433"/>
      <c r="AU251" s="4"/>
      <c r="AV251" s="4"/>
      <c r="AW251" s="4"/>
      <c r="AX251" s="4"/>
      <c r="AY251" s="4"/>
      <c r="BN251" s="34"/>
    </row>
    <row r="252" spans="1:67" ht="12.95" customHeight="1">
      <c r="A252" s="19"/>
      <c r="B252" s="4"/>
      <c r="C252" s="4"/>
      <c r="D252" s="4" t="s">
        <v>85</v>
      </c>
      <c r="E252" s="4"/>
      <c r="F252" s="4"/>
      <c r="G252" s="4"/>
      <c r="H252" s="4"/>
      <c r="I252" s="4"/>
      <c r="J252" s="4"/>
      <c r="K252" s="4"/>
      <c r="L252" s="4"/>
      <c r="M252" s="1430"/>
      <c r="N252" s="1430"/>
      <c r="O252" s="1430"/>
      <c r="P252" s="1430"/>
      <c r="Q252" s="1430"/>
      <c r="R252" s="1430"/>
      <c r="S252" s="1430"/>
      <c r="T252" s="1430"/>
      <c r="U252" s="1430"/>
      <c r="V252" s="1430"/>
      <c r="W252" s="1430"/>
      <c r="X252" s="1430"/>
      <c r="Y252" s="1430"/>
      <c r="Z252" s="1430"/>
      <c r="AA252" s="1430"/>
      <c r="AB252" s="1430"/>
      <c r="AC252" s="1430"/>
      <c r="AD252" s="1430"/>
      <c r="AE252" s="1430"/>
      <c r="AF252" s="3" t="s">
        <v>1179</v>
      </c>
      <c r="AL252" s="4"/>
      <c r="AM252" s="4"/>
      <c r="AN252" s="4"/>
      <c r="AO252" s="4"/>
      <c r="AP252" s="4"/>
      <c r="AQ252" s="4"/>
      <c r="AR252" s="4"/>
      <c r="AS252" s="4"/>
      <c r="AT252" s="4"/>
      <c r="BN252" s="34"/>
    </row>
    <row r="253" spans="1:67" ht="12.95" customHeight="1">
      <c r="A253" s="19"/>
      <c r="B253" s="4"/>
      <c r="C253" s="4"/>
      <c r="D253" s="4" t="s">
        <v>580</v>
      </c>
      <c r="E253" s="4"/>
      <c r="M253" s="1430"/>
      <c r="N253" s="1430"/>
      <c r="O253" s="1430"/>
      <c r="P253" s="1430"/>
      <c r="Q253" s="1430"/>
      <c r="R253" s="1430"/>
      <c r="S253" s="1430"/>
      <c r="T253" s="1430"/>
      <c r="V253" s="33" t="s">
        <v>86</v>
      </c>
      <c r="W253" s="1553"/>
      <c r="X253" s="1450"/>
      <c r="Y253" s="4" t="s">
        <v>583</v>
      </c>
      <c r="AC253" s="1430"/>
      <c r="AD253" s="1430"/>
      <c r="AE253" s="1430"/>
      <c r="AF253" s="3" t="s">
        <v>1180</v>
      </c>
      <c r="AU253" s="4"/>
      <c r="AV253" s="4"/>
      <c r="AW253" s="4"/>
      <c r="AX253" s="4"/>
      <c r="AY253" s="4"/>
      <c r="BN253" s="34"/>
    </row>
    <row r="254" spans="1:67" ht="12.95" customHeight="1">
      <c r="A254" s="19"/>
      <c r="B254" s="4"/>
      <c r="C254" s="4"/>
      <c r="D254" s="4" t="s">
        <v>87</v>
      </c>
      <c r="E254" s="4"/>
      <c r="F254" s="4"/>
      <c r="G254" s="4"/>
      <c r="H254" s="4"/>
      <c r="I254" s="4"/>
      <c r="J254" s="4"/>
      <c r="K254" s="4"/>
      <c r="L254" s="19"/>
      <c r="M254" s="1430"/>
      <c r="N254" s="1430"/>
      <c r="O254" s="1430"/>
      <c r="P254" s="1430"/>
      <c r="Q254" s="1430"/>
      <c r="R254" s="1430"/>
      <c r="S254" s="1430"/>
      <c r="T254" s="1430"/>
      <c r="U254" s="1430"/>
      <c r="V254" s="1430"/>
      <c r="W254" s="1430"/>
      <c r="X254" s="1430"/>
      <c r="Y254" s="1430"/>
      <c r="Z254" s="1430"/>
      <c r="AA254" s="1430"/>
      <c r="AB254" s="1430"/>
      <c r="AC254" s="1430"/>
      <c r="AD254" s="1430"/>
      <c r="AE254" s="1430"/>
      <c r="AH254" s="1776"/>
      <c r="AI254" s="1776"/>
      <c r="AJ254" s="1776"/>
      <c r="AK254" s="1776"/>
      <c r="AL254" s="4"/>
      <c r="AM254" s="4"/>
      <c r="AN254" s="4"/>
      <c r="AO254" s="4"/>
      <c r="AP254" s="4"/>
      <c r="AQ254" s="4"/>
      <c r="AR254" s="4"/>
      <c r="AS254" s="4"/>
      <c r="AT254" s="4"/>
    </row>
    <row r="255" spans="1:67" ht="12.95" customHeight="1">
      <c r="A255" s="19"/>
      <c r="B255" s="4"/>
      <c r="C255" s="4"/>
      <c r="D255" s="4" t="s">
        <v>88</v>
      </c>
      <c r="E255" s="4"/>
      <c r="F255" s="4"/>
      <c r="M255" s="1337"/>
      <c r="N255" s="1337"/>
      <c r="O255" s="1337"/>
      <c r="P255" s="1337"/>
      <c r="Q255" s="1337"/>
      <c r="R255" s="1337"/>
      <c r="S255" s="4" t="s">
        <v>205</v>
      </c>
      <c r="T255" s="4"/>
      <c r="U255" s="1450"/>
      <c r="V255" s="1450"/>
      <c r="W255" s="1450"/>
      <c r="X255" s="4" t="s">
        <v>89</v>
      </c>
      <c r="Z255" s="1337"/>
      <c r="AA255" s="1337"/>
      <c r="AB255" s="1337"/>
      <c r="AC255" s="1337"/>
      <c r="AD255" s="1337"/>
      <c r="AE255" s="1337"/>
      <c r="AU255" s="4"/>
      <c r="AV255" s="4"/>
      <c r="AW255" s="4"/>
      <c r="AX255" s="4"/>
      <c r="AY255" s="4"/>
      <c r="BN255" s="34"/>
    </row>
    <row r="256" spans="1:67" ht="12.95" customHeight="1">
      <c r="A256" s="19"/>
      <c r="B256" s="4"/>
      <c r="C256" s="4"/>
      <c r="D256" s="4" t="s">
        <v>90</v>
      </c>
      <c r="E256" s="4"/>
      <c r="F256" s="4"/>
      <c r="M256" s="1782"/>
      <c r="N256" s="1782"/>
      <c r="O256" s="1782"/>
      <c r="P256" s="1782"/>
      <c r="Q256" s="1782"/>
      <c r="R256" s="1782"/>
      <c r="S256" s="1782"/>
      <c r="T256" s="1782"/>
      <c r="U256" s="1782"/>
      <c r="V256" s="1782"/>
      <c r="W256" s="1782"/>
      <c r="X256" s="1782"/>
      <c r="Y256" s="1782"/>
      <c r="Z256" s="1782"/>
      <c r="AA256" s="1782"/>
      <c r="AB256" s="1782"/>
      <c r="AC256" s="1782"/>
      <c r="AD256" s="1782"/>
      <c r="AE256" s="1782"/>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535</v>
      </c>
      <c r="E257" s="4"/>
      <c r="F257" s="4"/>
      <c r="G257" s="4"/>
      <c r="H257" s="4"/>
      <c r="I257" s="4"/>
      <c r="J257" s="4"/>
      <c r="K257" s="4"/>
      <c r="L257" s="4"/>
      <c r="M257" s="1351"/>
      <c r="N257" s="1351"/>
      <c r="O257" s="1351"/>
      <c r="P257" s="1351"/>
      <c r="Q257" s="1351"/>
      <c r="R257" s="1351"/>
      <c r="S257" s="1351"/>
      <c r="T257" s="1351"/>
      <c r="U257" s="204" t="s">
        <v>906</v>
      </c>
      <c r="V257" s="204"/>
      <c r="W257" s="204"/>
      <c r="X257" s="204"/>
      <c r="Y257" s="204"/>
      <c r="Z257" s="204"/>
      <c r="AA257" s="1774"/>
      <c r="AB257" s="1774"/>
      <c r="AC257" s="1774"/>
      <c r="AD257" s="1774"/>
      <c r="AE257" s="1774"/>
      <c r="AF257" s="1774"/>
      <c r="AG257" s="1774"/>
      <c r="AH257" s="1774"/>
      <c r="AI257" s="1774"/>
      <c r="AJ257" s="1774"/>
      <c r="AK257" s="1774"/>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876</v>
      </c>
      <c r="D259" s="4" t="s">
        <v>532</v>
      </c>
      <c r="E259" s="4"/>
      <c r="F259" s="4"/>
      <c r="G259" s="4"/>
      <c r="H259" s="4"/>
      <c r="I259" s="4"/>
      <c r="J259" s="4"/>
      <c r="K259" s="4"/>
      <c r="L259" s="4"/>
      <c r="M259" s="1432" t="s">
        <v>591</v>
      </c>
      <c r="N259" s="1433"/>
      <c r="O259" s="1433"/>
      <c r="P259" s="1433"/>
      <c r="Q259" s="1433"/>
      <c r="R259" s="1433"/>
      <c r="S259" s="1433"/>
      <c r="T259" s="1433"/>
      <c r="U259" s="1433"/>
      <c r="V259" s="1433"/>
      <c r="W259" s="1433"/>
      <c r="X259" s="1433"/>
      <c r="Y259" s="1433"/>
      <c r="Z259" s="1433"/>
      <c r="AA259" s="1433"/>
      <c r="AB259" s="1433"/>
      <c r="AC259" s="1433"/>
      <c r="AD259" s="1433"/>
      <c r="AE259" s="1433"/>
      <c r="AF259" s="1433" t="s">
        <v>306</v>
      </c>
      <c r="AG259" s="1433"/>
      <c r="AH259" s="1433"/>
      <c r="AI259" s="1433"/>
      <c r="AJ259" s="1433"/>
      <c r="AK259" s="1433"/>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30"/>
      <c r="N260" s="1430"/>
      <c r="O260" s="1430"/>
      <c r="P260" s="1430"/>
      <c r="Q260" s="1430"/>
      <c r="R260" s="1430"/>
      <c r="S260" s="1430"/>
      <c r="T260" s="1430"/>
      <c r="U260" s="1430"/>
      <c r="V260" s="1430"/>
      <c r="W260" s="1430"/>
      <c r="X260" s="1430"/>
      <c r="Y260" s="1430"/>
      <c r="Z260" s="1430"/>
      <c r="AA260" s="1430"/>
      <c r="AB260" s="1430"/>
      <c r="AC260" s="1430"/>
      <c r="AD260" s="1430"/>
      <c r="AE260" s="1430"/>
      <c r="AF260" s="3" t="s">
        <v>1179</v>
      </c>
      <c r="AL260" s="3"/>
      <c r="AM260" s="3"/>
      <c r="AN260" s="3"/>
      <c r="AO260" s="3"/>
      <c r="AP260" s="3"/>
      <c r="AQ260" s="3"/>
      <c r="AR260" s="3"/>
      <c r="AS260" s="3"/>
      <c r="AT260" s="3"/>
      <c r="AU260" s="3"/>
      <c r="AV260" s="3"/>
      <c r="AW260" s="3"/>
      <c r="AX260" s="3"/>
      <c r="AY260" s="3"/>
    </row>
    <row r="261" spans="1:51" ht="12.95" customHeight="1">
      <c r="A261" s="13"/>
      <c r="B261" s="4"/>
      <c r="C261" s="4"/>
      <c r="D261" s="4" t="s">
        <v>580</v>
      </c>
      <c r="E261" s="4"/>
      <c r="M261" s="1430"/>
      <c r="N261" s="1430"/>
      <c r="O261" s="1430"/>
      <c r="P261" s="1430"/>
      <c r="Q261" s="1430"/>
      <c r="R261" s="1430"/>
      <c r="S261" s="1430"/>
      <c r="T261" s="1430"/>
      <c r="V261" s="33" t="s">
        <v>86</v>
      </c>
      <c r="W261" s="1450"/>
      <c r="X261" s="1450"/>
      <c r="Y261" s="4" t="s">
        <v>583</v>
      </c>
      <c r="AC261" s="1430"/>
      <c r="AD261" s="1430"/>
      <c r="AE261" s="1430"/>
      <c r="AF261" s="3" t="s">
        <v>1180</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30"/>
      <c r="N262" s="1430"/>
      <c r="O262" s="1430"/>
      <c r="P262" s="1430"/>
      <c r="Q262" s="1430"/>
      <c r="R262" s="1430"/>
      <c r="S262" s="1430"/>
      <c r="T262" s="1430"/>
      <c r="U262" s="1430"/>
      <c r="V262" s="1430"/>
      <c r="W262" s="1430"/>
      <c r="X262" s="1430"/>
      <c r="Y262" s="1430"/>
      <c r="Z262" s="1430"/>
      <c r="AA262" s="1430"/>
      <c r="AB262" s="1430"/>
      <c r="AC262" s="1430"/>
      <c r="AD262" s="1430"/>
      <c r="AE262" s="1430"/>
      <c r="AH262" s="1776"/>
      <c r="AI262" s="1776"/>
      <c r="AJ262" s="1776"/>
      <c r="AK262" s="1776"/>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337"/>
      <c r="N263" s="1337"/>
      <c r="O263" s="1337"/>
      <c r="P263" s="1337"/>
      <c r="Q263" s="1337"/>
      <c r="R263" s="1337"/>
      <c r="S263" s="4" t="s">
        <v>205</v>
      </c>
      <c r="T263" s="4"/>
      <c r="U263" s="1450"/>
      <c r="V263" s="1450"/>
      <c r="W263" s="1450"/>
      <c r="X263" s="4" t="s">
        <v>89</v>
      </c>
      <c r="Z263" s="1337"/>
      <c r="AA263" s="1337"/>
      <c r="AB263" s="1337"/>
      <c r="AC263" s="1337"/>
      <c r="AD263" s="1337"/>
      <c r="AE263" s="1337"/>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82"/>
      <c r="N264" s="1782"/>
      <c r="O264" s="1782"/>
      <c r="P264" s="1782"/>
      <c r="Q264" s="1782"/>
      <c r="R264" s="1782"/>
      <c r="S264" s="1782"/>
      <c r="T264" s="1782"/>
      <c r="U264" s="1782"/>
      <c r="V264" s="1782"/>
      <c r="W264" s="1782"/>
      <c r="X264" s="1782"/>
      <c r="Y264" s="1782"/>
      <c r="Z264" s="1782"/>
      <c r="AA264" s="1783"/>
      <c r="AB264" s="1783"/>
      <c r="AC264" s="1783"/>
      <c r="AD264" s="1783"/>
      <c r="AE264" s="1783"/>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535</v>
      </c>
      <c r="E265" s="4"/>
      <c r="F265" s="4"/>
      <c r="G265" s="4"/>
      <c r="H265" s="4"/>
      <c r="I265" s="4"/>
      <c r="J265" s="4"/>
      <c r="K265" s="4"/>
      <c r="L265" s="4"/>
      <c r="M265" s="1351" t="s">
        <v>306</v>
      </c>
      <c r="N265" s="1351"/>
      <c r="O265" s="1351"/>
      <c r="P265" s="1351"/>
      <c r="Q265" s="1351"/>
      <c r="R265" s="1351"/>
      <c r="S265" s="1351"/>
      <c r="T265" s="1351"/>
      <c r="U265" s="204" t="s">
        <v>906</v>
      </c>
      <c r="V265" s="204"/>
      <c r="W265" s="204"/>
      <c r="X265" s="204"/>
      <c r="Y265" s="204"/>
      <c r="Z265" s="204"/>
      <c r="AA265" s="1775"/>
      <c r="AB265" s="1775"/>
      <c r="AC265" s="1775"/>
      <c r="AD265" s="1775"/>
      <c r="AE265" s="1775"/>
      <c r="AF265" s="1775"/>
      <c r="AG265" s="1775"/>
      <c r="AH265" s="1775"/>
      <c r="AI265" s="1775"/>
      <c r="AJ265" s="1775"/>
      <c r="AK265" s="1775"/>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590</v>
      </c>
      <c r="B267" s="4"/>
      <c r="C267" s="2" t="s">
        <v>294</v>
      </c>
      <c r="D267" s="4"/>
      <c r="E267" s="4"/>
      <c r="F267" s="4"/>
      <c r="G267" s="4"/>
      <c r="H267" s="4"/>
      <c r="I267" s="4"/>
      <c r="J267" s="4"/>
      <c r="K267" s="4"/>
      <c r="L267" s="4"/>
      <c r="M267" s="35"/>
      <c r="N267" s="35"/>
      <c r="O267" s="35"/>
      <c r="P267" s="35"/>
      <c r="Q267" s="35"/>
      <c r="T267" s="1777" t="str">
        <f>IFERROR(BO245,"")</f>
        <v/>
      </c>
      <c r="U267" s="1777"/>
      <c r="V267" s="1777"/>
      <c r="W267" s="1777"/>
      <c r="X267" s="1777"/>
      <c r="Z267" s="307" t="s">
        <v>954</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2.95" customHeight="1">
      <c r="A269" s="2" t="s">
        <v>592</v>
      </c>
      <c r="B269" s="4"/>
      <c r="C269" s="2" t="s">
        <v>171</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2.95" customHeight="1">
      <c r="A270" s="4"/>
      <c r="B270" s="36">
        <v>0</v>
      </c>
      <c r="D270" s="1430" t="s">
        <v>279</v>
      </c>
      <c r="E270" s="1430"/>
      <c r="F270" s="1430"/>
      <c r="G270" s="1430"/>
      <c r="H270" s="1430"/>
      <c r="J270" t="s">
        <v>278</v>
      </c>
      <c r="X270" s="1666"/>
      <c r="Y270" s="1666"/>
      <c r="Z270" s="1666"/>
      <c r="AA270" s="1666"/>
      <c r="AB270" s="1666"/>
      <c r="AC270" s="1666"/>
      <c r="AU270" s="3"/>
      <c r="AV270" s="3"/>
      <c r="AW270" s="3"/>
      <c r="AX270" s="3"/>
      <c r="AY270" s="3"/>
    </row>
    <row r="271" spans="1:51" ht="12.95" customHeight="1">
      <c r="A271" s="4"/>
      <c r="B271" s="19"/>
      <c r="D271" s="37" t="s">
        <v>280</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295</v>
      </c>
      <c r="E274" s="4"/>
      <c r="F274" s="4"/>
      <c r="G274" s="4"/>
      <c r="H274" s="4"/>
      <c r="I274" s="4"/>
      <c r="J274" s="4"/>
      <c r="K274" s="4"/>
      <c r="L274" s="1432" t="s">
        <v>2612</v>
      </c>
      <c r="M274" s="1433"/>
      <c r="N274" s="1433"/>
      <c r="O274" s="1433"/>
      <c r="P274" s="1433"/>
      <c r="Q274" s="1433"/>
      <c r="R274" s="1433"/>
      <c r="S274" s="1433"/>
      <c r="T274" s="1433"/>
      <c r="U274" s="1433"/>
      <c r="V274" s="1433"/>
      <c r="W274" s="1433"/>
      <c r="X274" s="1433"/>
      <c r="Y274" s="1433"/>
      <c r="Z274" s="1433"/>
      <c r="AA274" s="1433"/>
      <c r="AB274" s="1433"/>
      <c r="AC274" s="1433"/>
      <c r="AD274" s="1433"/>
      <c r="AE274" s="1433"/>
      <c r="AF274" s="1433"/>
      <c r="AG274" s="1433"/>
      <c r="AH274" s="1433"/>
      <c r="AI274" s="1433"/>
      <c r="AJ274" s="1433"/>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29" t="s">
        <v>2623</v>
      </c>
      <c r="M275" s="1430"/>
      <c r="N275" s="1430"/>
      <c r="O275" s="1430"/>
      <c r="P275" s="1430"/>
      <c r="Q275" s="1430"/>
      <c r="R275" s="1430"/>
      <c r="S275" s="1430"/>
      <c r="T275" s="1430"/>
      <c r="U275" s="1430"/>
      <c r="V275" s="1430"/>
      <c r="W275" s="1430"/>
      <c r="X275" s="1430"/>
      <c r="Y275" s="1430"/>
      <c r="Z275" s="1430"/>
      <c r="AA275" s="1430"/>
      <c r="AB275" s="1430"/>
      <c r="AC275" s="1430"/>
      <c r="AD275" s="1430"/>
      <c r="AK275" s="3"/>
      <c r="AL275" s="3"/>
      <c r="AM275" s="3"/>
      <c r="AN275" s="3"/>
      <c r="AO275" s="3"/>
      <c r="AP275" s="3"/>
      <c r="AQ275" s="3"/>
      <c r="AR275" s="3"/>
      <c r="AS275" s="3"/>
      <c r="AT275" s="3"/>
      <c r="AU275" s="3"/>
      <c r="AV275" s="3"/>
      <c r="AW275" s="3"/>
      <c r="AX275" s="3"/>
      <c r="AY275" s="3"/>
    </row>
    <row r="276" spans="1:51" ht="12.95" customHeight="1">
      <c r="D276" s="4" t="s">
        <v>580</v>
      </c>
      <c r="E276" s="4"/>
      <c r="L276" s="1429" t="s">
        <v>69</v>
      </c>
      <c r="M276" s="1430"/>
      <c r="N276" s="1430"/>
      <c r="O276" s="1430"/>
      <c r="P276" s="1430"/>
      <c r="Q276" s="1430"/>
      <c r="R276" s="1430"/>
      <c r="S276" s="1430"/>
      <c r="U276" s="33" t="s">
        <v>86</v>
      </c>
      <c r="V276" s="1450"/>
      <c r="W276" s="1450"/>
      <c r="X276" s="4" t="s">
        <v>583</v>
      </c>
      <c r="AB276" s="1430"/>
      <c r="AC276" s="1430"/>
      <c r="AD276" s="1430"/>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29" t="s">
        <v>2724</v>
      </c>
      <c r="M277" s="1430"/>
      <c r="N277" s="1430"/>
      <c r="O277" s="1430"/>
      <c r="P277" s="1430"/>
      <c r="Q277" s="1430"/>
      <c r="R277" s="1430"/>
      <c r="S277" s="1430"/>
      <c r="T277" s="1430"/>
      <c r="U277" s="1430"/>
      <c r="V277" s="1430"/>
      <c r="W277" s="1430"/>
      <c r="X277" s="1430"/>
      <c r="Y277" s="1430"/>
      <c r="Z277" s="1430"/>
      <c r="AA277" s="1430"/>
      <c r="AB277" s="1430"/>
      <c r="AC277" s="1430"/>
      <c r="AD277" s="1430"/>
      <c r="AI277" s="4"/>
      <c r="AJ277" s="4"/>
      <c r="AK277" s="3"/>
      <c r="AL277" s="3"/>
      <c r="AM277" s="3"/>
      <c r="AN277" s="3"/>
      <c r="AO277" s="3"/>
      <c r="AP277" s="3"/>
      <c r="AQ277" s="3"/>
      <c r="AR277" s="3"/>
      <c r="AS277" s="3"/>
      <c r="AT277" s="3"/>
    </row>
    <row r="278" spans="1:51" ht="12.95" customHeight="1">
      <c r="D278" s="4" t="s">
        <v>88</v>
      </c>
      <c r="E278" s="4"/>
      <c r="F278" s="4"/>
      <c r="L278" s="1669" t="s">
        <v>2725</v>
      </c>
      <c r="M278" s="1337"/>
      <c r="N278" s="1337"/>
      <c r="O278" s="1337"/>
      <c r="P278" s="1337"/>
      <c r="Q278" s="1337"/>
      <c r="R278" s="4" t="s">
        <v>205</v>
      </c>
      <c r="S278" s="4"/>
      <c r="T278" s="1450"/>
      <c r="U278" s="1450"/>
      <c r="V278" s="1450"/>
      <c r="W278" s="4" t="s">
        <v>89</v>
      </c>
      <c r="Y278" s="1337"/>
      <c r="Z278" s="1337"/>
      <c r="AA278" s="1337"/>
      <c r="AB278" s="1337"/>
      <c r="AC278" s="1337"/>
      <c r="AD278" s="1337"/>
    </row>
    <row r="279" spans="1:51" ht="12.95" customHeight="1">
      <c r="D279" s="4" t="s">
        <v>90</v>
      </c>
      <c r="E279" s="4"/>
      <c r="F279" s="4"/>
      <c r="L279" s="1782" t="s">
        <v>2723</v>
      </c>
      <c r="M279" s="1782"/>
      <c r="N279" s="1782"/>
      <c r="O279" s="1782"/>
      <c r="P279" s="1782"/>
      <c r="Q279" s="1782"/>
      <c r="R279" s="1782"/>
      <c r="S279" s="1782"/>
      <c r="T279" s="1782"/>
      <c r="U279" s="1782"/>
      <c r="V279" s="1782"/>
      <c r="W279" s="1782"/>
      <c r="X279" s="1782"/>
      <c r="Y279" s="1782"/>
      <c r="Z279" s="1782"/>
      <c r="AA279" s="1782"/>
      <c r="AB279" s="1782"/>
      <c r="AC279" s="1782"/>
      <c r="AD279" s="1782"/>
      <c r="AF279" s="4"/>
      <c r="AG279" s="4"/>
      <c r="AH279" s="4"/>
      <c r="AI279" s="4"/>
      <c r="AJ279" s="4"/>
      <c r="AU279" s="3"/>
      <c r="AV279" s="3"/>
      <c r="AW279" s="3"/>
      <c r="AX279" s="3"/>
      <c r="AY279" s="3"/>
    </row>
    <row r="280" spans="1:51" ht="12.95" customHeight="1">
      <c r="D280" s="3" t="s">
        <v>623</v>
      </c>
      <c r="E280" s="3"/>
      <c r="F280" s="3"/>
      <c r="G280" s="3"/>
      <c r="H280" s="3"/>
      <c r="I280" s="3"/>
      <c r="L280" s="1553" t="s">
        <v>2629</v>
      </c>
      <c r="M280" s="1553"/>
      <c r="N280" s="1553"/>
      <c r="O280" s="1553"/>
      <c r="P280" s="1553"/>
      <c r="Q280" s="1553"/>
      <c r="R280" s="1553"/>
      <c r="S280" s="1553"/>
      <c r="T280" s="1553"/>
      <c r="U280" s="1553"/>
      <c r="V280" s="1553"/>
      <c r="W280" s="1553"/>
      <c r="X280" s="1553"/>
      <c r="Y280" s="1553"/>
      <c r="Z280" s="1553"/>
      <c r="AA280" s="1553"/>
      <c r="AB280" s="1553"/>
      <c r="AC280" s="1553"/>
      <c r="AD280" s="1553"/>
      <c r="AK280" s="3"/>
      <c r="AL280" s="3"/>
      <c r="AM280" s="3"/>
      <c r="AN280" s="3"/>
      <c r="AO280" s="3"/>
      <c r="AP280" s="3"/>
      <c r="AQ280" s="3"/>
      <c r="AR280" s="3"/>
      <c r="AS280" s="3"/>
      <c r="AT280" s="3"/>
    </row>
    <row r="281" spans="1:51" ht="12.95" customHeight="1">
      <c r="L281" s="22" t="s">
        <v>624</v>
      </c>
      <c r="AU281" s="95"/>
      <c r="AV281" s="95"/>
      <c r="AW281" s="95"/>
      <c r="AX281" s="95"/>
      <c r="AY281" s="95"/>
    </row>
    <row r="282" spans="1:51" ht="12.95" customHeight="1">
      <c r="A282" s="1435" t="s">
        <v>541</v>
      </c>
      <c r="B282" s="1435"/>
      <c r="C282" s="1435"/>
      <c r="D282" s="1435"/>
      <c r="E282" s="1435"/>
      <c r="F282" s="1435"/>
      <c r="G282" s="1435"/>
      <c r="H282" s="1435"/>
      <c r="I282" s="1435"/>
      <c r="J282" s="1435"/>
      <c r="K282" s="1435"/>
      <c r="L282" s="1435"/>
      <c r="M282" s="1435"/>
      <c r="N282" s="1435"/>
      <c r="O282" s="1435"/>
      <c r="P282" s="1435"/>
      <c r="Q282" s="1435"/>
      <c r="R282" s="1435"/>
      <c r="S282" s="1435"/>
      <c r="T282" s="1435"/>
      <c r="U282" s="1435"/>
      <c r="V282" s="1435"/>
      <c r="W282" s="1435"/>
      <c r="X282" s="1435"/>
      <c r="Y282" s="1435"/>
      <c r="Z282" s="1435"/>
      <c r="AA282" s="1435"/>
      <c r="AB282" s="1435"/>
      <c r="AC282" s="1435"/>
      <c r="AD282" s="1435"/>
      <c r="AE282" s="1435"/>
      <c r="AF282" s="1435"/>
      <c r="AG282" s="1435"/>
      <c r="AH282" s="1435"/>
      <c r="AI282" s="1435"/>
      <c r="AJ282" s="1435"/>
      <c r="AK282" s="1435"/>
      <c r="AL282" s="1435"/>
      <c r="AM282" s="1435"/>
      <c r="AN282" s="1435"/>
      <c r="AO282" s="1435"/>
      <c r="AP282" s="1435"/>
      <c r="AQ282" s="1435"/>
      <c r="AR282" s="1435"/>
      <c r="AS282" s="1435"/>
      <c r="AT282" s="1435"/>
      <c r="AU282" s="95"/>
      <c r="AV282" s="95"/>
      <c r="AW282" s="95"/>
      <c r="AX282" s="95"/>
      <c r="AY282" s="95"/>
    </row>
    <row r="283" spans="1:51" ht="12.95" customHeight="1">
      <c r="A283" s="1435"/>
      <c r="B283" s="1435"/>
      <c r="C283" s="1435"/>
      <c r="D283" s="1435"/>
      <c r="E283" s="1435"/>
      <c r="F283" s="1435"/>
      <c r="G283" s="1435"/>
      <c r="H283" s="1435"/>
      <c r="I283" s="1435"/>
      <c r="J283" s="1435"/>
      <c r="K283" s="1435"/>
      <c r="L283" s="1435"/>
      <c r="M283" s="1435"/>
      <c r="N283" s="1435"/>
      <c r="O283" s="1435"/>
      <c r="P283" s="1435"/>
      <c r="Q283" s="1435"/>
      <c r="R283" s="1435"/>
      <c r="S283" s="1435"/>
      <c r="T283" s="1435"/>
      <c r="U283" s="1435"/>
      <c r="V283" s="1435"/>
      <c r="W283" s="1435"/>
      <c r="X283" s="1435"/>
      <c r="Y283" s="1435"/>
      <c r="Z283" s="1435"/>
      <c r="AA283" s="1435"/>
      <c r="AB283" s="1435"/>
      <c r="AC283" s="1435"/>
      <c r="AD283" s="1435"/>
      <c r="AE283" s="1435"/>
      <c r="AF283" s="1435"/>
      <c r="AG283" s="1435"/>
      <c r="AH283" s="1435"/>
      <c r="AI283" s="1435"/>
      <c r="AJ283" s="1435"/>
      <c r="AK283" s="1435"/>
      <c r="AL283" s="1435"/>
      <c r="AM283" s="1435"/>
      <c r="AN283" s="1435"/>
      <c r="AO283" s="1435"/>
      <c r="AP283" s="1435"/>
      <c r="AQ283" s="1435"/>
      <c r="AR283" s="1435"/>
      <c r="AS283" s="1435"/>
      <c r="AT283" s="1435"/>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318</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626</v>
      </c>
      <c r="C287" s="3"/>
      <c r="D287" s="3"/>
      <c r="E287" s="3"/>
      <c r="F287" s="3"/>
      <c r="H287" s="1338" t="s">
        <v>2631</v>
      </c>
      <c r="I287" s="1338"/>
      <c r="J287" s="1338"/>
      <c r="K287" s="1338"/>
      <c r="L287" s="1338"/>
      <c r="M287" s="1338"/>
      <c r="N287" s="1338"/>
      <c r="O287" s="1338"/>
      <c r="P287" s="1338"/>
      <c r="Q287" s="1338"/>
      <c r="R287" s="1338"/>
      <c r="T287" s="3" t="s">
        <v>567</v>
      </c>
      <c r="V287" s="3"/>
      <c r="W287" s="3"/>
      <c r="X287" s="3"/>
      <c r="Y287" s="3"/>
      <c r="AA287" s="1338" t="s">
        <v>2637</v>
      </c>
      <c r="AB287" s="1338"/>
      <c r="AC287" s="1338"/>
      <c r="AD287" s="1338"/>
      <c r="AE287" s="1338"/>
      <c r="AF287" s="1338"/>
      <c r="AG287" s="1338"/>
      <c r="AH287" s="1338"/>
      <c r="AI287" s="1338"/>
      <c r="AJ287" s="1338"/>
      <c r="AK287" s="1338"/>
    </row>
    <row r="288" spans="1:51" ht="12.95" customHeight="1">
      <c r="B288" s="3" t="s">
        <v>471</v>
      </c>
      <c r="C288" s="3"/>
      <c r="D288" s="3"/>
      <c r="E288" s="3"/>
      <c r="F288" s="3"/>
      <c r="H288" s="1351" t="s">
        <v>2632</v>
      </c>
      <c r="I288" s="1351"/>
      <c r="J288" s="1351"/>
      <c r="K288" s="1351"/>
      <c r="L288" s="1351"/>
      <c r="M288" s="1351"/>
      <c r="N288" s="1351"/>
      <c r="O288" s="1351"/>
      <c r="P288" s="1351"/>
      <c r="Q288" s="1351"/>
      <c r="R288" s="1351"/>
      <c r="T288" s="3" t="s">
        <v>471</v>
      </c>
      <c r="V288" s="3"/>
      <c r="W288" s="3"/>
      <c r="X288" s="3"/>
      <c r="Y288" s="3"/>
      <c r="AA288" s="1351" t="s">
        <v>2638</v>
      </c>
      <c r="AB288" s="1351"/>
      <c r="AC288" s="1351"/>
      <c r="AD288" s="1351"/>
      <c r="AE288" s="1351"/>
      <c r="AF288" s="1351"/>
      <c r="AG288" s="1351"/>
      <c r="AH288" s="1351"/>
      <c r="AI288" s="1351"/>
      <c r="AJ288" s="1351"/>
      <c r="AK288" s="1351"/>
    </row>
    <row r="289" spans="2:37" ht="12.95" customHeight="1">
      <c r="B289" s="3" t="s">
        <v>472</v>
      </c>
      <c r="C289" s="3"/>
      <c r="D289" s="3"/>
      <c r="E289" s="3"/>
      <c r="F289" s="3"/>
      <c r="H289" s="1351" t="s">
        <v>2633</v>
      </c>
      <c r="I289" s="1351"/>
      <c r="J289" s="1351"/>
      <c r="K289" s="1351"/>
      <c r="L289" s="1351"/>
      <c r="M289" s="1351"/>
      <c r="N289" s="1351"/>
      <c r="O289" s="1351"/>
      <c r="P289" s="1351"/>
      <c r="Q289" s="1351"/>
      <c r="R289" s="1351"/>
      <c r="T289" s="3" t="s">
        <v>75</v>
      </c>
      <c r="V289" s="3"/>
      <c r="W289" s="3"/>
      <c r="X289" s="3"/>
      <c r="Y289" s="3"/>
      <c r="AA289" s="1351" t="s">
        <v>2639</v>
      </c>
      <c r="AB289" s="1351"/>
      <c r="AC289" s="1351"/>
      <c r="AD289" s="1351"/>
      <c r="AE289" s="1351"/>
      <c r="AF289" s="1351"/>
      <c r="AG289" s="1351"/>
      <c r="AH289" s="1351"/>
      <c r="AI289" s="1351"/>
      <c r="AJ289" s="1351"/>
      <c r="AK289" s="1351"/>
    </row>
    <row r="290" spans="2:37" ht="12.95" customHeight="1">
      <c r="B290" s="3" t="s">
        <v>87</v>
      </c>
      <c r="C290" s="3"/>
      <c r="D290" s="3"/>
      <c r="E290" s="3"/>
      <c r="F290" s="3"/>
      <c r="H290" s="1351" t="s">
        <v>2634</v>
      </c>
      <c r="I290" s="1351"/>
      <c r="J290" s="1351"/>
      <c r="K290" s="1351"/>
      <c r="L290" s="1351"/>
      <c r="M290" s="1351"/>
      <c r="N290" s="1351"/>
      <c r="O290" s="1351"/>
      <c r="P290" s="1351"/>
      <c r="Q290" s="1351"/>
      <c r="R290" s="1351"/>
      <c r="T290" s="3" t="s">
        <v>87</v>
      </c>
      <c r="V290" s="3"/>
      <c r="W290" s="3"/>
      <c r="X290" s="3"/>
      <c r="Y290" s="3"/>
      <c r="AA290" s="1351" t="s">
        <v>2640</v>
      </c>
      <c r="AB290" s="1351"/>
      <c r="AC290" s="1351"/>
      <c r="AD290" s="1351"/>
      <c r="AE290" s="1351"/>
      <c r="AF290" s="1351"/>
      <c r="AG290" s="1351"/>
      <c r="AH290" s="1351"/>
      <c r="AI290" s="1351"/>
      <c r="AJ290" s="1351"/>
      <c r="AK290" s="1351"/>
    </row>
    <row r="291" spans="2:37" ht="12.95" customHeight="1">
      <c r="B291" s="3" t="s">
        <v>88</v>
      </c>
      <c r="C291" s="3"/>
      <c r="D291" s="3"/>
      <c r="E291" s="3"/>
      <c r="F291" s="3"/>
      <c r="G291" s="3"/>
      <c r="H291" s="1436" t="s">
        <v>2635</v>
      </c>
      <c r="I291" s="1436"/>
      <c r="J291" s="1436"/>
      <c r="K291" s="1436"/>
      <c r="L291" s="1436"/>
      <c r="M291" s="1436"/>
      <c r="N291" s="4" t="s">
        <v>205</v>
      </c>
      <c r="O291" s="4"/>
      <c r="P291" s="1430"/>
      <c r="Q291" s="1430"/>
      <c r="R291" s="1430"/>
      <c r="S291" s="3"/>
      <c r="T291" s="3" t="s">
        <v>88</v>
      </c>
      <c r="V291" s="3"/>
      <c r="W291" s="3"/>
      <c r="X291" s="3"/>
      <c r="Y291" s="3"/>
      <c r="AA291" s="1436" t="s">
        <v>2641</v>
      </c>
      <c r="AB291" s="1436"/>
      <c r="AC291" s="1436"/>
      <c r="AD291" s="1436"/>
      <c r="AE291" s="1436"/>
      <c r="AF291" s="1436"/>
      <c r="AG291" s="4" t="s">
        <v>205</v>
      </c>
      <c r="AH291" s="4"/>
      <c r="AI291" s="1430"/>
      <c r="AJ291" s="1430"/>
      <c r="AK291" s="1430"/>
    </row>
    <row r="292" spans="2:37" ht="12.95" customHeight="1">
      <c r="B292" s="3" t="s">
        <v>89</v>
      </c>
      <c r="C292" s="3"/>
      <c r="D292" s="3"/>
      <c r="E292" s="3"/>
      <c r="F292" s="3"/>
      <c r="G292" s="3"/>
      <c r="H292" s="1337"/>
      <c r="I292" s="1337"/>
      <c r="J292" s="1337"/>
      <c r="K292" s="1337"/>
      <c r="L292" s="1337"/>
      <c r="M292" s="1337"/>
      <c r="N292" s="4"/>
      <c r="O292" s="4"/>
      <c r="P292" s="35"/>
      <c r="Q292" s="35"/>
      <c r="R292" s="35"/>
      <c r="S292" s="3"/>
      <c r="T292" s="3" t="s">
        <v>89</v>
      </c>
      <c r="V292" s="3"/>
      <c r="W292" s="3"/>
      <c r="X292" s="3"/>
      <c r="Y292" s="3"/>
      <c r="AA292" s="1337"/>
      <c r="AB292" s="1337"/>
      <c r="AC292" s="1337"/>
      <c r="AD292" s="1337"/>
      <c r="AE292" s="1337"/>
      <c r="AF292" s="1337"/>
      <c r="AG292" s="4"/>
      <c r="AH292" s="4"/>
      <c r="AI292" s="35"/>
      <c r="AJ292" s="35"/>
      <c r="AK292" s="35"/>
    </row>
    <row r="293" spans="2:37" ht="12.95" customHeight="1">
      <c r="B293" s="3" t="s">
        <v>76</v>
      </c>
      <c r="C293" s="3"/>
      <c r="D293" s="3"/>
      <c r="E293" s="3"/>
      <c r="F293" s="3"/>
      <c r="G293" s="3"/>
      <c r="H293" s="1351" t="s">
        <v>2636</v>
      </c>
      <c r="I293" s="1351"/>
      <c r="J293" s="1351"/>
      <c r="K293" s="1351"/>
      <c r="L293" s="1351"/>
      <c r="M293" s="1351"/>
      <c r="N293" s="1338"/>
      <c r="O293" s="1338"/>
      <c r="P293" s="1338"/>
      <c r="Q293" s="1338"/>
      <c r="R293" s="1338"/>
      <c r="S293" s="3"/>
      <c r="T293" s="3" t="s">
        <v>76</v>
      </c>
      <c r="V293" s="3"/>
      <c r="W293" s="3"/>
      <c r="X293" s="3"/>
      <c r="Y293" s="3"/>
      <c r="AA293" s="1351" t="s">
        <v>2642</v>
      </c>
      <c r="AB293" s="1351"/>
      <c r="AC293" s="1351"/>
      <c r="AD293" s="1351"/>
      <c r="AE293" s="1351"/>
      <c r="AF293" s="1351"/>
      <c r="AG293" s="1338"/>
      <c r="AH293" s="1338"/>
      <c r="AI293" s="1338"/>
      <c r="AJ293" s="1338"/>
      <c r="AK293" s="1338"/>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322</v>
      </c>
      <c r="C295" s="3"/>
      <c r="D295" s="3"/>
      <c r="E295" s="3"/>
      <c r="F295" s="3"/>
      <c r="H295" s="1338" t="s">
        <v>2643</v>
      </c>
      <c r="I295" s="1338"/>
      <c r="J295" s="1338"/>
      <c r="K295" s="1338"/>
      <c r="L295" s="1338"/>
      <c r="M295" s="1338"/>
      <c r="N295" s="1338"/>
      <c r="O295" s="1338"/>
      <c r="P295" s="1338"/>
      <c r="Q295" s="1338"/>
      <c r="R295" s="1338"/>
      <c r="T295" s="3" t="s">
        <v>363</v>
      </c>
      <c r="V295" s="3"/>
      <c r="W295" s="3"/>
      <c r="X295" s="3"/>
      <c r="Y295" s="3"/>
      <c r="AA295" s="1338" t="s">
        <v>2631</v>
      </c>
      <c r="AB295" s="1338"/>
      <c r="AC295" s="1338"/>
      <c r="AD295" s="1338"/>
      <c r="AE295" s="1338"/>
      <c r="AF295" s="1338"/>
      <c r="AG295" s="1338"/>
      <c r="AH295" s="1338"/>
      <c r="AI295" s="1338"/>
      <c r="AJ295" s="1338"/>
      <c r="AK295" s="1338"/>
    </row>
    <row r="296" spans="2:37" ht="12.95" customHeight="1">
      <c r="B296" s="3" t="s">
        <v>471</v>
      </c>
      <c r="C296" s="3"/>
      <c r="D296" s="3"/>
      <c r="E296" s="3"/>
      <c r="F296" s="3"/>
      <c r="H296" s="1351" t="s">
        <v>2644</v>
      </c>
      <c r="I296" s="1351"/>
      <c r="J296" s="1351"/>
      <c r="K296" s="1351"/>
      <c r="L296" s="1351"/>
      <c r="M296" s="1351"/>
      <c r="N296" s="1351"/>
      <c r="O296" s="1351"/>
      <c r="P296" s="1351"/>
      <c r="Q296" s="1351"/>
      <c r="R296" s="1351"/>
      <c r="T296" s="3" t="s">
        <v>471</v>
      </c>
      <c r="V296" s="3"/>
      <c r="W296" s="3"/>
      <c r="X296" s="3"/>
      <c r="Y296" s="3"/>
      <c r="AA296" s="1351" t="s">
        <v>2632</v>
      </c>
      <c r="AB296" s="1351"/>
      <c r="AC296" s="1351"/>
      <c r="AD296" s="1351"/>
      <c r="AE296" s="1351"/>
      <c r="AF296" s="1351"/>
      <c r="AG296" s="1351"/>
      <c r="AH296" s="1351"/>
      <c r="AI296" s="1351"/>
      <c r="AJ296" s="1351"/>
      <c r="AK296" s="1351"/>
    </row>
    <row r="297" spans="2:37" ht="12.95" customHeight="1">
      <c r="B297" s="3" t="s">
        <v>472</v>
      </c>
      <c r="C297" s="3"/>
      <c r="D297" s="3"/>
      <c r="E297" s="3"/>
      <c r="F297" s="3"/>
      <c r="H297" s="1351" t="s">
        <v>2645</v>
      </c>
      <c r="I297" s="1351"/>
      <c r="J297" s="1351"/>
      <c r="K297" s="1351"/>
      <c r="L297" s="1351"/>
      <c r="M297" s="1351"/>
      <c r="N297" s="1351"/>
      <c r="O297" s="1351"/>
      <c r="P297" s="1351"/>
      <c r="Q297" s="1351"/>
      <c r="R297" s="1351"/>
      <c r="T297" s="3" t="s">
        <v>75</v>
      </c>
      <c r="V297" s="3"/>
      <c r="W297" s="3"/>
      <c r="X297" s="3"/>
      <c r="Y297" s="3"/>
      <c r="AA297" s="1351" t="s">
        <v>2633</v>
      </c>
      <c r="AB297" s="1351"/>
      <c r="AC297" s="1351"/>
      <c r="AD297" s="1351"/>
      <c r="AE297" s="1351"/>
      <c r="AF297" s="1351"/>
      <c r="AG297" s="1351"/>
      <c r="AH297" s="1351"/>
      <c r="AI297" s="1351"/>
      <c r="AJ297" s="1351"/>
      <c r="AK297" s="1351"/>
    </row>
    <row r="298" spans="2:37" ht="12.95" customHeight="1">
      <c r="B298" s="3" t="s">
        <v>87</v>
      </c>
      <c r="C298" s="3"/>
      <c r="D298" s="3"/>
      <c r="E298" s="3"/>
      <c r="F298" s="3"/>
      <c r="H298" s="1351" t="s">
        <v>2646</v>
      </c>
      <c r="I298" s="1351"/>
      <c r="J298" s="1351"/>
      <c r="K298" s="1351"/>
      <c r="L298" s="1351"/>
      <c r="M298" s="1351"/>
      <c r="N298" s="1351"/>
      <c r="O298" s="1351"/>
      <c r="P298" s="1351"/>
      <c r="Q298" s="1351"/>
      <c r="R298" s="1351"/>
      <c r="T298" s="3" t="s">
        <v>87</v>
      </c>
      <c r="V298" s="3"/>
      <c r="W298" s="3"/>
      <c r="X298" s="3"/>
      <c r="Y298" s="3"/>
      <c r="AA298" s="1351" t="s">
        <v>2634</v>
      </c>
      <c r="AB298" s="1351"/>
      <c r="AC298" s="1351"/>
      <c r="AD298" s="1351"/>
      <c r="AE298" s="1351"/>
      <c r="AF298" s="1351"/>
      <c r="AG298" s="1351"/>
      <c r="AH298" s="1351"/>
      <c r="AI298" s="1351"/>
      <c r="AJ298" s="1351"/>
      <c r="AK298" s="1351"/>
    </row>
    <row r="299" spans="2:37" ht="12.95" customHeight="1">
      <c r="B299" s="3" t="s">
        <v>88</v>
      </c>
      <c r="C299" s="3"/>
      <c r="D299" s="3"/>
      <c r="E299" s="3"/>
      <c r="F299" s="3"/>
      <c r="G299" s="3"/>
      <c r="H299" s="1436" t="s">
        <v>2647</v>
      </c>
      <c r="I299" s="1436"/>
      <c r="J299" s="1436"/>
      <c r="K299" s="1436"/>
      <c r="L299" s="1436"/>
      <c r="M299" s="1436"/>
      <c r="N299" s="4" t="s">
        <v>205</v>
      </c>
      <c r="O299" s="4"/>
      <c r="P299" s="1430"/>
      <c r="Q299" s="1430"/>
      <c r="R299" s="1430"/>
      <c r="S299" s="3"/>
      <c r="T299" s="3" t="s">
        <v>88</v>
      </c>
      <c r="V299" s="3"/>
      <c r="W299" s="3"/>
      <c r="X299" s="3"/>
      <c r="Y299" s="3"/>
      <c r="AA299" s="1436" t="s">
        <v>2635</v>
      </c>
      <c r="AB299" s="1436"/>
      <c r="AC299" s="1436"/>
      <c r="AD299" s="1436"/>
      <c r="AE299" s="1436"/>
      <c r="AF299" s="1436"/>
      <c r="AG299" s="4" t="s">
        <v>205</v>
      </c>
      <c r="AH299" s="4"/>
      <c r="AI299" s="1430"/>
      <c r="AJ299" s="1430"/>
      <c r="AK299" s="1430"/>
    </row>
    <row r="300" spans="2:37" ht="12.95" customHeight="1">
      <c r="B300" s="3" t="s">
        <v>89</v>
      </c>
      <c r="C300" s="3"/>
      <c r="D300" s="3"/>
      <c r="E300" s="3"/>
      <c r="F300" s="3"/>
      <c r="G300" s="3"/>
      <c r="H300" s="1337"/>
      <c r="I300" s="1337"/>
      <c r="J300" s="1337"/>
      <c r="K300" s="1337"/>
      <c r="L300" s="1337"/>
      <c r="M300" s="1337"/>
      <c r="N300" s="4"/>
      <c r="O300" s="4"/>
      <c r="P300" s="35"/>
      <c r="Q300" s="35"/>
      <c r="R300" s="35"/>
      <c r="S300" s="3"/>
      <c r="T300" s="3" t="s">
        <v>89</v>
      </c>
      <c r="V300" s="3"/>
      <c r="W300" s="3"/>
      <c r="X300" s="3"/>
      <c r="Y300" s="3"/>
      <c r="AA300" s="1337"/>
      <c r="AB300" s="1337"/>
      <c r="AC300" s="1337"/>
      <c r="AD300" s="1337"/>
      <c r="AE300" s="1337"/>
      <c r="AF300" s="1337"/>
      <c r="AG300" s="4"/>
      <c r="AH300" s="4"/>
      <c r="AI300" s="35"/>
      <c r="AJ300" s="35"/>
      <c r="AK300" s="35"/>
    </row>
    <row r="301" spans="2:37" ht="12.95" customHeight="1">
      <c r="B301" s="3" t="s">
        <v>76</v>
      </c>
      <c r="C301" s="3"/>
      <c r="D301" s="3"/>
      <c r="E301" s="3"/>
      <c r="F301" s="3"/>
      <c r="G301" s="3"/>
      <c r="H301" s="1351" t="s">
        <v>2648</v>
      </c>
      <c r="I301" s="1351"/>
      <c r="J301" s="1351"/>
      <c r="K301" s="1351"/>
      <c r="L301" s="1351"/>
      <c r="M301" s="1351"/>
      <c r="N301" s="1338"/>
      <c r="O301" s="1338"/>
      <c r="P301" s="1338"/>
      <c r="Q301" s="1338"/>
      <c r="R301" s="1338"/>
      <c r="S301" s="3"/>
      <c r="T301" s="3" t="s">
        <v>76</v>
      </c>
      <c r="V301" s="3"/>
      <c r="W301" s="3"/>
      <c r="X301" s="3"/>
      <c r="Y301" s="3"/>
      <c r="AA301" s="1351" t="s">
        <v>2636</v>
      </c>
      <c r="AB301" s="1351"/>
      <c r="AC301" s="1351"/>
      <c r="AD301" s="1351"/>
      <c r="AE301" s="1351"/>
      <c r="AF301" s="1351"/>
      <c r="AG301" s="1338"/>
      <c r="AH301" s="1338"/>
      <c r="AI301" s="1338"/>
      <c r="AJ301" s="1338"/>
      <c r="AK301" s="1338"/>
    </row>
    <row r="302" spans="2:37" ht="12.95" customHeight="1"/>
    <row r="303" spans="2:37" ht="12.95" customHeight="1">
      <c r="B303" s="3" t="s">
        <v>77</v>
      </c>
      <c r="C303" s="3"/>
      <c r="D303" s="3"/>
      <c r="E303" s="3"/>
      <c r="F303" s="3"/>
      <c r="H303" s="1338" t="s">
        <v>2643</v>
      </c>
      <c r="I303" s="1338"/>
      <c r="J303" s="1338"/>
      <c r="K303" s="1338"/>
      <c r="L303" s="1338"/>
      <c r="M303" s="1338"/>
      <c r="N303" s="1338"/>
      <c r="O303" s="1338"/>
      <c r="P303" s="1338"/>
      <c r="Q303" s="1338"/>
      <c r="R303" s="1338"/>
      <c r="T303" s="4" t="s">
        <v>878</v>
      </c>
      <c r="V303" s="3"/>
      <c r="W303" s="3"/>
      <c r="X303" s="3"/>
      <c r="Y303" s="3"/>
      <c r="AA303" s="1338" t="s">
        <v>2655</v>
      </c>
      <c r="AB303" s="1338"/>
      <c r="AC303" s="1338"/>
      <c r="AD303" s="1338"/>
      <c r="AE303" s="1338"/>
      <c r="AF303" s="1338"/>
      <c r="AG303" s="1338"/>
      <c r="AH303" s="1338"/>
      <c r="AI303" s="1338"/>
      <c r="AJ303" s="1338"/>
      <c r="AK303" s="1338"/>
    </row>
    <row r="304" spans="2:37" ht="12.95" customHeight="1">
      <c r="B304" s="3" t="s">
        <v>471</v>
      </c>
      <c r="C304" s="3"/>
      <c r="D304" s="3"/>
      <c r="E304" s="3"/>
      <c r="F304" s="3"/>
      <c r="H304" s="1351" t="s">
        <v>2644</v>
      </c>
      <c r="I304" s="1351"/>
      <c r="J304" s="1351"/>
      <c r="K304" s="1351"/>
      <c r="L304" s="1351"/>
      <c r="M304" s="1351"/>
      <c r="N304" s="1351"/>
      <c r="O304" s="1351"/>
      <c r="P304" s="1351"/>
      <c r="Q304" s="1351"/>
      <c r="R304" s="1351"/>
      <c r="T304" s="3" t="s">
        <v>471</v>
      </c>
      <c r="V304" s="3"/>
      <c r="W304" s="3"/>
      <c r="X304" s="3"/>
      <c r="Y304" s="3"/>
      <c r="AA304" s="1351" t="s">
        <v>2656</v>
      </c>
      <c r="AB304" s="1351"/>
      <c r="AC304" s="1351"/>
      <c r="AD304" s="1351"/>
      <c r="AE304" s="1351"/>
      <c r="AF304" s="1351"/>
      <c r="AG304" s="1351"/>
      <c r="AH304" s="1351"/>
      <c r="AI304" s="1351"/>
      <c r="AJ304" s="1351"/>
      <c r="AK304" s="1351"/>
    </row>
    <row r="305" spans="2:37" ht="12.95" customHeight="1">
      <c r="B305" s="3" t="s">
        <v>472</v>
      </c>
      <c r="C305" s="3"/>
      <c r="D305" s="3"/>
      <c r="E305" s="3"/>
      <c r="F305" s="3"/>
      <c r="H305" s="1351" t="s">
        <v>2645</v>
      </c>
      <c r="I305" s="1351"/>
      <c r="J305" s="1351"/>
      <c r="K305" s="1351"/>
      <c r="L305" s="1351"/>
      <c r="M305" s="1351"/>
      <c r="N305" s="1351"/>
      <c r="O305" s="1351"/>
      <c r="P305" s="1351"/>
      <c r="Q305" s="1351"/>
      <c r="R305" s="1351"/>
      <c r="T305" s="3" t="s">
        <v>75</v>
      </c>
      <c r="V305" s="3"/>
      <c r="W305" s="3"/>
      <c r="X305" s="3"/>
      <c r="Y305" s="3"/>
      <c r="AA305" s="1351" t="s">
        <v>2657</v>
      </c>
      <c r="AB305" s="1351"/>
      <c r="AC305" s="1351"/>
      <c r="AD305" s="1351"/>
      <c r="AE305" s="1351"/>
      <c r="AF305" s="1351"/>
      <c r="AG305" s="1351"/>
      <c r="AH305" s="1351"/>
      <c r="AI305" s="1351"/>
      <c r="AJ305" s="1351"/>
      <c r="AK305" s="1351"/>
    </row>
    <row r="306" spans="2:37" ht="12.95" customHeight="1">
      <c r="B306" s="3" t="s">
        <v>87</v>
      </c>
      <c r="C306" s="3"/>
      <c r="D306" s="3"/>
      <c r="E306" s="3"/>
      <c r="F306" s="3"/>
      <c r="H306" s="1351" t="s">
        <v>2646</v>
      </c>
      <c r="I306" s="1351"/>
      <c r="J306" s="1351"/>
      <c r="K306" s="1351"/>
      <c r="L306" s="1351"/>
      <c r="M306" s="1351"/>
      <c r="N306" s="1351"/>
      <c r="O306" s="1351"/>
      <c r="P306" s="1351"/>
      <c r="Q306" s="1351"/>
      <c r="R306" s="1351"/>
      <c r="T306" s="3" t="s">
        <v>87</v>
      </c>
      <c r="V306" s="3"/>
      <c r="W306" s="3"/>
      <c r="X306" s="3"/>
      <c r="Y306" s="3"/>
      <c r="AA306" s="1351" t="s">
        <v>2658</v>
      </c>
      <c r="AB306" s="1351"/>
      <c r="AC306" s="1351"/>
      <c r="AD306" s="1351"/>
      <c r="AE306" s="1351"/>
      <c r="AF306" s="1351"/>
      <c r="AG306" s="1351"/>
      <c r="AH306" s="1351"/>
      <c r="AI306" s="1351"/>
      <c r="AJ306" s="1351"/>
      <c r="AK306" s="1351"/>
    </row>
    <row r="307" spans="2:37" ht="12.95" customHeight="1">
      <c r="B307" s="3" t="s">
        <v>88</v>
      </c>
      <c r="C307" s="3"/>
      <c r="D307" s="3"/>
      <c r="E307" s="3"/>
      <c r="F307" s="3"/>
      <c r="G307" s="3"/>
      <c r="H307" s="1436" t="s">
        <v>2647</v>
      </c>
      <c r="I307" s="1436"/>
      <c r="J307" s="1436"/>
      <c r="K307" s="1436"/>
      <c r="L307" s="1436"/>
      <c r="M307" s="1436"/>
      <c r="N307" s="4" t="s">
        <v>205</v>
      </c>
      <c r="O307" s="4"/>
      <c r="P307" s="1430"/>
      <c r="Q307" s="1430"/>
      <c r="R307" s="1430"/>
      <c r="S307" s="3"/>
      <c r="T307" s="3" t="s">
        <v>88</v>
      </c>
      <c r="V307" s="3"/>
      <c r="W307" s="3"/>
      <c r="X307" s="3"/>
      <c r="Y307" s="3"/>
      <c r="AA307" s="1436" t="s">
        <v>2659</v>
      </c>
      <c r="AB307" s="1436"/>
      <c r="AC307" s="1436"/>
      <c r="AD307" s="1436"/>
      <c r="AE307" s="1436"/>
      <c r="AF307" s="1436"/>
      <c r="AG307" s="4" t="s">
        <v>205</v>
      </c>
      <c r="AH307" s="4"/>
      <c r="AI307" s="1430"/>
      <c r="AJ307" s="1430"/>
      <c r="AK307" s="1430"/>
    </row>
    <row r="308" spans="2:37" ht="12.95" customHeight="1">
      <c r="B308" s="3" t="s">
        <v>89</v>
      </c>
      <c r="C308" s="3"/>
      <c r="D308" s="3"/>
      <c r="E308" s="3"/>
      <c r="F308" s="3"/>
      <c r="G308" s="3"/>
      <c r="H308" s="1337"/>
      <c r="I308" s="1337"/>
      <c r="J308" s="1337"/>
      <c r="K308" s="1337"/>
      <c r="L308" s="1337"/>
      <c r="M308" s="1337"/>
      <c r="N308" s="4"/>
      <c r="O308" s="4"/>
      <c r="P308" s="35"/>
      <c r="Q308" s="35"/>
      <c r="R308" s="35"/>
      <c r="S308" s="3"/>
      <c r="T308" s="3" t="s">
        <v>89</v>
      </c>
      <c r="V308" s="3"/>
      <c r="W308" s="3"/>
      <c r="X308" s="3"/>
      <c r="Y308" s="3"/>
      <c r="AA308" s="1337"/>
      <c r="AB308" s="1337"/>
      <c r="AC308" s="1337"/>
      <c r="AD308" s="1337"/>
      <c r="AE308" s="1337"/>
      <c r="AF308" s="1337"/>
      <c r="AG308" s="4"/>
      <c r="AH308" s="4"/>
      <c r="AI308" s="35"/>
      <c r="AJ308" s="35"/>
      <c r="AK308" s="35"/>
    </row>
    <row r="309" spans="2:37" ht="12.95" customHeight="1">
      <c r="B309" s="3" t="s">
        <v>76</v>
      </c>
      <c r="C309" s="3"/>
      <c r="D309" s="3"/>
      <c r="E309" s="3"/>
      <c r="F309" s="3"/>
      <c r="G309" s="3"/>
      <c r="H309" s="1351" t="s">
        <v>2648</v>
      </c>
      <c r="I309" s="1351"/>
      <c r="J309" s="1351"/>
      <c r="K309" s="1351"/>
      <c r="L309" s="1351"/>
      <c r="M309" s="1351"/>
      <c r="N309" s="1338"/>
      <c r="O309" s="1338"/>
      <c r="P309" s="1338"/>
      <c r="Q309" s="1338"/>
      <c r="R309" s="1338"/>
      <c r="S309" s="3"/>
      <c r="T309" s="3" t="s">
        <v>76</v>
      </c>
      <c r="V309" s="3"/>
      <c r="W309" s="3"/>
      <c r="X309" s="3"/>
      <c r="Y309" s="3"/>
      <c r="AA309" s="1351" t="s">
        <v>2660</v>
      </c>
      <c r="AB309" s="1351"/>
      <c r="AC309" s="1351"/>
      <c r="AD309" s="1351"/>
      <c r="AE309" s="1351"/>
      <c r="AF309" s="1351"/>
      <c r="AG309" s="1338"/>
      <c r="AH309" s="1338"/>
      <c r="AI309" s="1338"/>
      <c r="AJ309" s="1338"/>
      <c r="AK309" s="1338"/>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907</v>
      </c>
      <c r="C311" s="3"/>
      <c r="D311" s="3"/>
      <c r="E311" s="3"/>
      <c r="F311" s="3"/>
      <c r="H311" s="1338" t="s">
        <v>2649</v>
      </c>
      <c r="I311" s="1338"/>
      <c r="J311" s="1338"/>
      <c r="K311" s="1338"/>
      <c r="L311" s="1338"/>
      <c r="M311" s="1338"/>
      <c r="N311" s="1338"/>
      <c r="O311" s="1338"/>
      <c r="P311" s="1338"/>
      <c r="Q311" s="1338"/>
      <c r="R311" s="1338"/>
      <c r="S311" s="3"/>
      <c r="T311" s="3" t="s">
        <v>364</v>
      </c>
      <c r="V311" s="3"/>
      <c r="W311" s="3"/>
      <c r="X311" s="3"/>
      <c r="Y311" s="3"/>
      <c r="AA311" s="1338" t="s">
        <v>2661</v>
      </c>
      <c r="AB311" s="1338"/>
      <c r="AC311" s="1338"/>
      <c r="AD311" s="1338"/>
      <c r="AE311" s="1338"/>
      <c r="AF311" s="1338"/>
      <c r="AG311" s="1338"/>
      <c r="AH311" s="1338"/>
      <c r="AI311" s="1338"/>
      <c r="AJ311" s="1338"/>
      <c r="AK311" s="1338"/>
    </row>
    <row r="312" spans="2:37" ht="12.95" customHeight="1">
      <c r="B312" s="3" t="s">
        <v>471</v>
      </c>
      <c r="C312" s="3"/>
      <c r="D312" s="3"/>
      <c r="E312" s="3"/>
      <c r="F312" s="3"/>
      <c r="H312" s="1351" t="s">
        <v>2650</v>
      </c>
      <c r="I312" s="1351"/>
      <c r="J312" s="1351"/>
      <c r="K312" s="1351"/>
      <c r="L312" s="1351"/>
      <c r="M312" s="1351"/>
      <c r="N312" s="1351"/>
      <c r="O312" s="1351"/>
      <c r="P312" s="1351"/>
      <c r="Q312" s="1351"/>
      <c r="R312" s="1351"/>
      <c r="S312" s="3"/>
      <c r="T312" s="3" t="s">
        <v>471</v>
      </c>
      <c r="V312" s="3"/>
      <c r="W312" s="3"/>
      <c r="X312" s="3"/>
      <c r="Y312" s="3"/>
      <c r="AA312" s="1351"/>
      <c r="AB312" s="1351"/>
      <c r="AC312" s="1351"/>
      <c r="AD312" s="1351"/>
      <c r="AE312" s="1351"/>
      <c r="AF312" s="1351"/>
      <c r="AG312" s="1351"/>
      <c r="AH312" s="1351"/>
      <c r="AI312" s="1351"/>
      <c r="AJ312" s="1351"/>
      <c r="AK312" s="1351"/>
    </row>
    <row r="313" spans="2:37" ht="12.95" customHeight="1">
      <c r="B313" s="3" t="s">
        <v>472</v>
      </c>
      <c r="C313" s="3"/>
      <c r="D313" s="3"/>
      <c r="E313" s="3"/>
      <c r="F313" s="3"/>
      <c r="H313" s="1351" t="s">
        <v>2651</v>
      </c>
      <c r="I313" s="1351"/>
      <c r="J313" s="1351"/>
      <c r="K313" s="1351"/>
      <c r="L313" s="1351"/>
      <c r="M313" s="1351"/>
      <c r="N313" s="1351"/>
      <c r="O313" s="1351"/>
      <c r="P313" s="1351"/>
      <c r="Q313" s="1351"/>
      <c r="R313" s="1351"/>
      <c r="S313" s="3"/>
      <c r="T313" s="3" t="s">
        <v>75</v>
      </c>
      <c r="V313" s="3"/>
      <c r="W313" s="3"/>
      <c r="X313" s="3"/>
      <c r="Y313" s="3"/>
      <c r="AA313" s="1351"/>
      <c r="AB313" s="1351"/>
      <c r="AC313" s="1351"/>
      <c r="AD313" s="1351"/>
      <c r="AE313" s="1351"/>
      <c r="AF313" s="1351"/>
      <c r="AG313" s="1351"/>
      <c r="AH313" s="1351"/>
      <c r="AI313" s="1351"/>
      <c r="AJ313" s="1351"/>
      <c r="AK313" s="1351"/>
    </row>
    <row r="314" spans="2:37" ht="12.95" customHeight="1">
      <c r="B314" s="3" t="s">
        <v>87</v>
      </c>
      <c r="C314" s="3"/>
      <c r="D314" s="3"/>
      <c r="E314" s="3"/>
      <c r="F314" s="3"/>
      <c r="H314" s="1351" t="s">
        <v>2649</v>
      </c>
      <c r="I314" s="1351"/>
      <c r="J314" s="1351"/>
      <c r="K314" s="1351"/>
      <c r="L314" s="1351"/>
      <c r="M314" s="1351"/>
      <c r="N314" s="1351"/>
      <c r="O314" s="1351"/>
      <c r="P314" s="1351"/>
      <c r="Q314" s="1351"/>
      <c r="R314" s="1351"/>
      <c r="S314" s="3"/>
      <c r="T314" s="3" t="s">
        <v>87</v>
      </c>
      <c r="V314" s="3"/>
      <c r="W314" s="3"/>
      <c r="X314" s="3"/>
      <c r="Y314" s="3"/>
      <c r="AA314" s="1351"/>
      <c r="AB314" s="1351"/>
      <c r="AC314" s="1351"/>
      <c r="AD314" s="1351"/>
      <c r="AE314" s="1351"/>
      <c r="AF314" s="1351"/>
      <c r="AG314" s="1351"/>
      <c r="AH314" s="1351"/>
      <c r="AI314" s="1351"/>
      <c r="AJ314" s="1351"/>
      <c r="AK314" s="1351"/>
    </row>
    <row r="315" spans="2:37" ht="12.95" customHeight="1">
      <c r="B315" s="3" t="s">
        <v>88</v>
      </c>
      <c r="C315" s="3"/>
      <c r="D315" s="3"/>
      <c r="E315" s="3"/>
      <c r="F315" s="3"/>
      <c r="G315" s="3"/>
      <c r="H315" s="1436" t="s">
        <v>2652</v>
      </c>
      <c r="I315" s="1436"/>
      <c r="J315" s="1436"/>
      <c r="K315" s="1436"/>
      <c r="L315" s="1436"/>
      <c r="M315" s="1436"/>
      <c r="N315" s="4" t="s">
        <v>205</v>
      </c>
      <c r="O315" s="4"/>
      <c r="P315" s="1430"/>
      <c r="Q315" s="1430"/>
      <c r="R315" s="1430"/>
      <c r="S315" s="3"/>
      <c r="T315" s="3" t="s">
        <v>88</v>
      </c>
      <c r="V315" s="3"/>
      <c r="W315" s="3"/>
      <c r="X315" s="3"/>
      <c r="Y315" s="3"/>
      <c r="AA315" s="1436"/>
      <c r="AB315" s="1436"/>
      <c r="AC315" s="1436"/>
      <c r="AD315" s="1436"/>
      <c r="AE315" s="1436"/>
      <c r="AF315" s="1436"/>
      <c r="AG315" s="4" t="s">
        <v>205</v>
      </c>
      <c r="AH315" s="4"/>
      <c r="AI315" s="1430"/>
      <c r="AJ315" s="1430"/>
      <c r="AK315" s="1430"/>
    </row>
    <row r="316" spans="2:37" ht="12.95" customHeight="1">
      <c r="B316" s="3" t="s">
        <v>89</v>
      </c>
      <c r="C316" s="3"/>
      <c r="D316" s="3"/>
      <c r="E316" s="3"/>
      <c r="F316" s="3"/>
      <c r="G316" s="3"/>
      <c r="H316" s="1337" t="s">
        <v>2653</v>
      </c>
      <c r="I316" s="1337"/>
      <c r="J316" s="1337"/>
      <c r="K316" s="1337"/>
      <c r="L316" s="1337"/>
      <c r="M316" s="1337"/>
      <c r="N316" s="4"/>
      <c r="O316" s="4"/>
      <c r="P316" s="35"/>
      <c r="Q316" s="35"/>
      <c r="R316" s="35"/>
      <c r="S316" s="3"/>
      <c r="T316" s="3" t="s">
        <v>89</v>
      </c>
      <c r="V316" s="3"/>
      <c r="W316" s="3"/>
      <c r="X316" s="3"/>
      <c r="Y316" s="3"/>
      <c r="AA316" s="1337"/>
      <c r="AB316" s="1337"/>
      <c r="AC316" s="1337"/>
      <c r="AD316" s="1337"/>
      <c r="AE316" s="1337"/>
      <c r="AF316" s="1337"/>
      <c r="AG316" s="4"/>
      <c r="AH316" s="4"/>
      <c r="AI316" s="35"/>
      <c r="AJ316" s="35"/>
      <c r="AK316" s="35"/>
    </row>
    <row r="317" spans="2:37" ht="12.95" customHeight="1">
      <c r="B317" s="3" t="s">
        <v>76</v>
      </c>
      <c r="C317" s="3"/>
      <c r="D317" s="3"/>
      <c r="E317" s="3"/>
      <c r="F317" s="3"/>
      <c r="G317" s="3"/>
      <c r="H317" s="1351" t="s">
        <v>2654</v>
      </c>
      <c r="I317" s="1351"/>
      <c r="J317" s="1351"/>
      <c r="K317" s="1351"/>
      <c r="L317" s="1351"/>
      <c r="M317" s="1351"/>
      <c r="N317" s="1338"/>
      <c r="O317" s="1338"/>
      <c r="P317" s="1338"/>
      <c r="Q317" s="1338"/>
      <c r="R317" s="1338"/>
      <c r="S317" s="3"/>
      <c r="T317" s="3" t="s">
        <v>76</v>
      </c>
      <c r="V317" s="3"/>
      <c r="W317" s="3"/>
      <c r="X317" s="3"/>
      <c r="Y317" s="3"/>
      <c r="AA317" s="1351"/>
      <c r="AB317" s="1351"/>
      <c r="AC317" s="1351"/>
      <c r="AD317" s="1351"/>
      <c r="AE317" s="1351"/>
      <c r="AF317" s="1351"/>
      <c r="AG317" s="1338"/>
      <c r="AH317" s="1338"/>
      <c r="AI317" s="1338"/>
      <c r="AJ317" s="1338"/>
      <c r="AK317" s="1338"/>
    </row>
    <row r="318" spans="2:37" ht="12.95" customHeight="1"/>
    <row r="319" spans="2:37" ht="12.95" customHeight="1">
      <c r="B319" s="4" t="s">
        <v>908</v>
      </c>
      <c r="C319" s="3"/>
      <c r="D319" s="3"/>
      <c r="E319" s="3"/>
      <c r="F319" s="3"/>
      <c r="H319" s="1338" t="s">
        <v>2662</v>
      </c>
      <c r="I319" s="1338"/>
      <c r="J319" s="1338"/>
      <c r="K319" s="1338"/>
      <c r="L319" s="1338"/>
      <c r="M319" s="1338"/>
      <c r="N319" s="1338"/>
      <c r="O319" s="1338"/>
      <c r="P319" s="1338"/>
      <c r="Q319" s="1338"/>
      <c r="R319" s="1338"/>
      <c r="T319" s="3" t="s">
        <v>365</v>
      </c>
      <c r="V319" s="3"/>
      <c r="W319" s="3"/>
      <c r="X319" s="3"/>
      <c r="Y319" s="3"/>
      <c r="AA319" s="1338" t="s">
        <v>2668</v>
      </c>
      <c r="AB319" s="1338"/>
      <c r="AC319" s="1338"/>
      <c r="AD319" s="1338"/>
      <c r="AE319" s="1338"/>
      <c r="AF319" s="1338"/>
      <c r="AG319" s="1338"/>
      <c r="AH319" s="1338"/>
      <c r="AI319" s="1338"/>
      <c r="AJ319" s="1338"/>
      <c r="AK319" s="1338"/>
    </row>
    <row r="320" spans="2:37" ht="12.95" customHeight="1">
      <c r="B320" s="3" t="s">
        <v>471</v>
      </c>
      <c r="C320" s="3"/>
      <c r="D320" s="3"/>
      <c r="E320" s="3"/>
      <c r="F320" s="3"/>
      <c r="H320" s="1351" t="s">
        <v>2663</v>
      </c>
      <c r="I320" s="1351"/>
      <c r="J320" s="1351"/>
      <c r="K320" s="1351"/>
      <c r="L320" s="1351"/>
      <c r="M320" s="1351"/>
      <c r="N320" s="1351"/>
      <c r="O320" s="1351"/>
      <c r="P320" s="1351"/>
      <c r="Q320" s="1351"/>
      <c r="R320" s="1351"/>
      <c r="T320" s="3" t="s">
        <v>471</v>
      </c>
      <c r="V320" s="3"/>
      <c r="W320" s="3"/>
      <c r="X320" s="3"/>
      <c r="Y320" s="3"/>
      <c r="AA320" s="1351" t="s">
        <v>2669</v>
      </c>
      <c r="AB320" s="1351"/>
      <c r="AC320" s="1351"/>
      <c r="AD320" s="1351"/>
      <c r="AE320" s="1351"/>
      <c r="AF320" s="1351"/>
      <c r="AG320" s="1351"/>
      <c r="AH320" s="1351"/>
      <c r="AI320" s="1351"/>
      <c r="AJ320" s="1351"/>
      <c r="AK320" s="1351"/>
    </row>
    <row r="321" spans="2:37" ht="12.95" customHeight="1">
      <c r="B321" s="3" t="s">
        <v>472</v>
      </c>
      <c r="C321" s="3"/>
      <c r="D321" s="3"/>
      <c r="E321" s="3"/>
      <c r="F321" s="3"/>
      <c r="H321" s="1351" t="s">
        <v>2664</v>
      </c>
      <c r="I321" s="1351"/>
      <c r="J321" s="1351"/>
      <c r="K321" s="1351"/>
      <c r="L321" s="1351"/>
      <c r="M321" s="1351"/>
      <c r="N321" s="1351"/>
      <c r="O321" s="1351"/>
      <c r="P321" s="1351"/>
      <c r="Q321" s="1351"/>
      <c r="R321" s="1351"/>
      <c r="T321" s="3" t="s">
        <v>75</v>
      </c>
      <c r="V321" s="3"/>
      <c r="W321" s="3"/>
      <c r="X321" s="3"/>
      <c r="Y321" s="3"/>
      <c r="AA321" s="1351" t="s">
        <v>2670</v>
      </c>
      <c r="AB321" s="1351"/>
      <c r="AC321" s="1351"/>
      <c r="AD321" s="1351"/>
      <c r="AE321" s="1351"/>
      <c r="AF321" s="1351"/>
      <c r="AG321" s="1351"/>
      <c r="AH321" s="1351"/>
      <c r="AI321" s="1351"/>
      <c r="AJ321" s="1351"/>
      <c r="AK321" s="1351"/>
    </row>
    <row r="322" spans="2:37" ht="12.95" customHeight="1">
      <c r="B322" s="3" t="s">
        <v>87</v>
      </c>
      <c r="C322" s="3"/>
      <c r="D322" s="3"/>
      <c r="E322" s="3"/>
      <c r="F322" s="3"/>
      <c r="H322" s="1351" t="s">
        <v>2665</v>
      </c>
      <c r="I322" s="1351"/>
      <c r="J322" s="1351"/>
      <c r="K322" s="1351"/>
      <c r="L322" s="1351"/>
      <c r="M322" s="1351"/>
      <c r="N322" s="1351"/>
      <c r="O322" s="1351"/>
      <c r="P322" s="1351"/>
      <c r="Q322" s="1351"/>
      <c r="R322" s="1351"/>
      <c r="T322" s="3" t="s">
        <v>87</v>
      </c>
      <c r="V322" s="3"/>
      <c r="W322" s="3"/>
      <c r="X322" s="3"/>
      <c r="Y322" s="3"/>
      <c r="AA322" s="1351" t="s">
        <v>2671</v>
      </c>
      <c r="AB322" s="1351"/>
      <c r="AC322" s="1351"/>
      <c r="AD322" s="1351"/>
      <c r="AE322" s="1351"/>
      <c r="AF322" s="1351"/>
      <c r="AG322" s="1351"/>
      <c r="AH322" s="1351"/>
      <c r="AI322" s="1351"/>
      <c r="AJ322" s="1351"/>
      <c r="AK322" s="1351"/>
    </row>
    <row r="323" spans="2:37" ht="12.95" customHeight="1">
      <c r="B323" s="3" t="s">
        <v>88</v>
      </c>
      <c r="C323" s="3"/>
      <c r="D323" s="3"/>
      <c r="E323" s="3"/>
      <c r="F323" s="3"/>
      <c r="G323" s="3"/>
      <c r="H323" s="1436" t="s">
        <v>2666</v>
      </c>
      <c r="I323" s="1436"/>
      <c r="J323" s="1436"/>
      <c r="K323" s="1436"/>
      <c r="L323" s="1436"/>
      <c r="M323" s="1436"/>
      <c r="N323" s="4" t="s">
        <v>205</v>
      </c>
      <c r="O323" s="4"/>
      <c r="P323" s="1430"/>
      <c r="Q323" s="1430"/>
      <c r="R323" s="1430"/>
      <c r="S323" s="3"/>
      <c r="T323" s="3" t="s">
        <v>88</v>
      </c>
      <c r="V323" s="3"/>
      <c r="W323" s="3"/>
      <c r="X323" s="3"/>
      <c r="Y323" s="3"/>
      <c r="AA323" s="1436" t="s">
        <v>2672</v>
      </c>
      <c r="AB323" s="1436"/>
      <c r="AC323" s="1436"/>
      <c r="AD323" s="1436"/>
      <c r="AE323" s="1436"/>
      <c r="AF323" s="1436"/>
      <c r="AG323" s="4" t="s">
        <v>205</v>
      </c>
      <c r="AH323" s="4"/>
      <c r="AI323" s="1430"/>
      <c r="AJ323" s="1430"/>
      <c r="AK323" s="1430"/>
    </row>
    <row r="324" spans="2:37" ht="12.95" customHeight="1">
      <c r="B324" s="3" t="s">
        <v>89</v>
      </c>
      <c r="C324" s="3"/>
      <c r="D324" s="3"/>
      <c r="E324" s="3"/>
      <c r="F324" s="3"/>
      <c r="G324" s="3"/>
      <c r="H324" s="1337"/>
      <c r="I324" s="1337"/>
      <c r="J324" s="1337"/>
      <c r="K324" s="1337"/>
      <c r="L324" s="1337"/>
      <c r="M324" s="1337"/>
      <c r="N324" s="4"/>
      <c r="O324" s="4"/>
      <c r="P324" s="35"/>
      <c r="Q324" s="35"/>
      <c r="R324" s="35"/>
      <c r="S324" s="3"/>
      <c r="T324" s="3" t="s">
        <v>89</v>
      </c>
      <c r="V324" s="3"/>
      <c r="W324" s="3"/>
      <c r="X324" s="3"/>
      <c r="Y324" s="3"/>
      <c r="AA324" s="1337"/>
      <c r="AB324" s="1337"/>
      <c r="AC324" s="1337"/>
      <c r="AD324" s="1337"/>
      <c r="AE324" s="1337"/>
      <c r="AF324" s="1337"/>
      <c r="AG324" s="4"/>
      <c r="AH324" s="4"/>
      <c r="AI324" s="35"/>
      <c r="AJ324" s="35"/>
      <c r="AK324" s="35"/>
    </row>
    <row r="325" spans="2:37" ht="12.95" customHeight="1">
      <c r="B325" s="3" t="s">
        <v>76</v>
      </c>
      <c r="C325" s="3"/>
      <c r="D325" s="3"/>
      <c r="E325" s="3"/>
      <c r="F325" s="3"/>
      <c r="G325" s="3"/>
      <c r="H325" s="1351" t="s">
        <v>2667</v>
      </c>
      <c r="I325" s="1351"/>
      <c r="J325" s="1351"/>
      <c r="K325" s="1351"/>
      <c r="L325" s="1351"/>
      <c r="M325" s="1351"/>
      <c r="N325" s="1338"/>
      <c r="O325" s="1338"/>
      <c r="P325" s="1338"/>
      <c r="Q325" s="1338"/>
      <c r="R325" s="1338"/>
      <c r="S325" s="3"/>
      <c r="T325" s="3" t="s">
        <v>76</v>
      </c>
      <c r="V325" s="3"/>
      <c r="W325" s="3"/>
      <c r="X325" s="3"/>
      <c r="Y325" s="3"/>
      <c r="AA325" s="1351" t="s">
        <v>2673</v>
      </c>
      <c r="AB325" s="1351"/>
      <c r="AC325" s="1351"/>
      <c r="AD325" s="1351"/>
      <c r="AE325" s="1351"/>
      <c r="AF325" s="1351"/>
      <c r="AG325" s="1338"/>
      <c r="AH325" s="1338"/>
      <c r="AI325" s="1338"/>
      <c r="AJ325" s="1338"/>
      <c r="AK325" s="1338"/>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366</v>
      </c>
      <c r="C327" s="3"/>
      <c r="D327" s="3"/>
      <c r="E327" s="3"/>
      <c r="F327" s="3"/>
      <c r="H327" s="1338" t="s">
        <v>591</v>
      </c>
      <c r="I327" s="1338"/>
      <c r="J327" s="1338"/>
      <c r="K327" s="1338"/>
      <c r="L327" s="1338"/>
      <c r="M327" s="1338"/>
      <c r="N327" s="1338"/>
      <c r="O327" s="1338"/>
      <c r="P327" s="1338"/>
      <c r="Q327" s="1338"/>
      <c r="R327" s="1338"/>
      <c r="T327" s="3" t="s">
        <v>367</v>
      </c>
      <c r="V327" s="3"/>
      <c r="W327" s="3"/>
      <c r="X327" s="3"/>
      <c r="Y327" s="3"/>
      <c r="AA327" s="1338" t="s">
        <v>591</v>
      </c>
      <c r="AB327" s="1338"/>
      <c r="AC327" s="1338"/>
      <c r="AD327" s="1338"/>
      <c r="AE327" s="1338"/>
      <c r="AF327" s="1338"/>
      <c r="AG327" s="1338"/>
      <c r="AH327" s="1338"/>
      <c r="AI327" s="1338"/>
      <c r="AJ327" s="1338"/>
      <c r="AK327" s="1338"/>
    </row>
    <row r="328" spans="2:37" ht="12.95" customHeight="1">
      <c r="B328" s="3" t="s">
        <v>471</v>
      </c>
      <c r="C328" s="3"/>
      <c r="D328" s="3"/>
      <c r="E328" s="3"/>
      <c r="F328" s="3"/>
      <c r="H328" s="1351"/>
      <c r="I328" s="1351"/>
      <c r="J328" s="1351"/>
      <c r="K328" s="1351"/>
      <c r="L328" s="1351"/>
      <c r="M328" s="1351"/>
      <c r="N328" s="1351"/>
      <c r="O328" s="1351"/>
      <c r="P328" s="1351"/>
      <c r="Q328" s="1351"/>
      <c r="R328" s="1351"/>
      <c r="T328" s="3" t="s">
        <v>471</v>
      </c>
      <c r="V328" s="3"/>
      <c r="W328" s="3"/>
      <c r="X328" s="3"/>
      <c r="Y328" s="3"/>
      <c r="AA328" s="1351"/>
      <c r="AB328" s="1351"/>
      <c r="AC328" s="1351"/>
      <c r="AD328" s="1351"/>
      <c r="AE328" s="1351"/>
      <c r="AF328" s="1351"/>
      <c r="AG328" s="1351"/>
      <c r="AH328" s="1351"/>
      <c r="AI328" s="1351"/>
      <c r="AJ328" s="1351"/>
      <c r="AK328" s="1351"/>
    </row>
    <row r="329" spans="2:37" ht="12.95" customHeight="1">
      <c r="B329" s="3" t="s">
        <v>472</v>
      </c>
      <c r="C329" s="3"/>
      <c r="D329" s="3"/>
      <c r="E329" s="3"/>
      <c r="F329" s="3"/>
      <c r="H329" s="1351"/>
      <c r="I329" s="1351"/>
      <c r="J329" s="1351"/>
      <c r="K329" s="1351"/>
      <c r="L329" s="1351"/>
      <c r="M329" s="1351"/>
      <c r="N329" s="1351"/>
      <c r="O329" s="1351"/>
      <c r="P329" s="1351"/>
      <c r="Q329" s="1351"/>
      <c r="R329" s="1351"/>
      <c r="T329" s="3" t="s">
        <v>75</v>
      </c>
      <c r="V329" s="3"/>
      <c r="W329" s="3"/>
      <c r="X329" s="3"/>
      <c r="Y329" s="3"/>
      <c r="AA329" s="1351"/>
      <c r="AB329" s="1351"/>
      <c r="AC329" s="1351"/>
      <c r="AD329" s="1351"/>
      <c r="AE329" s="1351"/>
      <c r="AF329" s="1351"/>
      <c r="AG329" s="1351"/>
      <c r="AH329" s="1351"/>
      <c r="AI329" s="1351"/>
      <c r="AJ329" s="1351"/>
      <c r="AK329" s="1351"/>
    </row>
    <row r="330" spans="2:37" ht="12.95" customHeight="1">
      <c r="B330" s="3" t="s">
        <v>87</v>
      </c>
      <c r="C330" s="3"/>
      <c r="D330" s="3"/>
      <c r="E330" s="3"/>
      <c r="F330" s="3"/>
      <c r="H330" s="1351"/>
      <c r="I330" s="1351"/>
      <c r="J330" s="1351"/>
      <c r="K330" s="1351"/>
      <c r="L330" s="1351"/>
      <c r="M330" s="1351"/>
      <c r="N330" s="1351"/>
      <c r="O330" s="1351"/>
      <c r="P330" s="1351"/>
      <c r="Q330" s="1351"/>
      <c r="R330" s="1351"/>
      <c r="T330" s="3" t="s">
        <v>87</v>
      </c>
      <c r="V330" s="3"/>
      <c r="W330" s="3"/>
      <c r="X330" s="3"/>
      <c r="Y330" s="3"/>
      <c r="AA330" s="1351"/>
      <c r="AB330" s="1351"/>
      <c r="AC330" s="1351"/>
      <c r="AD330" s="1351"/>
      <c r="AE330" s="1351"/>
      <c r="AF330" s="1351"/>
      <c r="AG330" s="1351"/>
      <c r="AH330" s="1351"/>
      <c r="AI330" s="1351"/>
      <c r="AJ330" s="1351"/>
      <c r="AK330" s="1351"/>
    </row>
    <row r="331" spans="2:37" ht="12.95" customHeight="1">
      <c r="B331" s="3" t="s">
        <v>88</v>
      </c>
      <c r="C331" s="3"/>
      <c r="D331" s="3"/>
      <c r="E331" s="3"/>
      <c r="F331" s="3"/>
      <c r="G331" s="3"/>
      <c r="H331" s="1436"/>
      <c r="I331" s="1436"/>
      <c r="J331" s="1436"/>
      <c r="K331" s="1436"/>
      <c r="L331" s="1436"/>
      <c r="M331" s="1436"/>
      <c r="N331" s="4" t="s">
        <v>205</v>
      </c>
      <c r="O331" s="4"/>
      <c r="P331" s="1430"/>
      <c r="Q331" s="1430"/>
      <c r="R331" s="1430"/>
      <c r="S331" s="3"/>
      <c r="T331" s="3" t="s">
        <v>88</v>
      </c>
      <c r="V331" s="3"/>
      <c r="W331" s="3"/>
      <c r="X331" s="3"/>
      <c r="Y331" s="3"/>
      <c r="AA331" s="1436"/>
      <c r="AB331" s="1436"/>
      <c r="AC331" s="1436"/>
      <c r="AD331" s="1436"/>
      <c r="AE331" s="1436"/>
      <c r="AF331" s="1436"/>
      <c r="AG331" s="4" t="s">
        <v>205</v>
      </c>
      <c r="AH331" s="4"/>
      <c r="AI331" s="1430"/>
      <c r="AJ331" s="1430"/>
      <c r="AK331" s="1430"/>
    </row>
    <row r="332" spans="2:37" ht="12.95" customHeight="1">
      <c r="B332" s="3" t="s">
        <v>89</v>
      </c>
      <c r="C332" s="3"/>
      <c r="D332" s="3"/>
      <c r="E332" s="3"/>
      <c r="F332" s="3"/>
      <c r="G332" s="3"/>
      <c r="H332" s="1337"/>
      <c r="I332" s="1337"/>
      <c r="J332" s="1337"/>
      <c r="K332" s="1337"/>
      <c r="L332" s="1337"/>
      <c r="M332" s="1337"/>
      <c r="N332" s="4"/>
      <c r="O332" s="4"/>
      <c r="P332" s="35"/>
      <c r="Q332" s="35"/>
      <c r="R332" s="35"/>
      <c r="S332" s="3"/>
      <c r="T332" s="3" t="s">
        <v>89</v>
      </c>
      <c r="V332" s="3"/>
      <c r="W332" s="3"/>
      <c r="X332" s="3"/>
      <c r="Y332" s="3"/>
      <c r="AA332" s="1337"/>
      <c r="AB332" s="1337"/>
      <c r="AC332" s="1337"/>
      <c r="AD332" s="1337"/>
      <c r="AE332" s="1337"/>
      <c r="AF332" s="1337"/>
      <c r="AG332" s="4"/>
      <c r="AH332" s="4"/>
      <c r="AI332" s="35"/>
      <c r="AJ332" s="35"/>
      <c r="AK332" s="35"/>
    </row>
    <row r="333" spans="2:37" ht="12.95" customHeight="1">
      <c r="B333" s="3" t="s">
        <v>76</v>
      </c>
      <c r="C333" s="3"/>
      <c r="D333" s="3"/>
      <c r="E333" s="3"/>
      <c r="F333" s="3"/>
      <c r="G333" s="3"/>
      <c r="H333" s="1351"/>
      <c r="I333" s="1351"/>
      <c r="J333" s="1351"/>
      <c r="K333" s="1351"/>
      <c r="L333" s="1351"/>
      <c r="M333" s="1351"/>
      <c r="N333" s="1338"/>
      <c r="O333" s="1338"/>
      <c r="P333" s="1338"/>
      <c r="Q333" s="1338"/>
      <c r="R333" s="1338"/>
      <c r="S333" s="3"/>
      <c r="T333" s="3" t="s">
        <v>76</v>
      </c>
      <c r="V333" s="3"/>
      <c r="W333" s="3"/>
      <c r="X333" s="3"/>
      <c r="Y333" s="3"/>
      <c r="AA333" s="1351"/>
      <c r="AB333" s="1351"/>
      <c r="AC333" s="1351"/>
      <c r="AD333" s="1351"/>
      <c r="AE333" s="1351"/>
      <c r="AF333" s="1351"/>
      <c r="AG333" s="1338"/>
      <c r="AH333" s="1338"/>
      <c r="AI333" s="1338"/>
      <c r="AJ333" s="1338"/>
      <c r="AK333" s="1338"/>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328</v>
      </c>
      <c r="C335" s="3"/>
      <c r="D335" s="3"/>
      <c r="E335" s="3"/>
      <c r="F335" s="3"/>
      <c r="H335" s="1338" t="s">
        <v>2674</v>
      </c>
      <c r="I335" s="1338"/>
      <c r="J335" s="1338"/>
      <c r="K335" s="1338"/>
      <c r="L335" s="1338"/>
      <c r="M335" s="1338"/>
      <c r="N335" s="1338"/>
      <c r="O335" s="1338"/>
      <c r="P335" s="1338"/>
      <c r="Q335" s="1338"/>
      <c r="R335" s="1338"/>
      <c r="T335" s="204" t="s">
        <v>886</v>
      </c>
      <c r="V335" s="3"/>
      <c r="W335" s="3"/>
      <c r="X335" s="3"/>
      <c r="Y335" s="3"/>
      <c r="AA335" s="1338" t="s">
        <v>2681</v>
      </c>
      <c r="AB335" s="1338"/>
      <c r="AC335" s="1338"/>
      <c r="AD335" s="1338"/>
      <c r="AE335" s="1338"/>
      <c r="AF335" s="1338"/>
      <c r="AG335" s="1338"/>
      <c r="AH335" s="1338"/>
      <c r="AI335" s="1338"/>
      <c r="AJ335" s="1338"/>
      <c r="AK335" s="1338"/>
    </row>
    <row r="336" spans="2:37" ht="12.95" customHeight="1">
      <c r="B336" s="3" t="s">
        <v>471</v>
      </c>
      <c r="C336" s="3"/>
      <c r="D336" s="3"/>
      <c r="E336" s="3"/>
      <c r="F336" s="3"/>
      <c r="H336" s="1351" t="s">
        <v>2675</v>
      </c>
      <c r="I336" s="1351"/>
      <c r="J336" s="1351"/>
      <c r="K336" s="1351"/>
      <c r="L336" s="1351"/>
      <c r="M336" s="1351"/>
      <c r="N336" s="1351"/>
      <c r="O336" s="1351"/>
      <c r="P336" s="1351"/>
      <c r="Q336" s="1351"/>
      <c r="R336" s="1351"/>
      <c r="T336" s="3" t="s">
        <v>471</v>
      </c>
      <c r="V336" s="3"/>
      <c r="W336" s="3"/>
      <c r="X336" s="3"/>
      <c r="Y336" s="3"/>
      <c r="AA336" s="1351" t="s">
        <v>2632</v>
      </c>
      <c r="AB336" s="1351"/>
      <c r="AC336" s="1351"/>
      <c r="AD336" s="1351"/>
      <c r="AE336" s="1351"/>
      <c r="AF336" s="1351"/>
      <c r="AG336" s="1351"/>
      <c r="AH336" s="1351"/>
      <c r="AI336" s="1351"/>
      <c r="AJ336" s="1351"/>
      <c r="AK336" s="1351"/>
    </row>
    <row r="337" spans="1:66" ht="12.95" customHeight="1">
      <c r="B337" s="3" t="s">
        <v>75</v>
      </c>
      <c r="C337" s="3"/>
      <c r="D337" s="3"/>
      <c r="E337" s="3"/>
      <c r="F337" s="3"/>
      <c r="H337" s="1351" t="s">
        <v>2676</v>
      </c>
      <c r="I337" s="1351"/>
      <c r="J337" s="1351"/>
      <c r="K337" s="1351"/>
      <c r="L337" s="1351"/>
      <c r="M337" s="1351"/>
      <c r="N337" s="1351"/>
      <c r="O337" s="1351"/>
      <c r="P337" s="1351"/>
      <c r="Q337" s="1351"/>
      <c r="R337" s="1351"/>
      <c r="T337" s="3" t="s">
        <v>75</v>
      </c>
      <c r="V337" s="3"/>
      <c r="W337" s="3"/>
      <c r="X337" s="3"/>
      <c r="Y337" s="3"/>
      <c r="AA337" s="1351" t="s">
        <v>2633</v>
      </c>
      <c r="AB337" s="1351"/>
      <c r="AC337" s="1351"/>
      <c r="AD337" s="1351"/>
      <c r="AE337" s="1351"/>
      <c r="AF337" s="1351"/>
      <c r="AG337" s="1351"/>
      <c r="AH337" s="1351"/>
      <c r="AI337" s="1351"/>
      <c r="AJ337" s="1351"/>
      <c r="AK337" s="1351"/>
    </row>
    <row r="338" spans="1:66" ht="12.95" customHeight="1">
      <c r="B338" s="3" t="s">
        <v>87</v>
      </c>
      <c r="C338" s="3"/>
      <c r="D338" s="3"/>
      <c r="E338" s="3"/>
      <c r="F338" s="3"/>
      <c r="G338" s="3"/>
      <c r="H338" s="1351" t="s">
        <v>2677</v>
      </c>
      <c r="I338" s="1351"/>
      <c r="J338" s="1351"/>
      <c r="K338" s="1351"/>
      <c r="L338" s="1351"/>
      <c r="M338" s="1351"/>
      <c r="N338" s="1351"/>
      <c r="O338" s="1351"/>
      <c r="P338" s="1351"/>
      <c r="Q338" s="1351"/>
      <c r="R338" s="1351"/>
      <c r="T338" s="3" t="s">
        <v>87</v>
      </c>
      <c r="V338" s="3"/>
      <c r="W338" s="3"/>
      <c r="X338" s="3"/>
      <c r="Y338" s="3"/>
      <c r="AA338" s="1351" t="s">
        <v>2682</v>
      </c>
      <c r="AB338" s="1351"/>
      <c r="AC338" s="1351"/>
      <c r="AD338" s="1351"/>
      <c r="AE338" s="1351"/>
      <c r="AF338" s="1351"/>
      <c r="AG338" s="1351"/>
      <c r="AH338" s="1351"/>
      <c r="AI338" s="1351"/>
      <c r="AJ338" s="1351"/>
      <c r="AK338" s="1351"/>
    </row>
    <row r="339" spans="1:66" ht="12.95" customHeight="1">
      <c r="B339" s="3" t="s">
        <v>88</v>
      </c>
      <c r="C339" s="3"/>
      <c r="D339" s="3"/>
      <c r="E339" s="3"/>
      <c r="F339" s="3"/>
      <c r="G339" s="3"/>
      <c r="H339" s="1436" t="s">
        <v>2678</v>
      </c>
      <c r="I339" s="1436"/>
      <c r="J339" s="1436"/>
      <c r="K339" s="1436"/>
      <c r="L339" s="1436"/>
      <c r="M339" s="1436"/>
      <c r="N339" s="4" t="s">
        <v>205</v>
      </c>
      <c r="O339" s="4"/>
      <c r="P339" s="1430"/>
      <c r="Q339" s="1430"/>
      <c r="R339" s="1430"/>
      <c r="S339" s="3"/>
      <c r="T339" s="3" t="s">
        <v>88</v>
      </c>
      <c r="V339" s="3"/>
      <c r="W339" s="3"/>
      <c r="X339" s="3"/>
      <c r="Y339" s="3"/>
      <c r="AA339" s="1436" t="s">
        <v>2683</v>
      </c>
      <c r="AB339" s="1436"/>
      <c r="AC339" s="1436"/>
      <c r="AD339" s="1436"/>
      <c r="AE339" s="1436"/>
      <c r="AF339" s="1436"/>
      <c r="AG339" s="4" t="s">
        <v>205</v>
      </c>
      <c r="AH339" s="4"/>
      <c r="AI339" s="1430"/>
      <c r="AJ339" s="1430"/>
      <c r="AK339" s="1430"/>
    </row>
    <row r="340" spans="1:66" ht="12.95" customHeight="1">
      <c r="B340" s="3" t="s">
        <v>89</v>
      </c>
      <c r="C340" s="3"/>
      <c r="D340" s="3"/>
      <c r="E340" s="3"/>
      <c r="F340" s="3"/>
      <c r="G340" s="3"/>
      <c r="H340" s="1337" t="s">
        <v>2679</v>
      </c>
      <c r="I340" s="1337"/>
      <c r="J340" s="1337"/>
      <c r="K340" s="1337"/>
      <c r="L340" s="1337"/>
      <c r="M340" s="1337"/>
      <c r="N340" s="4"/>
      <c r="O340" s="4"/>
      <c r="P340" s="35"/>
      <c r="Q340" s="35"/>
      <c r="R340" s="35"/>
      <c r="S340" s="3"/>
      <c r="T340" s="3" t="s">
        <v>89</v>
      </c>
      <c r="V340" s="3"/>
      <c r="W340" s="3"/>
      <c r="X340" s="3"/>
      <c r="Y340" s="3"/>
      <c r="AA340" s="1337"/>
      <c r="AB340" s="1337"/>
      <c r="AC340" s="1337"/>
      <c r="AD340" s="1337"/>
      <c r="AE340" s="1337"/>
      <c r="AF340" s="1337"/>
      <c r="AG340" s="4"/>
      <c r="AH340" s="4"/>
      <c r="AI340" s="35"/>
      <c r="AJ340" s="35"/>
      <c r="AK340" s="35"/>
    </row>
    <row r="341" spans="1:66" ht="12.95" customHeight="1">
      <c r="B341" s="3" t="s">
        <v>76</v>
      </c>
      <c r="C341" s="3"/>
      <c r="D341" s="3"/>
      <c r="E341" s="3"/>
      <c r="F341" s="3"/>
      <c r="G341" s="3"/>
      <c r="H341" s="1351" t="s">
        <v>2680</v>
      </c>
      <c r="I341" s="1351"/>
      <c r="J341" s="1351"/>
      <c r="K341" s="1351"/>
      <c r="L341" s="1351"/>
      <c r="M341" s="1351"/>
      <c r="N341" s="1338"/>
      <c r="O341" s="1338"/>
      <c r="P341" s="1338"/>
      <c r="Q341" s="1338"/>
      <c r="R341" s="1338"/>
      <c r="S341" s="3"/>
      <c r="T341" s="3" t="s">
        <v>76</v>
      </c>
      <c r="V341" s="3"/>
      <c r="W341" s="3"/>
      <c r="X341" s="3"/>
      <c r="Y341" s="3"/>
      <c r="AA341" s="1351" t="s">
        <v>2684</v>
      </c>
      <c r="AB341" s="1351"/>
      <c r="AC341" s="1351"/>
      <c r="AD341" s="1351"/>
      <c r="AE341" s="1351"/>
      <c r="AF341" s="1351"/>
      <c r="AG341" s="1338"/>
      <c r="AH341" s="1338"/>
      <c r="AI341" s="1338"/>
      <c r="AJ341" s="1338"/>
      <c r="AK341" s="1338"/>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2.95" customHeight="1">
      <c r="B343" s="3"/>
      <c r="C343" s="4"/>
      <c r="D343" s="4"/>
      <c r="E343" s="4"/>
      <c r="F343" s="4"/>
      <c r="I343" s="204" t="s">
        <v>887</v>
      </c>
      <c r="P343" s="1338" t="s">
        <v>591</v>
      </c>
      <c r="Q343" s="1338"/>
      <c r="R343" s="1338"/>
      <c r="S343" s="1338"/>
      <c r="T343" s="1338"/>
      <c r="U343" s="1338"/>
      <c r="V343" s="1338"/>
      <c r="W343" s="1338"/>
      <c r="X343" s="1338"/>
      <c r="Y343" s="1338"/>
      <c r="Z343" s="1338"/>
      <c r="AA343" s="1338"/>
      <c r="AB343" s="1338"/>
      <c r="AC343" s="1338"/>
      <c r="AD343" s="1338"/>
      <c r="AE343" s="1338"/>
      <c r="BN343" t="s">
        <v>669</v>
      </c>
    </row>
    <row r="344" spans="1:66" ht="12.95" customHeight="1">
      <c r="B344" s="4"/>
      <c r="C344" s="4"/>
      <c r="D344" s="4"/>
      <c r="E344" s="4"/>
      <c r="F344" s="4"/>
      <c r="I344" s="4" t="s">
        <v>471</v>
      </c>
      <c r="P344" s="1351"/>
      <c r="Q344" s="1351"/>
      <c r="R344" s="1351"/>
      <c r="S344" s="1351"/>
      <c r="T344" s="1351"/>
      <c r="U344" s="1351"/>
      <c r="V344" s="1351"/>
      <c r="W344" s="1351"/>
      <c r="X344" s="1351"/>
      <c r="Y344" s="1351"/>
      <c r="Z344" s="1351"/>
      <c r="AA344" s="1351"/>
      <c r="AB344" s="1351"/>
      <c r="AC344" s="1351"/>
      <c r="AD344" s="1351"/>
      <c r="AE344" s="1351"/>
      <c r="BN344" t="s">
        <v>545</v>
      </c>
    </row>
    <row r="345" spans="1:66" ht="12.95" customHeight="1">
      <c r="B345" s="4"/>
      <c r="C345" s="4"/>
      <c r="D345" s="4"/>
      <c r="E345" s="4"/>
      <c r="F345" s="4"/>
      <c r="I345" s="4" t="s">
        <v>75</v>
      </c>
      <c r="P345" s="1351"/>
      <c r="Q345" s="1351"/>
      <c r="R345" s="1351"/>
      <c r="S345" s="1351"/>
      <c r="T345" s="1351"/>
      <c r="U345" s="1351"/>
      <c r="V345" s="1351"/>
      <c r="W345" s="1351"/>
      <c r="X345" s="1351"/>
      <c r="Y345" s="1351"/>
      <c r="Z345" s="1351"/>
      <c r="AA345" s="1351"/>
      <c r="AB345" s="1351"/>
      <c r="AC345" s="1351"/>
      <c r="AD345" s="1351"/>
      <c r="AE345" s="1351"/>
    </row>
    <row r="346" spans="1:66" ht="12.95" customHeight="1">
      <c r="B346" s="4"/>
      <c r="C346" s="4"/>
      <c r="D346" s="4"/>
      <c r="E346" s="4"/>
      <c r="F346" s="4"/>
      <c r="G346" s="4"/>
      <c r="I346" s="4" t="s">
        <v>87</v>
      </c>
      <c r="P346" s="1351"/>
      <c r="Q346" s="1351"/>
      <c r="R346" s="1351"/>
      <c r="S346" s="1351"/>
      <c r="T346" s="1351"/>
      <c r="U346" s="1351"/>
      <c r="V346" s="1351"/>
      <c r="W346" s="1351"/>
      <c r="X346" s="1351"/>
      <c r="Y346" s="1351"/>
      <c r="Z346" s="1351"/>
      <c r="AA346" s="1351"/>
      <c r="AB346" s="1351"/>
      <c r="AC346" s="1351"/>
      <c r="AD346" s="1351"/>
      <c r="AE346" s="1351"/>
    </row>
    <row r="347" spans="1:66" ht="12.95" customHeight="1">
      <c r="B347" s="4"/>
      <c r="C347" s="4"/>
      <c r="D347" s="4"/>
      <c r="E347" s="4"/>
      <c r="F347" s="4"/>
      <c r="G347" s="4"/>
      <c r="H347" s="302"/>
      <c r="I347" s="4" t="s">
        <v>88</v>
      </c>
      <c r="P347" s="1337"/>
      <c r="Q347" s="1337"/>
      <c r="R347" s="1337"/>
      <c r="S347" s="1337"/>
      <c r="T347" s="1337"/>
      <c r="U347" s="1337"/>
      <c r="V347" s="1337"/>
      <c r="W347" s="1337"/>
      <c r="X347" s="1337"/>
      <c r="Y347" s="1337"/>
      <c r="Z347" s="1337"/>
      <c r="AA347" s="4" t="s">
        <v>205</v>
      </c>
      <c r="AB347" s="4"/>
      <c r="AC347" s="1450"/>
      <c r="AD347" s="1450"/>
      <c r="AE347" s="1450"/>
      <c r="AF347" s="302"/>
      <c r="AG347" s="4"/>
      <c r="AH347" s="4"/>
      <c r="AI347" s="4"/>
      <c r="AJ347" s="4"/>
      <c r="AK347" s="4"/>
    </row>
    <row r="348" spans="1:66" ht="12.95" customHeight="1">
      <c r="B348" s="4"/>
      <c r="C348" s="4"/>
      <c r="D348" s="4"/>
      <c r="E348" s="4"/>
      <c r="F348" s="4"/>
      <c r="G348" s="4"/>
      <c r="H348" s="302"/>
      <c r="I348" s="4" t="s">
        <v>89</v>
      </c>
      <c r="P348" s="1337"/>
      <c r="Q348" s="1337"/>
      <c r="R348" s="1337"/>
      <c r="S348" s="1337"/>
      <c r="T348" s="1337"/>
      <c r="U348" s="1337"/>
      <c r="V348" s="1337"/>
      <c r="W348" s="1337"/>
      <c r="X348" s="1337"/>
      <c r="Y348" s="1337"/>
      <c r="Z348" s="1337"/>
      <c r="AF348" s="302"/>
      <c r="AG348" s="4"/>
      <c r="AH348" s="4"/>
      <c r="AI348" s="35"/>
      <c r="AJ348" s="35"/>
      <c r="AK348" s="35"/>
    </row>
    <row r="349" spans="1:66" ht="12.95" customHeight="1">
      <c r="B349" s="4"/>
      <c r="C349" s="4"/>
      <c r="D349" s="4"/>
      <c r="E349" s="4"/>
      <c r="F349" s="4"/>
      <c r="G349" s="4"/>
      <c r="I349" s="4" t="s">
        <v>76</v>
      </c>
      <c r="P349" s="1338"/>
      <c r="Q349" s="1338"/>
      <c r="R349" s="1338"/>
      <c r="S349" s="1338"/>
      <c r="T349" s="1338"/>
      <c r="U349" s="1338"/>
      <c r="V349" s="1338"/>
      <c r="W349" s="1338"/>
      <c r="X349" s="1338"/>
      <c r="Y349" s="1338"/>
      <c r="Z349" s="1338"/>
      <c r="AA349" s="1338"/>
      <c r="AB349" s="1338"/>
      <c r="AC349" s="1338"/>
      <c r="AD349" s="1338"/>
      <c r="AE349" s="1338"/>
    </row>
    <row r="350" spans="1:66" ht="12.95" customHeight="1">
      <c r="T350" s="8"/>
      <c r="U350" s="8"/>
      <c r="V350" s="8"/>
      <c r="W350" s="8"/>
      <c r="X350" s="8"/>
      <c r="Y350" s="8"/>
      <c r="Z350" s="8"/>
      <c r="AU350" s="95"/>
      <c r="AV350" s="95"/>
      <c r="AW350" s="95"/>
      <c r="AX350" s="95"/>
      <c r="AY350" s="95"/>
    </row>
    <row r="351" spans="1:66" ht="12.95" customHeight="1">
      <c r="A351" s="1435" t="s">
        <v>542</v>
      </c>
      <c r="B351" s="1435"/>
      <c r="C351" s="1435"/>
      <c r="D351" s="1435"/>
      <c r="E351" s="1435"/>
      <c r="F351" s="1435"/>
      <c r="G351" s="1435"/>
      <c r="H351" s="1435"/>
      <c r="I351" s="1435"/>
      <c r="J351" s="1435"/>
      <c r="K351" s="1435"/>
      <c r="L351" s="1435"/>
      <c r="M351" s="1435"/>
      <c r="N351" s="1435"/>
      <c r="O351" s="1435"/>
      <c r="P351" s="1435"/>
      <c r="Q351" s="1435"/>
      <c r="R351" s="1435"/>
      <c r="S351" s="1435"/>
      <c r="T351" s="1435"/>
      <c r="U351" s="1435"/>
      <c r="V351" s="1435"/>
      <c r="W351" s="1435"/>
      <c r="X351" s="1435"/>
      <c r="Y351" s="1435"/>
      <c r="Z351" s="1435"/>
      <c r="AA351" s="1435"/>
      <c r="AB351" s="1435"/>
      <c r="AC351" s="1435"/>
      <c r="AD351" s="1435"/>
      <c r="AE351" s="1435"/>
      <c r="AF351" s="1435"/>
      <c r="AG351" s="1435"/>
      <c r="AH351" s="1435"/>
      <c r="AI351" s="1435"/>
      <c r="AJ351" s="1435"/>
      <c r="AK351" s="1435"/>
      <c r="AL351" s="1435"/>
      <c r="AM351" s="1435"/>
      <c r="AN351" s="1435"/>
      <c r="AO351" s="1435"/>
      <c r="AP351" s="1435"/>
      <c r="AQ351" s="1435"/>
      <c r="AR351" s="1435"/>
      <c r="AS351" s="1435"/>
      <c r="AT351" s="1435"/>
      <c r="AU351" s="95"/>
      <c r="AV351" s="95"/>
      <c r="AW351" s="95"/>
      <c r="AX351" s="95"/>
      <c r="AY351" s="95"/>
    </row>
    <row r="352" spans="1:66" ht="12.95" customHeight="1">
      <c r="A352" s="1435"/>
      <c r="B352" s="1435"/>
      <c r="C352" s="1435"/>
      <c r="D352" s="1435"/>
      <c r="E352" s="1435"/>
      <c r="F352" s="1435"/>
      <c r="G352" s="1435"/>
      <c r="H352" s="1435"/>
      <c r="I352" s="1435"/>
      <c r="J352" s="1435"/>
      <c r="K352" s="1435"/>
      <c r="L352" s="1435"/>
      <c r="M352" s="1435"/>
      <c r="N352" s="1435"/>
      <c r="O352" s="1435"/>
      <c r="P352" s="1435"/>
      <c r="Q352" s="1435"/>
      <c r="R352" s="1435"/>
      <c r="S352" s="1435"/>
      <c r="T352" s="1435"/>
      <c r="U352" s="1435"/>
      <c r="V352" s="1435"/>
      <c r="W352" s="1435"/>
      <c r="X352" s="1435"/>
      <c r="Y352" s="1435"/>
      <c r="Z352" s="1435"/>
      <c r="AA352" s="1435"/>
      <c r="AB352" s="1435"/>
      <c r="AC352" s="1435"/>
      <c r="AD352" s="1435"/>
      <c r="AE352" s="1435"/>
      <c r="AF352" s="1435"/>
      <c r="AG352" s="1435"/>
      <c r="AH352" s="1435"/>
      <c r="AI352" s="1435"/>
      <c r="AJ352" s="1435"/>
      <c r="AK352" s="1435"/>
      <c r="AL352" s="1435"/>
      <c r="AM352" s="1435"/>
      <c r="AN352" s="1435"/>
      <c r="AO352" s="1435"/>
      <c r="AP352" s="1435"/>
      <c r="AQ352" s="1435"/>
      <c r="AR352" s="1435"/>
      <c r="AS352" s="1435"/>
      <c r="AT352" s="1435"/>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318</v>
      </c>
      <c r="B354" s="2"/>
      <c r="C354" s="2" t="s">
        <v>782</v>
      </c>
    </row>
    <row r="355" spans="1:46" ht="12.95" customHeight="1">
      <c r="D355" s="3" t="s">
        <v>2098</v>
      </c>
      <c r="M355" s="1333" t="s">
        <v>545</v>
      </c>
      <c r="N355" s="1333"/>
      <c r="P355" t="s">
        <v>1650</v>
      </c>
      <c r="AJ355" s="1333" t="s">
        <v>669</v>
      </c>
      <c r="AK355" s="1333"/>
    </row>
    <row r="356" spans="1:46" ht="12.95" customHeight="1">
      <c r="D356" s="3" t="s">
        <v>1639</v>
      </c>
      <c r="M356" s="1333" t="s">
        <v>591</v>
      </c>
      <c r="N356" s="1333"/>
      <c r="P356" s="3" t="s">
        <v>1719</v>
      </c>
      <c r="AJ356" s="1460"/>
      <c r="AK356" s="1460"/>
    </row>
    <row r="357" spans="1:46" ht="12.95" customHeight="1">
      <c r="D357" s="3" t="s">
        <v>704</v>
      </c>
      <c r="M357" s="1333" t="s">
        <v>591</v>
      </c>
      <c r="N357" s="1333"/>
      <c r="P357" t="s">
        <v>1649</v>
      </c>
      <c r="AJ357" s="1333" t="s">
        <v>591</v>
      </c>
      <c r="AK357" s="1333"/>
    </row>
    <row r="358" spans="1:46" ht="12.95" customHeight="1">
      <c r="D358" s="3" t="s">
        <v>705</v>
      </c>
      <c r="M358" s="1333" t="s">
        <v>591</v>
      </c>
      <c r="N358" s="1333"/>
      <c r="Q358" s="4"/>
    </row>
    <row r="359" spans="1:46" ht="12.95" customHeight="1">
      <c r="Q359" s="4"/>
    </row>
    <row r="360" spans="1:46" ht="12.95" customHeight="1">
      <c r="Q360" s="4"/>
    </row>
    <row r="361" spans="1:46" ht="12.95" customHeight="1">
      <c r="A361" s="2" t="s">
        <v>576</v>
      </c>
      <c r="B361" s="2"/>
      <c r="C361" s="2" t="s">
        <v>552</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333" t="s">
        <v>591</v>
      </c>
      <c r="O363" s="1333"/>
      <c r="P363" s="40"/>
      <c r="Q363" s="40"/>
      <c r="R363" s="40"/>
      <c r="S363" s="40"/>
      <c r="T363" s="40"/>
      <c r="U363" s="40"/>
      <c r="V363" s="40"/>
      <c r="W363" s="40"/>
      <c r="X363" s="40"/>
      <c r="Y363" s="40"/>
      <c r="Z363" s="40"/>
      <c r="AC363" s="40"/>
      <c r="AD363" s="40"/>
      <c r="AE363" s="40"/>
    </row>
    <row r="364" spans="1:46" ht="12.95" customHeight="1">
      <c r="E364" t="s">
        <v>369</v>
      </c>
      <c r="Y364" s="1333" t="s">
        <v>591</v>
      </c>
      <c r="Z364" s="1333"/>
    </row>
    <row r="365" spans="1:46" ht="12.95" customHeight="1">
      <c r="D365" s="4" t="s">
        <v>978</v>
      </c>
      <c r="Q365" s="1338"/>
      <c r="R365" s="1338"/>
      <c r="S365" s="1338"/>
      <c r="T365" s="1338"/>
      <c r="U365" s="1338"/>
      <c r="V365" s="1338"/>
      <c r="W365" s="1338"/>
      <c r="X365" s="1338"/>
      <c r="Y365" s="1338"/>
      <c r="Z365" s="1338"/>
      <c r="AA365" s="1338"/>
      <c r="AB365" s="1338"/>
      <c r="AC365" s="1338"/>
      <c r="AD365" s="1338"/>
      <c r="AE365" s="1338"/>
      <c r="AF365" s="1338"/>
      <c r="AG365" s="1338"/>
    </row>
    <row r="366" spans="1:46" ht="12.95" customHeight="1">
      <c r="D366" t="s">
        <v>186</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187</v>
      </c>
      <c r="E367" s="40"/>
      <c r="F367" s="40"/>
      <c r="G367" s="40"/>
      <c r="H367" s="40"/>
      <c r="I367" s="40"/>
      <c r="J367" s="1333" t="s">
        <v>591</v>
      </c>
      <c r="K367" s="1333"/>
      <c r="L367" s="40"/>
      <c r="M367" s="40"/>
      <c r="N367" s="40"/>
      <c r="O367" s="40"/>
      <c r="P367" s="40"/>
      <c r="Q367" s="40"/>
      <c r="R367" s="40"/>
      <c r="S367" s="40"/>
      <c r="T367" s="40"/>
      <c r="U367" s="40"/>
      <c r="V367" s="40"/>
      <c r="W367" s="40"/>
      <c r="X367" s="40"/>
      <c r="Y367" s="40"/>
      <c r="Z367" s="40"/>
      <c r="AC367" s="40"/>
      <c r="AD367" s="40"/>
      <c r="AE367" s="40"/>
    </row>
    <row r="368" spans="1:46" ht="12.95" customHeight="1">
      <c r="E368" s="1428" t="s">
        <v>706</v>
      </c>
      <c r="F368" s="1428"/>
      <c r="G368" s="1428"/>
      <c r="H368" s="1428"/>
      <c r="I368" s="1428"/>
      <c r="J368" s="1428"/>
      <c r="K368" s="1428"/>
      <c r="L368" s="1428"/>
      <c r="M368" s="1428"/>
      <c r="N368" s="1428"/>
      <c r="O368" s="1428"/>
      <c r="P368" s="1428"/>
      <c r="Q368" s="1428"/>
      <c r="R368" s="1428"/>
      <c r="S368" s="1428"/>
      <c r="T368" s="1428"/>
      <c r="U368" s="1428"/>
      <c r="V368" s="1428"/>
      <c r="W368" s="1428"/>
      <c r="X368" s="1428"/>
      <c r="Y368" s="1428"/>
      <c r="Z368" s="1428"/>
      <c r="AA368" s="1428"/>
      <c r="AB368" s="1428"/>
      <c r="AC368" s="1428"/>
      <c r="AD368" s="1428"/>
      <c r="AE368" s="1428"/>
      <c r="AF368" s="1428"/>
      <c r="AG368" s="1428"/>
      <c r="AH368" s="1428"/>
    </row>
    <row r="369" spans="1:34" ht="12.95" customHeight="1">
      <c r="E369" s="1428"/>
      <c r="F369" s="1428"/>
      <c r="G369" s="1428"/>
      <c r="H369" s="1428"/>
      <c r="I369" s="1428"/>
      <c r="J369" s="1428"/>
      <c r="K369" s="1428"/>
      <c r="L369" s="1428"/>
      <c r="M369" s="1428"/>
      <c r="N369" s="1428"/>
      <c r="O369" s="1428"/>
      <c r="P369" s="1428"/>
      <c r="Q369" s="1428"/>
      <c r="R369" s="1428"/>
      <c r="S369" s="1428"/>
      <c r="T369" s="1428"/>
      <c r="U369" s="1428"/>
      <c r="V369" s="1428"/>
      <c r="W369" s="1428"/>
      <c r="X369" s="1428"/>
      <c r="Y369" s="1428"/>
      <c r="Z369" s="1428"/>
      <c r="AA369" s="1428"/>
      <c r="AB369" s="1428"/>
      <c r="AC369" s="1428"/>
      <c r="AD369" s="1428"/>
      <c r="AE369" s="1428"/>
      <c r="AF369" s="1428"/>
      <c r="AG369" s="1428"/>
      <c r="AH369" s="1428"/>
    </row>
    <row r="370" spans="1:34" ht="12.95" customHeight="1">
      <c r="E370" s="4" t="s">
        <v>448</v>
      </c>
      <c r="F370" s="4"/>
      <c r="G370" s="4"/>
      <c r="H370" s="4"/>
      <c r="I370" s="4"/>
      <c r="J370" s="4"/>
      <c r="K370" s="4"/>
      <c r="L370" s="4"/>
      <c r="N370" s="1687"/>
      <c r="O370" s="1687"/>
      <c r="P370" s="1687"/>
      <c r="Q370" s="1687"/>
      <c r="R370" s="4"/>
      <c r="U370" s="4" t="s">
        <v>449</v>
      </c>
      <c r="V370" s="4"/>
      <c r="W370" s="4"/>
      <c r="X370" s="4"/>
      <c r="Y370" s="4"/>
      <c r="Z370" s="4"/>
      <c r="AA370" s="4"/>
      <c r="AB370" s="4"/>
      <c r="AC370" s="1687"/>
      <c r="AD370" s="1687"/>
      <c r="AE370" s="1687"/>
      <c r="AF370" s="1687"/>
    </row>
    <row r="371" spans="1:34" ht="12.95" customHeight="1">
      <c r="E371" s="4" t="s">
        <v>450</v>
      </c>
      <c r="F371" s="4"/>
      <c r="G371" s="4"/>
      <c r="H371" s="4"/>
      <c r="I371" s="4"/>
      <c r="J371" s="4"/>
      <c r="K371" s="4"/>
      <c r="L371" s="4"/>
      <c r="N371" s="1687"/>
      <c r="O371" s="1687"/>
      <c r="P371" s="1687"/>
      <c r="Q371" s="1687"/>
      <c r="R371" s="4"/>
      <c r="U371" s="4" t="s">
        <v>0</v>
      </c>
      <c r="V371" s="4"/>
      <c r="W371" s="4"/>
      <c r="X371" s="4"/>
      <c r="Y371" s="4"/>
      <c r="Z371" s="4"/>
      <c r="AA371" s="4"/>
      <c r="AB371" s="4"/>
      <c r="AC371" s="1687"/>
      <c r="AD371" s="1687"/>
      <c r="AE371" s="1687"/>
      <c r="AF371" s="1687"/>
    </row>
    <row r="372" spans="1:34" ht="12.95" customHeight="1">
      <c r="E372" s="4" t="s">
        <v>1</v>
      </c>
      <c r="F372" s="4"/>
      <c r="G372" s="4"/>
      <c r="H372" s="4"/>
      <c r="I372" s="4"/>
      <c r="J372" s="4"/>
      <c r="K372" s="4"/>
      <c r="L372" s="4"/>
      <c r="N372" s="1687"/>
      <c r="O372" s="1687"/>
      <c r="P372" s="1687"/>
      <c r="Q372" s="1687"/>
      <c r="R372" s="4"/>
      <c r="V372" s="4"/>
      <c r="W372" s="4"/>
      <c r="X372" s="4"/>
      <c r="Y372" s="4"/>
      <c r="Z372" s="4"/>
      <c r="AA372" s="4"/>
      <c r="AB372" s="4"/>
    </row>
    <row r="373" spans="1:34" ht="12.95" customHeight="1">
      <c r="E373" s="4" t="s">
        <v>2</v>
      </c>
      <c r="F373" s="4"/>
      <c r="G373" s="4"/>
      <c r="H373" s="4"/>
      <c r="I373" s="4"/>
      <c r="J373" s="4"/>
      <c r="K373" s="4"/>
      <c r="L373" s="4"/>
      <c r="N373" s="1811"/>
      <c r="O373" s="1811"/>
      <c r="P373" s="1811"/>
      <c r="Q373" s="1811"/>
      <c r="R373" s="1811"/>
      <c r="S373" s="1811"/>
      <c r="T373" s="1811"/>
      <c r="U373" s="1811"/>
      <c r="V373" s="1811"/>
      <c r="W373" s="1811"/>
      <c r="X373" s="1811"/>
      <c r="Y373" s="1811"/>
      <c r="Z373" s="1811"/>
      <c r="AA373" s="1811"/>
      <c r="AB373" s="1811"/>
      <c r="AC373" s="1811"/>
      <c r="AD373" s="1811"/>
      <c r="AE373" s="1811"/>
      <c r="AF373" s="1811"/>
    </row>
    <row r="374" spans="1:34" ht="12.95" customHeight="1">
      <c r="E374" s="4"/>
      <c r="F374" s="4"/>
      <c r="G374" s="4"/>
      <c r="H374" s="4"/>
      <c r="I374" s="4"/>
      <c r="J374" s="4"/>
      <c r="K374" s="4"/>
      <c r="L374" s="4"/>
      <c r="N374" s="1812"/>
      <c r="O374" s="1812"/>
      <c r="P374" s="1812"/>
      <c r="Q374" s="1812"/>
      <c r="R374" s="1812"/>
      <c r="S374" s="1812"/>
      <c r="T374" s="1812"/>
      <c r="U374" s="1812"/>
      <c r="V374" s="1812"/>
      <c r="W374" s="1812"/>
      <c r="X374" s="1812"/>
      <c r="Y374" s="1812"/>
      <c r="Z374" s="1812"/>
      <c r="AA374" s="1812"/>
      <c r="AB374" s="1812"/>
      <c r="AC374" s="1812"/>
      <c r="AD374" s="1812"/>
      <c r="AE374" s="1812"/>
      <c r="AF374" s="1812"/>
    </row>
    <row r="375" spans="1:34" ht="12.95" customHeight="1">
      <c r="C375" s="512"/>
      <c r="E375" s="4"/>
      <c r="F375" s="4"/>
      <c r="G375" s="4"/>
      <c r="H375" s="4"/>
      <c r="I375" s="4"/>
      <c r="J375" s="4"/>
      <c r="K375" s="4"/>
      <c r="L375" s="4"/>
    </row>
    <row r="376" spans="1:34" ht="12.95" customHeight="1">
      <c r="D376" s="2" t="s">
        <v>975</v>
      </c>
      <c r="E376" s="2"/>
      <c r="F376" s="4"/>
      <c r="G376" s="4"/>
      <c r="H376" s="4"/>
      <c r="I376" s="4"/>
      <c r="J376" s="4"/>
      <c r="K376" s="4"/>
      <c r="L376" s="4"/>
    </row>
    <row r="377" spans="1:34" ht="12.95" customHeight="1">
      <c r="E377" s="4" t="s">
        <v>2084</v>
      </c>
      <c r="F377" s="4"/>
      <c r="G377" s="4"/>
      <c r="H377" s="4"/>
      <c r="I377" s="4"/>
      <c r="J377" s="4"/>
      <c r="K377" s="4"/>
      <c r="L377" s="4"/>
      <c r="N377" t="s">
        <v>2079</v>
      </c>
      <c r="R377" s="27" t="s">
        <v>304</v>
      </c>
      <c r="S377" s="1813"/>
      <c r="T377" s="1813"/>
      <c r="U377" s="1" t="s">
        <v>305</v>
      </c>
      <c r="V377" s="1813"/>
      <c r="W377" s="1813"/>
      <c r="Y377" t="s">
        <v>2079</v>
      </c>
      <c r="AC377" s="27" t="s">
        <v>304</v>
      </c>
      <c r="AD377" s="1813"/>
      <c r="AE377" s="1813"/>
      <c r="AF377" s="1" t="s">
        <v>305</v>
      </c>
      <c r="AG377" s="1813"/>
      <c r="AH377" s="1813"/>
    </row>
    <row r="378" spans="1:34" ht="12.95" customHeight="1">
      <c r="E378" s="4" t="s">
        <v>987</v>
      </c>
      <c r="F378" s="4"/>
      <c r="G378" s="4"/>
      <c r="H378" s="4"/>
      <c r="I378" s="4"/>
      <c r="J378" s="4"/>
      <c r="K378" s="4"/>
      <c r="L378" s="4"/>
      <c r="N378" s="1813"/>
      <c r="O378" s="1813"/>
      <c r="P378" s="1813"/>
    </row>
    <row r="379" spans="1:34" ht="12.95" customHeight="1">
      <c r="E379" s="204" t="s">
        <v>2085</v>
      </c>
      <c r="F379" s="4"/>
      <c r="G379" s="4"/>
      <c r="H379" s="4"/>
      <c r="I379" s="4"/>
      <c r="J379" s="4"/>
      <c r="K379" s="4"/>
      <c r="L379" s="4"/>
      <c r="AG379" s="1803" t="s">
        <v>591</v>
      </c>
      <c r="AH379" s="1803"/>
    </row>
    <row r="380" spans="1:34" ht="12.95" customHeight="1">
      <c r="E380" s="4"/>
      <c r="F380" s="4"/>
      <c r="G380" s="4" t="s">
        <v>2086</v>
      </c>
      <c r="H380" s="4"/>
      <c r="I380" s="4"/>
      <c r="J380" s="4"/>
      <c r="K380" s="4"/>
      <c r="L380" s="4"/>
      <c r="AG380" s="1803" t="s">
        <v>591</v>
      </c>
      <c r="AH380" s="1803"/>
    </row>
    <row r="381" spans="1:34" ht="12.95" customHeight="1">
      <c r="E381" s="4"/>
      <c r="F381" s="4"/>
      <c r="G381" s="320" t="s">
        <v>988</v>
      </c>
      <c r="H381" s="4"/>
      <c r="I381" s="4"/>
      <c r="J381" s="4"/>
      <c r="K381" s="4"/>
      <c r="L381" s="4"/>
      <c r="V381" s="1333" t="s">
        <v>591</v>
      </c>
      <c r="W381" s="1333"/>
      <c r="Y381" s="22" t="s">
        <v>980</v>
      </c>
    </row>
    <row r="382" spans="1:34" ht="12.95" customHeight="1">
      <c r="E382" s="4" t="s">
        <v>981</v>
      </c>
      <c r="F382" s="4"/>
      <c r="G382" s="4"/>
      <c r="H382" s="4"/>
      <c r="I382" s="4"/>
      <c r="J382" s="4"/>
      <c r="K382" s="4"/>
      <c r="L382" s="4"/>
      <c r="V382" s="1333" t="s">
        <v>591</v>
      </c>
      <c r="W382" s="1333"/>
      <c r="Y382" s="4" t="s">
        <v>982</v>
      </c>
    </row>
    <row r="383" spans="1:34" ht="12.95" customHeight="1"/>
    <row r="384" spans="1:34" ht="12.95" customHeight="1">
      <c r="A384" s="2" t="s">
        <v>78</v>
      </c>
      <c r="B384" s="2"/>
    </row>
    <row r="385" spans="4:36" ht="12.95" customHeight="1">
      <c r="D385" t="s">
        <v>427</v>
      </c>
      <c r="J385" s="1338" t="s">
        <v>2685</v>
      </c>
      <c r="K385" s="1338"/>
      <c r="L385" s="1338"/>
      <c r="M385" s="1338"/>
      <c r="N385" s="1338"/>
      <c r="O385" s="1338"/>
      <c r="P385" s="1338"/>
      <c r="Q385" s="1338"/>
      <c r="R385" s="1338"/>
      <c r="S385" s="1338"/>
      <c r="T385" s="1338"/>
      <c r="U385" s="1338"/>
      <c r="V385" s="8" t="s">
        <v>83</v>
      </c>
      <c r="W385" s="8"/>
      <c r="X385" s="8"/>
      <c r="Y385" s="8"/>
      <c r="Z385" s="8"/>
      <c r="AA385" s="8"/>
      <c r="AB385" s="8"/>
      <c r="AC385" s="1338" t="s">
        <v>591</v>
      </c>
      <c r="AD385" s="1338"/>
      <c r="AE385" s="1338"/>
      <c r="AF385" s="1338"/>
      <c r="AG385" s="1338"/>
      <c r="AH385" s="1338"/>
      <c r="AI385" s="1338"/>
      <c r="AJ385" s="1338"/>
    </row>
    <row r="386" spans="4:36" ht="12.95" customHeight="1">
      <c r="D386" s="3" t="s">
        <v>1182</v>
      </c>
      <c r="J386" s="1351" t="s">
        <v>591</v>
      </c>
      <c r="K386" s="1351"/>
      <c r="L386" s="1351"/>
      <c r="M386" s="1351"/>
      <c r="N386" s="1351"/>
      <c r="O386" s="1351"/>
      <c r="P386" s="1351"/>
      <c r="Q386" s="1351"/>
      <c r="R386" s="1351"/>
      <c r="S386" s="1351"/>
      <c r="T386" s="1351"/>
      <c r="U386" s="1351"/>
      <c r="V386" s="3" t="s">
        <v>1182</v>
      </c>
      <c r="W386" s="8"/>
      <c r="X386" s="8"/>
      <c r="Y386" s="8"/>
      <c r="Z386" s="8"/>
      <c r="AA386" s="8"/>
      <c r="AB386" s="8"/>
      <c r="AC386" s="1338" t="s">
        <v>591</v>
      </c>
      <c r="AD386" s="1338"/>
      <c r="AE386" s="1338"/>
      <c r="AF386" s="1338"/>
      <c r="AG386" s="1338"/>
      <c r="AH386" s="1338"/>
      <c r="AI386" s="1338"/>
      <c r="AJ386" s="1338"/>
    </row>
    <row r="387" spans="4:36" ht="12.95" customHeight="1">
      <c r="D387" s="3" t="s">
        <v>441</v>
      </c>
      <c r="J387" s="1351" t="s">
        <v>2686</v>
      </c>
      <c r="K387" s="1351"/>
      <c r="L387" s="1351"/>
      <c r="M387" s="1351"/>
      <c r="N387" s="1351"/>
      <c r="O387" s="1351"/>
      <c r="P387" s="1351"/>
      <c r="Q387" s="1351"/>
      <c r="R387" s="1351"/>
      <c r="S387" s="1351"/>
      <c r="T387" s="1351"/>
      <c r="U387" s="1351"/>
      <c r="V387" s="3" t="s">
        <v>441</v>
      </c>
      <c r="W387" s="8"/>
      <c r="X387" s="8"/>
      <c r="Y387" s="8"/>
      <c r="Z387" s="8"/>
      <c r="AA387" s="8"/>
      <c r="AB387" s="8"/>
      <c r="AC387" s="1338" t="s">
        <v>591</v>
      </c>
      <c r="AD387" s="1338"/>
      <c r="AE387" s="1338"/>
      <c r="AF387" s="1338"/>
      <c r="AG387" s="1338"/>
      <c r="AH387" s="1338"/>
      <c r="AI387" s="1338"/>
      <c r="AJ387" s="1338"/>
    </row>
    <row r="388" spans="4:36" ht="12.95" customHeight="1">
      <c r="D388" t="s">
        <v>1178</v>
      </c>
      <c r="J388" s="1401" t="s">
        <v>591</v>
      </c>
      <c r="K388" s="1401"/>
      <c r="L388" s="1401"/>
      <c r="M388" s="1401"/>
      <c r="N388" s="1401"/>
      <c r="O388" s="1401"/>
      <c r="P388" s="1401"/>
      <c r="Q388" s="1401"/>
      <c r="R388" s="1401"/>
      <c r="S388" s="1401"/>
      <c r="T388" s="1401"/>
      <c r="U388" s="1401"/>
      <c r="V388" s="1338"/>
      <c r="W388" s="1338"/>
      <c r="X388" s="1338"/>
      <c r="Y388" s="1338"/>
      <c r="Z388" s="1338"/>
      <c r="AA388" s="1338"/>
      <c r="AB388" s="1338"/>
      <c r="AC388" s="1338"/>
      <c r="AD388" s="1338"/>
      <c r="AE388" s="1338"/>
      <c r="AF388" s="1338"/>
      <c r="AG388" s="1338"/>
      <c r="AH388" s="1338"/>
      <c r="AI388" s="1338"/>
      <c r="AJ388" s="1338"/>
    </row>
    <row r="389" spans="4:36" ht="12.95" customHeight="1">
      <c r="D389" t="s">
        <v>4</v>
      </c>
      <c r="Q389" s="1750">
        <v>44117</v>
      </c>
      <c r="R389" s="1750"/>
      <c r="S389" s="1750"/>
      <c r="T389" s="1750"/>
      <c r="U389" s="1750"/>
      <c r="V389" t="s">
        <v>308</v>
      </c>
      <c r="AI389" s="1333" t="s">
        <v>669</v>
      </c>
      <c r="AJ389" s="1333"/>
    </row>
    <row r="390" spans="4:36" ht="12.95" customHeight="1">
      <c r="D390" t="s">
        <v>5</v>
      </c>
      <c r="Q390" s="1541" t="s">
        <v>591</v>
      </c>
      <c r="R390" s="1814"/>
      <c r="S390" s="1814"/>
      <c r="T390" s="1814"/>
      <c r="U390" s="1814"/>
      <c r="W390" s="21" t="s">
        <v>74</v>
      </c>
      <c r="AG390" s="1817"/>
      <c r="AH390" s="1817"/>
      <c r="AI390" s="1817"/>
      <c r="AJ390" s="1817"/>
    </row>
    <row r="391" spans="4:36" ht="12.95" customHeight="1">
      <c r="D391" t="s">
        <v>426</v>
      </c>
      <c r="Q391" s="1827">
        <v>1631453</v>
      </c>
      <c r="R391" s="1827"/>
      <c r="S391" s="1827"/>
      <c r="T391" s="1827"/>
      <c r="U391" s="1827"/>
      <c r="V391" s="3" t="s">
        <v>1181</v>
      </c>
      <c r="AG391" s="1820"/>
      <c r="AH391" s="1820"/>
      <c r="AI391" s="1820"/>
      <c r="AJ391" s="1820"/>
    </row>
    <row r="392" spans="4:36" ht="12.95" customHeight="1">
      <c r="D392" t="s">
        <v>88</v>
      </c>
      <c r="I392" s="1436"/>
      <c r="J392" s="1436"/>
      <c r="K392" s="1436"/>
      <c r="L392" s="1436"/>
      <c r="M392" s="1436"/>
      <c r="N392" s="1436"/>
      <c r="Q392" s="4" t="s">
        <v>205</v>
      </c>
      <c r="S392" s="1826"/>
      <c r="T392" s="1826"/>
      <c r="U392" s="1826"/>
      <c r="V392" t="s">
        <v>73</v>
      </c>
      <c r="AI392" s="1333" t="s">
        <v>669</v>
      </c>
      <c r="AJ392" s="1333"/>
    </row>
    <row r="393" spans="4:36" ht="12.95" customHeight="1">
      <c r="D393" t="s">
        <v>309</v>
      </c>
      <c r="Q393" s="1407" t="s">
        <v>591</v>
      </c>
      <c r="R393" s="1407"/>
      <c r="S393" s="1407"/>
      <c r="T393" s="1407"/>
      <c r="U393" s="1407"/>
      <c r="V393" t="s">
        <v>310</v>
      </c>
      <c r="AG393" s="1817" t="s">
        <v>2687</v>
      </c>
      <c r="AH393" s="1817"/>
      <c r="AI393" s="1817"/>
      <c r="AJ393" s="1817"/>
    </row>
    <row r="394" spans="4:36" ht="12.95" customHeight="1">
      <c r="D394" t="s">
        <v>311</v>
      </c>
      <c r="Q394" s="1691" t="s">
        <v>591</v>
      </c>
      <c r="R394" s="1691"/>
      <c r="S394" s="1691"/>
      <c r="T394" s="1691"/>
      <c r="U394" s="1691"/>
      <c r="V394" t="s">
        <v>1163</v>
      </c>
      <c r="AG394" s="1817" t="s">
        <v>2687</v>
      </c>
      <c r="AH394" s="1817"/>
      <c r="AI394" s="1817"/>
      <c r="AJ394" s="1817"/>
    </row>
    <row r="395" spans="4:36" ht="12.95" customHeight="1">
      <c r="D395" t="s">
        <v>1162</v>
      </c>
      <c r="AG395" s="1817" t="s">
        <v>2687</v>
      </c>
      <c r="AH395" s="1817"/>
      <c r="AI395" s="1817"/>
      <c r="AJ395" s="1817"/>
    </row>
    <row r="396" spans="4:36" ht="12.95" customHeight="1">
      <c r="AG396" s="456"/>
      <c r="AH396" s="456"/>
      <c r="AI396" s="456"/>
      <c r="AJ396" s="456"/>
    </row>
    <row r="397" spans="4:36" ht="12.95" customHeight="1">
      <c r="D397" s="3" t="s">
        <v>2142</v>
      </c>
      <c r="AG397" s="456"/>
      <c r="AH397" s="456"/>
      <c r="AI397" s="1333" t="s">
        <v>669</v>
      </c>
      <c r="AJ397" s="1333"/>
    </row>
    <row r="398" spans="4:36" ht="12.95" customHeight="1">
      <c r="D398" s="3" t="s">
        <v>1667</v>
      </c>
      <c r="T398" s="1753" t="s">
        <v>2687</v>
      </c>
      <c r="U398" s="1753"/>
      <c r="V398" s="1753"/>
      <c r="W398" s="1753"/>
      <c r="X398" s="1753"/>
      <c r="Y398" s="1753"/>
      <c r="Z398" s="1753"/>
      <c r="AA398" s="1753"/>
      <c r="AB398" s="1753"/>
      <c r="AC398" s="1753"/>
      <c r="AD398" s="1753"/>
      <c r="AE398" s="1753"/>
      <c r="AF398" s="1753"/>
      <c r="AG398" s="1753"/>
      <c r="AH398" s="1753"/>
      <c r="AI398" s="1753"/>
      <c r="AJ398" s="1753"/>
    </row>
    <row r="399" spans="4:36" ht="12.95" customHeight="1">
      <c r="D399" s="3" t="s">
        <v>1666</v>
      </c>
      <c r="T399" s="1753" t="s">
        <v>2687</v>
      </c>
      <c r="U399" s="1753"/>
      <c r="V399" s="1753"/>
      <c r="W399" s="1753"/>
      <c r="X399" s="1753"/>
      <c r="Y399" s="1753"/>
      <c r="Z399" s="1753"/>
      <c r="AA399" s="1753"/>
      <c r="AB399" s="1753"/>
      <c r="AC399" s="1753"/>
      <c r="AD399" s="1753"/>
      <c r="AE399" s="1753"/>
      <c r="AF399" s="1753"/>
      <c r="AG399" s="1753"/>
      <c r="AH399" s="1753"/>
      <c r="AI399" s="1753"/>
      <c r="AJ399" s="1753"/>
    </row>
    <row r="400" spans="4:36" ht="12.95" customHeight="1">
      <c r="AG400" s="456"/>
      <c r="AH400" s="456"/>
      <c r="AI400" s="456"/>
      <c r="AJ400" s="456"/>
    </row>
    <row r="401" spans="1:36" ht="12.95" customHeight="1">
      <c r="D401" s="3" t="s">
        <v>1660</v>
      </c>
      <c r="S401" s="1753" t="s">
        <v>669</v>
      </c>
      <c r="T401" s="1753"/>
      <c r="U401" s="1753"/>
      <c r="V401" t="s">
        <v>1661</v>
      </c>
      <c r="AG401" s="1816"/>
      <c r="AH401" s="1816"/>
      <c r="AI401" s="1816"/>
      <c r="AJ401" s="1816"/>
    </row>
    <row r="402" spans="1:36" ht="12.95" customHeight="1">
      <c r="D402" s="3" t="s">
        <v>1658</v>
      </c>
      <c r="S402" s="1753" t="s">
        <v>591</v>
      </c>
      <c r="T402" s="1753"/>
      <c r="U402" s="1753"/>
      <c r="V402" t="s">
        <v>1663</v>
      </c>
      <c r="AE402" s="1819"/>
      <c r="AF402" s="1819"/>
      <c r="AG402" s="1819"/>
      <c r="AH402" s="1819"/>
      <c r="AI402" s="1819"/>
      <c r="AJ402" s="1819"/>
    </row>
    <row r="403" spans="1:36" ht="12.95" customHeight="1">
      <c r="D403" s="3" t="s">
        <v>1659</v>
      </c>
      <c r="K403" s="1796"/>
      <c r="L403" s="1796"/>
      <c r="M403" s="1796"/>
      <c r="N403" s="1796"/>
      <c r="O403" s="1796"/>
      <c r="P403" s="1796"/>
      <c r="Q403" s="1796"/>
      <c r="R403" s="1796"/>
      <c r="S403" s="1796"/>
      <c r="T403" s="1796"/>
      <c r="U403" s="1796"/>
      <c r="V403" s="1796"/>
      <c r="W403" s="1796"/>
      <c r="X403" s="1796"/>
      <c r="Y403" s="1796"/>
      <c r="Z403" s="1796"/>
      <c r="AA403" s="1796"/>
      <c r="AB403" s="1796"/>
      <c r="AC403" s="1796"/>
      <c r="AD403" s="1796"/>
      <c r="AE403" s="1796"/>
      <c r="AF403" s="1796"/>
      <c r="AG403" s="1796"/>
      <c r="AH403" s="1796"/>
      <c r="AI403" s="1796"/>
      <c r="AJ403" s="1796"/>
    </row>
    <row r="404" spans="1:36" ht="12.95" customHeight="1">
      <c r="D404" s="3" t="s">
        <v>1662</v>
      </c>
      <c r="K404" s="1796"/>
      <c r="L404" s="1796"/>
      <c r="M404" s="1796"/>
      <c r="N404" s="1796"/>
      <c r="O404" s="1796"/>
      <c r="P404" s="1796"/>
      <c r="Q404" s="1796"/>
      <c r="R404" s="1796"/>
      <c r="S404" s="1796"/>
      <c r="T404" s="1796"/>
      <c r="U404" s="1796"/>
      <c r="V404" s="1796"/>
      <c r="W404" s="1796"/>
      <c r="X404" s="1796"/>
      <c r="Y404" s="1796"/>
      <c r="Z404" s="1796"/>
      <c r="AA404" s="1796"/>
      <c r="AB404" s="1796"/>
      <c r="AC404" s="1796"/>
      <c r="AD404" s="1796"/>
      <c r="AE404" s="1796"/>
      <c r="AF404" s="1796"/>
      <c r="AG404" s="1796"/>
      <c r="AH404" s="1796"/>
      <c r="AI404" s="1796"/>
      <c r="AJ404" s="1796"/>
    </row>
    <row r="405" spans="1:36" ht="12.95" customHeight="1">
      <c r="D405" s="3" t="s">
        <v>1665</v>
      </c>
      <c r="E405" s="477"/>
      <c r="F405" s="477"/>
      <c r="G405" s="477"/>
      <c r="H405" s="477"/>
      <c r="I405" s="477"/>
      <c r="J405" s="477"/>
      <c r="K405" s="477"/>
      <c r="L405" s="477"/>
      <c r="M405" s="477"/>
      <c r="N405" s="477"/>
      <c r="O405" s="477"/>
      <c r="P405" s="477"/>
      <c r="Q405" s="477"/>
      <c r="R405" s="477"/>
      <c r="S405" s="1825" t="s">
        <v>1184</v>
      </c>
      <c r="T405" s="1825"/>
      <c r="U405" s="1825"/>
      <c r="V405" s="1825"/>
      <c r="W405" s="1825"/>
      <c r="X405" s="1825"/>
      <c r="Y405" s="1825"/>
      <c r="Z405" s="1825"/>
      <c r="AA405" s="1825"/>
      <c r="AB405" s="1825"/>
      <c r="AC405" s="1825"/>
      <c r="AD405" s="1825"/>
      <c r="AE405" s="1825"/>
      <c r="AF405" s="1825"/>
      <c r="AG405" s="1825"/>
      <c r="AH405" s="1825"/>
      <c r="AI405" s="1825"/>
      <c r="AJ405" s="1825"/>
    </row>
    <row r="406" spans="1:36" ht="12.95" customHeight="1">
      <c r="D406" s="1267" t="s">
        <v>1664</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2.95"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2.95" customHeight="1">
      <c r="AG408" s="456"/>
      <c r="AH408" s="456"/>
      <c r="AI408" s="456"/>
      <c r="AJ408" s="456"/>
    </row>
    <row r="409" spans="1:36" ht="12.95" customHeight="1">
      <c r="A409" s="2" t="s">
        <v>589</v>
      </c>
      <c r="B409" s="2"/>
      <c r="C409" s="2" t="s">
        <v>111</v>
      </c>
    </row>
    <row r="410" spans="1:36" ht="12.95" customHeight="1">
      <c r="B410" s="2"/>
      <c r="C410" s="2"/>
      <c r="D410" s="2" t="s">
        <v>1204</v>
      </c>
      <c r="I410" s="1429" t="s">
        <v>2688</v>
      </c>
      <c r="J410" s="1429"/>
      <c r="K410" s="1429"/>
      <c r="L410" s="1429"/>
      <c r="M410" s="1429"/>
      <c r="N410" s="1429"/>
      <c r="O410" s="1429"/>
      <c r="P410" s="1429"/>
      <c r="Q410" s="1429"/>
      <c r="R410" s="1429"/>
      <c r="S410" s="1429"/>
      <c r="T410" s="1429"/>
      <c r="U410" s="1429"/>
      <c r="V410" s="1429"/>
      <c r="W410" s="1429"/>
      <c r="X410" s="1429"/>
      <c r="Y410" s="1429"/>
      <c r="Z410" s="1429"/>
      <c r="AA410" s="1429"/>
      <c r="AB410" s="1429"/>
      <c r="AC410" s="1429"/>
      <c r="AD410" s="1429"/>
      <c r="AE410" s="1429"/>
    </row>
    <row r="411" spans="1:36" ht="12.95" customHeight="1">
      <c r="E411" t="s">
        <v>106</v>
      </c>
      <c r="R411" s="1333" t="s">
        <v>591</v>
      </c>
      <c r="S411" s="1333"/>
      <c r="AC411" s="27" t="s">
        <v>570</v>
      </c>
      <c r="AD411" s="1687"/>
      <c r="AE411" s="1687"/>
    </row>
    <row r="412" spans="1:36" ht="12.95" customHeight="1">
      <c r="E412" t="s">
        <v>107</v>
      </c>
      <c r="R412" s="1333" t="s">
        <v>545</v>
      </c>
      <c r="S412" s="1333"/>
      <c r="AC412" s="27" t="s">
        <v>570</v>
      </c>
      <c r="AD412" s="1687">
        <v>3</v>
      </c>
      <c r="AE412" s="1687"/>
    </row>
    <row r="413" spans="1:36" ht="12.95" customHeight="1">
      <c r="E413" t="s">
        <v>108</v>
      </c>
      <c r="S413" s="1333" t="s">
        <v>591</v>
      </c>
      <c r="T413" s="1333"/>
    </row>
    <row r="414" spans="1:36" ht="12.95" customHeight="1">
      <c r="E414" t="s">
        <v>169</v>
      </c>
      <c r="H414" s="1688" t="s">
        <v>333</v>
      </c>
      <c r="I414" s="1688"/>
      <c r="J414" s="1688"/>
      <c r="K414" s="1688"/>
      <c r="L414" s="1688"/>
      <c r="M414" s="1688"/>
      <c r="N414" s="1688"/>
      <c r="O414" s="1688"/>
      <c r="P414" s="1688"/>
      <c r="Q414" s="1688"/>
      <c r="R414" s="1688"/>
      <c r="S414" s="1688"/>
      <c r="T414" s="1688"/>
      <c r="U414" s="1688"/>
      <c r="V414" s="1688"/>
      <c r="W414" s="1688"/>
      <c r="X414" s="1688"/>
      <c r="Y414" s="1688"/>
      <c r="Z414" s="1688"/>
      <c r="AA414" s="1688"/>
      <c r="AB414" s="1688"/>
      <c r="AC414" s="1688"/>
      <c r="AD414" s="1688"/>
      <c r="AE414" s="1688"/>
    </row>
    <row r="415" spans="1:36" ht="12.95" customHeight="1">
      <c r="H415" s="1689"/>
      <c r="I415" s="1689"/>
      <c r="J415" s="1689"/>
      <c r="K415" s="1689"/>
      <c r="L415" s="1689"/>
      <c r="M415" s="1689"/>
      <c r="N415" s="1689"/>
      <c r="O415" s="1689"/>
      <c r="P415" s="1689"/>
      <c r="Q415" s="1689"/>
      <c r="R415" s="1689"/>
      <c r="S415" s="1689"/>
      <c r="T415" s="1689"/>
      <c r="U415" s="1689"/>
      <c r="V415" s="1689"/>
      <c r="W415" s="1689"/>
      <c r="X415" s="1689"/>
      <c r="Y415" s="1689"/>
      <c r="Z415" s="1689"/>
      <c r="AA415" s="1689"/>
      <c r="AB415" s="1689"/>
      <c r="AC415" s="1689"/>
      <c r="AD415" s="1689"/>
      <c r="AE415" s="1689"/>
    </row>
    <row r="416" spans="1:36" ht="12.95" customHeight="1"/>
    <row r="417" spans="1:39" ht="12.95" customHeight="1">
      <c r="A417" s="2" t="s">
        <v>590</v>
      </c>
      <c r="B417" s="2"/>
      <c r="C417" s="2"/>
      <c r="D417" s="2" t="s">
        <v>114</v>
      </c>
      <c r="AF417" s="2" t="s">
        <v>957</v>
      </c>
    </row>
    <row r="418" spans="1:39" ht="12.95" customHeight="1">
      <c r="E418" s="1813"/>
      <c r="F418" s="1813"/>
      <c r="G418" s="1813"/>
      <c r="H418" s="13" t="s">
        <v>115</v>
      </c>
      <c r="I418" s="1813"/>
      <c r="J418" s="1813"/>
      <c r="K418" s="1813"/>
      <c r="L418" t="s">
        <v>116</v>
      </c>
      <c r="N418" s="27" t="s">
        <v>575</v>
      </c>
      <c r="P418" s="1755">
        <v>2.0099999999999998</v>
      </c>
      <c r="Q418" s="1755"/>
      <c r="R418" s="1755"/>
      <c r="S418" t="s">
        <v>117</v>
      </c>
      <c r="W418" s="1824">
        <f>IF(E418&gt;0,(E418*I418),(P418*43560))</f>
        <v>87555.599999999991</v>
      </c>
      <c r="X418" s="1824"/>
      <c r="Y418" s="1824"/>
      <c r="Z418" t="s">
        <v>118</v>
      </c>
      <c r="AF418" s="1756">
        <f>IFERROR(IF(P418&gt;0,(AG437/P418),(AG437/(W418/43560))),0)</f>
        <v>29.850746268656721</v>
      </c>
      <c r="AG418" s="1756"/>
      <c r="AH418" s="1756"/>
      <c r="AM418" s="3"/>
    </row>
    <row r="419" spans="1:39" ht="12.95" customHeight="1">
      <c r="E419" t="s">
        <v>51</v>
      </c>
    </row>
    <row r="420" spans="1:39" ht="12.95" customHeight="1">
      <c r="E420" s="1821"/>
      <c r="F420" s="1821"/>
      <c r="G420" s="1821"/>
      <c r="H420" s="1821"/>
      <c r="I420" s="1821"/>
      <c r="J420" s="1821"/>
      <c r="K420" s="1821"/>
      <c r="L420" s="1821"/>
      <c r="M420" s="1821"/>
      <c r="N420" s="1821"/>
      <c r="O420" s="1821"/>
      <c r="P420" s="1821"/>
      <c r="Q420" s="1821"/>
      <c r="R420" s="1821"/>
      <c r="S420" s="1821"/>
      <c r="T420" s="1821"/>
      <c r="U420" s="1821"/>
      <c r="V420" s="1821"/>
      <c r="W420" s="1821"/>
      <c r="X420" s="1821"/>
      <c r="Y420" s="1821"/>
      <c r="Z420" s="1821"/>
      <c r="AA420" s="1821"/>
      <c r="AB420" s="1821"/>
      <c r="AC420" s="1821"/>
      <c r="AD420" s="1821"/>
      <c r="AE420" s="1821"/>
      <c r="AF420" s="1821"/>
      <c r="AG420" s="1821"/>
      <c r="AH420" s="1821"/>
      <c r="AI420" s="1821"/>
      <c r="AJ420" s="1821"/>
    </row>
    <row r="421" spans="1:39" ht="12.95" customHeight="1">
      <c r="E421" s="118" t="s">
        <v>1736</v>
      </c>
      <c r="F421" s="1013"/>
      <c r="G421" s="1013"/>
      <c r="H421" s="1013"/>
      <c r="I421" s="1754">
        <v>2.0099999999999998</v>
      </c>
      <c r="J421" s="1754"/>
      <c r="K421" s="1754"/>
      <c r="L421" s="1013"/>
      <c r="M421" s="118"/>
      <c r="N421" s="1013"/>
      <c r="O421" s="1013"/>
      <c r="P421" s="1454">
        <f>(DU755+DU778+DU800)/I421</f>
        <v>64.179104477611943</v>
      </c>
      <c r="Q421" s="1454"/>
      <c r="R421" s="1454"/>
      <c r="S421" s="118" t="s">
        <v>1737</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592</v>
      </c>
      <c r="B423" s="2"/>
      <c r="C423" s="2"/>
      <c r="D423" s="2" t="s">
        <v>120</v>
      </c>
    </row>
    <row r="424" spans="1:39" ht="12.95" customHeight="1">
      <c r="E424" t="s">
        <v>121</v>
      </c>
      <c r="P424" s="1333">
        <v>3</v>
      </c>
      <c r="Q424" s="1333"/>
      <c r="S424" t="s">
        <v>188</v>
      </c>
      <c r="AE424" s="1333">
        <v>3</v>
      </c>
      <c r="AF424" s="1333"/>
    </row>
    <row r="425" spans="1:39" ht="12.95" customHeight="1">
      <c r="E425" t="s">
        <v>189</v>
      </c>
      <c r="P425" s="1333">
        <v>0</v>
      </c>
      <c r="Q425" s="1333"/>
      <c r="S425" t="s">
        <v>131</v>
      </c>
      <c r="AE425" s="1333" t="s">
        <v>591</v>
      </c>
      <c r="AF425" s="1333"/>
    </row>
    <row r="426" spans="1:39" ht="12.95" customHeight="1">
      <c r="F426" s="28" t="s">
        <v>132</v>
      </c>
    </row>
    <row r="427" spans="1:39" ht="12.95" customHeight="1">
      <c r="F427" s="1802"/>
      <c r="G427" s="1802"/>
      <c r="H427" s="1802"/>
      <c r="I427" s="1802"/>
      <c r="J427" s="1802"/>
      <c r="K427" s="1802"/>
      <c r="L427" s="1802"/>
      <c r="M427" s="1802"/>
      <c r="N427" s="1802"/>
      <c r="O427" s="1802"/>
      <c r="P427" s="1802"/>
      <c r="Q427" s="1802"/>
      <c r="R427" s="1802"/>
      <c r="S427" s="1802"/>
      <c r="T427" s="1802"/>
      <c r="U427" s="1802"/>
      <c r="V427" s="1802"/>
      <c r="W427" s="1802"/>
      <c r="X427" s="1802"/>
      <c r="Y427" s="1802"/>
      <c r="Z427" s="1802"/>
      <c r="AA427" s="1802"/>
      <c r="AB427" s="1802"/>
      <c r="AC427" s="1802"/>
      <c r="AD427" s="1802"/>
      <c r="AE427" s="1802"/>
      <c r="AF427" s="1802"/>
      <c r="AG427" s="1802"/>
      <c r="AH427" s="1802"/>
    </row>
    <row r="428" spans="1:39" ht="12.95" customHeight="1">
      <c r="F428" s="1772"/>
      <c r="G428" s="1772"/>
      <c r="H428" s="1772"/>
      <c r="I428" s="1772"/>
      <c r="J428" s="1772"/>
      <c r="K428" s="1772"/>
      <c r="L428" s="1772"/>
      <c r="M428" s="1772"/>
      <c r="N428" s="1772"/>
      <c r="O428" s="1772"/>
      <c r="P428" s="1772"/>
      <c r="Q428" s="1772"/>
      <c r="R428" s="1772"/>
      <c r="S428" s="1772"/>
      <c r="T428" s="1772"/>
      <c r="U428" s="1772"/>
      <c r="V428" s="1772"/>
      <c r="W428" s="1772"/>
      <c r="X428" s="1772"/>
      <c r="Y428" s="1772"/>
      <c r="Z428" s="1772"/>
      <c r="AA428" s="1772"/>
      <c r="AB428" s="1772"/>
      <c r="AC428" s="1772"/>
      <c r="AD428" s="1772"/>
      <c r="AE428" s="1772"/>
      <c r="AF428" s="1772"/>
      <c r="AG428" s="1772"/>
      <c r="AH428" s="1772"/>
    </row>
    <row r="429" spans="1:39" ht="12.95" customHeight="1">
      <c r="E429" t="s">
        <v>608</v>
      </c>
      <c r="P429" s="1"/>
      <c r="Q429" s="1333" t="s">
        <v>545</v>
      </c>
      <c r="R429" s="1333"/>
    </row>
    <row r="430" spans="1:39" ht="12.95" customHeight="1">
      <c r="F430" t="s">
        <v>609</v>
      </c>
      <c r="P430" s="1"/>
      <c r="Q430" s="1"/>
      <c r="AF430" s="1333" t="s">
        <v>591</v>
      </c>
      <c r="AG430" s="1822"/>
    </row>
    <row r="431" spans="1:39" ht="12.95" customHeight="1"/>
    <row r="432" spans="1:39" ht="12.95" customHeight="1">
      <c r="A432" s="2"/>
      <c r="B432" s="2"/>
      <c r="C432" s="2"/>
      <c r="E432" s="4" t="s">
        <v>307</v>
      </c>
      <c r="Z432" s="1333" t="s">
        <v>669</v>
      </c>
      <c r="AA432" s="1333"/>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707</v>
      </c>
      <c r="G434" s="40"/>
      <c r="I434" s="40"/>
      <c r="J434" s="40"/>
      <c r="K434" s="40"/>
      <c r="L434" s="40"/>
      <c r="M434" s="40"/>
      <c r="N434" s="40"/>
      <c r="O434" s="28"/>
      <c r="P434" s="40"/>
      <c r="Q434" s="40"/>
      <c r="R434" s="40"/>
      <c r="S434" s="40"/>
      <c r="T434" s="40"/>
      <c r="U434" s="40"/>
      <c r="V434" s="40"/>
      <c r="W434" s="40"/>
      <c r="Z434" s="1333" t="s">
        <v>591</v>
      </c>
      <c r="AA434" s="1333"/>
    </row>
    <row r="435" spans="1:55" ht="12.95" customHeight="1"/>
    <row r="436" spans="1:55" ht="12.95" customHeight="1">
      <c r="A436" s="2" t="s">
        <v>467</v>
      </c>
      <c r="B436" s="2"/>
      <c r="C436" s="2"/>
      <c r="D436" s="2" t="s">
        <v>764</v>
      </c>
      <c r="AF436" s="48"/>
    </row>
    <row r="437" spans="1:55" ht="12.95" customHeight="1">
      <c r="D437" s="1618" t="s">
        <v>43</v>
      </c>
      <c r="E437" s="1619"/>
      <c r="F437" s="1619"/>
      <c r="G437" s="1619"/>
      <c r="H437" s="1619"/>
      <c r="I437" s="1619"/>
      <c r="J437" s="1619"/>
      <c r="K437" s="1619"/>
      <c r="L437" s="1619"/>
      <c r="M437" s="1619"/>
      <c r="N437" s="1619"/>
      <c r="O437" s="1619"/>
      <c r="P437" s="1619"/>
      <c r="Q437" s="1619"/>
      <c r="R437" s="1619"/>
      <c r="S437" s="1619"/>
      <c r="T437" s="1619"/>
      <c r="U437" s="1619"/>
      <c r="V437" s="1619"/>
      <c r="W437" s="1619"/>
      <c r="X437" s="1619"/>
      <c r="Y437" s="1619"/>
      <c r="Z437" s="1619"/>
      <c r="AA437" s="1619"/>
      <c r="AB437" s="1619"/>
      <c r="AC437" s="1619"/>
      <c r="AD437" s="1619"/>
      <c r="AE437" s="1619"/>
      <c r="AF437" s="1757"/>
      <c r="AG437" s="1815">
        <v>60</v>
      </c>
      <c r="AH437" s="1815"/>
      <c r="AI437" s="1815"/>
      <c r="AJ437" s="1815"/>
    </row>
    <row r="438" spans="1:55" ht="12.95" customHeight="1">
      <c r="D438" s="1743" t="s">
        <v>1222</v>
      </c>
      <c r="E438" s="1744"/>
      <c r="F438" s="1744"/>
      <c r="G438" s="1744"/>
      <c r="H438" s="1744"/>
      <c r="I438" s="1744"/>
      <c r="J438" s="1744"/>
      <c r="K438" s="1744"/>
      <c r="L438" s="1744"/>
      <c r="M438" s="1744"/>
      <c r="N438" s="1744"/>
      <c r="O438" s="1744"/>
      <c r="P438" s="1744"/>
      <c r="Q438" s="1744"/>
      <c r="R438" s="1744"/>
      <c r="S438" s="1744"/>
      <c r="T438" s="1744"/>
      <c r="U438" s="1744"/>
      <c r="V438" s="1744"/>
      <c r="W438" s="1744"/>
      <c r="X438" s="1744"/>
      <c r="Y438" s="1744"/>
      <c r="Z438" s="1744"/>
      <c r="AA438" s="1744"/>
      <c r="AB438" s="1744"/>
      <c r="AC438" s="1744"/>
      <c r="AD438" s="1744"/>
      <c r="AE438" s="1744"/>
      <c r="AF438" s="1745"/>
      <c r="AG438" s="1823">
        <v>0</v>
      </c>
      <c r="AH438" s="1610"/>
      <c r="AI438" s="1610"/>
      <c r="AJ438" s="1610"/>
    </row>
    <row r="439" spans="1:55" ht="12.95" customHeight="1">
      <c r="D439" s="1743" t="s">
        <v>1031</v>
      </c>
      <c r="E439" s="1744"/>
      <c r="F439" s="1744"/>
      <c r="G439" s="1744"/>
      <c r="H439" s="1744"/>
      <c r="I439" s="1744"/>
      <c r="J439" s="1744"/>
      <c r="K439" s="1744"/>
      <c r="L439" s="1744"/>
      <c r="M439" s="1744"/>
      <c r="N439" s="1744"/>
      <c r="O439" s="1744"/>
      <c r="P439" s="1744"/>
      <c r="Q439" s="1744"/>
      <c r="R439" s="1744"/>
      <c r="S439" s="1744"/>
      <c r="T439" s="1744"/>
      <c r="U439" s="1744"/>
      <c r="V439" s="1744"/>
      <c r="W439" s="1744"/>
      <c r="X439" s="1744"/>
      <c r="Y439" s="1744"/>
      <c r="Z439" s="1744"/>
      <c r="AA439" s="1744"/>
      <c r="AB439" s="1744"/>
      <c r="AC439" s="1744"/>
      <c r="AD439" s="1744"/>
      <c r="AE439" s="1744"/>
      <c r="AF439" s="1745"/>
      <c r="AG439" s="1815">
        <v>59</v>
      </c>
      <c r="AH439" s="1815"/>
      <c r="AI439" s="1815"/>
      <c r="AJ439" s="1815"/>
    </row>
    <row r="440" spans="1:55" ht="12.95" customHeight="1">
      <c r="D440" s="1743" t="s">
        <v>1032</v>
      </c>
      <c r="E440" s="1744"/>
      <c r="F440" s="1744"/>
      <c r="G440" s="1744"/>
      <c r="H440" s="1744"/>
      <c r="I440" s="1744"/>
      <c r="J440" s="1744"/>
      <c r="K440" s="1744"/>
      <c r="L440" s="1744"/>
      <c r="M440" s="1744"/>
      <c r="N440" s="1744"/>
      <c r="O440" s="1744"/>
      <c r="P440" s="1744"/>
      <c r="Q440" s="1744"/>
      <c r="R440" s="1744"/>
      <c r="S440" s="1744"/>
      <c r="T440" s="1744"/>
      <c r="U440" s="1744"/>
      <c r="V440" s="1744"/>
      <c r="W440" s="1744"/>
      <c r="X440" s="1744"/>
      <c r="Y440" s="1744"/>
      <c r="Z440" s="1744"/>
      <c r="AA440" s="1744"/>
      <c r="AB440" s="1744"/>
      <c r="AC440" s="1744"/>
      <c r="AD440" s="1744"/>
      <c r="AE440" s="1744"/>
      <c r="AF440" s="1745"/>
      <c r="AG440" s="1815">
        <v>59</v>
      </c>
      <c r="AH440" s="1815"/>
      <c r="AI440" s="1815"/>
      <c r="AJ440" s="1815"/>
    </row>
    <row r="441" spans="1:55" ht="12.95" customHeight="1">
      <c r="D441" s="1743" t="s">
        <v>1034</v>
      </c>
      <c r="E441" s="1744"/>
      <c r="F441" s="1744"/>
      <c r="G441" s="1744"/>
      <c r="H441" s="1744"/>
      <c r="I441" s="1744"/>
      <c r="J441" s="1744"/>
      <c r="K441" s="1744"/>
      <c r="L441" s="1744"/>
      <c r="M441" s="1744"/>
      <c r="N441" s="1744"/>
      <c r="O441" s="1744"/>
      <c r="P441" s="1744"/>
      <c r="Q441" s="1744"/>
      <c r="R441" s="1744"/>
      <c r="S441" s="1744"/>
      <c r="T441" s="1744"/>
      <c r="U441" s="1744"/>
      <c r="V441" s="1744"/>
      <c r="W441" s="1744"/>
      <c r="X441" s="1744"/>
      <c r="Y441" s="1744"/>
      <c r="Z441" s="1744"/>
      <c r="AA441" s="1744"/>
      <c r="AB441" s="1744"/>
      <c r="AC441" s="1744"/>
      <c r="AD441" s="1744"/>
      <c r="AE441" s="1744"/>
      <c r="AF441" s="1745"/>
      <c r="AG441" s="1818">
        <f>IF(ISERROR(AG440/AG439),0,AG440/AG439)</f>
        <v>1</v>
      </c>
      <c r="AH441" s="1818"/>
      <c r="AI441" s="1818"/>
      <c r="AJ441" s="1818"/>
    </row>
    <row r="442" spans="1:55" ht="12.95" customHeight="1">
      <c r="D442" s="1743" t="s">
        <v>1033</v>
      </c>
      <c r="E442" s="1744"/>
      <c r="F442" s="1744"/>
      <c r="G442" s="1744"/>
      <c r="H442" s="1744"/>
      <c r="I442" s="1744"/>
      <c r="J442" s="1744"/>
      <c r="K442" s="1744"/>
      <c r="L442" s="1744"/>
      <c r="M442" s="1744"/>
      <c r="N442" s="1744"/>
      <c r="O442" s="1744"/>
      <c r="P442" s="1744"/>
      <c r="Q442" s="1744"/>
      <c r="R442" s="1744"/>
      <c r="S442" s="1744"/>
      <c r="T442" s="1744"/>
      <c r="U442" s="1744"/>
      <c r="V442" s="1744"/>
      <c r="W442" s="1744"/>
      <c r="X442" s="1744"/>
      <c r="Y442" s="1744"/>
      <c r="Z442" s="1744"/>
      <c r="AA442" s="1744"/>
      <c r="AB442" s="1744"/>
      <c r="AC442" s="1744"/>
      <c r="AD442" s="1744"/>
      <c r="AE442" s="1744"/>
      <c r="AF442" s="1745"/>
      <c r="AG442" s="1690">
        <v>49137</v>
      </c>
      <c r="AH442" s="1690"/>
      <c r="AI442" s="1690"/>
      <c r="AJ442" s="1690"/>
    </row>
    <row r="443" spans="1:55" ht="12.95" customHeight="1">
      <c r="D443" s="1743" t="s">
        <v>1035</v>
      </c>
      <c r="E443" s="1744"/>
      <c r="F443" s="1744"/>
      <c r="G443" s="1744"/>
      <c r="H443" s="1744"/>
      <c r="I443" s="1744"/>
      <c r="J443" s="1744"/>
      <c r="K443" s="1744"/>
      <c r="L443" s="1744"/>
      <c r="M443" s="1744"/>
      <c r="N443" s="1744"/>
      <c r="O443" s="1744"/>
      <c r="P443" s="1744"/>
      <c r="Q443" s="1744"/>
      <c r="R443" s="1744"/>
      <c r="S443" s="1744"/>
      <c r="T443" s="1744"/>
      <c r="U443" s="1744"/>
      <c r="V443" s="1744"/>
      <c r="W443" s="1744"/>
      <c r="X443" s="1744"/>
      <c r="Y443" s="1744"/>
      <c r="Z443" s="1744"/>
      <c r="AA443" s="1744"/>
      <c r="AB443" s="1744"/>
      <c r="AC443" s="1744"/>
      <c r="AD443" s="1744"/>
      <c r="AE443" s="1744"/>
      <c r="AF443" s="1745"/>
      <c r="AG443" s="1690">
        <v>49137</v>
      </c>
      <c r="AH443" s="1690"/>
      <c r="AI443" s="1690"/>
      <c r="AJ443" s="1690"/>
    </row>
    <row r="444" spans="1:55" ht="12.95" customHeight="1">
      <c r="D444" s="1743" t="s">
        <v>1036</v>
      </c>
      <c r="E444" s="1744"/>
      <c r="F444" s="1744"/>
      <c r="G444" s="1744"/>
      <c r="H444" s="1744"/>
      <c r="I444" s="1744"/>
      <c r="J444" s="1744"/>
      <c r="K444" s="1744"/>
      <c r="L444" s="1744"/>
      <c r="M444" s="1744"/>
      <c r="N444" s="1744"/>
      <c r="O444" s="1744"/>
      <c r="P444" s="1744"/>
      <c r="Q444" s="1744"/>
      <c r="R444" s="1744"/>
      <c r="S444" s="1744"/>
      <c r="T444" s="1744"/>
      <c r="U444" s="1744"/>
      <c r="V444" s="1744"/>
      <c r="W444" s="1744"/>
      <c r="X444" s="1744"/>
      <c r="Y444" s="1744"/>
      <c r="Z444" s="1744"/>
      <c r="AA444" s="1744"/>
      <c r="AB444" s="1744"/>
      <c r="AC444" s="1744"/>
      <c r="AD444" s="1744"/>
      <c r="AE444" s="1744"/>
      <c r="AF444" s="1745"/>
      <c r="AG444" s="1818">
        <f>IF(ISERROR(AG443/AG442),0,AG443/AG442)</f>
        <v>1</v>
      </c>
      <c r="AH444" s="1818"/>
      <c r="AI444" s="1818"/>
      <c r="AJ444" s="1818"/>
    </row>
    <row r="445" spans="1:55" ht="12.95" customHeight="1">
      <c r="D445" s="1743" t="s">
        <v>1037</v>
      </c>
      <c r="E445" s="1744"/>
      <c r="F445" s="1744"/>
      <c r="G445" s="1744"/>
      <c r="H445" s="1744"/>
      <c r="I445" s="1744"/>
      <c r="J445" s="1744"/>
      <c r="K445" s="1744"/>
      <c r="L445" s="1744"/>
      <c r="M445" s="1744"/>
      <c r="N445" s="1744"/>
      <c r="O445" s="1744"/>
      <c r="P445" s="1744"/>
      <c r="Q445" s="1744"/>
      <c r="R445" s="1744"/>
      <c r="S445" s="1744"/>
      <c r="T445" s="1744"/>
      <c r="U445" s="1744"/>
      <c r="V445" s="1744"/>
      <c r="W445" s="1744"/>
      <c r="X445" s="1744"/>
      <c r="Y445" s="1744"/>
      <c r="Z445" s="1744"/>
      <c r="AA445" s="1744"/>
      <c r="AB445" s="1744"/>
      <c r="AC445" s="1744"/>
      <c r="AD445" s="1744"/>
      <c r="AE445" s="1744"/>
      <c r="AF445" s="1745"/>
      <c r="AG445" s="1818">
        <f>MIN(IF(AG441&gt;AG444,AG444,AG441),1)</f>
        <v>1</v>
      </c>
      <c r="AH445" s="1818"/>
      <c r="AI445" s="1818"/>
      <c r="AJ445" s="1818"/>
    </row>
    <row r="446" spans="1:55" ht="12.95" customHeight="1">
      <c r="D446" s="1743" t="s">
        <v>2087</v>
      </c>
      <c r="E446" s="1619"/>
      <c r="F446" s="1619"/>
      <c r="G446" s="1619"/>
      <c r="H446" s="1619"/>
      <c r="I446" s="1619"/>
      <c r="J446" s="1619"/>
      <c r="K446" s="1619"/>
      <c r="L446" s="1619"/>
      <c r="M446" s="1619"/>
      <c r="N446" s="1619"/>
      <c r="O446" s="1619"/>
      <c r="P446" s="1619"/>
      <c r="Q446" s="1619"/>
      <c r="R446" s="1619"/>
      <c r="S446" s="1619"/>
      <c r="T446" s="1619"/>
      <c r="U446" s="1619"/>
      <c r="V446" s="1619"/>
      <c r="W446" s="1619"/>
      <c r="X446" s="1619"/>
      <c r="Y446" s="1619"/>
      <c r="Z446" s="1619"/>
      <c r="AA446" s="1619"/>
      <c r="AB446" s="1619"/>
      <c r="AC446" s="1619"/>
      <c r="AD446" s="1619"/>
      <c r="AE446" s="1619"/>
      <c r="AF446" s="1757"/>
      <c r="AG446" s="1690">
        <v>0</v>
      </c>
      <c r="AH446" s="1690"/>
      <c r="AI446" s="1690"/>
      <c r="AJ446" s="1690"/>
      <c r="AZ446" s="34"/>
      <c r="BA446" s="34"/>
      <c r="BB446" s="34"/>
      <c r="BC446" s="34"/>
    </row>
    <row r="447" spans="1:55" ht="12.95" customHeight="1">
      <c r="D447" s="1618" t="s">
        <v>569</v>
      </c>
      <c r="E447" s="1619"/>
      <c r="F447" s="1619"/>
      <c r="G447" s="1619"/>
      <c r="H447" s="1619"/>
      <c r="I447" s="1619"/>
      <c r="J447" s="1619"/>
      <c r="K447" s="1619"/>
      <c r="L447" s="1619"/>
      <c r="M447" s="1619"/>
      <c r="N447" s="1619"/>
      <c r="O447" s="1619"/>
      <c r="P447" s="1619"/>
      <c r="Q447" s="1619"/>
      <c r="R447" s="1619"/>
      <c r="S447" s="1619"/>
      <c r="T447" s="1619"/>
      <c r="U447" s="1619"/>
      <c r="V447" s="1619"/>
      <c r="W447" s="1619"/>
      <c r="X447" s="1619"/>
      <c r="Y447" s="1619"/>
      <c r="Z447" s="1619"/>
      <c r="AA447" s="1619"/>
      <c r="AB447" s="1619"/>
      <c r="AC447" s="1619"/>
      <c r="AD447" s="1619"/>
      <c r="AE447" s="1619"/>
      <c r="AF447" s="1757"/>
      <c r="AG447" s="1690">
        <v>0</v>
      </c>
      <c r="AH447" s="1690"/>
      <c r="AI447" s="1690"/>
      <c r="AJ447" s="1690"/>
      <c r="AZ447" s="3"/>
      <c r="BA447" s="3"/>
      <c r="BB447" s="3"/>
      <c r="BC447" s="3"/>
    </row>
    <row r="448" spans="1:55" ht="12.95" customHeight="1">
      <c r="D448" s="1743" t="s">
        <v>1205</v>
      </c>
      <c r="E448" s="1619"/>
      <c r="F448" s="1619"/>
      <c r="G448" s="1619"/>
      <c r="H448" s="1619"/>
      <c r="I448" s="1619"/>
      <c r="J448" s="1619"/>
      <c r="K448" s="1619"/>
      <c r="L448" s="1619"/>
      <c r="M448" s="1619"/>
      <c r="N448" s="1619"/>
      <c r="O448" s="1619"/>
      <c r="P448" s="1619"/>
      <c r="Q448" s="1619"/>
      <c r="R448" s="1619"/>
      <c r="S448" s="1619"/>
      <c r="T448" s="1619"/>
      <c r="U448" s="1619"/>
      <c r="V448" s="1619"/>
      <c r="W448" s="1619"/>
      <c r="X448" s="1619"/>
      <c r="Y448" s="1619"/>
      <c r="Z448" s="1619"/>
      <c r="AA448" s="1619"/>
      <c r="AB448" s="1619"/>
      <c r="AC448" s="1619"/>
      <c r="AD448" s="1619"/>
      <c r="AE448" s="1619"/>
      <c r="AF448" s="1757"/>
      <c r="AG448" s="1690">
        <v>0</v>
      </c>
      <c r="AH448" s="1690"/>
      <c r="AI448" s="1690"/>
      <c r="AJ448" s="1690"/>
      <c r="AZ448" s="3"/>
      <c r="BA448" s="3"/>
      <c r="BB448" s="3"/>
      <c r="BC448" s="3"/>
    </row>
    <row r="449" spans="1:55" ht="12.95" customHeight="1">
      <c r="D449" s="1743" t="s">
        <v>1038</v>
      </c>
      <c r="E449" s="1619"/>
      <c r="F449" s="1619"/>
      <c r="G449" s="1619"/>
      <c r="H449" s="1619"/>
      <c r="I449" s="1619"/>
      <c r="J449" s="1619"/>
      <c r="K449" s="1619"/>
      <c r="L449" s="1619"/>
      <c r="M449" s="1619"/>
      <c r="N449" s="1619"/>
      <c r="O449" s="1619"/>
      <c r="P449" s="1619"/>
      <c r="Q449" s="1619"/>
      <c r="R449" s="1619"/>
      <c r="S449" s="1619"/>
      <c r="T449" s="1619"/>
      <c r="U449" s="1619"/>
      <c r="V449" s="1619"/>
      <c r="W449" s="1619"/>
      <c r="X449" s="1619"/>
      <c r="Y449" s="1619"/>
      <c r="Z449" s="1619"/>
      <c r="AA449" s="1619"/>
      <c r="AB449" s="1619"/>
      <c r="AC449" s="1619"/>
      <c r="AD449" s="1619"/>
      <c r="AE449" s="1619"/>
      <c r="AF449" s="1757"/>
      <c r="AG449" s="1690">
        <v>0</v>
      </c>
      <c r="AH449" s="1690"/>
      <c r="AI449" s="1690"/>
      <c r="AJ449" s="1690"/>
      <c r="BB449" s="3"/>
      <c r="BC449" s="3"/>
    </row>
    <row r="450" spans="1:55" ht="12.95" customHeight="1">
      <c r="D450" s="1765" t="s">
        <v>1039</v>
      </c>
      <c r="E450" s="1766"/>
      <c r="F450" s="1766"/>
      <c r="G450" s="1766"/>
      <c r="H450" s="1766"/>
      <c r="I450" s="1766"/>
      <c r="J450" s="1766"/>
      <c r="K450" s="1766"/>
      <c r="L450" s="1766"/>
      <c r="M450" s="1766"/>
      <c r="N450" s="1766"/>
      <c r="O450" s="1766"/>
      <c r="P450" s="1766"/>
      <c r="Q450" s="1766"/>
      <c r="R450" s="1766"/>
      <c r="S450" s="1766"/>
      <c r="T450" s="1766"/>
      <c r="U450" s="1766"/>
      <c r="V450" s="1766"/>
      <c r="W450" s="1766"/>
      <c r="X450" s="1766"/>
      <c r="Y450" s="1766"/>
      <c r="Z450" s="1766"/>
      <c r="AA450" s="1766"/>
      <c r="AB450" s="1766"/>
      <c r="AC450" s="1766"/>
      <c r="AD450" s="1766"/>
      <c r="AE450" s="1766"/>
      <c r="AF450" s="1767"/>
      <c r="AG450" s="1847">
        <f>AG442+AG446+AG448+AG449</f>
        <v>49137</v>
      </c>
      <c r="AH450" s="1847"/>
      <c r="AI450" s="1847"/>
      <c r="AJ450" s="1847"/>
      <c r="AZ450" s="3"/>
      <c r="BA450" s="3"/>
      <c r="BB450" s="3"/>
      <c r="BC450" s="3"/>
    </row>
    <row r="451" spans="1:55" ht="12.95" customHeight="1">
      <c r="D451" s="1746" t="s">
        <v>1206</v>
      </c>
      <c r="E451" s="1746"/>
      <c r="F451" s="1746"/>
      <c r="G451" s="1746"/>
      <c r="H451" s="1746"/>
      <c r="I451" s="1746"/>
      <c r="J451" s="1746"/>
      <c r="K451" s="1746"/>
      <c r="L451" s="1746"/>
      <c r="M451" s="1746"/>
      <c r="N451" s="1746"/>
      <c r="O451" s="1746"/>
      <c r="P451" s="1746"/>
      <c r="Q451" s="1746"/>
      <c r="R451" s="1746"/>
      <c r="S451" s="1746"/>
      <c r="T451" s="1746"/>
      <c r="U451" s="1746"/>
      <c r="V451" s="1746"/>
      <c r="W451" s="1746"/>
      <c r="X451" s="1746"/>
      <c r="Y451" s="1746"/>
      <c r="Z451" s="1746"/>
      <c r="AA451" s="1746"/>
      <c r="AB451" s="1746"/>
      <c r="AC451" s="1746"/>
      <c r="AD451" s="1746"/>
      <c r="AE451" s="1746"/>
      <c r="AF451" s="1746"/>
      <c r="AG451" s="1746"/>
      <c r="AH451" s="1746"/>
      <c r="AI451" s="1746"/>
      <c r="AJ451" s="1746"/>
      <c r="AZ451" s="3"/>
      <c r="BA451" s="3"/>
      <c r="BB451" s="3"/>
      <c r="BC451" s="3"/>
    </row>
    <row r="452" spans="1:55" ht="12.95" customHeight="1">
      <c r="D452" s="1747"/>
      <c r="E452" s="1747"/>
      <c r="F452" s="1747"/>
      <c r="G452" s="1747"/>
      <c r="H452" s="1747"/>
      <c r="I452" s="1747"/>
      <c r="J452" s="1747"/>
      <c r="K452" s="1747"/>
      <c r="L452" s="1747"/>
      <c r="M452" s="1747"/>
      <c r="N452" s="1747"/>
      <c r="O452" s="1747"/>
      <c r="P452" s="1747"/>
      <c r="Q452" s="1747"/>
      <c r="R452" s="1747"/>
      <c r="S452" s="1747"/>
      <c r="T452" s="1747"/>
      <c r="U452" s="1747"/>
      <c r="V452" s="1747"/>
      <c r="W452" s="1747"/>
      <c r="X452" s="1747"/>
      <c r="Y452" s="1747"/>
      <c r="Z452" s="1747"/>
      <c r="AA452" s="1747"/>
      <c r="AB452" s="1747"/>
      <c r="AC452" s="1747"/>
      <c r="AD452" s="1747"/>
      <c r="AE452" s="1747"/>
      <c r="AF452" s="1747"/>
      <c r="AG452" s="1747"/>
      <c r="AH452" s="1747"/>
      <c r="AI452" s="1747"/>
      <c r="AJ452" s="1747"/>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0">
        <f>IF(AG437=0,"",'Sources and Uses Budget'!B105/Application!AG437)</f>
        <v>680193.65</v>
      </c>
      <c r="AD454" s="1810"/>
      <c r="AE454" s="1810"/>
      <c r="AF454" s="1810"/>
      <c r="AG454" s="177"/>
      <c r="AH454" s="177"/>
      <c r="AI454" s="177"/>
      <c r="AJ454" s="183"/>
      <c r="AZ454" s="3"/>
      <c r="BA454" s="3" t="str">
        <f>AG575</f>
        <v>Yes</v>
      </c>
      <c r="BB454" s="3"/>
      <c r="BC454" s="3"/>
    </row>
    <row r="455" spans="1:55" ht="12.95"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0">
        <f>IF(AG437=0,"",'Sources and Uses Budget'!C105/Application!AG437)</f>
        <v>680193.65</v>
      </c>
      <c r="AD455" s="1810"/>
      <c r="AE455" s="1810"/>
      <c r="AF455" s="1810"/>
      <c r="AG455" s="177"/>
      <c r="AH455" s="177"/>
      <c r="AI455" s="177"/>
      <c r="AJ455" s="183"/>
      <c r="AZ455" s="3"/>
      <c r="BA455" s="3"/>
      <c r="BB455" s="3"/>
      <c r="BC455" s="3"/>
    </row>
    <row r="456" spans="1:55" ht="12.95"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0">
        <f>IF(AG437=0,"",('Sources and Uses Budget'!$S$107+'Sources and Uses Budget'!$T$107)/Application!AG437)</f>
        <v>613721.68333333335</v>
      </c>
      <c r="AD456" s="1810"/>
      <c r="AE456" s="1810"/>
      <c r="AF456" s="1810"/>
      <c r="AG456" s="177"/>
      <c r="AH456" s="177"/>
      <c r="AI456" s="177"/>
      <c r="AJ456" s="183"/>
      <c r="AZ456" s="3"/>
      <c r="BA456" s="3"/>
      <c r="BB456" s="3"/>
      <c r="BC456" s="3"/>
    </row>
    <row r="457" spans="1:55" ht="12.95" customHeight="1">
      <c r="D457" s="177"/>
      <c r="E457" s="177"/>
      <c r="F457" s="1741"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741"/>
      <c r="H457" s="1741"/>
      <c r="I457" s="1741"/>
      <c r="J457" s="1741"/>
      <c r="K457" s="1741"/>
      <c r="L457" s="1741"/>
      <c r="M457" s="1741"/>
      <c r="N457" s="1741"/>
      <c r="O457" s="1741"/>
      <c r="P457" s="1741"/>
      <c r="Q457" s="1741"/>
      <c r="R457" s="1741"/>
      <c r="S457" s="1741"/>
      <c r="T457" s="1741"/>
      <c r="U457" s="1741"/>
      <c r="V457" s="1741"/>
      <c r="W457" s="1741"/>
      <c r="X457" s="1741"/>
      <c r="Y457" s="1741"/>
      <c r="Z457" s="1741"/>
      <c r="AA457" s="1741"/>
      <c r="AB457" s="1741"/>
      <c r="AC457" s="515"/>
      <c r="AD457" s="177"/>
      <c r="AE457" s="177"/>
      <c r="AF457" s="177"/>
      <c r="AG457" s="177"/>
      <c r="AH457" s="177"/>
      <c r="AI457" s="177"/>
      <c r="AJ457" s="183"/>
      <c r="AZ457" s="3"/>
      <c r="BA457" s="3"/>
      <c r="BB457" s="3"/>
      <c r="BC457" s="3"/>
    </row>
    <row r="458" spans="1:55" ht="12.95" customHeight="1">
      <c r="A458" s="2"/>
      <c r="D458" s="2"/>
      <c r="E458" s="177"/>
      <c r="F458" s="1741"/>
      <c r="G458" s="1741"/>
      <c r="H458" s="1741"/>
      <c r="I458" s="1741"/>
      <c r="J458" s="1741"/>
      <c r="K458" s="1741"/>
      <c r="L458" s="1741"/>
      <c r="M458" s="1741"/>
      <c r="N458" s="1741"/>
      <c r="O458" s="1741"/>
      <c r="P458" s="1741"/>
      <c r="Q458" s="1741"/>
      <c r="R458" s="1741"/>
      <c r="S458" s="1741"/>
      <c r="T458" s="1741"/>
      <c r="U458" s="1741"/>
      <c r="V458" s="1741"/>
      <c r="W458" s="1741"/>
      <c r="X458" s="1741"/>
      <c r="Y458" s="1741"/>
      <c r="Z458" s="1741"/>
      <c r="AA458" s="1741"/>
      <c r="AB458" s="1741"/>
      <c r="AC458" s="177"/>
      <c r="AD458" s="177"/>
      <c r="AE458" s="177"/>
      <c r="AF458" s="177"/>
      <c r="AG458" s="177"/>
      <c r="AH458" s="177"/>
      <c r="AI458" s="177"/>
      <c r="AJ458" s="183"/>
      <c r="AZ458" s="3"/>
      <c r="BA458" s="3"/>
      <c r="BB458" s="3"/>
      <c r="BC458" s="3"/>
    </row>
    <row r="459" spans="1:55" ht="12.95" customHeight="1">
      <c r="A459" s="2" t="s">
        <v>613</v>
      </c>
      <c r="D459" s="2" t="s">
        <v>247</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1875</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1876</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1877</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61" t="s">
        <v>2099</v>
      </c>
      <c r="E465" s="1759"/>
      <c r="F465" s="1759"/>
      <c r="G465" s="1759"/>
      <c r="H465" s="1759"/>
      <c r="I465" s="1759"/>
      <c r="J465" s="1759"/>
      <c r="K465" s="1759"/>
      <c r="L465" s="1759"/>
      <c r="M465" s="1759"/>
      <c r="N465" s="1759"/>
      <c r="O465" s="1759"/>
      <c r="P465" s="1759"/>
      <c r="Q465" s="1759"/>
      <c r="R465" s="1759"/>
      <c r="S465" s="1759"/>
      <c r="T465" s="1759"/>
      <c r="U465" s="1759"/>
      <c r="V465" s="1760"/>
      <c r="W465" s="1670">
        <v>0</v>
      </c>
      <c r="X465" s="1671"/>
      <c r="Y465" s="1672"/>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58" t="s">
        <v>693</v>
      </c>
      <c r="E466" s="1759"/>
      <c r="F466" s="1759"/>
      <c r="G466" s="1759"/>
      <c r="H466" s="1759"/>
      <c r="I466" s="1759"/>
      <c r="J466" s="1759"/>
      <c r="K466" s="1759"/>
      <c r="L466" s="1759"/>
      <c r="M466" s="1759"/>
      <c r="N466" s="1759"/>
      <c r="O466" s="1759"/>
      <c r="P466" s="1759"/>
      <c r="Q466" s="1759"/>
      <c r="R466" s="1759"/>
      <c r="S466" s="1759"/>
      <c r="T466" s="1759"/>
      <c r="U466" s="1759"/>
      <c r="V466" s="1760"/>
      <c r="W466" s="1670">
        <v>0</v>
      </c>
      <c r="X466" s="1671"/>
      <c r="Y466" s="1672"/>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58" t="s">
        <v>694</v>
      </c>
      <c r="E467" s="1759"/>
      <c r="F467" s="1759"/>
      <c r="G467" s="1759"/>
      <c r="H467" s="1759"/>
      <c r="I467" s="1759"/>
      <c r="J467" s="1759"/>
      <c r="K467" s="1759"/>
      <c r="L467" s="1759"/>
      <c r="M467" s="1759"/>
      <c r="N467" s="1759"/>
      <c r="O467" s="1759"/>
      <c r="P467" s="1759"/>
      <c r="Q467" s="1759"/>
      <c r="R467" s="1759"/>
      <c r="S467" s="1759"/>
      <c r="T467" s="1759"/>
      <c r="U467" s="1759"/>
      <c r="V467" s="1760"/>
      <c r="W467" s="1670">
        <v>0</v>
      </c>
      <c r="X467" s="1671"/>
      <c r="Y467" s="1672"/>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58" t="s">
        <v>695</v>
      </c>
      <c r="E468" s="1759"/>
      <c r="F468" s="1759"/>
      <c r="G468" s="1759"/>
      <c r="H468" s="1759"/>
      <c r="I468" s="1759"/>
      <c r="J468" s="1759"/>
      <c r="K468" s="1759"/>
      <c r="L468" s="1759"/>
      <c r="M468" s="1759"/>
      <c r="N468" s="1759"/>
      <c r="O468" s="1759"/>
      <c r="P468" s="1759"/>
      <c r="Q468" s="1759"/>
      <c r="R468" s="1759"/>
      <c r="S468" s="1759"/>
      <c r="T468" s="1759"/>
      <c r="U468" s="1759"/>
      <c r="V468" s="1760"/>
      <c r="W468" s="1670">
        <v>0</v>
      </c>
      <c r="X468" s="1671"/>
      <c r="Y468" s="1672"/>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58" t="s">
        <v>881</v>
      </c>
      <c r="E469" s="1759"/>
      <c r="F469" s="1759"/>
      <c r="G469" s="1759"/>
      <c r="H469" s="1759"/>
      <c r="I469" s="1759"/>
      <c r="J469" s="1759"/>
      <c r="K469" s="1759"/>
      <c r="L469" s="1759"/>
      <c r="M469" s="1759"/>
      <c r="N469" s="1759"/>
      <c r="O469" s="1759"/>
      <c r="P469" s="1759"/>
      <c r="Q469" s="1759"/>
      <c r="R469" s="1759"/>
      <c r="S469" s="1759"/>
      <c r="T469" s="1759"/>
      <c r="U469" s="1759"/>
      <c r="V469" s="1760"/>
      <c r="W469" s="1670">
        <v>0</v>
      </c>
      <c r="X469" s="1671"/>
      <c r="Y469" s="1672"/>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758" t="s">
        <v>696</v>
      </c>
      <c r="E470" s="1759"/>
      <c r="F470" s="1759"/>
      <c r="G470" s="1759"/>
      <c r="H470" s="1759"/>
      <c r="I470" s="1759"/>
      <c r="J470" s="1759"/>
      <c r="K470" s="1759"/>
      <c r="L470" s="1759"/>
      <c r="M470" s="1759"/>
      <c r="N470" s="1759"/>
      <c r="O470" s="1759"/>
      <c r="P470" s="1759"/>
      <c r="Q470" s="1759"/>
      <c r="R470" s="1759"/>
      <c r="S470" s="1759"/>
      <c r="T470" s="1759"/>
      <c r="U470" s="1759"/>
      <c r="V470" s="1760"/>
      <c r="W470" s="1670">
        <v>43</v>
      </c>
      <c r="X470" s="1671"/>
      <c r="Y470" s="1672"/>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758" t="s">
        <v>1012</v>
      </c>
      <c r="E471" s="1759"/>
      <c r="F471" s="1759"/>
      <c r="G471" s="1759"/>
      <c r="H471" s="1759"/>
      <c r="I471" s="1759"/>
      <c r="J471" s="1759"/>
      <c r="K471" s="1759"/>
      <c r="L471" s="1759"/>
      <c r="M471" s="1759"/>
      <c r="N471" s="1759"/>
      <c r="O471" s="1759"/>
      <c r="P471" s="1759"/>
      <c r="Q471" s="1759"/>
      <c r="R471" s="1759"/>
      <c r="S471" s="1759"/>
      <c r="T471" s="1759"/>
      <c r="U471" s="1759"/>
      <c r="V471" s="1760"/>
      <c r="W471" s="1670">
        <v>0</v>
      </c>
      <c r="X471" s="1671"/>
      <c r="Y471" s="1672"/>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61" t="s">
        <v>2190</v>
      </c>
      <c r="E472" s="1852"/>
      <c r="F472" s="1852"/>
      <c r="G472" s="1852"/>
      <c r="H472" s="1852"/>
      <c r="I472" s="1852"/>
      <c r="J472" s="1852"/>
      <c r="K472" s="1852"/>
      <c r="L472" s="1852"/>
      <c r="M472" s="1852"/>
      <c r="N472" s="1852"/>
      <c r="O472" s="1852"/>
      <c r="P472" s="1852"/>
      <c r="Q472" s="1852"/>
      <c r="R472" s="1852"/>
      <c r="S472" s="1852"/>
      <c r="T472" s="1852"/>
      <c r="U472" s="1852"/>
      <c r="V472" s="1853"/>
      <c r="W472" s="1670">
        <v>0</v>
      </c>
      <c r="X472" s="1671"/>
      <c r="Y472" s="1672"/>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61" t="s">
        <v>1654</v>
      </c>
      <c r="E473" s="1759"/>
      <c r="F473" s="1759"/>
      <c r="G473" s="1759"/>
      <c r="H473" s="1759"/>
      <c r="I473" s="1759"/>
      <c r="J473" s="1759"/>
      <c r="K473" s="1759"/>
      <c r="L473" s="1759"/>
      <c r="M473" s="1759"/>
      <c r="N473" s="1759"/>
      <c r="O473" s="1759"/>
      <c r="P473" s="1759"/>
      <c r="Q473" s="1759"/>
      <c r="R473" s="1759"/>
      <c r="S473" s="1759"/>
      <c r="T473" s="1759"/>
      <c r="U473" s="1759"/>
      <c r="V473" s="1760"/>
      <c r="W473" s="1670">
        <v>3</v>
      </c>
      <c r="X473" s="1671"/>
      <c r="Y473" s="1672"/>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169</v>
      </c>
      <c r="E474" s="244"/>
      <c r="F474" s="245"/>
      <c r="G474" s="1678" t="s">
        <v>2689</v>
      </c>
      <c r="H474" s="1679"/>
      <c r="I474" s="1679"/>
      <c r="J474" s="1679"/>
      <c r="K474" s="1679"/>
      <c r="L474" s="1679"/>
      <c r="M474" s="1679"/>
      <c r="N474" s="1679"/>
      <c r="O474" s="1679"/>
      <c r="P474" s="1679"/>
      <c r="Q474" s="1679"/>
      <c r="R474" s="1679"/>
      <c r="S474" s="1679"/>
      <c r="T474" s="1679"/>
      <c r="U474" s="1679"/>
      <c r="V474" s="1680"/>
      <c r="W474" s="1670">
        <v>11</v>
      </c>
      <c r="X474" s="1671"/>
      <c r="Y474" s="1672"/>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2.95" customHeight="1">
      <c r="AU479" s="95"/>
      <c r="AV479" s="95"/>
      <c r="AW479" s="95"/>
      <c r="AX479" s="95"/>
      <c r="AY479" s="95"/>
      <c r="AZ479" s="3"/>
      <c r="BA479" s="3" t="str">
        <f>AG599</f>
        <v>No</v>
      </c>
      <c r="BB479" s="3"/>
      <c r="BC479" s="3"/>
    </row>
    <row r="480" spans="1:55" ht="12.95" customHeight="1">
      <c r="A480" s="1435" t="s">
        <v>810</v>
      </c>
      <c r="B480" s="1435"/>
      <c r="C480" s="1435"/>
      <c r="D480" s="1435"/>
      <c r="E480" s="1435"/>
      <c r="F480" s="1435"/>
      <c r="G480" s="1435"/>
      <c r="H480" s="1435"/>
      <c r="I480" s="1435"/>
      <c r="J480" s="1435"/>
      <c r="K480" s="1435"/>
      <c r="L480" s="1435"/>
      <c r="M480" s="1435"/>
      <c r="N480" s="1435"/>
      <c r="O480" s="1435"/>
      <c r="P480" s="1435"/>
      <c r="Q480" s="1435"/>
      <c r="R480" s="1435"/>
      <c r="S480" s="1435"/>
      <c r="T480" s="1435"/>
      <c r="U480" s="1435"/>
      <c r="V480" s="1435"/>
      <c r="W480" s="1435"/>
      <c r="X480" s="1435"/>
      <c r="Y480" s="1435"/>
      <c r="Z480" s="1435"/>
      <c r="AA480" s="1435"/>
      <c r="AB480" s="1435"/>
      <c r="AC480" s="1435"/>
      <c r="AD480" s="1435"/>
      <c r="AE480" s="1435"/>
      <c r="AF480" s="1435"/>
      <c r="AG480" s="1435"/>
      <c r="AH480" s="1435"/>
      <c r="AI480" s="1435"/>
      <c r="AJ480" s="1435"/>
      <c r="AK480" s="1435"/>
      <c r="AL480" s="1435"/>
      <c r="AM480" s="1435"/>
      <c r="AN480" s="1435"/>
      <c r="AO480" s="1435"/>
      <c r="AP480" s="1435"/>
      <c r="AQ480" s="1435"/>
      <c r="AR480" s="1435"/>
      <c r="AS480" s="1435"/>
      <c r="AT480" s="1435"/>
      <c r="AU480" s="95"/>
      <c r="AV480" s="95"/>
      <c r="AW480" s="95"/>
      <c r="AX480" s="95"/>
      <c r="AY480" s="95"/>
      <c r="AZ480" s="3"/>
      <c r="BB480" s="3"/>
      <c r="BC480" s="3"/>
    </row>
    <row r="481" spans="1:55" ht="12.95" customHeight="1">
      <c r="A481" s="1435"/>
      <c r="B481" s="1435"/>
      <c r="C481" s="1435"/>
      <c r="D481" s="1435"/>
      <c r="E481" s="1435"/>
      <c r="F481" s="1435"/>
      <c r="G481" s="1435"/>
      <c r="H481" s="1435"/>
      <c r="I481" s="1435"/>
      <c r="J481" s="1435"/>
      <c r="K481" s="1435"/>
      <c r="L481" s="1435"/>
      <c r="M481" s="1435"/>
      <c r="N481" s="1435"/>
      <c r="O481" s="1435"/>
      <c r="P481" s="1435"/>
      <c r="Q481" s="1435"/>
      <c r="R481" s="1435"/>
      <c r="S481" s="1435"/>
      <c r="T481" s="1435"/>
      <c r="U481" s="1435"/>
      <c r="V481" s="1435"/>
      <c r="W481" s="1435"/>
      <c r="X481" s="1435"/>
      <c r="Y481" s="1435"/>
      <c r="Z481" s="1435"/>
      <c r="AA481" s="1435"/>
      <c r="AB481" s="1435"/>
      <c r="AC481" s="1435"/>
      <c r="AD481" s="1435"/>
      <c r="AE481" s="1435"/>
      <c r="AF481" s="1435"/>
      <c r="AG481" s="1435"/>
      <c r="AH481" s="1435"/>
      <c r="AI481" s="1435"/>
      <c r="AJ481" s="1435"/>
      <c r="AK481" s="1435"/>
      <c r="AL481" s="1435"/>
      <c r="AM481" s="1435"/>
      <c r="AN481" s="1435"/>
      <c r="AO481" s="1435"/>
      <c r="AP481" s="1435"/>
      <c r="AQ481" s="1435"/>
      <c r="AR481" s="1435"/>
      <c r="AS481" s="1435"/>
      <c r="AT481" s="1435"/>
      <c r="AZ481" s="3"/>
      <c r="BB481" s="3"/>
      <c r="BC481" s="3"/>
    </row>
    <row r="482" spans="1:55" ht="12.95" customHeight="1">
      <c r="AZ482" s="3"/>
      <c r="BB482" s="3"/>
      <c r="BC482" s="3"/>
    </row>
    <row r="483" spans="1:55" ht="12.95" customHeight="1">
      <c r="A483" s="2" t="s">
        <v>318</v>
      </c>
      <c r="C483" s="2" t="s">
        <v>808</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62" t="s">
        <v>392</v>
      </c>
      <c r="R485" s="1763"/>
      <c r="S485" s="1763"/>
      <c r="T485" s="1763"/>
      <c r="U485" s="1763"/>
      <c r="V485" s="1763"/>
      <c r="W485" s="1763"/>
      <c r="X485" s="1763"/>
      <c r="Y485" s="1763"/>
      <c r="Z485" s="1763"/>
      <c r="AA485" s="1763"/>
      <c r="AB485" s="1763"/>
      <c r="AC485" s="1763"/>
      <c r="AD485" s="1763"/>
      <c r="AE485" s="1763"/>
      <c r="AF485" s="1763"/>
      <c r="AG485" s="1763"/>
      <c r="AH485" s="1763"/>
      <c r="AI485" s="1763"/>
      <c r="AJ485" s="1763"/>
      <c r="AK485" s="1764"/>
      <c r="AZ485" s="3"/>
      <c r="BB485" s="3"/>
      <c r="BC485" s="3"/>
    </row>
    <row r="486" spans="1:55" ht="12.95" customHeight="1">
      <c r="B486" s="45" t="s">
        <v>393</v>
      </c>
      <c r="C486" s="5"/>
      <c r="D486" s="5"/>
      <c r="E486" s="5"/>
      <c r="F486" s="5"/>
      <c r="G486" s="5"/>
      <c r="H486" s="5"/>
      <c r="I486" s="5"/>
      <c r="J486" s="5"/>
      <c r="K486" s="5"/>
      <c r="L486" s="5"/>
      <c r="M486" s="5"/>
      <c r="N486" s="5"/>
      <c r="O486" s="5"/>
      <c r="P486" s="5"/>
      <c r="Q486" s="1552" t="s">
        <v>2726</v>
      </c>
      <c r="R486" s="1351"/>
      <c r="S486" s="1351"/>
      <c r="T486" s="1351"/>
      <c r="U486" s="1351"/>
      <c r="V486" s="1351"/>
      <c r="W486" s="1351"/>
      <c r="X486" s="1351"/>
      <c r="Y486" s="1351"/>
      <c r="Z486" s="1351"/>
      <c r="AA486" s="1351"/>
      <c r="AB486" s="1351"/>
      <c r="AC486" s="1351"/>
      <c r="AD486" s="1351"/>
      <c r="AE486" s="1351"/>
      <c r="AF486" s="1351"/>
      <c r="AG486" s="1351"/>
      <c r="AH486" s="1351"/>
      <c r="AI486" s="1351"/>
      <c r="AJ486" s="1351"/>
      <c r="AK486" s="1573"/>
      <c r="AZ486" s="3"/>
      <c r="BB486" s="3"/>
      <c r="BC486" s="3"/>
    </row>
    <row r="487" spans="1:55" ht="12.95" customHeight="1">
      <c r="B487" s="45" t="s">
        <v>394</v>
      </c>
      <c r="C487" s="5"/>
      <c r="D487" s="5"/>
      <c r="E487" s="5"/>
      <c r="F487" s="5"/>
      <c r="G487" s="5"/>
      <c r="H487" s="5"/>
      <c r="I487" s="5"/>
      <c r="J487" s="5"/>
      <c r="K487" s="5"/>
      <c r="L487" s="5"/>
      <c r="M487" s="5"/>
      <c r="N487" s="5"/>
      <c r="O487" s="5"/>
      <c r="P487" s="5"/>
      <c r="Q487" s="1552" t="s">
        <v>2729</v>
      </c>
      <c r="R487" s="1351"/>
      <c r="S487" s="1351"/>
      <c r="T487" s="1351"/>
      <c r="U487" s="1351"/>
      <c r="V487" s="1351"/>
      <c r="W487" s="1351"/>
      <c r="X487" s="1351"/>
      <c r="Y487" s="1351"/>
      <c r="Z487" s="1351"/>
      <c r="AA487" s="1351"/>
      <c r="AB487" s="1351"/>
      <c r="AC487" s="1351"/>
      <c r="AD487" s="1351"/>
      <c r="AE487" s="1351"/>
      <c r="AF487" s="1351"/>
      <c r="AG487" s="1351"/>
      <c r="AH487" s="1351"/>
      <c r="AI487" s="1351"/>
      <c r="AJ487" s="1351"/>
      <c r="AK487" s="1573"/>
      <c r="AZ487" s="3"/>
      <c r="BB487" s="3"/>
      <c r="BC487" s="3"/>
    </row>
    <row r="488" spans="1:55" ht="12.95" customHeight="1">
      <c r="B488" s="45" t="s">
        <v>395</v>
      </c>
      <c r="C488" s="5"/>
      <c r="D488" s="5"/>
      <c r="E488" s="5"/>
      <c r="F488" s="5"/>
      <c r="G488" s="5"/>
      <c r="H488" s="5"/>
      <c r="I488" s="5"/>
      <c r="J488" s="5"/>
      <c r="K488" s="5"/>
      <c r="L488" s="5"/>
      <c r="M488" s="5"/>
      <c r="N488" s="5"/>
      <c r="O488" s="5"/>
      <c r="P488" s="5"/>
      <c r="Q488" s="1572" t="s">
        <v>591</v>
      </c>
      <c r="R488" s="1351"/>
      <c r="S488" s="1351"/>
      <c r="T488" s="1351"/>
      <c r="U488" s="1351"/>
      <c r="V488" s="1351"/>
      <c r="W488" s="1351"/>
      <c r="X488" s="1351"/>
      <c r="Y488" s="1351"/>
      <c r="Z488" s="1351"/>
      <c r="AA488" s="1351"/>
      <c r="AB488" s="1351"/>
      <c r="AC488" s="1351"/>
      <c r="AD488" s="1351"/>
      <c r="AE488" s="1351"/>
      <c r="AF488" s="1351"/>
      <c r="AG488" s="1351"/>
      <c r="AH488" s="1351"/>
      <c r="AI488" s="1351"/>
      <c r="AJ488" s="1351"/>
      <c r="AK488" s="1573"/>
      <c r="AZ488" s="3"/>
      <c r="BA488" s="3"/>
      <c r="BB488" s="3"/>
      <c r="BC488" s="3"/>
    </row>
    <row r="489" spans="1:55" ht="12.95" customHeight="1">
      <c r="B489" s="1831" t="s">
        <v>396</v>
      </c>
      <c r="C489" s="1832"/>
      <c r="D489" s="1832"/>
      <c r="E489" s="1832"/>
      <c r="F489" s="1832"/>
      <c r="G489" s="1832"/>
      <c r="H489" s="1832"/>
      <c r="I489" s="1832"/>
      <c r="J489" s="1832"/>
      <c r="K489" s="1832"/>
      <c r="L489" s="1832"/>
      <c r="M489" s="1832"/>
      <c r="N489" s="1832"/>
      <c r="O489" s="1832"/>
      <c r="P489" s="1833"/>
      <c r="Q489" s="1837" t="s">
        <v>545</v>
      </c>
      <c r="R489" s="1838"/>
      <c r="S489" s="1768" t="s">
        <v>2730</v>
      </c>
      <c r="T489" s="1769"/>
      <c r="U489" s="1769"/>
      <c r="V489" s="1769"/>
      <c r="W489" s="1769"/>
      <c r="X489" s="1769"/>
      <c r="Y489" s="1769"/>
      <c r="Z489" s="1769"/>
      <c r="AA489" s="1769"/>
      <c r="AB489" s="1769"/>
      <c r="AC489" s="1769"/>
      <c r="AD489" s="1769"/>
      <c r="AE489" s="1769"/>
      <c r="AF489" s="1769"/>
      <c r="AG489" s="1769"/>
      <c r="AH489" s="1769"/>
      <c r="AI489" s="1769"/>
      <c r="AJ489" s="1769"/>
      <c r="AK489" s="1770"/>
      <c r="AZ489" s="3"/>
      <c r="BA489" s="3"/>
      <c r="BB489" s="3"/>
      <c r="BC489" s="3"/>
    </row>
    <row r="490" spans="1:55" ht="12.95" customHeight="1">
      <c r="B490" s="1834"/>
      <c r="C490" s="1835"/>
      <c r="D490" s="1835"/>
      <c r="E490" s="1835"/>
      <c r="F490" s="1835"/>
      <c r="G490" s="1835"/>
      <c r="H490" s="1835"/>
      <c r="I490" s="1835"/>
      <c r="J490" s="1835"/>
      <c r="K490" s="1835"/>
      <c r="L490" s="1835"/>
      <c r="M490" s="1835"/>
      <c r="N490" s="1835"/>
      <c r="O490" s="1835"/>
      <c r="P490" s="1836"/>
      <c r="Q490" s="1839"/>
      <c r="R490" s="1840"/>
      <c r="S490" s="1771"/>
      <c r="T490" s="1772"/>
      <c r="U490" s="1772"/>
      <c r="V490" s="1772"/>
      <c r="W490" s="1772"/>
      <c r="X490" s="1772"/>
      <c r="Y490" s="1772"/>
      <c r="Z490" s="1772"/>
      <c r="AA490" s="1772"/>
      <c r="AB490" s="1772"/>
      <c r="AC490" s="1772"/>
      <c r="AD490" s="1772"/>
      <c r="AE490" s="1772"/>
      <c r="AF490" s="1772"/>
      <c r="AG490" s="1772"/>
      <c r="AH490" s="1772"/>
      <c r="AI490" s="1772"/>
      <c r="AJ490" s="1772"/>
      <c r="AK490" s="1773"/>
      <c r="AZ490" s="3"/>
      <c r="BA490" s="3"/>
      <c r="BB490" s="3"/>
      <c r="BC490" s="3"/>
    </row>
    <row r="491" spans="1:55" ht="12.95" customHeight="1">
      <c r="B491" s="895" t="s">
        <v>1671</v>
      </c>
      <c r="C491" s="873"/>
      <c r="D491" s="873"/>
      <c r="E491" s="873"/>
      <c r="F491" s="873"/>
      <c r="G491" s="873"/>
      <c r="H491" s="873"/>
      <c r="I491" s="873"/>
      <c r="J491" s="873"/>
      <c r="K491" s="873"/>
      <c r="L491" s="873"/>
      <c r="M491" s="873"/>
      <c r="N491" s="873"/>
      <c r="O491" s="873"/>
      <c r="P491" s="873"/>
      <c r="Q491" s="1849" t="s">
        <v>2728</v>
      </c>
      <c r="R491" s="1850"/>
      <c r="S491" s="1850"/>
      <c r="T491" s="1850"/>
      <c r="U491" s="1850"/>
      <c r="V491" s="1850"/>
      <c r="W491" s="1850"/>
      <c r="X491" s="1850"/>
      <c r="Y491" s="1850"/>
      <c r="Z491" s="1850"/>
      <c r="AA491" s="1850"/>
      <c r="AB491" s="1850"/>
      <c r="AC491" s="1850"/>
      <c r="AD491" s="1850"/>
      <c r="AE491" s="1850"/>
      <c r="AF491" s="1850"/>
      <c r="AG491" s="1850"/>
      <c r="AH491" s="1850"/>
      <c r="AI491" s="1850"/>
      <c r="AJ491" s="1850"/>
      <c r="AK491" s="1851"/>
      <c r="AZ491" s="3"/>
      <c r="BA491" s="3"/>
      <c r="BB491" s="3"/>
      <c r="BC491" s="3"/>
    </row>
    <row r="492" spans="1:55" ht="12.95" customHeight="1">
      <c r="B492" s="45" t="s">
        <v>397</v>
      </c>
      <c r="C492" s="5"/>
      <c r="D492" s="5"/>
      <c r="E492" s="5"/>
      <c r="F492" s="5"/>
      <c r="G492" s="5"/>
      <c r="H492" s="5"/>
      <c r="I492" s="5"/>
      <c r="J492" s="5"/>
      <c r="K492" s="5"/>
      <c r="L492" s="5"/>
      <c r="M492" s="5"/>
      <c r="N492" s="5"/>
      <c r="O492" s="5"/>
      <c r="P492" s="5"/>
      <c r="Q492" s="1552" t="s">
        <v>2727</v>
      </c>
      <c r="R492" s="1351"/>
      <c r="S492" s="1351"/>
      <c r="T492" s="1351"/>
      <c r="U492" s="1351"/>
      <c r="V492" s="1351"/>
      <c r="W492" s="1351"/>
      <c r="X492" s="1351"/>
      <c r="Y492" s="1351"/>
      <c r="Z492" s="1351"/>
      <c r="AA492" s="1351"/>
      <c r="AB492" s="1351"/>
      <c r="AC492" s="1351"/>
      <c r="AD492" s="1351"/>
      <c r="AE492" s="1351"/>
      <c r="AF492" s="1351"/>
      <c r="AG492" s="1351"/>
      <c r="AH492" s="1351"/>
      <c r="AI492" s="1351"/>
      <c r="AJ492" s="1351"/>
      <c r="AK492" s="1573"/>
      <c r="AZ492" s="3"/>
      <c r="BA492" s="3"/>
      <c r="BB492" s="3"/>
      <c r="BC492" s="3"/>
    </row>
    <row r="493" spans="1:55" ht="12.95" customHeight="1">
      <c r="B493" s="45" t="s">
        <v>398</v>
      </c>
      <c r="C493" s="5"/>
      <c r="D493" s="5"/>
      <c r="E493" s="5"/>
      <c r="F493" s="5"/>
      <c r="G493" s="5"/>
      <c r="H493" s="5"/>
      <c r="I493" s="5"/>
      <c r="J493" s="5"/>
      <c r="K493" s="5"/>
      <c r="L493" s="5"/>
      <c r="M493" s="5"/>
      <c r="N493" s="5"/>
      <c r="O493" s="5"/>
      <c r="P493" s="5"/>
      <c r="Q493" s="1572" t="s">
        <v>2690</v>
      </c>
      <c r="R493" s="1351"/>
      <c r="S493" s="1351"/>
      <c r="T493" s="1351"/>
      <c r="U493" s="1351"/>
      <c r="V493" s="1351"/>
      <c r="W493" s="1351"/>
      <c r="X493" s="1351"/>
      <c r="Y493" s="1351"/>
      <c r="Z493" s="1351"/>
      <c r="AA493" s="1351"/>
      <c r="AB493" s="1351"/>
      <c r="AC493" s="1351"/>
      <c r="AD493" s="1351"/>
      <c r="AE493" s="1351"/>
      <c r="AF493" s="1351"/>
      <c r="AG493" s="1351"/>
      <c r="AH493" s="1351"/>
      <c r="AI493" s="1351"/>
      <c r="AJ493" s="1351"/>
      <c r="AK493" s="1573"/>
      <c r="AZ493" s="3"/>
      <c r="BA493" s="3"/>
      <c r="BB493" s="3"/>
      <c r="BC493" s="3"/>
    </row>
    <row r="494" spans="1:55" ht="12.95" customHeight="1">
      <c r="B494" s="121" t="s">
        <v>1668</v>
      </c>
      <c r="C494" s="5"/>
      <c r="D494" s="5"/>
      <c r="E494" s="5"/>
      <c r="F494" s="5"/>
      <c r="G494" s="5"/>
      <c r="H494" s="5"/>
      <c r="I494" s="5"/>
      <c r="J494" s="5"/>
      <c r="K494" s="5"/>
      <c r="L494" s="5"/>
      <c r="M494" s="5"/>
      <c r="N494" s="5"/>
      <c r="O494" s="5"/>
      <c r="P494" s="5"/>
      <c r="Q494" s="1572">
        <v>84</v>
      </c>
      <c r="R494" s="1351"/>
      <c r="S494" s="1351"/>
      <c r="T494" s="1351"/>
      <c r="U494" s="1351"/>
      <c r="V494" s="1351"/>
      <c r="W494" s="1351"/>
      <c r="X494" s="1351"/>
      <c r="Y494" s="1351"/>
      <c r="Z494" s="1351"/>
      <c r="AA494" s="1351"/>
      <c r="AB494" s="1351"/>
      <c r="AC494" s="1351"/>
      <c r="AD494" s="1351"/>
      <c r="AE494" s="1351"/>
      <c r="AF494" s="1351"/>
      <c r="AG494" s="1351"/>
      <c r="AH494" s="1351"/>
      <c r="AI494" s="1351"/>
      <c r="AJ494" s="1351"/>
      <c r="AK494" s="1573"/>
      <c r="AZ494" s="3"/>
      <c r="BA494" s="3"/>
      <c r="BB494" s="3"/>
      <c r="BC494" s="3"/>
    </row>
    <row r="495" spans="1:55" ht="12.95" customHeight="1">
      <c r="B495" s="121" t="s">
        <v>1669</v>
      </c>
      <c r="C495" s="5"/>
      <c r="D495" s="5"/>
      <c r="E495" s="5"/>
      <c r="F495" s="5"/>
      <c r="G495" s="5"/>
      <c r="H495" s="5"/>
      <c r="I495" s="5"/>
      <c r="J495" s="5"/>
      <c r="K495" s="5"/>
      <c r="L495" s="5"/>
      <c r="M495" s="1459">
        <v>0</v>
      </c>
      <c r="N495" s="1460"/>
      <c r="O495" s="1460"/>
      <c r="P495" s="1461"/>
      <c r="Q495" s="121" t="s">
        <v>1670</v>
      </c>
      <c r="R495" s="5"/>
      <c r="S495" s="5"/>
      <c r="T495" s="5"/>
      <c r="U495" s="5"/>
      <c r="V495" s="5"/>
      <c r="W495" s="5"/>
      <c r="X495" s="5"/>
      <c r="Y495" s="5"/>
      <c r="Z495" s="5"/>
      <c r="AA495" s="5"/>
      <c r="AB495" s="5"/>
      <c r="AC495" s="5"/>
      <c r="AD495" s="5"/>
      <c r="AE495" s="5"/>
      <c r="AF495" s="5"/>
      <c r="AG495" s="5"/>
      <c r="AH495" s="1459">
        <v>84</v>
      </c>
      <c r="AI495" s="1460"/>
      <c r="AJ495" s="1460"/>
      <c r="AK495" s="1461"/>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576</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2" t="s">
        <v>400</v>
      </c>
      <c r="AD499" s="1763"/>
      <c r="AE499" s="1763"/>
      <c r="AF499" s="1763"/>
      <c r="AG499" s="1763"/>
      <c r="AH499" s="1763"/>
      <c r="AI499" s="1763"/>
      <c r="AJ499" s="1763"/>
      <c r="AK499" s="1764"/>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2" t="s">
        <v>401</v>
      </c>
      <c r="AD500" s="1763"/>
      <c r="AE500" s="1763"/>
      <c r="AF500" s="1763"/>
      <c r="AG500" s="50" t="s">
        <v>402</v>
      </c>
      <c r="AH500" s="1763" t="s">
        <v>403</v>
      </c>
      <c r="AI500" s="1763"/>
      <c r="AJ500" s="1763"/>
      <c r="AK500" s="1764"/>
      <c r="AZ500" s="3"/>
      <c r="BA500" s="3"/>
      <c r="BB500" s="3"/>
      <c r="BC500" s="3"/>
      <c r="BD500" s="3"/>
      <c r="BE500" s="3"/>
      <c r="BF500" s="3"/>
      <c r="BG500" s="3"/>
      <c r="BH500" s="3"/>
      <c r="BI500" s="3"/>
      <c r="BJ500" s="3"/>
      <c r="BK500" s="3"/>
      <c r="BL500" s="3"/>
      <c r="BM500" s="3"/>
      <c r="BN500" s="3"/>
    </row>
    <row r="501" spans="1:66" ht="12.95" customHeight="1">
      <c r="B501" s="1663" t="s">
        <v>404</v>
      </c>
      <c r="C501" s="1444"/>
      <c r="D501" s="1444"/>
      <c r="E501" s="1444"/>
      <c r="F501" s="1444"/>
      <c r="G501" s="1444"/>
      <c r="H501" s="1445"/>
      <c r="I501" s="42" t="s">
        <v>405</v>
      </c>
      <c r="J501" s="42"/>
      <c r="K501" s="42"/>
      <c r="L501" s="42"/>
      <c r="M501" s="42"/>
      <c r="N501" s="42"/>
      <c r="O501" s="42"/>
      <c r="P501" s="42"/>
      <c r="Q501" s="42"/>
      <c r="R501" s="42"/>
      <c r="S501" s="42"/>
      <c r="T501" s="42"/>
      <c r="U501" s="42"/>
      <c r="V501" s="42"/>
      <c r="W501" s="42"/>
      <c r="AC501" s="1686">
        <v>9</v>
      </c>
      <c r="AD501" s="1687"/>
      <c r="AE501" s="1687"/>
      <c r="AF501" s="1687"/>
      <c r="AG501" s="13" t="s">
        <v>402</v>
      </c>
      <c r="AH501" s="1401">
        <v>2022</v>
      </c>
      <c r="AI501" s="1401"/>
      <c r="AJ501" s="1401"/>
      <c r="AK501" s="1402"/>
      <c r="AZ501" s="3"/>
      <c r="BA501" s="3"/>
      <c r="BB501" s="3"/>
      <c r="BC501" s="3"/>
      <c r="BD501" s="3"/>
      <c r="BE501" s="3"/>
      <c r="BF501" s="3"/>
      <c r="BG501" s="3"/>
      <c r="BH501" s="3"/>
      <c r="BI501" s="3"/>
      <c r="BJ501" s="3"/>
      <c r="BK501" s="3"/>
      <c r="BL501" s="3"/>
      <c r="BM501" s="3"/>
      <c r="BN501" s="3"/>
    </row>
    <row r="502" spans="1:66" ht="12.95" customHeight="1">
      <c r="B502" s="1664"/>
      <c r="C502" s="1446"/>
      <c r="D502" s="1446"/>
      <c r="E502" s="1446"/>
      <c r="F502" s="1446"/>
      <c r="G502" s="1446"/>
      <c r="H502" s="1447"/>
      <c r="I502" s="48" t="s">
        <v>406</v>
      </c>
      <c r="J502" s="48"/>
      <c r="K502" s="48"/>
      <c r="L502" s="48"/>
      <c r="M502" s="48"/>
      <c r="N502" s="48"/>
      <c r="O502" s="48"/>
      <c r="P502" s="48"/>
      <c r="Q502" s="48"/>
      <c r="R502" s="48"/>
      <c r="S502" s="48"/>
      <c r="T502" s="48"/>
      <c r="U502" s="48"/>
      <c r="V502" s="48"/>
      <c r="W502" s="48"/>
      <c r="X502" s="48"/>
      <c r="Y502" s="48"/>
      <c r="Z502" s="48"/>
      <c r="AA502" s="48"/>
      <c r="AB502" s="48"/>
      <c r="AC502" s="1686">
        <v>10</v>
      </c>
      <c r="AD502" s="1687"/>
      <c r="AE502" s="1687"/>
      <c r="AF502" s="1687"/>
      <c r="AG502" s="38" t="s">
        <v>402</v>
      </c>
      <c r="AH502" s="1401">
        <v>2020</v>
      </c>
      <c r="AI502" s="1401"/>
      <c r="AJ502" s="1401"/>
      <c r="AK502" s="1402"/>
      <c r="AZ502" s="3"/>
      <c r="BA502" s="3"/>
      <c r="BB502" s="3"/>
      <c r="BC502" s="3"/>
      <c r="BD502" s="3"/>
      <c r="BE502" s="3"/>
      <c r="BF502" s="3"/>
      <c r="BG502" s="3"/>
      <c r="BH502" s="3"/>
      <c r="BI502" s="3"/>
      <c r="BJ502" s="3"/>
      <c r="BK502" s="3"/>
      <c r="BL502" s="3"/>
      <c r="BM502" s="3"/>
      <c r="BN502" s="3"/>
    </row>
    <row r="503" spans="1:66" ht="12.95" customHeight="1">
      <c r="B503" s="1663" t="s">
        <v>407</v>
      </c>
      <c r="C503" s="1444"/>
      <c r="D503" s="1444"/>
      <c r="E503" s="1444"/>
      <c r="F503" s="1444"/>
      <c r="G503" s="1444"/>
      <c r="H503" s="1445"/>
      <c r="I503" s="42" t="s">
        <v>408</v>
      </c>
      <c r="J503" s="42"/>
      <c r="K503" s="42"/>
      <c r="L503" s="42"/>
      <c r="M503" s="42"/>
      <c r="N503" s="42"/>
      <c r="O503" s="42"/>
      <c r="P503" s="42"/>
      <c r="Q503" s="42"/>
      <c r="R503" s="42"/>
      <c r="S503" s="42"/>
      <c r="T503" s="42"/>
      <c r="U503" s="42"/>
      <c r="V503" s="42"/>
      <c r="W503" s="42"/>
      <c r="AC503" s="1686">
        <v>2</v>
      </c>
      <c r="AD503" s="1687"/>
      <c r="AE503" s="1687"/>
      <c r="AF503" s="1687"/>
      <c r="AG503" s="13" t="s">
        <v>402</v>
      </c>
      <c r="AH503" s="1401">
        <v>2021</v>
      </c>
      <c r="AI503" s="1401"/>
      <c r="AJ503" s="1401"/>
      <c r="AK503" s="1402"/>
      <c r="AZ503" s="3"/>
      <c r="BA503" s="3"/>
      <c r="BB503" s="3"/>
      <c r="BC503" s="3"/>
      <c r="BD503" s="3"/>
      <c r="BE503" s="3"/>
      <c r="BF503" s="3"/>
      <c r="BG503" s="3"/>
      <c r="BH503" s="3"/>
      <c r="BI503" s="3"/>
      <c r="BJ503" s="3"/>
      <c r="BK503" s="3"/>
      <c r="BL503" s="3"/>
      <c r="BM503" s="3"/>
      <c r="BN503" s="3"/>
    </row>
    <row r="504" spans="1:66" ht="12.95" customHeight="1">
      <c r="B504" s="1664"/>
      <c r="C504" s="1446"/>
      <c r="D504" s="1446"/>
      <c r="E504" s="1446"/>
      <c r="F504" s="1446"/>
      <c r="G504" s="1446"/>
      <c r="H504" s="1447"/>
      <c r="I504" t="s">
        <v>409</v>
      </c>
      <c r="AC504" s="1686" t="s">
        <v>591</v>
      </c>
      <c r="AD504" s="1687"/>
      <c r="AE504" s="1687"/>
      <c r="AF504" s="1687"/>
      <c r="AG504" s="13" t="s">
        <v>402</v>
      </c>
      <c r="AH504" s="1401"/>
      <c r="AI504" s="1401"/>
      <c r="AJ504" s="1401"/>
      <c r="AK504" s="1402"/>
      <c r="AZ504" s="3"/>
      <c r="BA504" s="3"/>
      <c r="BB504" s="3"/>
      <c r="BC504" s="3"/>
      <c r="BD504" s="3"/>
      <c r="BE504" s="3"/>
      <c r="BF504" s="3"/>
      <c r="BG504" s="3"/>
      <c r="BH504" s="3"/>
      <c r="BI504" s="3"/>
      <c r="BJ504" s="3"/>
      <c r="BK504" s="3"/>
      <c r="BL504" s="3"/>
      <c r="BM504" s="3"/>
      <c r="BN504" s="3"/>
    </row>
    <row r="505" spans="1:66" ht="12.95" customHeight="1">
      <c r="B505" s="1664"/>
      <c r="C505" s="1446"/>
      <c r="D505" s="1446"/>
      <c r="E505" s="1446"/>
      <c r="F505" s="1446"/>
      <c r="G505" s="1446"/>
      <c r="H505" s="1447"/>
      <c r="I505" t="s">
        <v>410</v>
      </c>
      <c r="AC505" s="1686">
        <v>2</v>
      </c>
      <c r="AD505" s="1687"/>
      <c r="AE505" s="1687"/>
      <c r="AF505" s="1687"/>
      <c r="AG505" s="13" t="s">
        <v>402</v>
      </c>
      <c r="AH505" s="1401">
        <v>2021</v>
      </c>
      <c r="AI505" s="1401"/>
      <c r="AJ505" s="1401"/>
      <c r="AK505" s="1402"/>
      <c r="AZ505" s="3"/>
      <c r="BA505" s="3"/>
      <c r="BB505" s="3"/>
      <c r="BC505" s="3"/>
      <c r="BD505" s="3"/>
      <c r="BE505" s="3"/>
      <c r="BF505" s="3"/>
      <c r="BG505" s="3"/>
      <c r="BH505" s="3"/>
      <c r="BI505" s="3"/>
      <c r="BJ505" s="3"/>
      <c r="BK505" s="3"/>
      <c r="BL505" s="3"/>
      <c r="BM505" s="3"/>
      <c r="BN505" s="3"/>
    </row>
    <row r="506" spans="1:66" ht="12.95" customHeight="1">
      <c r="B506" s="1664"/>
      <c r="C506" s="1446"/>
      <c r="D506" s="1446"/>
      <c r="E506" s="1446"/>
      <c r="F506" s="1446"/>
      <c r="G506" s="1446"/>
      <c r="H506" s="1447"/>
      <c r="I506" t="s">
        <v>411</v>
      </c>
      <c r="AC506" s="1686">
        <v>5</v>
      </c>
      <c r="AD506" s="1687"/>
      <c r="AE506" s="1687"/>
      <c r="AF506" s="1687"/>
      <c r="AG506" s="13" t="s">
        <v>402</v>
      </c>
      <c r="AH506" s="1401">
        <v>2026</v>
      </c>
      <c r="AI506" s="1401"/>
      <c r="AJ506" s="1401"/>
      <c r="AK506" s="1402"/>
      <c r="AZ506" s="3"/>
      <c r="BA506" s="3"/>
      <c r="BB506" s="3"/>
      <c r="BC506" s="3"/>
      <c r="BD506" s="3"/>
      <c r="BE506" s="3"/>
      <c r="BF506" s="3"/>
      <c r="BG506" s="3"/>
      <c r="BH506" s="3"/>
      <c r="BI506" s="3"/>
      <c r="BJ506" s="3"/>
      <c r="BK506" s="3"/>
      <c r="BL506" s="3"/>
      <c r="BM506" s="3"/>
      <c r="BN506" s="3"/>
    </row>
    <row r="507" spans="1:66" ht="12.95" customHeight="1">
      <c r="B507" s="1664"/>
      <c r="C507" s="1446"/>
      <c r="D507" s="1446"/>
      <c r="E507" s="1446"/>
      <c r="F507" s="1446"/>
      <c r="G507" s="1446"/>
      <c r="H507" s="1447"/>
      <c r="I507" s="3" t="s">
        <v>412</v>
      </c>
      <c r="AC507" s="1348">
        <v>6</v>
      </c>
      <c r="AD507" s="1349"/>
      <c r="AE507" s="1349"/>
      <c r="AF507" s="1349"/>
      <c r="AG507" s="13" t="s">
        <v>402</v>
      </c>
      <c r="AH507" s="1401">
        <v>2026</v>
      </c>
      <c r="AI507" s="1401"/>
      <c r="AJ507" s="1401"/>
      <c r="AK507" s="1402"/>
      <c r="AZ507" s="3"/>
      <c r="BA507" s="3"/>
      <c r="BB507" s="3"/>
      <c r="BC507" s="3"/>
      <c r="BD507" s="3"/>
      <c r="BE507" s="3"/>
      <c r="BF507" s="3"/>
      <c r="BG507" s="3"/>
      <c r="BH507" s="3"/>
      <c r="BI507" s="3"/>
      <c r="BJ507" s="3"/>
      <c r="BK507" s="3"/>
      <c r="BL507" s="3"/>
      <c r="BM507" s="3"/>
      <c r="BN507" s="3"/>
    </row>
    <row r="508" spans="1:66" ht="12.95" customHeight="1">
      <c r="B508" s="1664"/>
      <c r="C508" s="1446"/>
      <c r="D508" s="1446"/>
      <c r="E508" s="1446"/>
      <c r="F508" s="1446"/>
      <c r="G508" s="1446"/>
      <c r="H508" s="1447"/>
      <c r="I508" s="896" t="s">
        <v>169</v>
      </c>
      <c r="J508" s="48"/>
      <c r="K508" s="48"/>
      <c r="L508" s="1752" t="s">
        <v>333</v>
      </c>
      <c r="M508" s="1753"/>
      <c r="N508" s="1753"/>
      <c r="O508" s="1753"/>
      <c r="P508" s="1753"/>
      <c r="Q508" s="1753"/>
      <c r="R508" s="1753"/>
      <c r="S508" s="1753"/>
      <c r="T508" s="1753"/>
      <c r="U508" s="1753"/>
      <c r="V508" s="1753"/>
      <c r="W508" s="1753"/>
      <c r="X508" s="1753"/>
      <c r="Y508" s="1753"/>
      <c r="Z508" s="1753"/>
      <c r="AA508" s="1753"/>
      <c r="AB508" s="1842"/>
      <c r="AC508" s="1686" t="s">
        <v>591</v>
      </c>
      <c r="AD508" s="1687"/>
      <c r="AE508" s="1687"/>
      <c r="AF508" s="1687"/>
      <c r="AG508" s="38" t="s">
        <v>402</v>
      </c>
      <c r="AH508" s="1401"/>
      <c r="AI508" s="1401"/>
      <c r="AJ508" s="1401"/>
      <c r="AK508" s="1402"/>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1675</v>
      </c>
      <c r="AC509" s="1815" t="s">
        <v>545</v>
      </c>
      <c r="AD509" s="1815"/>
      <c r="AE509" s="1815"/>
      <c r="AF509" s="1815"/>
      <c r="AG509" s="13"/>
      <c r="AH509" s="1332"/>
      <c r="AI509" s="1332"/>
      <c r="AJ509" s="1332"/>
      <c r="AK509" s="1667"/>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1672</v>
      </c>
      <c r="AC510" s="1348">
        <v>2</v>
      </c>
      <c r="AD510" s="1349"/>
      <c r="AE510" s="1349"/>
      <c r="AF510" s="1350"/>
      <c r="AG510" s="13"/>
      <c r="AH510" s="1332"/>
      <c r="AI510" s="1332"/>
      <c r="AJ510" s="1332"/>
      <c r="AK510" s="1667"/>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1673</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1674</v>
      </c>
      <c r="J512" s="48"/>
      <c r="K512" s="48"/>
      <c r="L512" s="48"/>
      <c r="M512" s="48"/>
      <c r="N512" s="48"/>
      <c r="O512" s="48"/>
      <c r="P512" s="48"/>
      <c r="Q512" s="48"/>
      <c r="R512" s="48"/>
      <c r="S512" s="48"/>
      <c r="T512" s="48"/>
      <c r="U512" s="48"/>
      <c r="V512" s="48"/>
      <c r="W512" s="48"/>
      <c r="X512" s="48"/>
      <c r="Y512" s="48"/>
      <c r="Z512" s="48"/>
      <c r="AA512" s="48"/>
      <c r="AB512" s="48"/>
      <c r="AC512" s="1828">
        <v>0.9</v>
      </c>
      <c r="AD512" s="1829"/>
      <c r="AE512" s="1829"/>
      <c r="AF512" s="1830"/>
      <c r="AG512" s="38"/>
      <c r="AH512" s="1748"/>
      <c r="AI512" s="1748"/>
      <c r="AJ512" s="1748"/>
      <c r="AK512" s="1749"/>
      <c r="AZ512" s="3"/>
      <c r="BA512" s="3"/>
      <c r="BB512" s="3"/>
      <c r="BC512" s="3"/>
      <c r="BD512" s="3"/>
      <c r="BE512" s="3"/>
      <c r="BF512" s="3"/>
      <c r="BG512" s="3"/>
      <c r="BH512" s="3"/>
      <c r="BI512" s="3"/>
      <c r="BJ512" s="3"/>
      <c r="BK512" s="3"/>
      <c r="BL512" s="3"/>
      <c r="BM512" s="3"/>
      <c r="BN512" s="3" t="s">
        <v>1184</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751" t="s">
        <v>401</v>
      </c>
      <c r="AD513" s="1715"/>
      <c r="AE513" s="1715"/>
      <c r="AF513" s="1715"/>
      <c r="AG513" s="38" t="s">
        <v>402</v>
      </c>
      <c r="AH513" s="1715" t="s">
        <v>403</v>
      </c>
      <c r="AI513" s="1715"/>
      <c r="AJ513" s="1715"/>
      <c r="AK513" s="1841"/>
      <c r="AZ513" s="3"/>
      <c r="BA513" s="3"/>
      <c r="BB513" s="3"/>
      <c r="BC513" s="3"/>
      <c r="BD513" s="3"/>
      <c r="BE513" s="3"/>
      <c r="BF513" s="3"/>
      <c r="BG513" s="3"/>
      <c r="BH513" s="3"/>
      <c r="BI513" s="3"/>
      <c r="BJ513" s="3"/>
      <c r="BK513" s="3"/>
      <c r="BL513" s="3"/>
      <c r="BM513" s="3"/>
      <c r="BN513" s="3" t="s">
        <v>2104</v>
      </c>
    </row>
    <row r="514" spans="2:66" ht="12.95" customHeight="1">
      <c r="B514" s="1663" t="s">
        <v>413</v>
      </c>
      <c r="C514" s="1444"/>
      <c r="D514" s="1444"/>
      <c r="E514" s="1444"/>
      <c r="F514" s="1444"/>
      <c r="G514" s="1444"/>
      <c r="H514" s="1445"/>
      <c r="I514" s="42" t="s">
        <v>414</v>
      </c>
      <c r="J514" s="42"/>
      <c r="K514" s="42"/>
      <c r="L514" s="42"/>
      <c r="M514" s="42"/>
      <c r="N514" s="42"/>
      <c r="O514" s="42"/>
      <c r="P514" s="42"/>
      <c r="Q514" s="42"/>
      <c r="R514" s="42"/>
      <c r="S514" s="42"/>
      <c r="T514" s="42"/>
      <c r="U514" s="42"/>
      <c r="V514" s="42"/>
      <c r="W514" s="42"/>
      <c r="AC514" s="1843">
        <v>8</v>
      </c>
      <c r="AD514" s="1844"/>
      <c r="AE514" s="1844"/>
      <c r="AF514" s="1844"/>
      <c r="AG514" s="13" t="s">
        <v>402</v>
      </c>
      <c r="AH514" s="1845">
        <v>2025</v>
      </c>
      <c r="AI514" s="1845"/>
      <c r="AJ514" s="1845"/>
      <c r="AK514" s="1846"/>
      <c r="AZ514" s="3"/>
      <c r="BA514" s="3"/>
      <c r="BB514" s="3"/>
      <c r="BC514" s="3"/>
      <c r="BD514" s="3"/>
      <c r="BE514" s="3"/>
      <c r="BF514" s="3"/>
      <c r="BG514" s="3"/>
      <c r="BH514" s="3"/>
      <c r="BI514" s="3"/>
      <c r="BJ514" s="3"/>
      <c r="BK514" s="3"/>
      <c r="BL514" s="3"/>
      <c r="BM514" s="3"/>
      <c r="BN514" s="3" t="s">
        <v>2105</v>
      </c>
    </row>
    <row r="515" spans="2:66" ht="12.95" customHeight="1">
      <c r="B515" s="1664"/>
      <c r="C515" s="1446"/>
      <c r="D515" s="1446"/>
      <c r="E515" s="1446"/>
      <c r="F515" s="1446"/>
      <c r="G515" s="1446"/>
      <c r="H515" s="1447"/>
      <c r="I515" t="s">
        <v>415</v>
      </c>
      <c r="AC515" s="1843">
        <v>8</v>
      </c>
      <c r="AD515" s="1844"/>
      <c r="AE515" s="1844"/>
      <c r="AF515" s="1844"/>
      <c r="AG515" s="13" t="s">
        <v>402</v>
      </c>
      <c r="AH515" s="1845">
        <v>2025</v>
      </c>
      <c r="AI515" s="1845"/>
      <c r="AJ515" s="1845"/>
      <c r="AK515" s="1846"/>
      <c r="AZ515" s="3"/>
      <c r="BA515" s="3"/>
      <c r="BB515" s="3"/>
      <c r="BC515" s="3"/>
      <c r="BD515" s="3"/>
      <c r="BE515" s="3"/>
      <c r="BF515" s="3"/>
      <c r="BG515" s="3"/>
      <c r="BH515" s="3"/>
      <c r="BI515" s="3"/>
      <c r="BJ515" s="3"/>
      <c r="BK515" s="3"/>
      <c r="BL515" s="3"/>
      <c r="BM515" s="3"/>
      <c r="BN515" s="3" t="s">
        <v>2106</v>
      </c>
    </row>
    <row r="516" spans="2:66" ht="12.95" customHeight="1">
      <c r="B516" s="1664"/>
      <c r="C516" s="1446"/>
      <c r="D516" s="1446"/>
      <c r="E516" s="1446"/>
      <c r="F516" s="1446"/>
      <c r="G516" s="1446"/>
      <c r="H516" s="1447"/>
      <c r="I516" s="48" t="s">
        <v>416</v>
      </c>
      <c r="J516" s="48"/>
      <c r="K516" s="48"/>
      <c r="L516" s="48"/>
      <c r="M516" s="48"/>
      <c r="N516" s="48"/>
      <c r="O516" s="48"/>
      <c r="P516" s="48"/>
      <c r="Q516" s="48"/>
      <c r="R516" s="48"/>
      <c r="S516" s="48"/>
      <c r="T516" s="48"/>
      <c r="U516" s="48"/>
      <c r="V516" s="48"/>
      <c r="W516" s="48"/>
      <c r="X516" s="48"/>
      <c r="Y516" s="48"/>
      <c r="Z516" s="48"/>
      <c r="AA516" s="48"/>
      <c r="AB516" s="48"/>
      <c r="AC516" s="1843">
        <v>5</v>
      </c>
      <c r="AD516" s="1844"/>
      <c r="AE516" s="1844"/>
      <c r="AF516" s="1844"/>
      <c r="AG516" s="38" t="s">
        <v>402</v>
      </c>
      <c r="AH516" s="1845">
        <v>2026</v>
      </c>
      <c r="AI516" s="1845"/>
      <c r="AJ516" s="1845"/>
      <c r="AK516" s="1846"/>
      <c r="AZ516" s="3"/>
      <c r="BA516" s="3"/>
      <c r="BB516" s="3"/>
      <c r="BC516" s="3"/>
      <c r="BD516" s="3"/>
      <c r="BE516" s="3"/>
      <c r="BF516" s="3"/>
      <c r="BG516" s="3"/>
      <c r="BH516" s="3"/>
      <c r="BI516" s="3"/>
      <c r="BJ516" s="3"/>
      <c r="BK516" s="3"/>
      <c r="BL516" s="3"/>
      <c r="BM516" s="3"/>
      <c r="BN516" s="3" t="s">
        <v>2107</v>
      </c>
    </row>
    <row r="517" spans="2:66" ht="12.95" customHeight="1">
      <c r="B517" s="1663" t="s">
        <v>417</v>
      </c>
      <c r="C517" s="1444"/>
      <c r="D517" s="1444"/>
      <c r="E517" s="1444"/>
      <c r="F517" s="1444"/>
      <c r="G517" s="1444"/>
      <c r="H517" s="1445"/>
      <c r="I517" s="42" t="s">
        <v>414</v>
      </c>
      <c r="J517" s="42"/>
      <c r="K517" s="42"/>
      <c r="L517" s="42"/>
      <c r="M517" s="42"/>
      <c r="N517" s="42"/>
      <c r="O517" s="42"/>
      <c r="P517" s="42"/>
      <c r="Q517" s="42"/>
      <c r="R517" s="42"/>
      <c r="S517" s="42"/>
      <c r="T517" s="42"/>
      <c r="U517" s="42"/>
      <c r="V517" s="42"/>
      <c r="W517" s="42"/>
      <c r="X517" s="42"/>
      <c r="Y517" s="42"/>
      <c r="Z517" s="42"/>
      <c r="AA517" s="42"/>
      <c r="AB517" s="42"/>
      <c r="AC517" s="1848">
        <v>8</v>
      </c>
      <c r="AD517" s="1845"/>
      <c r="AE517" s="1845"/>
      <c r="AF517" s="1845"/>
      <c r="AG517" s="129" t="s">
        <v>402</v>
      </c>
      <c r="AH517" s="1845">
        <v>2025</v>
      </c>
      <c r="AI517" s="1845"/>
      <c r="AJ517" s="1845"/>
      <c r="AK517" s="1846"/>
      <c r="AZ517" s="3"/>
      <c r="BB517" s="3"/>
      <c r="BC517" s="3"/>
      <c r="BD517" s="3"/>
      <c r="BE517" s="3"/>
      <c r="BF517" s="3"/>
      <c r="BG517" s="3"/>
      <c r="BH517" s="3"/>
      <c r="BI517" s="3"/>
      <c r="BJ517" s="3"/>
      <c r="BK517" s="3"/>
      <c r="BL517" s="3"/>
      <c r="BM517" s="3"/>
      <c r="BN517" s="3" t="s">
        <v>2108</v>
      </c>
    </row>
    <row r="518" spans="2:66" ht="12.95" customHeight="1">
      <c r="B518" s="1664"/>
      <c r="C518" s="1446"/>
      <c r="D518" s="1446"/>
      <c r="E518" s="1446"/>
      <c r="F518" s="1446"/>
      <c r="G518" s="1446"/>
      <c r="H518" s="1447"/>
      <c r="I518" t="s">
        <v>415</v>
      </c>
      <c r="AC518" s="1843">
        <v>8</v>
      </c>
      <c r="AD518" s="1844"/>
      <c r="AE518" s="1844"/>
      <c r="AF518" s="1844"/>
      <c r="AG518" s="13" t="s">
        <v>402</v>
      </c>
      <c r="AH518" s="1845">
        <v>2025</v>
      </c>
      <c r="AI518" s="1845"/>
      <c r="AJ518" s="1845"/>
      <c r="AK518" s="1846"/>
      <c r="BB518" s="3"/>
      <c r="BC518" s="3"/>
      <c r="BD518" s="3"/>
      <c r="BE518" s="3"/>
      <c r="BF518" s="3"/>
      <c r="BG518" s="3"/>
      <c r="BH518" s="3"/>
      <c r="BI518" s="3"/>
      <c r="BJ518" s="3"/>
      <c r="BK518" s="3"/>
      <c r="BL518" s="3"/>
      <c r="BM518" s="3"/>
      <c r="BN518" s="3" t="s">
        <v>2109</v>
      </c>
    </row>
    <row r="519" spans="2:66" ht="12.95" customHeight="1">
      <c r="B519" s="1665"/>
      <c r="C519" s="1448"/>
      <c r="D519" s="1448"/>
      <c r="E519" s="1448"/>
      <c r="F519" s="1448"/>
      <c r="G519" s="1448"/>
      <c r="H519" s="1449"/>
      <c r="I519" s="48" t="s">
        <v>416</v>
      </c>
      <c r="J519" s="48"/>
      <c r="K519" s="48"/>
      <c r="L519" s="48"/>
      <c r="M519" s="48"/>
      <c r="N519" s="48"/>
      <c r="O519" s="48"/>
      <c r="P519" s="48"/>
      <c r="Q519" s="48"/>
      <c r="R519" s="48"/>
      <c r="S519" s="48"/>
      <c r="T519" s="48"/>
      <c r="U519" s="48"/>
      <c r="V519" s="48"/>
      <c r="W519" s="48"/>
      <c r="X519" s="48"/>
      <c r="Y519" s="48"/>
      <c r="Z519" s="48"/>
      <c r="AA519" s="48"/>
      <c r="AB519" s="48"/>
      <c r="AC519" s="1843">
        <v>8</v>
      </c>
      <c r="AD519" s="1844"/>
      <c r="AE519" s="1844"/>
      <c r="AF519" s="1844"/>
      <c r="AG519" s="38" t="s">
        <v>402</v>
      </c>
      <c r="AH519" s="1845">
        <v>2028</v>
      </c>
      <c r="AI519" s="1845"/>
      <c r="AJ519" s="1845"/>
      <c r="AK519" s="1846"/>
      <c r="BB519" s="3"/>
      <c r="BC519" s="3"/>
      <c r="BD519" s="3"/>
      <c r="BE519" s="3"/>
      <c r="BF519" s="3"/>
      <c r="BG519" s="3"/>
      <c r="BH519" s="3"/>
      <c r="BI519" s="3"/>
      <c r="BJ519" s="3"/>
      <c r="BK519" s="3"/>
      <c r="BL519" s="3"/>
      <c r="BM519" s="3"/>
      <c r="BN519" s="3" t="s">
        <v>2110</v>
      </c>
    </row>
    <row r="520" spans="2:66" ht="12.95" customHeight="1">
      <c r="B520" s="1663" t="s">
        <v>418</v>
      </c>
      <c r="C520" s="1444"/>
      <c r="D520" s="1444"/>
      <c r="E520" s="1444"/>
      <c r="F520" s="1444"/>
      <c r="G520" s="1444"/>
      <c r="H520" s="1445"/>
      <c r="I520" s="41" t="s">
        <v>419</v>
      </c>
      <c r="J520" s="42"/>
      <c r="K520" s="42"/>
      <c r="L520" s="42"/>
      <c r="M520" s="42"/>
      <c r="N520" s="42"/>
      <c r="O520" s="1752" t="s">
        <v>2700</v>
      </c>
      <c r="P520" s="1753"/>
      <c r="Q520" s="1753"/>
      <c r="R520" s="1753"/>
      <c r="S520" s="1753"/>
      <c r="T520" s="1753"/>
      <c r="U520" s="1753"/>
      <c r="V520" s="1753"/>
      <c r="W520" s="1753"/>
      <c r="X520" s="1753"/>
      <c r="Y520" s="1753"/>
      <c r="Z520" s="1753"/>
      <c r="AA520" s="1753"/>
      <c r="AB520" s="58"/>
      <c r="AC520" s="1348" t="s">
        <v>591</v>
      </c>
      <c r="AD520" s="1349"/>
      <c r="AE520" s="1349"/>
      <c r="AF520" s="1349"/>
      <c r="AG520" s="129" t="s">
        <v>402</v>
      </c>
      <c r="AH520" s="1401"/>
      <c r="AI520" s="1401"/>
      <c r="AJ520" s="1401"/>
      <c r="AK520" s="1402"/>
      <c r="AZ520" s="3"/>
      <c r="BB520" s="3"/>
      <c r="BC520" s="3"/>
      <c r="BD520" s="3"/>
      <c r="BE520" s="3"/>
      <c r="BF520" s="3"/>
      <c r="BG520" s="3"/>
      <c r="BH520" s="3"/>
      <c r="BI520" s="3"/>
      <c r="BJ520" s="3"/>
      <c r="BK520" s="3"/>
      <c r="BL520" s="3"/>
      <c r="BM520" s="3"/>
      <c r="BN520" s="3" t="s">
        <v>2111</v>
      </c>
    </row>
    <row r="521" spans="2:66" ht="12.95" customHeight="1">
      <c r="B521" s="1664"/>
      <c r="C521" s="1446"/>
      <c r="D521" s="1446"/>
      <c r="E521" s="1446"/>
      <c r="F521" s="1446"/>
      <c r="G521" s="1446"/>
      <c r="H521" s="1447"/>
      <c r="I521" s="114" t="s">
        <v>420</v>
      </c>
      <c r="AB521" s="65"/>
      <c r="AC521" s="1686">
        <v>9</v>
      </c>
      <c r="AD521" s="1687"/>
      <c r="AE521" s="1687"/>
      <c r="AF521" s="1687"/>
      <c r="AG521" s="13" t="s">
        <v>402</v>
      </c>
      <c r="AH521" s="1401">
        <v>2023</v>
      </c>
      <c r="AI521" s="1401"/>
      <c r="AJ521" s="1401"/>
      <c r="AK521" s="1402"/>
      <c r="AZ521" s="3"/>
      <c r="BB521" s="3"/>
      <c r="BC521" s="3"/>
      <c r="BD521" s="3"/>
      <c r="BE521" s="3"/>
      <c r="BF521" s="3"/>
      <c r="BG521" s="3"/>
      <c r="BH521" s="3"/>
      <c r="BI521" s="3"/>
      <c r="BJ521" s="3"/>
      <c r="BK521" s="3"/>
      <c r="BL521" s="3"/>
      <c r="BM521" s="3"/>
      <c r="BN521" s="3" t="s">
        <v>2112</v>
      </c>
    </row>
    <row r="522" spans="2:66" ht="12.95" customHeight="1">
      <c r="B522" s="1664"/>
      <c r="C522" s="1446"/>
      <c r="D522" s="1446"/>
      <c r="E522" s="1446"/>
      <c r="F522" s="1446"/>
      <c r="G522" s="1446"/>
      <c r="H522" s="1447"/>
      <c r="I522" s="47" t="s">
        <v>421</v>
      </c>
      <c r="J522" s="48"/>
      <c r="K522" s="48"/>
      <c r="L522" s="48"/>
      <c r="M522" s="48"/>
      <c r="N522" s="48"/>
      <c r="O522" s="48"/>
      <c r="P522" s="48"/>
      <c r="Q522" s="48"/>
      <c r="R522" s="48"/>
      <c r="S522" s="48"/>
      <c r="T522" s="48"/>
      <c r="U522" s="48"/>
      <c r="V522" s="48"/>
      <c r="W522" s="48"/>
      <c r="X522" s="48"/>
      <c r="Y522" s="48"/>
      <c r="Z522" s="48"/>
      <c r="AA522" s="48"/>
      <c r="AB522" s="49"/>
      <c r="AC522" s="1686">
        <v>12</v>
      </c>
      <c r="AD522" s="1687"/>
      <c r="AE522" s="1687"/>
      <c r="AF522" s="1687"/>
      <c r="AG522" s="38" t="s">
        <v>402</v>
      </c>
      <c r="AH522" s="1401">
        <v>2023</v>
      </c>
      <c r="AI522" s="1401"/>
      <c r="AJ522" s="1401"/>
      <c r="AK522" s="1402"/>
      <c r="AZ522" s="3"/>
      <c r="BA522" s="3"/>
      <c r="BB522" s="3"/>
      <c r="BC522" s="3"/>
      <c r="BD522" s="3"/>
      <c r="BE522" s="3"/>
      <c r="BF522" s="3"/>
      <c r="BG522" s="3"/>
      <c r="BH522" s="3"/>
      <c r="BI522" s="3"/>
      <c r="BJ522" s="3"/>
      <c r="BK522" s="3"/>
      <c r="BL522" s="3"/>
      <c r="BM522" s="3"/>
      <c r="BN522" s="3" t="s">
        <v>2113</v>
      </c>
    </row>
    <row r="523" spans="2:66" ht="12.95" customHeight="1">
      <c r="B523" s="1664"/>
      <c r="C523" s="1446"/>
      <c r="D523" s="1446"/>
      <c r="E523" s="1446"/>
      <c r="F523" s="1446"/>
      <c r="G523" s="1446"/>
      <c r="H523" s="1447"/>
      <c r="I523" s="42" t="s">
        <v>422</v>
      </c>
      <c r="J523" s="42"/>
      <c r="K523" s="42"/>
      <c r="L523" s="42"/>
      <c r="M523" s="42"/>
      <c r="N523" s="42"/>
      <c r="O523" s="1752" t="s">
        <v>2719</v>
      </c>
      <c r="P523" s="1753"/>
      <c r="Q523" s="1753"/>
      <c r="R523" s="1753"/>
      <c r="S523" s="1753"/>
      <c r="T523" s="1753"/>
      <c r="U523" s="1753"/>
      <c r="V523" s="1753"/>
      <c r="W523" s="1753"/>
      <c r="X523" s="1753"/>
      <c r="Y523" s="1753"/>
      <c r="Z523" s="1753"/>
      <c r="AA523" s="1753"/>
      <c r="AC523" s="1686" t="s">
        <v>591</v>
      </c>
      <c r="AD523" s="1687"/>
      <c r="AE523" s="1687"/>
      <c r="AF523" s="1687"/>
      <c r="AG523" s="13" t="s">
        <v>402</v>
      </c>
      <c r="AH523" s="1401"/>
      <c r="AI523" s="1401"/>
      <c r="AJ523" s="1401"/>
      <c r="AK523" s="1402"/>
      <c r="AZ523" s="3"/>
      <c r="BA523" s="3"/>
      <c r="BB523" s="3"/>
      <c r="BC523" s="3"/>
      <c r="BD523" s="3"/>
      <c r="BE523" s="3"/>
      <c r="BF523" s="3"/>
      <c r="BG523" s="3"/>
      <c r="BH523" s="3"/>
      <c r="BI523" s="3"/>
      <c r="BJ523" s="3"/>
      <c r="BK523" s="3"/>
      <c r="BL523" s="3"/>
      <c r="BM523" s="3"/>
      <c r="BN523" s="3" t="s">
        <v>2114</v>
      </c>
    </row>
    <row r="524" spans="2:66" ht="12.95" customHeight="1">
      <c r="B524" s="1664"/>
      <c r="C524" s="1446"/>
      <c r="D524" s="1446"/>
      <c r="E524" s="1446"/>
      <c r="F524" s="1446"/>
      <c r="G524" s="1446"/>
      <c r="H524" s="1447"/>
      <c r="I524" t="s">
        <v>420</v>
      </c>
      <c r="AC524" s="1686">
        <v>12</v>
      </c>
      <c r="AD524" s="1687"/>
      <c r="AE524" s="1687"/>
      <c r="AF524" s="1687"/>
      <c r="AG524" s="13" t="s">
        <v>402</v>
      </c>
      <c r="AH524" s="1401">
        <v>2023</v>
      </c>
      <c r="AI524" s="1401"/>
      <c r="AJ524" s="1401"/>
      <c r="AK524" s="1402"/>
      <c r="AZ524" s="3"/>
      <c r="BA524" s="3"/>
      <c r="BB524" s="3"/>
      <c r="BC524" s="3"/>
      <c r="BD524" s="3"/>
      <c r="BE524" s="3"/>
      <c r="BF524" s="3"/>
      <c r="BG524" s="3"/>
      <c r="BH524" s="3"/>
      <c r="BI524" s="3"/>
      <c r="BJ524" s="3"/>
      <c r="BK524" s="3"/>
      <c r="BL524" s="3"/>
      <c r="BM524" s="3"/>
      <c r="BN524" s="3" t="s">
        <v>2115</v>
      </c>
    </row>
    <row r="525" spans="2:66" ht="12.95" customHeight="1">
      <c r="B525" s="1664"/>
      <c r="C525" s="1446"/>
      <c r="D525" s="1446"/>
      <c r="E525" s="1446"/>
      <c r="F525" s="1446"/>
      <c r="G525" s="1446"/>
      <c r="H525" s="1447"/>
      <c r="I525" s="48" t="s">
        <v>421</v>
      </c>
      <c r="J525" s="48"/>
      <c r="K525" s="48"/>
      <c r="L525" s="48"/>
      <c r="M525" s="48"/>
      <c r="N525" s="48"/>
      <c r="O525" s="48"/>
      <c r="P525" s="48"/>
      <c r="Q525" s="48"/>
      <c r="R525" s="48"/>
      <c r="S525" s="48"/>
      <c r="T525" s="48"/>
      <c r="U525" s="48"/>
      <c r="V525" s="48"/>
      <c r="W525" s="48"/>
      <c r="X525" s="48"/>
      <c r="Y525" s="48"/>
      <c r="Z525" s="48"/>
      <c r="AA525" s="48"/>
      <c r="AB525" s="48"/>
      <c r="AC525" s="1686">
        <v>4</v>
      </c>
      <c r="AD525" s="1687"/>
      <c r="AE525" s="1687"/>
      <c r="AF525" s="1687"/>
      <c r="AG525" s="38" t="s">
        <v>402</v>
      </c>
      <c r="AH525" s="1401">
        <v>2024</v>
      </c>
      <c r="AI525" s="1401"/>
      <c r="AJ525" s="1401"/>
      <c r="AK525" s="1402"/>
      <c r="AZ525" s="3"/>
      <c r="BA525" s="3"/>
      <c r="BB525" s="3"/>
      <c r="BC525" s="3"/>
      <c r="BD525" s="3"/>
      <c r="BE525" s="3"/>
      <c r="BF525" s="3"/>
      <c r="BG525" s="3"/>
      <c r="BH525" s="3"/>
      <c r="BI525" s="3"/>
      <c r="BJ525" s="3"/>
      <c r="BK525" s="3"/>
      <c r="BL525" s="3"/>
      <c r="BM525" s="3"/>
      <c r="BN525" s="3" t="s">
        <v>2116</v>
      </c>
    </row>
    <row r="526" spans="2:66" ht="12.95" customHeight="1">
      <c r="B526" s="1664"/>
      <c r="C526" s="1446"/>
      <c r="D526" s="1446"/>
      <c r="E526" s="1446"/>
      <c r="F526" s="1446"/>
      <c r="G526" s="1446"/>
      <c r="H526" s="1447"/>
      <c r="I526" s="42" t="s">
        <v>422</v>
      </c>
      <c r="J526" s="42"/>
      <c r="K526" s="42"/>
      <c r="L526" s="42"/>
      <c r="M526" s="42"/>
      <c r="N526" s="42"/>
      <c r="O526" s="1862" t="s">
        <v>2731</v>
      </c>
      <c r="P526" s="1862"/>
      <c r="Q526" s="1862"/>
      <c r="R526" s="1862"/>
      <c r="S526" s="1862"/>
      <c r="T526" s="1862"/>
      <c r="U526" s="1862"/>
      <c r="V526" s="1862"/>
      <c r="W526" s="1862"/>
      <c r="X526" s="1862"/>
      <c r="Y526" s="1862"/>
      <c r="Z526" s="1862"/>
      <c r="AA526" s="1862"/>
      <c r="AC526" s="1686" t="s">
        <v>591</v>
      </c>
      <c r="AD526" s="1687"/>
      <c r="AE526" s="1687"/>
      <c r="AF526" s="1687"/>
      <c r="AG526" s="13" t="s">
        <v>402</v>
      </c>
      <c r="AH526" s="1401"/>
      <c r="AI526" s="1401"/>
      <c r="AJ526" s="1401"/>
      <c r="AK526" s="1402"/>
      <c r="AZ526" s="3"/>
      <c r="BA526" s="3"/>
      <c r="BB526" s="3"/>
      <c r="BC526" s="3"/>
      <c r="BD526" s="3"/>
      <c r="BE526" s="3"/>
      <c r="BF526" s="3"/>
      <c r="BG526" s="3"/>
      <c r="BH526" s="3"/>
      <c r="BI526" s="3"/>
      <c r="BJ526" s="3"/>
      <c r="BK526" s="3"/>
      <c r="BL526" s="3"/>
      <c r="BM526" s="3"/>
      <c r="BN526" s="3" t="s">
        <v>2117</v>
      </c>
    </row>
    <row r="527" spans="2:66" ht="12.95" customHeight="1">
      <c r="B527" s="1664"/>
      <c r="C527" s="1446"/>
      <c r="D527" s="1446"/>
      <c r="E527" s="1446"/>
      <c r="F527" s="1446"/>
      <c r="G527" s="1446"/>
      <c r="H527" s="1447"/>
      <c r="I527" t="s">
        <v>420</v>
      </c>
      <c r="AC527" s="1686">
        <v>4</v>
      </c>
      <c r="AD527" s="1687"/>
      <c r="AE527" s="1687"/>
      <c r="AF527" s="1687"/>
      <c r="AG527" s="13" t="s">
        <v>402</v>
      </c>
      <c r="AH527" s="1401">
        <v>2025</v>
      </c>
      <c r="AI527" s="1401"/>
      <c r="AJ527" s="1401"/>
      <c r="AK527" s="1402"/>
      <c r="AZ527" s="3"/>
      <c r="BA527" s="3"/>
      <c r="BB527" s="3"/>
      <c r="BC527" s="3"/>
      <c r="BD527" s="3"/>
      <c r="BE527" s="3"/>
      <c r="BF527" s="3"/>
      <c r="BG527" s="3"/>
      <c r="BH527" s="3"/>
      <c r="BI527" s="3"/>
      <c r="BJ527" s="3"/>
      <c r="BK527" s="3"/>
      <c r="BL527" s="3"/>
      <c r="BM527" s="3"/>
      <c r="BN527" s="3" t="s">
        <v>2118</v>
      </c>
    </row>
    <row r="528" spans="2:66" ht="12.95" customHeight="1">
      <c r="B528" s="1664"/>
      <c r="C528" s="1446"/>
      <c r="D528" s="1446"/>
      <c r="E528" s="1446"/>
      <c r="F528" s="1446"/>
      <c r="G528" s="1446"/>
      <c r="H528" s="1447"/>
      <c r="I528" s="48" t="s">
        <v>421</v>
      </c>
      <c r="J528" s="48"/>
      <c r="K528" s="48"/>
      <c r="L528" s="48"/>
      <c r="M528" s="48"/>
      <c r="N528" s="48"/>
      <c r="O528" s="48"/>
      <c r="P528" s="48"/>
      <c r="Q528" s="48"/>
      <c r="R528" s="48"/>
      <c r="S528" s="48"/>
      <c r="T528" s="48"/>
      <c r="U528" s="48"/>
      <c r="V528" s="48"/>
      <c r="W528" s="48"/>
      <c r="X528" s="48"/>
      <c r="Y528" s="48"/>
      <c r="Z528" s="48"/>
      <c r="AA528" s="48"/>
      <c r="AB528" s="48"/>
      <c r="AC528" s="1686">
        <v>9</v>
      </c>
      <c r="AD528" s="1687"/>
      <c r="AE528" s="1687"/>
      <c r="AF528" s="1687"/>
      <c r="AG528" s="38" t="s">
        <v>402</v>
      </c>
      <c r="AH528" s="1401">
        <v>2025</v>
      </c>
      <c r="AI528" s="1401"/>
      <c r="AJ528" s="1401"/>
      <c r="AK528" s="1402"/>
      <c r="AZ528" s="3"/>
      <c r="BA528" s="3"/>
      <c r="BB528" s="3"/>
      <c r="BC528" s="3"/>
      <c r="BD528" s="3"/>
      <c r="BE528" s="3"/>
      <c r="BF528" s="3"/>
      <c r="BG528" s="3"/>
      <c r="BH528" s="3"/>
      <c r="BI528" s="3"/>
      <c r="BJ528" s="3"/>
      <c r="BK528" s="3"/>
      <c r="BL528" s="3"/>
      <c r="BM528" s="3"/>
      <c r="BN528" s="3" t="s">
        <v>2119</v>
      </c>
    </row>
    <row r="529" spans="1:66" ht="12.95" customHeight="1">
      <c r="B529" s="1664"/>
      <c r="C529" s="1446"/>
      <c r="D529" s="1446"/>
      <c r="E529" s="1446"/>
      <c r="F529" s="1446"/>
      <c r="G529" s="1446"/>
      <c r="H529" s="1447"/>
      <c r="I529" s="42" t="s">
        <v>422</v>
      </c>
      <c r="J529" s="42"/>
      <c r="K529" s="42"/>
      <c r="L529" s="42"/>
      <c r="M529" s="42"/>
      <c r="N529" s="42"/>
      <c r="O529" s="1752" t="s">
        <v>333</v>
      </c>
      <c r="P529" s="1753"/>
      <c r="Q529" s="1753"/>
      <c r="R529" s="1753"/>
      <c r="S529" s="1753"/>
      <c r="T529" s="1753"/>
      <c r="U529" s="1753"/>
      <c r="V529" s="1753"/>
      <c r="W529" s="1753"/>
      <c r="X529" s="1753"/>
      <c r="Y529" s="1753"/>
      <c r="Z529" s="1753"/>
      <c r="AA529" s="1753"/>
      <c r="AC529" s="1686" t="s">
        <v>591</v>
      </c>
      <c r="AD529" s="1687"/>
      <c r="AE529" s="1687"/>
      <c r="AF529" s="1687"/>
      <c r="AG529" s="13" t="s">
        <v>402</v>
      </c>
      <c r="AH529" s="1401"/>
      <c r="AI529" s="1401"/>
      <c r="AJ529" s="1401"/>
      <c r="AK529" s="1402"/>
      <c r="AZ529" s="3"/>
      <c r="BA529" s="3"/>
      <c r="BB529" s="3"/>
      <c r="BC529" s="3"/>
      <c r="BD529" s="3"/>
      <c r="BE529" s="3"/>
      <c r="BF529" s="3"/>
      <c r="BG529" s="3"/>
      <c r="BH529" s="3"/>
      <c r="BI529" s="3"/>
      <c r="BJ529" s="3"/>
      <c r="BK529" s="3"/>
      <c r="BL529" s="3"/>
      <c r="BM529" s="3"/>
      <c r="BN529" s="3" t="s">
        <v>2120</v>
      </c>
    </row>
    <row r="530" spans="1:66" ht="12.95" customHeight="1">
      <c r="B530" s="1664"/>
      <c r="C530" s="1446"/>
      <c r="D530" s="1446"/>
      <c r="E530" s="1446"/>
      <c r="F530" s="1446"/>
      <c r="G530" s="1446"/>
      <c r="H530" s="1447"/>
      <c r="I530" t="s">
        <v>420</v>
      </c>
      <c r="AC530" s="1686" t="s">
        <v>591</v>
      </c>
      <c r="AD530" s="1687"/>
      <c r="AE530" s="1687"/>
      <c r="AF530" s="1687"/>
      <c r="AG530" s="13" t="s">
        <v>402</v>
      </c>
      <c r="AH530" s="1401"/>
      <c r="AI530" s="1401"/>
      <c r="AJ530" s="1401"/>
      <c r="AK530" s="1402"/>
      <c r="AZ530" s="3"/>
      <c r="BA530" s="3"/>
      <c r="BB530" s="3"/>
      <c r="BC530" s="3"/>
      <c r="BD530" s="3"/>
      <c r="BE530" s="3"/>
      <c r="BF530" s="3"/>
      <c r="BG530" s="3"/>
      <c r="BH530" s="3"/>
      <c r="BI530" s="3"/>
      <c r="BJ530" s="3"/>
      <c r="BK530" s="3"/>
      <c r="BL530" s="3"/>
      <c r="BM530" s="3"/>
      <c r="BN530" s="3" t="s">
        <v>2121</v>
      </c>
    </row>
    <row r="531" spans="1:66" ht="12.95" customHeight="1">
      <c r="B531" s="1664"/>
      <c r="C531" s="1446"/>
      <c r="D531" s="1446"/>
      <c r="E531" s="1446"/>
      <c r="F531" s="1446"/>
      <c r="G531" s="1446"/>
      <c r="H531" s="1447"/>
      <c r="I531" s="48" t="s">
        <v>421</v>
      </c>
      <c r="J531" s="48"/>
      <c r="K531" s="48"/>
      <c r="L531" s="48"/>
      <c r="M531" s="48"/>
      <c r="N531" s="48"/>
      <c r="O531" s="48"/>
      <c r="P531" s="48"/>
      <c r="Q531" s="48"/>
      <c r="R531" s="48"/>
      <c r="S531" s="48"/>
      <c r="T531" s="48"/>
      <c r="U531" s="48"/>
      <c r="V531" s="48"/>
      <c r="W531" s="48"/>
      <c r="X531" s="48"/>
      <c r="Y531" s="48"/>
      <c r="Z531" s="48"/>
      <c r="AA531" s="48"/>
      <c r="AB531" s="48"/>
      <c r="AC531" s="1686" t="s">
        <v>591</v>
      </c>
      <c r="AD531" s="1687"/>
      <c r="AE531" s="1687"/>
      <c r="AF531" s="1687"/>
      <c r="AG531" s="38" t="s">
        <v>402</v>
      </c>
      <c r="AH531" s="1401"/>
      <c r="AI531" s="1401"/>
      <c r="AJ531" s="1401"/>
      <c r="AK531" s="1402"/>
      <c r="AZ531" s="3"/>
      <c r="BA531" s="3"/>
      <c r="BB531" s="3"/>
      <c r="BC531" s="3"/>
      <c r="BD531" s="3"/>
      <c r="BE531" s="3"/>
      <c r="BF531" s="3"/>
      <c r="BG531" s="3"/>
      <c r="BH531" s="3"/>
      <c r="BI531" s="3"/>
      <c r="BJ531" s="3"/>
      <c r="BK531" s="3"/>
      <c r="BL531" s="3"/>
      <c r="BM531" s="3"/>
      <c r="BN531" s="3" t="s">
        <v>2122</v>
      </c>
    </row>
    <row r="532" spans="1:66" ht="12.95" customHeight="1">
      <c r="B532" s="1664"/>
      <c r="C532" s="1446"/>
      <c r="D532" s="1446"/>
      <c r="E532" s="1446"/>
      <c r="F532" s="1446"/>
      <c r="G532" s="1446"/>
      <c r="H532" s="1447"/>
      <c r="I532" s="42" t="s">
        <v>422</v>
      </c>
      <c r="J532" s="42"/>
      <c r="K532" s="42"/>
      <c r="L532" s="42"/>
      <c r="M532" s="42"/>
      <c r="N532" s="42"/>
      <c r="O532" s="1752" t="s">
        <v>333</v>
      </c>
      <c r="P532" s="1753"/>
      <c r="Q532" s="1753"/>
      <c r="R532" s="1753"/>
      <c r="S532" s="1753"/>
      <c r="T532" s="1753"/>
      <c r="U532" s="1753"/>
      <c r="V532" s="1753"/>
      <c r="W532" s="1753"/>
      <c r="X532" s="1753"/>
      <c r="Y532" s="1753"/>
      <c r="Z532" s="1753"/>
      <c r="AA532" s="1753"/>
      <c r="AC532" s="1686" t="s">
        <v>591</v>
      </c>
      <c r="AD532" s="1687"/>
      <c r="AE532" s="1687"/>
      <c r="AF532" s="1687"/>
      <c r="AG532" s="13" t="s">
        <v>402</v>
      </c>
      <c r="AH532" s="1401"/>
      <c r="AI532" s="1401"/>
      <c r="AJ532" s="1401"/>
      <c r="AK532" s="1402"/>
      <c r="AZ532" s="3"/>
      <c r="BA532" s="3"/>
      <c r="BB532" s="3"/>
      <c r="BC532" s="3"/>
      <c r="BD532" s="3"/>
      <c r="BE532" s="3"/>
      <c r="BF532" s="3"/>
      <c r="BG532" s="3"/>
      <c r="BH532" s="3"/>
      <c r="BI532" s="3"/>
      <c r="BJ532" s="3"/>
      <c r="BK532" s="3"/>
      <c r="BL532" s="3"/>
      <c r="BM532" s="3"/>
      <c r="BN532" s="3" t="s">
        <v>2123</v>
      </c>
    </row>
    <row r="533" spans="1:66" ht="12.95" customHeight="1">
      <c r="B533" s="1664"/>
      <c r="C533" s="1446"/>
      <c r="D533" s="1446"/>
      <c r="E533" s="1446"/>
      <c r="F533" s="1446"/>
      <c r="G533" s="1446"/>
      <c r="H533" s="1447"/>
      <c r="I533" t="s">
        <v>420</v>
      </c>
      <c r="AC533" s="1686" t="s">
        <v>591</v>
      </c>
      <c r="AD533" s="1687"/>
      <c r="AE533" s="1687"/>
      <c r="AF533" s="1687"/>
      <c r="AG533" s="38" t="s">
        <v>402</v>
      </c>
      <c r="AH533" s="1401"/>
      <c r="AI533" s="1401"/>
      <c r="AJ533" s="1401"/>
      <c r="AK533" s="1402"/>
      <c r="AZ533" s="3"/>
      <c r="BA533" s="3"/>
      <c r="BB533" s="3"/>
      <c r="BC533" s="3"/>
      <c r="BD533" s="3"/>
      <c r="BE533" s="3"/>
      <c r="BF533" s="3"/>
      <c r="BG533" s="3"/>
      <c r="BH533" s="3"/>
      <c r="BI533" s="3"/>
      <c r="BJ533" s="3"/>
      <c r="BK533" s="3"/>
      <c r="BL533" s="3"/>
      <c r="BM533" s="3"/>
      <c r="BN533" s="3" t="s">
        <v>2124</v>
      </c>
    </row>
    <row r="534" spans="1:66" ht="12.95" customHeight="1">
      <c r="B534" s="1664"/>
      <c r="C534" s="1446"/>
      <c r="D534" s="1446"/>
      <c r="E534" s="1446"/>
      <c r="F534" s="1446"/>
      <c r="G534" s="1446"/>
      <c r="H534" s="1447"/>
      <c r="I534" s="48" t="s">
        <v>421</v>
      </c>
      <c r="J534" s="48"/>
      <c r="K534" s="48"/>
      <c r="L534" s="48"/>
      <c r="M534" s="48"/>
      <c r="N534" s="48"/>
      <c r="O534" s="48"/>
      <c r="P534" s="48"/>
      <c r="Q534" s="48"/>
      <c r="R534" s="48"/>
      <c r="S534" s="48"/>
      <c r="T534" s="48"/>
      <c r="U534" s="48"/>
      <c r="V534" s="48"/>
      <c r="W534" s="48"/>
      <c r="X534" s="48"/>
      <c r="Y534" s="48"/>
      <c r="Z534" s="48"/>
      <c r="AA534" s="48"/>
      <c r="AB534" s="48"/>
      <c r="AC534" s="1686" t="s">
        <v>591</v>
      </c>
      <c r="AD534" s="1687"/>
      <c r="AE534" s="1687"/>
      <c r="AF534" s="1687"/>
      <c r="AG534" s="13" t="s">
        <v>402</v>
      </c>
      <c r="AH534" s="1401"/>
      <c r="AI534" s="1401"/>
      <c r="AJ534" s="1401"/>
      <c r="AK534" s="1402"/>
      <c r="AZ534" s="3"/>
      <c r="BA534" s="3"/>
      <c r="BB534" s="3"/>
      <c r="BC534" s="3"/>
      <c r="BD534" s="3"/>
      <c r="BE534" s="3"/>
      <c r="BF534" s="3"/>
      <c r="BG534" s="3"/>
      <c r="BH534" s="3"/>
      <c r="BI534" s="3"/>
      <c r="BJ534" s="3"/>
      <c r="BK534" s="3"/>
      <c r="BL534" s="3"/>
      <c r="BM534" s="3"/>
      <c r="BN534" s="3" t="s">
        <v>2125</v>
      </c>
    </row>
    <row r="535" spans="1:66" ht="12.95" customHeight="1">
      <c r="B535" s="1664"/>
      <c r="C535" s="1446"/>
      <c r="D535" s="1446"/>
      <c r="E535" s="1446"/>
      <c r="F535" s="1446"/>
      <c r="G535" s="1446"/>
      <c r="H535" s="1447"/>
      <c r="I535" s="42" t="s">
        <v>422</v>
      </c>
      <c r="J535" s="42"/>
      <c r="K535" s="42"/>
      <c r="L535" s="42"/>
      <c r="M535" s="42"/>
      <c r="N535" s="42"/>
      <c r="O535" s="1752" t="s">
        <v>333</v>
      </c>
      <c r="P535" s="1753"/>
      <c r="Q535" s="1753"/>
      <c r="R535" s="1753"/>
      <c r="S535" s="1753"/>
      <c r="T535" s="1753"/>
      <c r="U535" s="1753"/>
      <c r="V535" s="1753"/>
      <c r="W535" s="1753"/>
      <c r="X535" s="1753"/>
      <c r="Y535" s="1753"/>
      <c r="Z535" s="1753"/>
      <c r="AA535" s="1753"/>
      <c r="AC535" s="1686" t="s">
        <v>591</v>
      </c>
      <c r="AD535" s="1687"/>
      <c r="AE535" s="1687"/>
      <c r="AF535" s="1687"/>
      <c r="AG535" s="38" t="s">
        <v>402</v>
      </c>
      <c r="AH535" s="1401"/>
      <c r="AI535" s="1401"/>
      <c r="AJ535" s="1401"/>
      <c r="AK535" s="1402"/>
      <c r="AZ535" s="3"/>
      <c r="BA535" s="3"/>
      <c r="BB535" s="3"/>
      <c r="BC535" s="3"/>
      <c r="BD535" s="3"/>
      <c r="BE535" s="3"/>
      <c r="BF535" s="3"/>
      <c r="BG535" s="3"/>
      <c r="BH535" s="3"/>
      <c r="BI535" s="3"/>
      <c r="BJ535" s="3"/>
      <c r="BK535" s="3"/>
      <c r="BL535" s="3"/>
      <c r="BM535" s="3"/>
      <c r="BN535" s="3" t="s">
        <v>2126</v>
      </c>
    </row>
    <row r="536" spans="1:66" ht="12.95" customHeight="1">
      <c r="B536" s="1664"/>
      <c r="C536" s="1446"/>
      <c r="D536" s="1446"/>
      <c r="E536" s="1446"/>
      <c r="F536" s="1446"/>
      <c r="G536" s="1446"/>
      <c r="H536" s="1447"/>
      <c r="I536" t="s">
        <v>420</v>
      </c>
      <c r="AC536" s="1686" t="s">
        <v>591</v>
      </c>
      <c r="AD536" s="1687"/>
      <c r="AE536" s="1687"/>
      <c r="AF536" s="1687"/>
      <c r="AG536" s="13" t="s">
        <v>402</v>
      </c>
      <c r="AH536" s="1401"/>
      <c r="AI536" s="1401"/>
      <c r="AJ536" s="1401"/>
      <c r="AK536" s="1402"/>
      <c r="AZ536" s="3"/>
      <c r="BA536" s="3"/>
      <c r="BB536" s="3"/>
      <c r="BC536" s="3"/>
      <c r="BD536" s="3"/>
      <c r="BE536" s="3"/>
      <c r="BF536" s="3"/>
      <c r="BG536" s="3"/>
      <c r="BH536" s="3"/>
      <c r="BI536" s="3"/>
      <c r="BJ536" s="3"/>
      <c r="BK536" s="3"/>
      <c r="BL536" s="3"/>
      <c r="BM536" s="3"/>
      <c r="BN536" s="3" t="s">
        <v>2127</v>
      </c>
    </row>
    <row r="537" spans="1:66" ht="12.95" customHeight="1">
      <c r="B537" s="1664"/>
      <c r="C537" s="1446"/>
      <c r="D537" s="1446"/>
      <c r="E537" s="1446"/>
      <c r="F537" s="1446"/>
      <c r="G537" s="1446"/>
      <c r="H537" s="1447"/>
      <c r="I537" s="48" t="s">
        <v>421</v>
      </c>
      <c r="J537" s="48"/>
      <c r="K537" s="48"/>
      <c r="L537" s="48"/>
      <c r="M537" s="48"/>
      <c r="N537" s="48"/>
      <c r="O537" s="48"/>
      <c r="P537" s="48"/>
      <c r="Q537" s="48"/>
      <c r="R537" s="48"/>
      <c r="S537" s="48"/>
      <c r="T537" s="48"/>
      <c r="U537" s="48"/>
      <c r="V537" s="48"/>
      <c r="W537" s="48"/>
      <c r="X537" s="48"/>
      <c r="Y537" s="48"/>
      <c r="Z537" s="48"/>
      <c r="AA537" s="48"/>
      <c r="AB537" s="48"/>
      <c r="AC537" s="1686" t="s">
        <v>591</v>
      </c>
      <c r="AD537" s="1687"/>
      <c r="AE537" s="1687"/>
      <c r="AF537" s="1687"/>
      <c r="AG537" s="38" t="s">
        <v>402</v>
      </c>
      <c r="AH537" s="1401"/>
      <c r="AI537" s="1401"/>
      <c r="AJ537" s="1401"/>
      <c r="AK537" s="1402"/>
      <c r="AZ537" s="3"/>
      <c r="BA537" s="3"/>
      <c r="BB537" s="3"/>
      <c r="BC537" s="3"/>
      <c r="BD537" s="3"/>
      <c r="BE537" s="3"/>
      <c r="BF537" s="3"/>
      <c r="BG537" s="3"/>
      <c r="BH537" s="3"/>
      <c r="BI537" s="3"/>
      <c r="BJ537" s="3"/>
      <c r="BK537" s="3"/>
      <c r="BL537" s="3"/>
      <c r="BM537" s="3"/>
      <c r="BN537" s="3" t="s">
        <v>2128</v>
      </c>
    </row>
    <row r="538" spans="1:66" ht="12.95" customHeight="1">
      <c r="B538" s="1664"/>
      <c r="C538" s="1446"/>
      <c r="D538" s="1446"/>
      <c r="E538" s="1446"/>
      <c r="F538" s="1446"/>
      <c r="G538" s="1446"/>
      <c r="H538" s="1447"/>
      <c r="I538" s="42" t="s">
        <v>562</v>
      </c>
      <c r="J538" s="42"/>
      <c r="K538" s="42"/>
      <c r="L538" s="42"/>
      <c r="M538" s="42"/>
      <c r="N538" s="42"/>
      <c r="O538" s="42"/>
      <c r="P538" s="42"/>
      <c r="Q538" s="42"/>
      <c r="R538" s="42"/>
      <c r="S538" s="42"/>
      <c r="T538" s="42"/>
      <c r="U538" s="42"/>
      <c r="V538" s="42"/>
      <c r="W538" s="42"/>
      <c r="AC538" s="1686">
        <v>10</v>
      </c>
      <c r="AD538" s="1687"/>
      <c r="AE538" s="1687"/>
      <c r="AF538" s="1687"/>
      <c r="AG538" s="38" t="s">
        <v>402</v>
      </c>
      <c r="AH538" s="1401">
        <v>2026</v>
      </c>
      <c r="AI538" s="1401"/>
      <c r="AJ538" s="1401"/>
      <c r="AK538" s="1402"/>
      <c r="AZ538" s="3"/>
      <c r="BA538" s="3"/>
      <c r="BB538" s="3"/>
      <c r="BC538" s="3"/>
      <c r="BD538" s="3"/>
      <c r="BE538" s="3"/>
      <c r="BF538" s="3"/>
      <c r="BG538" s="3"/>
      <c r="BH538" s="3"/>
      <c r="BI538" s="3"/>
      <c r="BJ538" s="3"/>
      <c r="BK538" s="3"/>
      <c r="BL538" s="3"/>
      <c r="BM538" s="3"/>
      <c r="BN538" s="3"/>
    </row>
    <row r="539" spans="1:66" ht="12.95" customHeight="1">
      <c r="B539" s="1664"/>
      <c r="C539" s="1446"/>
      <c r="D539" s="1446"/>
      <c r="E539" s="1446"/>
      <c r="F539" s="1446"/>
      <c r="G539" s="1446"/>
      <c r="H539" s="1447"/>
      <c r="I539" t="s">
        <v>563</v>
      </c>
      <c r="AC539" s="1686">
        <v>5</v>
      </c>
      <c r="AD539" s="1687"/>
      <c r="AE539" s="1687"/>
      <c r="AF539" s="1687"/>
      <c r="AG539" s="13" t="s">
        <v>402</v>
      </c>
      <c r="AH539" s="1401">
        <v>2026</v>
      </c>
      <c r="AI539" s="1401"/>
      <c r="AJ539" s="1401"/>
      <c r="AK539" s="1402"/>
      <c r="AZ539" s="3"/>
      <c r="BA539" s="3"/>
      <c r="BB539" s="3"/>
      <c r="BC539" s="3"/>
      <c r="BD539" s="3"/>
      <c r="BE539" s="3"/>
      <c r="BF539" s="3"/>
      <c r="BG539" s="3"/>
      <c r="BH539" s="3"/>
      <c r="BI539" s="3"/>
      <c r="BJ539" s="3"/>
      <c r="BK539" s="3"/>
      <c r="BL539" s="3"/>
      <c r="BM539" s="3"/>
      <c r="BN539" s="3"/>
    </row>
    <row r="540" spans="1:66" ht="12.95" customHeight="1">
      <c r="B540" s="1664"/>
      <c r="C540" s="1446"/>
      <c r="D540" s="1446"/>
      <c r="E540" s="1446"/>
      <c r="F540" s="1446"/>
      <c r="G540" s="1446"/>
      <c r="H540" s="1447"/>
      <c r="I540" t="s">
        <v>564</v>
      </c>
      <c r="AC540" s="1686">
        <v>11</v>
      </c>
      <c r="AD540" s="1687"/>
      <c r="AE540" s="1687"/>
      <c r="AF540" s="1687"/>
      <c r="AG540" s="38" t="s">
        <v>402</v>
      </c>
      <c r="AH540" s="1401">
        <v>2027</v>
      </c>
      <c r="AI540" s="1401"/>
      <c r="AJ540" s="1401"/>
      <c r="AK540" s="1402"/>
      <c r="AZ540" s="3"/>
      <c r="BA540" s="3"/>
      <c r="BB540" s="3"/>
      <c r="BC540" s="3"/>
      <c r="BD540" s="3"/>
      <c r="BE540" s="3"/>
      <c r="BF540" s="3"/>
      <c r="BG540" s="3"/>
      <c r="BH540" s="3"/>
      <c r="BI540" s="3"/>
      <c r="BJ540" s="3"/>
      <c r="BK540" s="3"/>
      <c r="BL540" s="3"/>
      <c r="BM540" s="3"/>
      <c r="BN540" s="3"/>
    </row>
    <row r="541" spans="1:66" ht="12.95" customHeight="1">
      <c r="B541" s="1664"/>
      <c r="C541" s="1446"/>
      <c r="D541" s="1446"/>
      <c r="E541" s="1446"/>
      <c r="F541" s="1446"/>
      <c r="G541" s="1446"/>
      <c r="H541" s="1447"/>
      <c r="I541" t="s">
        <v>565</v>
      </c>
      <c r="AC541" s="1686">
        <v>11</v>
      </c>
      <c r="AD541" s="1687"/>
      <c r="AE541" s="1687"/>
      <c r="AF541" s="1687"/>
      <c r="AG541" s="38" t="s">
        <v>402</v>
      </c>
      <c r="AH541" s="1401">
        <v>2027</v>
      </c>
      <c r="AI541" s="1401"/>
      <c r="AJ541" s="1401"/>
      <c r="AK541" s="1402"/>
      <c r="AZ541" s="3"/>
      <c r="BA541" s="3"/>
      <c r="BB541" s="3"/>
      <c r="BC541" s="3"/>
      <c r="BD541" s="3"/>
      <c r="BE541" s="3"/>
      <c r="BF541" s="3"/>
      <c r="BG541" s="3"/>
      <c r="BH541" s="3"/>
      <c r="BI541" s="3"/>
      <c r="BJ541" s="3"/>
      <c r="BK541" s="3"/>
      <c r="BL541" s="3"/>
      <c r="BM541" s="3"/>
      <c r="BN541" s="3"/>
    </row>
    <row r="542" spans="1:66" ht="12.95" customHeight="1">
      <c r="B542" s="1665"/>
      <c r="C542" s="1448"/>
      <c r="D542" s="1448"/>
      <c r="E542" s="1448"/>
      <c r="F542" s="1448"/>
      <c r="G542" s="1448"/>
      <c r="H542" s="1449"/>
      <c r="I542" s="48" t="s">
        <v>451</v>
      </c>
      <c r="J542" s="48"/>
      <c r="K542" s="48"/>
      <c r="L542" s="48"/>
      <c r="M542" s="48"/>
      <c r="N542" s="48"/>
      <c r="O542" s="48"/>
      <c r="P542" s="48"/>
      <c r="Q542" s="48"/>
      <c r="R542" s="48"/>
      <c r="S542" s="48"/>
      <c r="T542" s="48"/>
      <c r="U542" s="48"/>
      <c r="V542" s="48"/>
      <c r="W542" s="48"/>
      <c r="X542" s="48"/>
      <c r="Y542" s="48"/>
      <c r="Z542" s="48"/>
      <c r="AA542" s="48"/>
      <c r="AB542" s="48"/>
      <c r="AC542" s="1686">
        <v>2</v>
      </c>
      <c r="AD542" s="1687"/>
      <c r="AE542" s="1687"/>
      <c r="AF542" s="1687"/>
      <c r="AG542" s="38" t="s">
        <v>402</v>
      </c>
      <c r="AH542" s="1401">
        <v>2028</v>
      </c>
      <c r="AI542" s="1401"/>
      <c r="AJ542" s="1401"/>
      <c r="AK542" s="1402"/>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60" t="s">
        <v>543</v>
      </c>
      <c r="B544" s="1260"/>
      <c r="C544" s="1260"/>
      <c r="D544" s="1260"/>
      <c r="E544" s="1260"/>
      <c r="F544" s="1260"/>
      <c r="G544" s="1260"/>
      <c r="H544" s="1260"/>
      <c r="I544" s="1260"/>
      <c r="J544" s="1260"/>
      <c r="K544" s="1260"/>
      <c r="L544" s="1260"/>
      <c r="M544" s="1260"/>
      <c r="N544" s="1260"/>
      <c r="O544" s="1260"/>
      <c r="P544" s="1260"/>
      <c r="Q544" s="1260"/>
      <c r="R544" s="1260"/>
      <c r="S544" s="1260"/>
      <c r="T544" s="1260"/>
      <c r="U544" s="1260"/>
      <c r="V544" s="1260"/>
      <c r="W544" s="1260"/>
      <c r="X544" s="1260"/>
      <c r="Y544" s="1260"/>
      <c r="Z544" s="1260"/>
      <c r="AA544" s="1260"/>
      <c r="AB544" s="1260"/>
      <c r="AC544" s="1260"/>
      <c r="AD544" s="1260"/>
      <c r="AE544" s="1260"/>
      <c r="AF544" s="1260"/>
      <c r="AG544" s="1260"/>
      <c r="AH544" s="1260"/>
      <c r="AI544" s="1260"/>
      <c r="AJ544" s="1260"/>
      <c r="AK544" s="1260"/>
      <c r="AL544" s="1260"/>
      <c r="AM544" s="1260"/>
      <c r="AN544" s="1260"/>
      <c r="AO544" s="1260"/>
      <c r="AP544" s="1260"/>
      <c r="AQ544" s="1260"/>
      <c r="AR544" s="1260"/>
      <c r="AS544" s="1260"/>
      <c r="AT544" s="126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0"/>
      <c r="B545" s="1260"/>
      <c r="C545" s="1260"/>
      <c r="D545" s="1260"/>
      <c r="E545" s="1260"/>
      <c r="F545" s="1260"/>
      <c r="G545" s="1260"/>
      <c r="H545" s="1260"/>
      <c r="I545" s="1260"/>
      <c r="J545" s="1260"/>
      <c r="K545" s="1260"/>
      <c r="L545" s="1260"/>
      <c r="M545" s="1260"/>
      <c r="N545" s="1260"/>
      <c r="O545" s="1260"/>
      <c r="P545" s="1260"/>
      <c r="Q545" s="1260"/>
      <c r="R545" s="1260"/>
      <c r="S545" s="1260"/>
      <c r="T545" s="1260"/>
      <c r="U545" s="1260"/>
      <c r="V545" s="1260"/>
      <c r="W545" s="1260"/>
      <c r="X545" s="1260"/>
      <c r="Y545" s="1260"/>
      <c r="Z545" s="1260"/>
      <c r="AA545" s="1260"/>
      <c r="AB545" s="1260"/>
      <c r="AC545" s="1260"/>
      <c r="AD545" s="1260"/>
      <c r="AE545" s="1260"/>
      <c r="AF545" s="1260"/>
      <c r="AG545" s="1260"/>
      <c r="AH545" s="1260"/>
      <c r="AI545" s="1260"/>
      <c r="AJ545" s="1260"/>
      <c r="AK545" s="1260"/>
      <c r="AL545" s="1260"/>
      <c r="AM545" s="1260"/>
      <c r="AN545" s="1260"/>
      <c r="AO545" s="1260"/>
      <c r="AP545" s="1260"/>
      <c r="AQ545" s="1260"/>
      <c r="AR545" s="1260"/>
      <c r="AS545" s="1260"/>
      <c r="AT545" s="126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318</v>
      </c>
      <c r="B547" s="2"/>
      <c r="C547" s="2" t="s">
        <v>452</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2100</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663" t="s">
        <v>2102</v>
      </c>
      <c r="C551" s="1444"/>
      <c r="D551" s="1444"/>
      <c r="E551" s="1444"/>
      <c r="F551" s="1444"/>
      <c r="G551" s="1444"/>
      <c r="H551" s="1444"/>
      <c r="I551" s="1444"/>
      <c r="J551" s="1444"/>
      <c r="K551" s="1444"/>
      <c r="L551" s="1445"/>
      <c r="M551" s="1663" t="s">
        <v>2103</v>
      </c>
      <c r="N551" s="1444"/>
      <c r="O551" s="1444"/>
      <c r="P551" s="1445"/>
      <c r="Q551" s="1663" t="s">
        <v>2129</v>
      </c>
      <c r="R551" s="1444"/>
      <c r="S551" s="1445"/>
      <c r="T551" s="1663" t="s">
        <v>2130</v>
      </c>
      <c r="U551" s="1444"/>
      <c r="V551" s="1445"/>
      <c r="W551" s="1663" t="s">
        <v>453</v>
      </c>
      <c r="X551" s="1444"/>
      <c r="Y551" s="1445"/>
      <c r="Z551" s="1663" t="s">
        <v>1851</v>
      </c>
      <c r="AA551" s="1444"/>
      <c r="AB551" s="1444"/>
      <c r="AC551" s="1444"/>
      <c r="AD551" s="1445"/>
      <c r="AE551" s="1663" t="s">
        <v>1676</v>
      </c>
      <c r="AF551" s="1444"/>
      <c r="AG551" s="1444"/>
      <c r="AH551" s="1445"/>
      <c r="AI551" s="1663" t="s">
        <v>1677</v>
      </c>
      <c r="AJ551" s="1444"/>
      <c r="AK551" s="1444"/>
      <c r="AL551" s="1445"/>
      <c r="AM551" s="1663" t="s">
        <v>454</v>
      </c>
      <c r="AN551" s="1444"/>
      <c r="AO551" s="1444"/>
      <c r="AP551" s="1444"/>
      <c r="AQ551" s="1444"/>
      <c r="AR551" s="1444"/>
      <c r="AS551" s="1445"/>
      <c r="BB551" s="3"/>
      <c r="BC551" s="3"/>
      <c r="BD551" s="3"/>
      <c r="BE551" s="3"/>
      <c r="BF551" s="3"/>
      <c r="BG551" s="3"/>
      <c r="BH551" s="3" t="s">
        <v>581</v>
      </c>
      <c r="BI551" s="3" t="str">
        <f>AG657</f>
        <v>Yes</v>
      </c>
    </row>
    <row r="552" spans="1:61" ht="12.95" customHeight="1">
      <c r="B552" s="1664"/>
      <c r="C552" s="1446"/>
      <c r="D552" s="1446"/>
      <c r="E552" s="1446"/>
      <c r="F552" s="1446"/>
      <c r="G552" s="1446"/>
      <c r="H552" s="1446"/>
      <c r="I552" s="1446"/>
      <c r="J552" s="1446"/>
      <c r="K552" s="1446"/>
      <c r="L552" s="1447"/>
      <c r="M552" s="1664"/>
      <c r="N552" s="1446"/>
      <c r="O552" s="1446"/>
      <c r="P552" s="1447"/>
      <c r="Q552" s="1664"/>
      <c r="R552" s="1446"/>
      <c r="S552" s="1447"/>
      <c r="T552" s="1664"/>
      <c r="U552" s="1446"/>
      <c r="V552" s="1447"/>
      <c r="W552" s="1664"/>
      <c r="X552" s="1446"/>
      <c r="Y552" s="1447"/>
      <c r="Z552" s="1664"/>
      <c r="AA552" s="1446"/>
      <c r="AB552" s="1446"/>
      <c r="AC552" s="1446"/>
      <c r="AD552" s="1447"/>
      <c r="AE552" s="1664"/>
      <c r="AF552" s="1446"/>
      <c r="AG552" s="1446"/>
      <c r="AH552" s="1447"/>
      <c r="AI552" s="1664"/>
      <c r="AJ552" s="1446"/>
      <c r="AK552" s="1446"/>
      <c r="AL552" s="1447"/>
      <c r="AM552" s="1664"/>
      <c r="AN552" s="1446"/>
      <c r="AO552" s="1446"/>
      <c r="AP552" s="1446"/>
      <c r="AQ552" s="1446"/>
      <c r="AR552" s="1446"/>
      <c r="AS552" s="1447"/>
      <c r="AU552" s="1147"/>
      <c r="BB552" s="3"/>
      <c r="BC552" s="3"/>
      <c r="BD552" s="3"/>
      <c r="BE552" s="3"/>
      <c r="BF552" s="3"/>
      <c r="BG552" s="3"/>
      <c r="BH552" s="3"/>
      <c r="BI552" s="3"/>
    </row>
    <row r="553" spans="1:61" ht="12.95" customHeight="1">
      <c r="B553" s="1665"/>
      <c r="C553" s="1448"/>
      <c r="D553" s="1448"/>
      <c r="E553" s="1448"/>
      <c r="F553" s="1448"/>
      <c r="G553" s="1448"/>
      <c r="H553" s="1448"/>
      <c r="I553" s="1448"/>
      <c r="J553" s="1448"/>
      <c r="K553" s="1448"/>
      <c r="L553" s="1449"/>
      <c r="M553" s="1665"/>
      <c r="N553" s="1448"/>
      <c r="O553" s="1448"/>
      <c r="P553" s="1449"/>
      <c r="Q553" s="1665"/>
      <c r="R553" s="1448"/>
      <c r="S553" s="1449"/>
      <c r="T553" s="1665"/>
      <c r="U553" s="1448"/>
      <c r="V553" s="1449"/>
      <c r="W553" s="1665"/>
      <c r="X553" s="1448"/>
      <c r="Y553" s="1449"/>
      <c r="Z553" s="1665"/>
      <c r="AA553" s="1448"/>
      <c r="AB553" s="1448"/>
      <c r="AC553" s="1448"/>
      <c r="AD553" s="1449"/>
      <c r="AE553" s="1665"/>
      <c r="AF553" s="1448"/>
      <c r="AG553" s="1448"/>
      <c r="AH553" s="1449"/>
      <c r="AI553" s="1665"/>
      <c r="AJ553" s="1448"/>
      <c r="AK553" s="1448"/>
      <c r="AL553" s="1449"/>
      <c r="AM553" s="1665"/>
      <c r="AN553" s="1448"/>
      <c r="AO553" s="1448"/>
      <c r="AP553" s="1448"/>
      <c r="AQ553" s="1448"/>
      <c r="AR553" s="1448"/>
      <c r="AS553" s="1449"/>
      <c r="AU553" s="1147"/>
      <c r="BB553" s="3"/>
      <c r="BC553" s="3"/>
      <c r="BD553" s="3"/>
      <c r="BE553" s="3"/>
      <c r="BF553" s="3"/>
      <c r="BG553" s="3"/>
      <c r="BH553" s="3"/>
      <c r="BI553" s="3"/>
    </row>
    <row r="554" spans="1:61" ht="12.95" customHeight="1">
      <c r="B554" s="51" t="s">
        <v>112</v>
      </c>
      <c r="C554" s="1681" t="s">
        <v>2741</v>
      </c>
      <c r="D554" s="1681"/>
      <c r="E554" s="1681"/>
      <c r="F554" s="1681"/>
      <c r="G554" s="1681"/>
      <c r="H554" s="1681"/>
      <c r="I554" s="1681"/>
      <c r="J554" s="1681"/>
      <c r="K554" s="1681"/>
      <c r="L554" s="1681"/>
      <c r="M554" s="1681" t="s">
        <v>2119</v>
      </c>
      <c r="N554" s="1681"/>
      <c r="O554" s="1681"/>
      <c r="P554" s="1681"/>
      <c r="Q554" s="1676">
        <v>27</v>
      </c>
      <c r="R554" s="1676"/>
      <c r="S554" s="1677"/>
      <c r="T554" s="1675"/>
      <c r="U554" s="1676"/>
      <c r="V554" s="1677"/>
      <c r="W554" s="1463">
        <v>5.8000000000000003E-2</v>
      </c>
      <c r="X554" s="1464"/>
      <c r="Y554" s="1465"/>
      <c r="Z554" s="1685" t="s">
        <v>1184</v>
      </c>
      <c r="AA554" s="1685"/>
      <c r="AB554" s="1685"/>
      <c r="AC554" s="1685"/>
      <c r="AD554" s="1685"/>
      <c r="AE554" s="1472">
        <v>1</v>
      </c>
      <c r="AF554" s="1473"/>
      <c r="AG554" s="1473"/>
      <c r="AH554" s="1474"/>
      <c r="AI554" s="1682"/>
      <c r="AJ554" s="1683"/>
      <c r="AK554" s="1683"/>
      <c r="AL554" s="1684"/>
      <c r="AM554" s="1456">
        <v>11757568</v>
      </c>
      <c r="AN554" s="1457"/>
      <c r="AO554" s="1457"/>
      <c r="AP554" s="1457"/>
      <c r="AQ554" s="1457"/>
      <c r="AR554" s="1457"/>
      <c r="AS554" s="1458"/>
      <c r="AT554" s="1148"/>
      <c r="AU554" s="1147"/>
      <c r="BB554" s="3"/>
      <c r="BC554" s="3"/>
      <c r="BD554" s="3"/>
      <c r="BE554" s="3"/>
      <c r="BF554" s="3"/>
      <c r="BG554" s="3"/>
      <c r="BH554" s="3"/>
      <c r="BI554" s="3"/>
    </row>
    <row r="555" spans="1:61" ht="12.95" customHeight="1">
      <c r="B555" s="52" t="s">
        <v>113</v>
      </c>
      <c r="C555" s="1668" t="s">
        <v>2741</v>
      </c>
      <c r="D555" s="1668"/>
      <c r="E555" s="1668"/>
      <c r="F555" s="1668"/>
      <c r="G555" s="1668"/>
      <c r="H555" s="1668"/>
      <c r="I555" s="1668"/>
      <c r="J555" s="1668"/>
      <c r="K555" s="1668"/>
      <c r="L555" s="1668"/>
      <c r="M555" s="1681" t="s">
        <v>2118</v>
      </c>
      <c r="N555" s="1681"/>
      <c r="O555" s="1681"/>
      <c r="P555" s="1681"/>
      <c r="Q555" s="1675">
        <v>27</v>
      </c>
      <c r="R555" s="1676"/>
      <c r="S555" s="1677"/>
      <c r="T555" s="1675"/>
      <c r="U555" s="1676"/>
      <c r="V555" s="1677"/>
      <c r="W555" s="1463">
        <v>6.7500000000000004E-2</v>
      </c>
      <c r="X555" s="1464"/>
      <c r="Y555" s="1465"/>
      <c r="Z555" s="1685" t="s">
        <v>1184</v>
      </c>
      <c r="AA555" s="1685"/>
      <c r="AB555" s="1685"/>
      <c r="AC555" s="1685"/>
      <c r="AD555" s="1685"/>
      <c r="AE555" s="1472">
        <v>2</v>
      </c>
      <c r="AF555" s="1473"/>
      <c r="AG555" s="1473"/>
      <c r="AH555" s="1474"/>
      <c r="AI555" s="1682"/>
      <c r="AJ555" s="1683"/>
      <c r="AK555" s="1683"/>
      <c r="AL555" s="1684"/>
      <c r="AM555" s="1456">
        <v>7312758</v>
      </c>
      <c r="AN555" s="1457"/>
      <c r="AO555" s="1457"/>
      <c r="AP555" s="1457"/>
      <c r="AQ555" s="1457"/>
      <c r="AR555" s="1457"/>
      <c r="AS555" s="1458"/>
      <c r="AT555" s="1148" t="str">
        <f>IF(AND(NOT(C554=""),C555="",NOT(C556="")),"!","")</f>
        <v/>
      </c>
      <c r="AU555" s="1147"/>
      <c r="BB555" s="3"/>
      <c r="BC555" s="3"/>
      <c r="BD555" s="3"/>
      <c r="BE555" s="3"/>
      <c r="BF555" s="3"/>
      <c r="BG555" s="3"/>
      <c r="BH555" s="3"/>
      <c r="BI555" s="3"/>
    </row>
    <row r="556" spans="1:61" ht="12.95" customHeight="1">
      <c r="B556" s="52" t="s">
        <v>119</v>
      </c>
      <c r="C556" s="1668" t="s">
        <v>2699</v>
      </c>
      <c r="D556" s="1668"/>
      <c r="E556" s="1668"/>
      <c r="F556" s="1668"/>
      <c r="G556" s="1668"/>
      <c r="H556" s="1668"/>
      <c r="I556" s="1668"/>
      <c r="J556" s="1668"/>
      <c r="K556" s="1668"/>
      <c r="L556" s="1668"/>
      <c r="M556" s="1681" t="s">
        <v>2115</v>
      </c>
      <c r="N556" s="1681"/>
      <c r="O556" s="1681"/>
      <c r="P556" s="1681"/>
      <c r="Q556" s="1675">
        <v>27</v>
      </c>
      <c r="R556" s="1676"/>
      <c r="S556" s="1677"/>
      <c r="T556" s="1675"/>
      <c r="U556" s="1676"/>
      <c r="V556" s="1677"/>
      <c r="W556" s="1463">
        <v>0.03</v>
      </c>
      <c r="X556" s="1464"/>
      <c r="Y556" s="1465"/>
      <c r="Z556" s="1685" t="s">
        <v>1184</v>
      </c>
      <c r="AA556" s="1685"/>
      <c r="AB556" s="1685"/>
      <c r="AC556" s="1685"/>
      <c r="AD556" s="1685"/>
      <c r="AE556" s="1472">
        <v>3</v>
      </c>
      <c r="AF556" s="1473"/>
      <c r="AG556" s="1473"/>
      <c r="AH556" s="1474"/>
      <c r="AI556" s="1682"/>
      <c r="AJ556" s="1683"/>
      <c r="AK556" s="1683"/>
      <c r="AL556" s="1684"/>
      <c r="AM556" s="1456">
        <v>13882199</v>
      </c>
      <c r="AN556" s="1457"/>
      <c r="AO556" s="1457"/>
      <c r="AP556" s="1457"/>
      <c r="AQ556" s="1457"/>
      <c r="AR556" s="1457"/>
      <c r="AS556" s="1458"/>
      <c r="AT556" s="1148" t="str">
        <f>IF(AND(NOT(C555=""),C556="",NOT(C557="")),"!","")</f>
        <v/>
      </c>
      <c r="AU556" s="1147"/>
      <c r="BB556" s="3"/>
      <c r="BC556" s="3"/>
      <c r="BD556" s="3"/>
      <c r="BE556" s="3"/>
      <c r="BF556" s="3"/>
      <c r="BG556" s="3"/>
      <c r="BH556" s="3"/>
      <c r="BI556" s="3"/>
    </row>
    <row r="557" spans="1:61" ht="12.95" customHeight="1">
      <c r="B557" s="52" t="s">
        <v>581</v>
      </c>
      <c r="C557" s="1668" t="s">
        <v>2701</v>
      </c>
      <c r="D557" s="1668"/>
      <c r="E557" s="1668"/>
      <c r="F557" s="1668"/>
      <c r="G557" s="1668"/>
      <c r="H557" s="1668"/>
      <c r="I557" s="1668"/>
      <c r="J557" s="1668"/>
      <c r="K557" s="1668"/>
      <c r="L557" s="1668"/>
      <c r="M557" s="1681" t="s">
        <v>2115</v>
      </c>
      <c r="N557" s="1681"/>
      <c r="O557" s="1681"/>
      <c r="P557" s="1681"/>
      <c r="Q557" s="1675">
        <v>27</v>
      </c>
      <c r="R557" s="1676"/>
      <c r="S557" s="1677"/>
      <c r="T557" s="1675"/>
      <c r="U557" s="1676"/>
      <c r="V557" s="1677"/>
      <c r="W557" s="1463">
        <v>0.03</v>
      </c>
      <c r="X557" s="1464"/>
      <c r="Y557" s="1465"/>
      <c r="Z557" s="1685" t="s">
        <v>1184</v>
      </c>
      <c r="AA557" s="1685"/>
      <c r="AB557" s="1685"/>
      <c r="AC557" s="1685"/>
      <c r="AD557" s="1685"/>
      <c r="AE557" s="1472">
        <v>4</v>
      </c>
      <c r="AF557" s="1473"/>
      <c r="AG557" s="1473"/>
      <c r="AH557" s="1474"/>
      <c r="AI557" s="1682"/>
      <c r="AJ557" s="1683"/>
      <c r="AK557" s="1683"/>
      <c r="AL557" s="1684"/>
      <c r="AM557" s="1456">
        <v>1800000</v>
      </c>
      <c r="AN557" s="1457"/>
      <c r="AO557" s="1457"/>
      <c r="AP557" s="1457"/>
      <c r="AQ557" s="1457"/>
      <c r="AR557" s="1457"/>
      <c r="AS557" s="1458"/>
      <c r="AT557" s="1148" t="str">
        <f>IF(AND(NOT(C556=""),C557="",NOT(C558="")),"!","")</f>
        <v/>
      </c>
      <c r="AU557" s="1147"/>
      <c r="BB557" s="3"/>
      <c r="BC557" s="3"/>
      <c r="BD557" s="3"/>
      <c r="BE557" s="3"/>
      <c r="BF557" s="3"/>
      <c r="BG557" s="3"/>
      <c r="BH557" s="3"/>
      <c r="BI557" s="3"/>
    </row>
    <row r="558" spans="1:61" ht="12.95" customHeight="1">
      <c r="B558" s="52" t="s">
        <v>763</v>
      </c>
      <c r="C558" s="1668" t="s">
        <v>2700</v>
      </c>
      <c r="D558" s="1668"/>
      <c r="E558" s="1668"/>
      <c r="F558" s="1668"/>
      <c r="G558" s="1668"/>
      <c r="H558" s="1668"/>
      <c r="I558" s="1668"/>
      <c r="J558" s="1668"/>
      <c r="K558" s="1668"/>
      <c r="L558" s="1668"/>
      <c r="M558" s="1681" t="s">
        <v>2115</v>
      </c>
      <c r="N558" s="1681"/>
      <c r="O558" s="1681"/>
      <c r="P558" s="1681"/>
      <c r="Q558" s="1675">
        <v>27</v>
      </c>
      <c r="R558" s="1676"/>
      <c r="S558" s="1677"/>
      <c r="T558" s="1675"/>
      <c r="U558" s="1676"/>
      <c r="V558" s="1677"/>
      <c r="W558" s="1463">
        <v>0.03</v>
      </c>
      <c r="X558" s="1464"/>
      <c r="Y558" s="1465"/>
      <c r="Z558" s="1685" t="s">
        <v>1184</v>
      </c>
      <c r="AA558" s="1685"/>
      <c r="AB558" s="1685"/>
      <c r="AC558" s="1685"/>
      <c r="AD558" s="1685"/>
      <c r="AE558" s="1472">
        <v>5</v>
      </c>
      <c r="AF558" s="1473"/>
      <c r="AG558" s="1473"/>
      <c r="AH558" s="1474"/>
      <c r="AI558" s="1682"/>
      <c r="AJ558" s="1683"/>
      <c r="AK558" s="1683"/>
      <c r="AL558" s="1684"/>
      <c r="AM558" s="1456">
        <v>1200000</v>
      </c>
      <c r="AN558" s="1457"/>
      <c r="AO558" s="1457"/>
      <c r="AP558" s="1457"/>
      <c r="AQ558" s="1457"/>
      <c r="AR558" s="1457"/>
      <c r="AS558" s="1458"/>
      <c r="AT558" s="1148" t="str">
        <f t="shared" ref="AT558:AT565" si="0">IF(AND(NOT(C557=""),C558="",NOT(C559="")),"!","")</f>
        <v/>
      </c>
      <c r="AU558" s="1147"/>
      <c r="BB558" s="3"/>
      <c r="BC558" s="3"/>
      <c r="BD558" s="3"/>
      <c r="BE558" s="3"/>
      <c r="BF558" s="3"/>
      <c r="BG558" s="3"/>
      <c r="BH558" s="3" t="s">
        <v>763</v>
      </c>
      <c r="BI558" s="3" t="str">
        <f>N665</f>
        <v>Yes</v>
      </c>
    </row>
    <row r="559" spans="1:61" ht="12.95" customHeight="1">
      <c r="B559" s="52" t="s">
        <v>584</v>
      </c>
      <c r="C559" s="1668" t="s">
        <v>2702</v>
      </c>
      <c r="D559" s="1668"/>
      <c r="E559" s="1668"/>
      <c r="F559" s="1668"/>
      <c r="G559" s="1668"/>
      <c r="H559" s="1668"/>
      <c r="I559" s="1668"/>
      <c r="J559" s="1668"/>
      <c r="K559" s="1668"/>
      <c r="L559" s="1668"/>
      <c r="M559" s="1681" t="s">
        <v>2106</v>
      </c>
      <c r="N559" s="1681"/>
      <c r="O559" s="1681"/>
      <c r="P559" s="1681"/>
      <c r="Q559" s="1675"/>
      <c r="R559" s="1676"/>
      <c r="S559" s="1677"/>
      <c r="T559" s="1675"/>
      <c r="U559" s="1676"/>
      <c r="V559" s="1677"/>
      <c r="W559" s="1463"/>
      <c r="X559" s="1464"/>
      <c r="Y559" s="1465"/>
      <c r="Z559" s="1685" t="s">
        <v>1184</v>
      </c>
      <c r="AA559" s="1685"/>
      <c r="AB559" s="1685"/>
      <c r="AC559" s="1685"/>
      <c r="AD559" s="1685"/>
      <c r="AE559" s="1472"/>
      <c r="AF559" s="1473"/>
      <c r="AG559" s="1473"/>
      <c r="AH559" s="1474"/>
      <c r="AI559" s="1682"/>
      <c r="AJ559" s="1683"/>
      <c r="AK559" s="1683"/>
      <c r="AL559" s="1684"/>
      <c r="AM559" s="1456">
        <v>1201814</v>
      </c>
      <c r="AN559" s="1457"/>
      <c r="AO559" s="1457"/>
      <c r="AP559" s="1457"/>
      <c r="AQ559" s="1457"/>
      <c r="AR559" s="1457"/>
      <c r="AS559" s="1458"/>
      <c r="AT559" s="1148" t="str">
        <f t="shared" si="0"/>
        <v/>
      </c>
      <c r="AU559" s="1147"/>
      <c r="BB559" s="3"/>
      <c r="BC559" s="3"/>
      <c r="BD559" s="3"/>
      <c r="BE559" s="3"/>
      <c r="BF559" s="3"/>
      <c r="BG559" s="3"/>
      <c r="BH559" s="3" t="s">
        <v>584</v>
      </c>
      <c r="BI559" s="3" t="str">
        <f>AG665</f>
        <v>No</v>
      </c>
    </row>
    <row r="560" spans="1:61" ht="12.95" customHeight="1">
      <c r="B560" s="52" t="s">
        <v>455</v>
      </c>
      <c r="C560" s="1668" t="s">
        <v>2320</v>
      </c>
      <c r="D560" s="1668"/>
      <c r="E560" s="1668"/>
      <c r="F560" s="1668"/>
      <c r="G560" s="1668"/>
      <c r="H560" s="1668"/>
      <c r="I560" s="1668"/>
      <c r="J560" s="1668"/>
      <c r="K560" s="1668"/>
      <c r="L560" s="1668"/>
      <c r="M560" s="1681" t="s">
        <v>2106</v>
      </c>
      <c r="N560" s="1681"/>
      <c r="O560" s="1681"/>
      <c r="P560" s="1681"/>
      <c r="Q560" s="1675"/>
      <c r="R560" s="1676"/>
      <c r="S560" s="1677"/>
      <c r="T560" s="1675"/>
      <c r="U560" s="1676"/>
      <c r="V560" s="1677"/>
      <c r="W560" s="1463"/>
      <c r="X560" s="1464"/>
      <c r="Y560" s="1465"/>
      <c r="Z560" s="1685" t="s">
        <v>1184</v>
      </c>
      <c r="AA560" s="1685"/>
      <c r="AB560" s="1685"/>
      <c r="AC560" s="1685"/>
      <c r="AD560" s="1685"/>
      <c r="AE560" s="1472"/>
      <c r="AF560" s="1473"/>
      <c r="AG560" s="1473"/>
      <c r="AH560" s="1474"/>
      <c r="AI560" s="1682"/>
      <c r="AJ560" s="1683"/>
      <c r="AK560" s="1683"/>
      <c r="AL560" s="1684"/>
      <c r="AM560" s="1456">
        <v>2303039</v>
      </c>
      <c r="AN560" s="1457"/>
      <c r="AO560" s="1457"/>
      <c r="AP560" s="1457"/>
      <c r="AQ560" s="1457"/>
      <c r="AR560" s="1457"/>
      <c r="AS560" s="1458"/>
      <c r="AT560" s="1148" t="str">
        <f t="shared" si="0"/>
        <v/>
      </c>
      <c r="AU560" s="1147"/>
      <c r="BB560" s="3"/>
      <c r="BC560" s="3"/>
      <c r="BD560" s="3"/>
      <c r="BE560" s="3"/>
      <c r="BF560" s="3"/>
      <c r="BG560" s="3"/>
      <c r="BH560" s="3"/>
      <c r="BI560" s="3"/>
    </row>
    <row r="561" spans="1:61" ht="12.95" customHeight="1">
      <c r="B561" s="52" t="s">
        <v>456</v>
      </c>
      <c r="C561" s="1668" t="s">
        <v>528</v>
      </c>
      <c r="D561" s="1668"/>
      <c r="E561" s="1668"/>
      <c r="F561" s="1668"/>
      <c r="G561" s="1668"/>
      <c r="H561" s="1668"/>
      <c r="I561" s="1668"/>
      <c r="J561" s="1668"/>
      <c r="K561" s="1668"/>
      <c r="L561" s="1668"/>
      <c r="M561" s="1681" t="s">
        <v>2110</v>
      </c>
      <c r="N561" s="1681"/>
      <c r="O561" s="1681"/>
      <c r="P561" s="1681"/>
      <c r="Q561" s="1675"/>
      <c r="R561" s="1676"/>
      <c r="S561" s="1677"/>
      <c r="T561" s="1675"/>
      <c r="U561" s="1676"/>
      <c r="V561" s="1677"/>
      <c r="W561" s="1463"/>
      <c r="X561" s="1464"/>
      <c r="Y561" s="1465"/>
      <c r="Z561" s="1685" t="s">
        <v>1184</v>
      </c>
      <c r="AA561" s="1685"/>
      <c r="AB561" s="1685"/>
      <c r="AC561" s="1685"/>
      <c r="AD561" s="1685"/>
      <c r="AE561" s="1472"/>
      <c r="AF561" s="1473"/>
      <c r="AG561" s="1473"/>
      <c r="AH561" s="1474"/>
      <c r="AI561" s="1682"/>
      <c r="AJ561" s="1683"/>
      <c r="AK561" s="1683"/>
      <c r="AL561" s="1684"/>
      <c r="AM561" s="1456">
        <f>1566741-212500</f>
        <v>1354241</v>
      </c>
      <c r="AN561" s="1457"/>
      <c r="AO561" s="1457"/>
      <c r="AP561" s="1457"/>
      <c r="AQ561" s="1457"/>
      <c r="AR561" s="1457"/>
      <c r="AS561" s="1458"/>
      <c r="AT561" s="1148" t="str">
        <f t="shared" si="0"/>
        <v/>
      </c>
      <c r="AU561" s="1147"/>
      <c r="BB561" s="3"/>
      <c r="BC561" s="3"/>
      <c r="BD561" s="3"/>
      <c r="BE561" s="3"/>
      <c r="BF561" s="3"/>
      <c r="BG561" s="3"/>
      <c r="BH561" s="3"/>
      <c r="BI561" s="3"/>
    </row>
    <row r="562" spans="1:61" ht="12.95" customHeight="1">
      <c r="B562" s="52" t="s">
        <v>461</v>
      </c>
      <c r="C562" s="1668"/>
      <c r="D562" s="1668"/>
      <c r="E562" s="1668"/>
      <c r="F562" s="1668"/>
      <c r="G562" s="1668"/>
      <c r="H562" s="1668"/>
      <c r="I562" s="1668"/>
      <c r="J562" s="1668"/>
      <c r="K562" s="1668"/>
      <c r="L562" s="1668"/>
      <c r="M562" s="1681" t="s">
        <v>1184</v>
      </c>
      <c r="N562" s="1681"/>
      <c r="O562" s="1681"/>
      <c r="P562" s="1681"/>
      <c r="Q562" s="1675"/>
      <c r="R562" s="1676"/>
      <c r="S562" s="1677"/>
      <c r="T562" s="1675"/>
      <c r="U562" s="1676"/>
      <c r="V562" s="1677"/>
      <c r="W562" s="1463"/>
      <c r="X562" s="1464"/>
      <c r="Y562" s="1465"/>
      <c r="Z562" s="1685" t="s">
        <v>1184</v>
      </c>
      <c r="AA562" s="1685"/>
      <c r="AB562" s="1685"/>
      <c r="AC562" s="1685"/>
      <c r="AD562" s="1685"/>
      <c r="AE562" s="1472"/>
      <c r="AF562" s="1473"/>
      <c r="AG562" s="1473"/>
      <c r="AH562" s="1474"/>
      <c r="AI562" s="1682"/>
      <c r="AJ562" s="1683"/>
      <c r="AK562" s="1683"/>
      <c r="AL562" s="1684"/>
      <c r="AM562" s="1456"/>
      <c r="AN562" s="1457"/>
      <c r="AO562" s="1457"/>
      <c r="AP562" s="1457"/>
      <c r="AQ562" s="1457"/>
      <c r="AR562" s="1457"/>
      <c r="AS562" s="1458"/>
      <c r="AT562" s="1148" t="str">
        <f t="shared" si="0"/>
        <v/>
      </c>
      <c r="AU562" s="1147"/>
      <c r="BB562" s="3"/>
      <c r="BC562" s="3"/>
      <c r="BD562" s="3"/>
      <c r="BE562" s="3"/>
      <c r="BF562" s="3"/>
      <c r="BG562" s="3"/>
      <c r="BH562" s="3"/>
      <c r="BI562" s="3"/>
    </row>
    <row r="563" spans="1:61" ht="12.95" customHeight="1">
      <c r="B563" s="52" t="s">
        <v>646</v>
      </c>
      <c r="C563" s="1668"/>
      <c r="D563" s="1668"/>
      <c r="E563" s="1668"/>
      <c r="F563" s="1668"/>
      <c r="G563" s="1668"/>
      <c r="H563" s="1668"/>
      <c r="I563" s="1668"/>
      <c r="J563" s="1668"/>
      <c r="K563" s="1668"/>
      <c r="L563" s="1668"/>
      <c r="M563" s="1681" t="s">
        <v>1184</v>
      </c>
      <c r="N563" s="1681"/>
      <c r="O563" s="1681"/>
      <c r="P563" s="1681"/>
      <c r="Q563" s="1675"/>
      <c r="R563" s="1676"/>
      <c r="S563" s="1677"/>
      <c r="T563" s="1675"/>
      <c r="U563" s="1676"/>
      <c r="V563" s="1677"/>
      <c r="W563" s="1463"/>
      <c r="X563" s="1464"/>
      <c r="Y563" s="1465"/>
      <c r="Z563" s="1685" t="s">
        <v>1184</v>
      </c>
      <c r="AA563" s="1685"/>
      <c r="AB563" s="1685"/>
      <c r="AC563" s="1685"/>
      <c r="AD563" s="1685"/>
      <c r="AE563" s="1472"/>
      <c r="AF563" s="1473"/>
      <c r="AG563" s="1473"/>
      <c r="AH563" s="1474"/>
      <c r="AI563" s="1682"/>
      <c r="AJ563" s="1683"/>
      <c r="AK563" s="1683"/>
      <c r="AL563" s="1684"/>
      <c r="AM563" s="1456"/>
      <c r="AN563" s="1457"/>
      <c r="AO563" s="1457"/>
      <c r="AP563" s="1457"/>
      <c r="AQ563" s="1457"/>
      <c r="AR563" s="1457"/>
      <c r="AS563" s="1458"/>
      <c r="AT563" s="1148" t="str">
        <f t="shared" si="0"/>
        <v/>
      </c>
      <c r="BB563" s="3"/>
      <c r="BC563" s="3"/>
      <c r="BD563" s="3"/>
      <c r="BE563" s="3"/>
      <c r="BF563" s="3"/>
      <c r="BG563" s="3"/>
      <c r="BH563" s="3"/>
      <c r="BI563" s="3"/>
    </row>
    <row r="564" spans="1:61" ht="12.95" customHeight="1">
      <c r="B564" s="52" t="s">
        <v>361</v>
      </c>
      <c r="C564" s="1668"/>
      <c r="D564" s="1668"/>
      <c r="E564" s="1668"/>
      <c r="F564" s="1668"/>
      <c r="G564" s="1668"/>
      <c r="H564" s="1668"/>
      <c r="I564" s="1668"/>
      <c r="J564" s="1668"/>
      <c r="K564" s="1668"/>
      <c r="L564" s="1668"/>
      <c r="M564" s="1681" t="s">
        <v>1184</v>
      </c>
      <c r="N564" s="1681"/>
      <c r="O564" s="1681"/>
      <c r="P564" s="1681"/>
      <c r="Q564" s="1675"/>
      <c r="R564" s="1676"/>
      <c r="S564" s="1677"/>
      <c r="T564" s="1675"/>
      <c r="U564" s="1676"/>
      <c r="V564" s="1677"/>
      <c r="W564" s="1463"/>
      <c r="X564" s="1464"/>
      <c r="Y564" s="1465"/>
      <c r="Z564" s="1685" t="s">
        <v>1184</v>
      </c>
      <c r="AA564" s="1685"/>
      <c r="AB564" s="1685"/>
      <c r="AC564" s="1685"/>
      <c r="AD564" s="1685"/>
      <c r="AE564" s="1472"/>
      <c r="AF564" s="1473"/>
      <c r="AG564" s="1473"/>
      <c r="AH564" s="1474"/>
      <c r="AI564" s="1682"/>
      <c r="AJ564" s="1683"/>
      <c r="AK564" s="1683"/>
      <c r="AL564" s="1684"/>
      <c r="AM564" s="1456"/>
      <c r="AN564" s="1457"/>
      <c r="AO564" s="1457"/>
      <c r="AP564" s="1457"/>
      <c r="AQ564" s="1457"/>
      <c r="AR564" s="1457"/>
      <c r="AS564" s="1458"/>
      <c r="AT564" s="1148" t="str">
        <f t="shared" si="0"/>
        <v/>
      </c>
      <c r="BB564" s="3"/>
      <c r="BC564" s="3"/>
      <c r="BD564" s="3"/>
      <c r="BE564" s="3"/>
      <c r="BF564" s="3"/>
      <c r="BG564" s="3"/>
      <c r="BH564" s="3"/>
      <c r="BI564" s="3"/>
    </row>
    <row r="565" spans="1:61" ht="12.95" customHeight="1">
      <c r="B565" s="52" t="s">
        <v>362</v>
      </c>
      <c r="C565" s="1668"/>
      <c r="D565" s="1668"/>
      <c r="E565" s="1668"/>
      <c r="F565" s="1668"/>
      <c r="G565" s="1668"/>
      <c r="H565" s="1668"/>
      <c r="I565" s="1668"/>
      <c r="J565" s="1668"/>
      <c r="K565" s="1668"/>
      <c r="L565" s="1668"/>
      <c r="M565" s="1681" t="s">
        <v>1184</v>
      </c>
      <c r="N565" s="1681"/>
      <c r="O565" s="1681"/>
      <c r="P565" s="1681"/>
      <c r="Q565" s="1675"/>
      <c r="R565" s="1676"/>
      <c r="S565" s="1677"/>
      <c r="T565" s="1675"/>
      <c r="U565" s="1676"/>
      <c r="V565" s="1677"/>
      <c r="W565" s="1463"/>
      <c r="X565" s="1464"/>
      <c r="Y565" s="1465"/>
      <c r="Z565" s="1685" t="s">
        <v>1184</v>
      </c>
      <c r="AA565" s="1685"/>
      <c r="AB565" s="1685"/>
      <c r="AC565" s="1685"/>
      <c r="AD565" s="1685"/>
      <c r="AE565" s="1472"/>
      <c r="AF565" s="1473"/>
      <c r="AG565" s="1473"/>
      <c r="AH565" s="1474"/>
      <c r="AI565" s="1682"/>
      <c r="AJ565" s="1683"/>
      <c r="AK565" s="1683"/>
      <c r="AL565" s="1684"/>
      <c r="AM565" s="1456"/>
      <c r="AN565" s="1457"/>
      <c r="AO565" s="1457"/>
      <c r="AP565" s="1457"/>
      <c r="AQ565" s="1457"/>
      <c r="AR565" s="1457"/>
      <c r="AS565" s="1458"/>
      <c r="AT565" s="1148" t="str">
        <f t="shared" si="0"/>
        <v/>
      </c>
      <c r="BB565" s="3"/>
      <c r="BC565" s="3"/>
      <c r="BD565" s="3"/>
      <c r="BE565" s="3"/>
      <c r="BF565" s="3"/>
      <c r="BG565" s="3"/>
      <c r="BH565" s="3"/>
      <c r="BI565" s="3"/>
    </row>
    <row r="566" spans="1:61" ht="12.95" customHeight="1">
      <c r="B566" s="1642" t="s">
        <v>127</v>
      </c>
      <c r="C566" s="1643"/>
      <c r="D566" s="1643"/>
      <c r="E566" s="1643"/>
      <c r="F566" s="1643"/>
      <c r="G566" s="1643"/>
      <c r="H566" s="1643"/>
      <c r="I566" s="1643"/>
      <c r="J566" s="1643"/>
      <c r="K566" s="1643"/>
      <c r="L566" s="1643"/>
      <c r="M566" s="1643"/>
      <c r="N566" s="1643"/>
      <c r="O566" s="1643"/>
      <c r="P566" s="1643"/>
      <c r="Q566" s="1643"/>
      <c r="R566" s="1643"/>
      <c r="S566" s="1643"/>
      <c r="T566" s="1643"/>
      <c r="U566" s="1467"/>
      <c r="V566" s="1643"/>
      <c r="W566" s="1643"/>
      <c r="X566" s="1643"/>
      <c r="Y566" s="1643"/>
      <c r="Z566" s="1643"/>
      <c r="AA566" s="1643"/>
      <c r="AB566" s="1643"/>
      <c r="AC566" s="1643"/>
      <c r="AD566" s="1643"/>
      <c r="AE566" s="1643"/>
      <c r="AF566" s="1643"/>
      <c r="AG566" s="1643"/>
      <c r="AH566" s="1643"/>
      <c r="AI566" s="1643"/>
      <c r="AJ566" s="1643"/>
      <c r="AK566" s="1643"/>
      <c r="AL566" s="1644"/>
      <c r="AM566" s="1613">
        <f>SUM(AM554:AS565)</f>
        <v>40811619</v>
      </c>
      <c r="AN566" s="1614"/>
      <c r="AO566" s="1614"/>
      <c r="AP566" s="1614"/>
      <c r="AQ566" s="1614"/>
      <c r="AR566" s="1614"/>
      <c r="AS566" s="1615"/>
      <c r="BB566" s="3"/>
      <c r="BC566" s="3"/>
      <c r="BD566" s="3"/>
      <c r="BE566" s="3"/>
      <c r="BF566" s="3"/>
      <c r="BG566" s="3"/>
      <c r="BH566" s="3" t="s">
        <v>455</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2.95" customHeight="1">
      <c r="A568" s="55" t="s">
        <v>112</v>
      </c>
      <c r="B568" t="s">
        <v>463</v>
      </c>
      <c r="G568" s="1358" t="str">
        <f>C554</f>
        <v>Chase Bank</v>
      </c>
      <c r="H568" s="1358"/>
      <c r="I568" s="1358"/>
      <c r="J568" s="1358"/>
      <c r="K568" s="1358"/>
      <c r="L568" s="1358"/>
      <c r="M568" s="1358"/>
      <c r="N568" s="1358"/>
      <c r="O568" s="1358"/>
      <c r="P568" s="1358"/>
      <c r="Q568" s="1358"/>
      <c r="R568" s="1358"/>
      <c r="S568" s="8"/>
      <c r="T568" s="55" t="s">
        <v>113</v>
      </c>
      <c r="U568" t="s">
        <v>463</v>
      </c>
      <c r="Z568" s="1358" t="str">
        <f>C555</f>
        <v>Chase Bank</v>
      </c>
      <c r="AA568" s="1358"/>
      <c r="AB568" s="1358"/>
      <c r="AC568" s="1358"/>
      <c r="AD568" s="1358"/>
      <c r="AE568" s="1358"/>
      <c r="AF568" s="1358"/>
      <c r="AG568" s="1358"/>
      <c r="AH568" s="1358"/>
      <c r="AI568" s="1358"/>
      <c r="AJ568" s="1358"/>
      <c r="AK568" s="1358"/>
      <c r="BB568" s="3"/>
      <c r="BC568" s="3"/>
      <c r="BD568" s="3"/>
      <c r="BE568" s="3"/>
      <c r="BF568" s="3"/>
      <c r="BG568" s="3"/>
      <c r="BH568" s="3"/>
      <c r="BI568" s="3"/>
    </row>
    <row r="569" spans="1:61" ht="12.95" customHeight="1">
      <c r="A569" s="22"/>
      <c r="B569" t="s">
        <v>85</v>
      </c>
      <c r="G569" s="1429" t="s">
        <v>2737</v>
      </c>
      <c r="H569" s="1338"/>
      <c r="I569" s="1338"/>
      <c r="J569" s="1338"/>
      <c r="K569" s="1338"/>
      <c r="L569" s="1338"/>
      <c r="M569" s="1338"/>
      <c r="N569" s="1338"/>
      <c r="O569" s="1338"/>
      <c r="P569" s="1338"/>
      <c r="Q569" s="1338"/>
      <c r="R569" s="1338"/>
      <c r="S569" s="8"/>
      <c r="T569" s="22"/>
      <c r="U569" t="s">
        <v>85</v>
      </c>
      <c r="Z569" s="1338" t="s">
        <v>2737</v>
      </c>
      <c r="AA569" s="1338"/>
      <c r="AB569" s="1338"/>
      <c r="AC569" s="1338"/>
      <c r="AD569" s="1338"/>
      <c r="AE569" s="1338"/>
      <c r="AF569" s="1338"/>
      <c r="AG569" s="1338"/>
      <c r="AH569" s="1338"/>
      <c r="AI569" s="1338"/>
      <c r="AJ569" s="1338"/>
      <c r="AK569" s="1338"/>
      <c r="BB569" s="3"/>
      <c r="BC569" s="3"/>
      <c r="BD569" s="3"/>
      <c r="BE569" s="3"/>
      <c r="BF569" s="3"/>
      <c r="BG569" s="3"/>
      <c r="BH569" s="3"/>
      <c r="BI569" s="3"/>
    </row>
    <row r="570" spans="1:61" ht="12.95" customHeight="1">
      <c r="A570" s="22"/>
      <c r="B570" t="s">
        <v>580</v>
      </c>
      <c r="G570" s="1429" t="s">
        <v>2738</v>
      </c>
      <c r="H570" s="1338"/>
      <c r="I570" s="1338"/>
      <c r="J570" s="1338"/>
      <c r="K570" s="1338"/>
      <c r="L570" s="1338"/>
      <c r="M570" s="1338"/>
      <c r="N570" s="1338"/>
      <c r="O570" s="1338"/>
      <c r="P570" s="1338"/>
      <c r="Q570" s="1338"/>
      <c r="R570" s="1338"/>
      <c r="T570" s="22"/>
      <c r="U570" t="s">
        <v>580</v>
      </c>
      <c r="Z570" s="1351" t="s">
        <v>2738</v>
      </c>
      <c r="AA570" s="1351"/>
      <c r="AB570" s="1351"/>
      <c r="AC570" s="1351"/>
      <c r="AD570" s="1351"/>
      <c r="AE570" s="1351"/>
      <c r="AF570" s="1351"/>
      <c r="AG570" s="1351"/>
      <c r="AH570" s="1351"/>
      <c r="AI570" s="1351"/>
      <c r="AJ570" s="1351"/>
      <c r="AK570" s="1351"/>
      <c r="BB570" s="3"/>
      <c r="BC570" s="3"/>
      <c r="BD570" s="3"/>
      <c r="BE570" s="3"/>
      <c r="BF570" s="3"/>
      <c r="BG570" s="3"/>
      <c r="BH570" s="3"/>
      <c r="BI570" s="3"/>
    </row>
    <row r="571" spans="1:61" ht="12.95" customHeight="1">
      <c r="A571" s="22"/>
      <c r="B571" t="s">
        <v>17</v>
      </c>
      <c r="G571" s="1429" t="s">
        <v>2736</v>
      </c>
      <c r="H571" s="1338"/>
      <c r="I571" s="1338"/>
      <c r="J571" s="1338"/>
      <c r="K571" s="1338"/>
      <c r="L571" s="1338"/>
      <c r="M571" s="1338"/>
      <c r="N571" s="1338"/>
      <c r="O571" s="1338"/>
      <c r="P571" s="1338"/>
      <c r="Q571" s="1338"/>
      <c r="R571" s="1338"/>
      <c r="S571" s="8"/>
      <c r="T571" s="22"/>
      <c r="U571" t="s">
        <v>17</v>
      </c>
      <c r="Z571" s="1351" t="s">
        <v>2736</v>
      </c>
      <c r="AA571" s="1351"/>
      <c r="AB571" s="1351"/>
      <c r="AC571" s="1351"/>
      <c r="AD571" s="1351"/>
      <c r="AE571" s="1351"/>
      <c r="AF571" s="1351"/>
      <c r="AG571" s="1351"/>
      <c r="AH571" s="1351"/>
      <c r="AI571" s="1351"/>
      <c r="AJ571" s="1351"/>
      <c r="AK571" s="1351"/>
      <c r="BB571" s="3"/>
      <c r="BC571" s="3"/>
      <c r="BD571" s="3"/>
      <c r="BE571" s="3"/>
      <c r="BF571" s="3"/>
      <c r="BG571" s="3"/>
      <c r="BH571" s="3"/>
      <c r="BI571" s="3"/>
    </row>
    <row r="572" spans="1:61" ht="12.95" customHeight="1">
      <c r="A572" s="22"/>
      <c r="B572" t="s">
        <v>315</v>
      </c>
      <c r="G572" s="1669" t="s">
        <v>2739</v>
      </c>
      <c r="H572" s="1337"/>
      <c r="I572" s="1337"/>
      <c r="J572" s="1337"/>
      <c r="K572" s="1337"/>
      <c r="L572" s="1337"/>
      <c r="O572" s="33" t="s">
        <v>205</v>
      </c>
      <c r="P572" s="1450"/>
      <c r="Q572" s="1450"/>
      <c r="R572" s="1450"/>
      <c r="S572" s="10"/>
      <c r="T572" s="22"/>
      <c r="U572" t="s">
        <v>315</v>
      </c>
      <c r="Z572" s="1337" t="s">
        <v>2739</v>
      </c>
      <c r="AA572" s="1337"/>
      <c r="AB572" s="1337"/>
      <c r="AC572" s="1337"/>
      <c r="AD572" s="1337"/>
      <c r="AE572" s="1337"/>
      <c r="AH572" s="33" t="s">
        <v>205</v>
      </c>
      <c r="AI572" s="1450"/>
      <c r="AJ572" s="1450"/>
      <c r="AK572" s="1450"/>
      <c r="BB572" s="3"/>
      <c r="BC572" s="3"/>
      <c r="BD572" s="3"/>
      <c r="BE572" s="3"/>
      <c r="BF572" s="3"/>
      <c r="BG572" s="3"/>
      <c r="BH572" s="3"/>
      <c r="BI572" s="3"/>
    </row>
    <row r="573" spans="1:61" ht="12.95" customHeight="1">
      <c r="A573" s="22"/>
      <c r="B573" t="s">
        <v>18</v>
      </c>
      <c r="H573" s="1429" t="s">
        <v>2740</v>
      </c>
      <c r="I573" s="1338"/>
      <c r="J573" s="1338"/>
      <c r="K573" s="1338"/>
      <c r="L573" s="1338"/>
      <c r="M573" s="1338"/>
      <c r="N573" s="1338"/>
      <c r="O573" s="1338"/>
      <c r="P573" s="1338"/>
      <c r="Q573" s="1338"/>
      <c r="R573" s="1338"/>
      <c r="S573" s="8"/>
      <c r="T573" s="22"/>
      <c r="U573" t="s">
        <v>18</v>
      </c>
      <c r="AA573" s="1429" t="s">
        <v>2698</v>
      </c>
      <c r="AB573" s="1338"/>
      <c r="AC573" s="1338"/>
      <c r="AD573" s="1338"/>
      <c r="AE573" s="1338"/>
      <c r="AF573" s="1338"/>
      <c r="AG573" s="1338"/>
      <c r="AH573" s="1338"/>
      <c r="AI573" s="1338"/>
      <c r="AJ573" s="1338"/>
      <c r="AK573" s="1338"/>
      <c r="BB573" s="3"/>
      <c r="BC573" s="3"/>
      <c r="BD573" s="3"/>
      <c r="BE573" s="3"/>
      <c r="BF573" s="3"/>
      <c r="BG573" s="3"/>
      <c r="BH573" s="3"/>
      <c r="BI573" s="3"/>
    </row>
    <row r="574" spans="1:61" ht="12.95" customHeight="1">
      <c r="A574" s="22"/>
      <c r="B574" s="320" t="s">
        <v>1185</v>
      </c>
      <c r="H574" s="8"/>
      <c r="I574" s="8"/>
      <c r="J574" s="8"/>
      <c r="K574" s="8"/>
      <c r="L574" s="8"/>
      <c r="M574" s="1476"/>
      <c r="N574" s="1476"/>
      <c r="O574" s="1476"/>
      <c r="P574" s="1476"/>
      <c r="Q574" s="1476"/>
      <c r="R574" s="1476"/>
      <c r="S574" s="8"/>
      <c r="T574" s="22"/>
      <c r="U574" s="320" t="s">
        <v>1185</v>
      </c>
      <c r="AA574" s="8"/>
      <c r="AB574" s="8"/>
      <c r="AC574" s="8"/>
      <c r="AD574" s="8"/>
      <c r="AE574" s="8"/>
      <c r="AF574" s="1476"/>
      <c r="AG574" s="1476"/>
      <c r="AH574" s="1476"/>
      <c r="AI574" s="1476"/>
      <c r="AJ574" s="1476"/>
      <c r="AK574" s="1476"/>
      <c r="BB574" s="3"/>
      <c r="BC574" s="3"/>
      <c r="BD574" s="3"/>
      <c r="BE574" s="3"/>
      <c r="BF574" s="3"/>
      <c r="BG574" s="3"/>
      <c r="BH574" s="3"/>
      <c r="BI574" s="3"/>
    </row>
    <row r="575" spans="1:61" ht="12.95" customHeight="1">
      <c r="A575" s="22"/>
      <c r="B575" t="s">
        <v>20</v>
      </c>
      <c r="N575" s="1333" t="s">
        <v>545</v>
      </c>
      <c r="O575" s="1333"/>
      <c r="T575" s="22"/>
      <c r="U575" t="s">
        <v>20</v>
      </c>
      <c r="AG575" s="1333" t="s">
        <v>545</v>
      </c>
      <c r="AH575" s="1333"/>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463</v>
      </c>
      <c r="G577" s="1358" t="str">
        <f>C556</f>
        <v>HCD Joe Serna FW Grant</v>
      </c>
      <c r="H577" s="1358"/>
      <c r="I577" s="1358"/>
      <c r="J577" s="1358"/>
      <c r="K577" s="1358"/>
      <c r="L577" s="1358"/>
      <c r="M577" s="1358"/>
      <c r="N577" s="1358"/>
      <c r="O577" s="1358"/>
      <c r="P577" s="1358"/>
      <c r="Q577" s="1358"/>
      <c r="R577" s="1358"/>
      <c r="T577" s="55" t="s">
        <v>581</v>
      </c>
      <c r="U577" t="s">
        <v>463</v>
      </c>
      <c r="Z577" s="1358" t="str">
        <f>C557</f>
        <v>Ventura County General Fund</v>
      </c>
      <c r="AA577" s="1358"/>
      <c r="AB577" s="1358"/>
      <c r="AC577" s="1358"/>
      <c r="AD577" s="1358"/>
      <c r="AE577" s="1358"/>
      <c r="AF577" s="1358"/>
      <c r="AG577" s="1358"/>
      <c r="AH577" s="1358"/>
      <c r="AI577" s="1358"/>
      <c r="AJ577" s="1358"/>
      <c r="AK577" s="1358"/>
      <c r="BB577" s="3"/>
      <c r="BC577" s="3"/>
    </row>
    <row r="578" spans="1:55" ht="12.95" customHeight="1">
      <c r="A578" s="22"/>
      <c r="B578" t="s">
        <v>85</v>
      </c>
      <c r="G578" s="1338" t="s">
        <v>2737</v>
      </c>
      <c r="H578" s="1338"/>
      <c r="I578" s="1338"/>
      <c r="J578" s="1338"/>
      <c r="K578" s="1338"/>
      <c r="L578" s="1338"/>
      <c r="M578" s="1338"/>
      <c r="N578" s="1338"/>
      <c r="O578" s="1338"/>
      <c r="P578" s="1338"/>
      <c r="Q578" s="1338"/>
      <c r="R578" s="1338"/>
      <c r="T578" s="22"/>
      <c r="U578" t="s">
        <v>85</v>
      </c>
      <c r="Z578" s="1338" t="s">
        <v>2705</v>
      </c>
      <c r="AA578" s="1338"/>
      <c r="AB578" s="1338"/>
      <c r="AC578" s="1338"/>
      <c r="AD578" s="1338"/>
      <c r="AE578" s="1338"/>
      <c r="AF578" s="1338"/>
      <c r="AG578" s="1338"/>
      <c r="AH578" s="1338"/>
      <c r="AI578" s="1338"/>
      <c r="AJ578" s="1338"/>
      <c r="AK578" s="1338"/>
      <c r="BB578" s="3"/>
      <c r="BC578" s="3"/>
    </row>
    <row r="579" spans="1:55" ht="12.95" customHeight="1">
      <c r="A579" s="22"/>
      <c r="B579" t="s">
        <v>580</v>
      </c>
      <c r="G579" s="1351" t="s">
        <v>2738</v>
      </c>
      <c r="H579" s="1351"/>
      <c r="I579" s="1351"/>
      <c r="J579" s="1351"/>
      <c r="K579" s="1351"/>
      <c r="L579" s="1351"/>
      <c r="M579" s="1351"/>
      <c r="N579" s="1351"/>
      <c r="O579" s="1351"/>
      <c r="P579" s="1351"/>
      <c r="Q579" s="1351"/>
      <c r="R579" s="1351"/>
      <c r="T579" s="22"/>
      <c r="U579" t="s">
        <v>580</v>
      </c>
      <c r="Z579" s="1351" t="s">
        <v>202</v>
      </c>
      <c r="AA579" s="1351"/>
      <c r="AB579" s="1351"/>
      <c r="AC579" s="1351"/>
      <c r="AD579" s="1351"/>
      <c r="AE579" s="1351"/>
      <c r="AF579" s="1351"/>
      <c r="AG579" s="1351"/>
      <c r="AH579" s="1351"/>
      <c r="AI579" s="1351"/>
      <c r="AJ579" s="1351"/>
      <c r="AK579" s="1351"/>
      <c r="BB579" s="3"/>
      <c r="BC579" s="3"/>
    </row>
    <row r="580" spans="1:55" ht="12.95" customHeight="1">
      <c r="A580" s="22"/>
      <c r="B580" t="s">
        <v>17</v>
      </c>
      <c r="G580" s="1351" t="s">
        <v>2736</v>
      </c>
      <c r="H580" s="1351"/>
      <c r="I580" s="1351"/>
      <c r="J580" s="1351"/>
      <c r="K580" s="1351"/>
      <c r="L580" s="1351"/>
      <c r="M580" s="1351"/>
      <c r="N580" s="1351"/>
      <c r="O580" s="1351"/>
      <c r="P580" s="1351"/>
      <c r="Q580" s="1351"/>
      <c r="R580" s="1351"/>
      <c r="T580" s="22"/>
      <c r="U580" t="s">
        <v>17</v>
      </c>
      <c r="Z580" s="1351" t="s">
        <v>2706</v>
      </c>
      <c r="AA580" s="1351"/>
      <c r="AB580" s="1351"/>
      <c r="AC580" s="1351"/>
      <c r="AD580" s="1351"/>
      <c r="AE580" s="1351"/>
      <c r="AF580" s="1351"/>
      <c r="AG580" s="1351"/>
      <c r="AH580" s="1351"/>
      <c r="AI580" s="1351"/>
      <c r="AJ580" s="1351"/>
      <c r="AK580" s="1351"/>
      <c r="BB580" s="3"/>
      <c r="BC580" s="3"/>
    </row>
    <row r="581" spans="1:55" ht="12.95" customHeight="1">
      <c r="A581" s="22"/>
      <c r="B581" t="s">
        <v>315</v>
      </c>
      <c r="G581" s="1337" t="s">
        <v>2739</v>
      </c>
      <c r="H581" s="1337"/>
      <c r="I581" s="1337"/>
      <c r="J581" s="1337"/>
      <c r="K581" s="1337"/>
      <c r="L581" s="1337"/>
      <c r="O581" s="33" t="s">
        <v>205</v>
      </c>
      <c r="P581" s="1450"/>
      <c r="Q581" s="1450"/>
      <c r="R581" s="1450"/>
      <c r="T581" s="22"/>
      <c r="U581" t="s">
        <v>315</v>
      </c>
      <c r="Z581" s="1337" t="s">
        <v>2707</v>
      </c>
      <c r="AA581" s="1337"/>
      <c r="AB581" s="1337"/>
      <c r="AC581" s="1337"/>
      <c r="AD581" s="1337"/>
      <c r="AE581" s="1337"/>
      <c r="AH581" s="33" t="s">
        <v>205</v>
      </c>
      <c r="AI581" s="1450"/>
      <c r="AJ581" s="1450"/>
      <c r="AK581" s="1450"/>
      <c r="BB581" s="3"/>
      <c r="BC581" s="3"/>
    </row>
    <row r="582" spans="1:55" ht="12.95" customHeight="1">
      <c r="A582" s="22"/>
      <c r="B582" t="s">
        <v>18</v>
      </c>
      <c r="H582" s="1429" t="s">
        <v>2750</v>
      </c>
      <c r="I582" s="1338"/>
      <c r="J582" s="1338"/>
      <c r="K582" s="1338"/>
      <c r="L582" s="1338"/>
      <c r="M582" s="1338"/>
      <c r="N582" s="1338"/>
      <c r="O582" s="1338"/>
      <c r="P582" s="1338"/>
      <c r="Q582" s="1338"/>
      <c r="R582" s="1338"/>
      <c r="T582" s="22"/>
      <c r="U582" t="s">
        <v>18</v>
      </c>
      <c r="AA582" s="1338" t="s">
        <v>2115</v>
      </c>
      <c r="AB582" s="1338"/>
      <c r="AC582" s="1338"/>
      <c r="AD582" s="1338"/>
      <c r="AE582" s="1338"/>
      <c r="AF582" s="1338"/>
      <c r="AG582" s="1338"/>
      <c r="AH582" s="1338"/>
      <c r="AI582" s="1338"/>
      <c r="AJ582" s="1338"/>
      <c r="AK582" s="1338"/>
      <c r="BB582" s="3"/>
      <c r="BC582" s="3"/>
    </row>
    <row r="583" spans="1:55" ht="12.95" customHeight="1">
      <c r="A583" s="22"/>
      <c r="B583" t="s">
        <v>20</v>
      </c>
      <c r="N583" s="1333" t="s">
        <v>545</v>
      </c>
      <c r="O583" s="1333"/>
      <c r="T583" s="22"/>
      <c r="U583" t="s">
        <v>20</v>
      </c>
      <c r="AG583" s="1333" t="s">
        <v>545</v>
      </c>
      <c r="AH583" s="1333"/>
      <c r="BB583" s="3"/>
      <c r="BC583" s="3"/>
    </row>
    <row r="584" spans="1:55" ht="12.95" customHeight="1">
      <c r="A584" s="22"/>
      <c r="T584" s="22"/>
      <c r="BB584" s="3"/>
      <c r="BC584" s="3"/>
    </row>
    <row r="585" spans="1:55" ht="12.95" customHeight="1">
      <c r="A585" s="55" t="s">
        <v>763</v>
      </c>
      <c r="B585" t="s">
        <v>463</v>
      </c>
      <c r="G585" s="1358" t="str">
        <f>C558</f>
        <v>City of Oxnard HOME-ARP</v>
      </c>
      <c r="H585" s="1358"/>
      <c r="I585" s="1358"/>
      <c r="J585" s="1358"/>
      <c r="K585" s="1358"/>
      <c r="L585" s="1358"/>
      <c r="M585" s="1358"/>
      <c r="N585" s="1358"/>
      <c r="O585" s="1358"/>
      <c r="P585" s="1358"/>
      <c r="Q585" s="1358"/>
      <c r="R585" s="1358"/>
      <c r="T585" s="55" t="s">
        <v>584</v>
      </c>
      <c r="U585" t="s">
        <v>463</v>
      </c>
      <c r="Z585" s="1358" t="str">
        <f>C559</f>
        <v>Cost Deferral Until Perm Conversion</v>
      </c>
      <c r="AA585" s="1358"/>
      <c r="AB585" s="1358"/>
      <c r="AC585" s="1358"/>
      <c r="AD585" s="1358"/>
      <c r="AE585" s="1358"/>
      <c r="AF585" s="1358"/>
      <c r="AG585" s="1358"/>
      <c r="AH585" s="1358"/>
      <c r="AI585" s="1358"/>
      <c r="AJ585" s="1358"/>
      <c r="AK585" s="1358"/>
      <c r="BB585" s="3"/>
      <c r="BC585" s="3"/>
    </row>
    <row r="586" spans="1:55" ht="12.95" customHeight="1">
      <c r="A586" s="22"/>
      <c r="B586" t="s">
        <v>85</v>
      </c>
      <c r="G586" s="1338" t="s">
        <v>2616</v>
      </c>
      <c r="H586" s="1338"/>
      <c r="I586" s="1338"/>
      <c r="J586" s="1338"/>
      <c r="K586" s="1338"/>
      <c r="L586" s="1338"/>
      <c r="M586" s="1338"/>
      <c r="N586" s="1338"/>
      <c r="O586" s="1338"/>
      <c r="P586" s="1338"/>
      <c r="Q586" s="1338"/>
      <c r="R586" s="1338"/>
      <c r="T586" s="22"/>
      <c r="U586" t="s">
        <v>85</v>
      </c>
      <c r="Z586" s="1338" t="s">
        <v>2710</v>
      </c>
      <c r="AA586" s="1338"/>
      <c r="AB586" s="1338"/>
      <c r="AC586" s="1338"/>
      <c r="AD586" s="1338"/>
      <c r="AE586" s="1338"/>
      <c r="AF586" s="1338"/>
      <c r="AG586" s="1338"/>
      <c r="AH586" s="1338"/>
      <c r="AI586" s="1338"/>
      <c r="AJ586" s="1338"/>
      <c r="AK586" s="1338"/>
      <c r="BB586" s="3"/>
      <c r="BC586" s="3"/>
    </row>
    <row r="587" spans="1:55" ht="12.95" customHeight="1">
      <c r="A587" s="22"/>
      <c r="B587" t="s">
        <v>580</v>
      </c>
      <c r="G587" s="1338" t="s">
        <v>2617</v>
      </c>
      <c r="H587" s="1338"/>
      <c r="I587" s="1338"/>
      <c r="J587" s="1338"/>
      <c r="K587" s="1338"/>
      <c r="L587" s="1338"/>
      <c r="M587" s="1338"/>
      <c r="N587" s="1338"/>
      <c r="O587" s="1338"/>
      <c r="P587" s="1338"/>
      <c r="Q587" s="1338"/>
      <c r="R587" s="1338"/>
      <c r="T587" s="22"/>
      <c r="U587" t="s">
        <v>580</v>
      </c>
      <c r="Z587" s="1351" t="s">
        <v>69</v>
      </c>
      <c r="AA587" s="1351"/>
      <c r="AB587" s="1351"/>
      <c r="AC587" s="1351"/>
      <c r="AD587" s="1351"/>
      <c r="AE587" s="1351"/>
      <c r="AF587" s="1351"/>
      <c r="AG587" s="1351"/>
      <c r="AH587" s="1351"/>
      <c r="AI587" s="1351"/>
      <c r="AJ587" s="1351"/>
      <c r="AK587" s="1351"/>
      <c r="BB587" s="3"/>
      <c r="BC587" s="3"/>
    </row>
    <row r="588" spans="1:55" ht="12.95" customHeight="1">
      <c r="A588" s="22"/>
      <c r="B588" t="s">
        <v>17</v>
      </c>
      <c r="G588" s="1338" t="s">
        <v>2714</v>
      </c>
      <c r="H588" s="1338"/>
      <c r="I588" s="1338"/>
      <c r="J588" s="1338"/>
      <c r="K588" s="1338"/>
      <c r="L588" s="1338"/>
      <c r="M588" s="1338"/>
      <c r="N588" s="1338"/>
      <c r="O588" s="1338"/>
      <c r="P588" s="1338"/>
      <c r="Q588" s="1338"/>
      <c r="R588" s="1338"/>
      <c r="T588" s="22"/>
      <c r="U588" t="s">
        <v>17</v>
      </c>
      <c r="Z588" s="1351" t="s">
        <v>2624</v>
      </c>
      <c r="AA588" s="1351"/>
      <c r="AB588" s="1351"/>
      <c r="AC588" s="1351"/>
      <c r="AD588" s="1351"/>
      <c r="AE588" s="1351"/>
      <c r="AF588" s="1351"/>
      <c r="AG588" s="1351"/>
      <c r="AH588" s="1351"/>
      <c r="AI588" s="1351"/>
      <c r="AJ588" s="1351"/>
      <c r="AK588" s="1351"/>
    </row>
    <row r="589" spans="1:55" ht="12.95" customHeight="1">
      <c r="A589" s="22"/>
      <c r="B589" t="s">
        <v>315</v>
      </c>
      <c r="G589" s="1669" t="s">
        <v>2715</v>
      </c>
      <c r="H589" s="1337"/>
      <c r="I589" s="1337"/>
      <c r="J589" s="1337"/>
      <c r="K589" s="1337"/>
      <c r="L589" s="1337"/>
      <c r="O589" s="33" t="s">
        <v>205</v>
      </c>
      <c r="P589" s="1450"/>
      <c r="Q589" s="1450"/>
      <c r="R589" s="1450"/>
      <c r="T589" s="22"/>
      <c r="U589" t="s">
        <v>315</v>
      </c>
      <c r="Z589" s="1337" t="s">
        <v>2711</v>
      </c>
      <c r="AA589" s="1337"/>
      <c r="AB589" s="1337"/>
      <c r="AC589" s="1337"/>
      <c r="AD589" s="1337"/>
      <c r="AE589" s="1337"/>
      <c r="AH589" s="33" t="s">
        <v>205</v>
      </c>
      <c r="AI589" s="1450"/>
      <c r="AJ589" s="1450"/>
      <c r="AK589" s="1450"/>
      <c r="AZ589" s="3"/>
      <c r="BA589" s="3"/>
      <c r="BB589" s="3"/>
      <c r="BC589" s="3"/>
    </row>
    <row r="590" spans="1:55" ht="12.95" customHeight="1">
      <c r="A590" s="22"/>
      <c r="B590" t="s">
        <v>18</v>
      </c>
      <c r="H590" s="1338" t="s">
        <v>2115</v>
      </c>
      <c r="I590" s="1338"/>
      <c r="J590" s="1338"/>
      <c r="K590" s="1338"/>
      <c r="L590" s="1338"/>
      <c r="M590" s="1338"/>
      <c r="N590" s="1338"/>
      <c r="O590" s="1338"/>
      <c r="P590" s="1338"/>
      <c r="Q590" s="1338"/>
      <c r="R590" s="1338"/>
      <c r="T590" s="22"/>
      <c r="U590" t="s">
        <v>18</v>
      </c>
      <c r="AA590" s="1338" t="s">
        <v>2712</v>
      </c>
      <c r="AB590" s="1338"/>
      <c r="AC590" s="1338"/>
      <c r="AD590" s="1338"/>
      <c r="AE590" s="1338"/>
      <c r="AF590" s="1338"/>
      <c r="AG590" s="1338"/>
      <c r="AH590" s="1338"/>
      <c r="AI590" s="1338"/>
      <c r="AJ590" s="1338"/>
      <c r="AK590" s="1338"/>
      <c r="AZ590" s="3"/>
      <c r="BA590" s="3"/>
      <c r="BB590" s="3"/>
      <c r="BC590" s="3"/>
    </row>
    <row r="591" spans="1:55" ht="12.95" customHeight="1">
      <c r="A591" s="22"/>
      <c r="B591" t="s">
        <v>20</v>
      </c>
      <c r="N591" s="1333" t="s">
        <v>545</v>
      </c>
      <c r="O591" s="1333"/>
      <c r="T591" s="22"/>
      <c r="U591" t="s">
        <v>20</v>
      </c>
      <c r="AG591" s="1333" t="s">
        <v>545</v>
      </c>
      <c r="AH591" s="1333"/>
      <c r="AZ591" s="3"/>
      <c r="BA591" s="3"/>
      <c r="BB591" s="3"/>
      <c r="BC591" s="3"/>
    </row>
    <row r="592" spans="1:55" ht="12.95" customHeight="1">
      <c r="A592" s="22"/>
      <c r="T592" s="22"/>
      <c r="AZ592" s="3"/>
      <c r="BA592" s="3"/>
      <c r="BB592" s="3"/>
      <c r="BC592" s="3"/>
    </row>
    <row r="593" spans="1:55" ht="12.95" customHeight="1">
      <c r="A593" s="55" t="s">
        <v>455</v>
      </c>
      <c r="B593" t="s">
        <v>463</v>
      </c>
      <c r="G593" s="1358" t="str">
        <f>C560</f>
        <v>Deferred Developer Fee</v>
      </c>
      <c r="H593" s="1358"/>
      <c r="I593" s="1358"/>
      <c r="J593" s="1358"/>
      <c r="K593" s="1358"/>
      <c r="L593" s="1358"/>
      <c r="M593" s="1358"/>
      <c r="N593" s="1358"/>
      <c r="O593" s="1358"/>
      <c r="P593" s="1358"/>
      <c r="Q593" s="1358"/>
      <c r="R593" s="1358"/>
      <c r="T593" s="55" t="s">
        <v>456</v>
      </c>
      <c r="U593" t="s">
        <v>463</v>
      </c>
      <c r="Z593" s="1358" t="str">
        <f>C561</f>
        <v>Limited Partnership</v>
      </c>
      <c r="AA593" s="1358"/>
      <c r="AB593" s="1358"/>
      <c r="AC593" s="1358"/>
      <c r="AD593" s="1358"/>
      <c r="AE593" s="1358"/>
      <c r="AF593" s="1358"/>
      <c r="AG593" s="1358"/>
      <c r="AH593" s="1358"/>
      <c r="AI593" s="1358"/>
      <c r="AJ593" s="1358"/>
      <c r="AK593" s="1358"/>
      <c r="AZ593" s="3"/>
      <c r="BA593" s="3"/>
      <c r="BB593" s="3"/>
      <c r="BC593" s="3"/>
    </row>
    <row r="594" spans="1:55" s="4" customFormat="1" ht="12.95" customHeight="1">
      <c r="A594" s="22"/>
      <c r="B594" t="s">
        <v>85</v>
      </c>
      <c r="C594"/>
      <c r="D594"/>
      <c r="E594"/>
      <c r="F594"/>
      <c r="G594" s="1429" t="s">
        <v>2710</v>
      </c>
      <c r="H594" s="1338"/>
      <c r="I594" s="1338"/>
      <c r="J594" s="1338"/>
      <c r="K594" s="1338"/>
      <c r="L594" s="1338"/>
      <c r="M594" s="1338"/>
      <c r="N594" s="1338"/>
      <c r="O594" s="1338"/>
      <c r="P594" s="1338"/>
      <c r="Q594" s="1338"/>
      <c r="R594" s="1338"/>
      <c r="S594"/>
      <c r="T594" s="22"/>
      <c r="U594" t="s">
        <v>85</v>
      </c>
      <c r="V594"/>
      <c r="W594"/>
      <c r="X594"/>
      <c r="Y594"/>
      <c r="Z594" s="1429" t="s">
        <v>2661</v>
      </c>
      <c r="AA594" s="1338"/>
      <c r="AB594" s="1338"/>
      <c r="AC594" s="1338"/>
      <c r="AD594" s="1338"/>
      <c r="AE594" s="1338"/>
      <c r="AF594" s="1338"/>
      <c r="AG594" s="1338"/>
      <c r="AH594" s="1338"/>
      <c r="AI594" s="1338"/>
      <c r="AJ594" s="1338"/>
      <c r="AK594" s="1338"/>
      <c r="AL594"/>
      <c r="AM594"/>
      <c r="AN594"/>
      <c r="AO594"/>
      <c r="AP594"/>
      <c r="AQ594"/>
      <c r="AR594"/>
      <c r="AS594"/>
      <c r="AT594"/>
      <c r="AU594"/>
      <c r="AV594"/>
      <c r="AW594"/>
      <c r="AX594"/>
      <c r="AY594"/>
      <c r="AZ594" s="3"/>
      <c r="BA594" s="3"/>
      <c r="BB594" s="3"/>
      <c r="BC594" s="3"/>
    </row>
    <row r="595" spans="1:55" s="4" customFormat="1" ht="12.95" customHeight="1">
      <c r="A595" s="22"/>
      <c r="B595" t="s">
        <v>580</v>
      </c>
      <c r="C595"/>
      <c r="D595"/>
      <c r="E595"/>
      <c r="F595"/>
      <c r="G595" s="1338" t="s">
        <v>69</v>
      </c>
      <c r="H595" s="1338"/>
      <c r="I595" s="1338"/>
      <c r="J595" s="1338"/>
      <c r="K595" s="1338"/>
      <c r="L595" s="1338"/>
      <c r="M595" s="1338"/>
      <c r="N595" s="1338"/>
      <c r="O595" s="1338"/>
      <c r="P595" s="1338"/>
      <c r="Q595" s="1338"/>
      <c r="R595" s="1338"/>
      <c r="S595"/>
      <c r="T595" s="22"/>
      <c r="U595" t="s">
        <v>580</v>
      </c>
      <c r="V595"/>
      <c r="W595"/>
      <c r="X595"/>
      <c r="Y595"/>
      <c r="Z595" s="1351"/>
      <c r="AA595" s="1351"/>
      <c r="AB595" s="1351"/>
      <c r="AC595" s="1351"/>
      <c r="AD595" s="1351"/>
      <c r="AE595" s="1351"/>
      <c r="AF595" s="1351"/>
      <c r="AG595" s="1351"/>
      <c r="AH595" s="1351"/>
      <c r="AI595" s="1351"/>
      <c r="AJ595" s="1351"/>
      <c r="AK595" s="1351"/>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38" t="s">
        <v>2624</v>
      </c>
      <c r="H596" s="1338"/>
      <c r="I596" s="1338"/>
      <c r="J596" s="1338"/>
      <c r="K596" s="1338"/>
      <c r="L596" s="1338"/>
      <c r="M596" s="1338"/>
      <c r="N596" s="1338"/>
      <c r="O596" s="1338"/>
      <c r="P596" s="1338"/>
      <c r="Q596" s="1338"/>
      <c r="R596" s="1338"/>
      <c r="S596"/>
      <c r="T596" s="22"/>
      <c r="U596" t="s">
        <v>17</v>
      </c>
      <c r="V596"/>
      <c r="W596"/>
      <c r="X596"/>
      <c r="Y596"/>
      <c r="Z596" s="1351"/>
      <c r="AA596" s="1351"/>
      <c r="AB596" s="1351"/>
      <c r="AC596" s="1351"/>
      <c r="AD596" s="1351"/>
      <c r="AE596" s="1351"/>
      <c r="AF596" s="1351"/>
      <c r="AG596" s="1351"/>
      <c r="AH596" s="1351"/>
      <c r="AI596" s="1351"/>
      <c r="AJ596" s="1351"/>
      <c r="AK596" s="1351"/>
      <c r="AL596"/>
      <c r="AM596"/>
      <c r="AN596"/>
      <c r="AO596"/>
      <c r="AP596"/>
      <c r="AQ596"/>
      <c r="AR596"/>
      <c r="AS596"/>
      <c r="AT596"/>
      <c r="AU596"/>
      <c r="AV596"/>
      <c r="AW596"/>
      <c r="AX596"/>
      <c r="AY596"/>
      <c r="BB596" s="3"/>
      <c r="BC596" s="3"/>
    </row>
    <row r="597" spans="1:55" s="4" customFormat="1" ht="12.95" customHeight="1">
      <c r="A597" s="22"/>
      <c r="B597" t="s">
        <v>315</v>
      </c>
      <c r="C597"/>
      <c r="D597"/>
      <c r="E597"/>
      <c r="F597"/>
      <c r="G597" s="1337" t="s">
        <v>2711</v>
      </c>
      <c r="H597" s="1337"/>
      <c r="I597" s="1337"/>
      <c r="J597" s="1337"/>
      <c r="K597" s="1337"/>
      <c r="L597" s="1337"/>
      <c r="M597"/>
      <c r="N597"/>
      <c r="O597" s="33" t="s">
        <v>205</v>
      </c>
      <c r="P597" s="1450"/>
      <c r="Q597" s="1450"/>
      <c r="R597" s="1450"/>
      <c r="S597"/>
      <c r="T597" s="22"/>
      <c r="U597" t="s">
        <v>315</v>
      </c>
      <c r="V597"/>
      <c r="W597"/>
      <c r="X597"/>
      <c r="Y597"/>
      <c r="Z597" s="1337"/>
      <c r="AA597" s="1337"/>
      <c r="AB597" s="1337"/>
      <c r="AC597" s="1337"/>
      <c r="AD597" s="1337"/>
      <c r="AE597" s="1337"/>
      <c r="AF597"/>
      <c r="AG597"/>
      <c r="AH597" s="33" t="s">
        <v>205</v>
      </c>
      <c r="AI597" s="1450"/>
      <c r="AJ597" s="1450"/>
      <c r="AK597" s="1450"/>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429" t="s">
        <v>2712</v>
      </c>
      <c r="I598" s="1338"/>
      <c r="J598" s="1338"/>
      <c r="K598" s="1338"/>
      <c r="L598" s="1338"/>
      <c r="M598" s="1338"/>
      <c r="N598" s="1338"/>
      <c r="O598" s="1338"/>
      <c r="P598" s="1338"/>
      <c r="Q598" s="1338"/>
      <c r="R598" s="1338"/>
      <c r="S598"/>
      <c r="T598" s="22"/>
      <c r="U598" t="s">
        <v>18</v>
      </c>
      <c r="V598"/>
      <c r="W598"/>
      <c r="X598"/>
      <c r="Y598"/>
      <c r="Z598"/>
      <c r="AA598" s="1429" t="s">
        <v>2713</v>
      </c>
      <c r="AB598" s="1338"/>
      <c r="AC598" s="1338"/>
      <c r="AD598" s="1338"/>
      <c r="AE598" s="1338"/>
      <c r="AF598" s="1338"/>
      <c r="AG598" s="1338"/>
      <c r="AH598" s="1338"/>
      <c r="AI598" s="1338"/>
      <c r="AJ598" s="1338"/>
      <c r="AK598" s="1338"/>
      <c r="AL598"/>
      <c r="AM598"/>
      <c r="AN598"/>
      <c r="AO598"/>
      <c r="AP598"/>
      <c r="AQ598"/>
      <c r="AR598"/>
      <c r="AS598"/>
      <c r="AT598"/>
      <c r="AU598"/>
      <c r="AV598"/>
      <c r="AW598"/>
      <c r="AX598"/>
      <c r="AY598"/>
      <c r="BB598" s="3"/>
      <c r="BC598" s="3"/>
    </row>
    <row r="599" spans="1:55" ht="12.95" customHeight="1">
      <c r="A599" s="22"/>
      <c r="B599" t="s">
        <v>20</v>
      </c>
      <c r="N599" s="1333" t="s">
        <v>545</v>
      </c>
      <c r="O599" s="1333"/>
      <c r="T599" s="22"/>
      <c r="U599" t="s">
        <v>20</v>
      </c>
      <c r="AG599" s="1333" t="s">
        <v>669</v>
      </c>
      <c r="AH599" s="1333"/>
      <c r="BB599" s="3"/>
      <c r="BC599" s="3"/>
    </row>
    <row r="600" spans="1:55" ht="12.95" customHeight="1">
      <c r="A600" s="22"/>
      <c r="T600" s="22"/>
      <c r="BB600" s="3"/>
      <c r="BC600" s="3"/>
    </row>
    <row r="601" spans="1:55" ht="12.95" customHeight="1">
      <c r="A601" s="55" t="s">
        <v>461</v>
      </c>
      <c r="B601" t="s">
        <v>463</v>
      </c>
      <c r="G601" s="1358">
        <f>C562</f>
        <v>0</v>
      </c>
      <c r="H601" s="1358"/>
      <c r="I601" s="1358"/>
      <c r="J601" s="1358"/>
      <c r="K601" s="1358"/>
      <c r="L601" s="1358"/>
      <c r="M601" s="1358"/>
      <c r="N601" s="1358"/>
      <c r="O601" s="1358"/>
      <c r="P601" s="1358"/>
      <c r="Q601" s="1358"/>
      <c r="R601" s="1358"/>
      <c r="T601" s="55" t="s">
        <v>646</v>
      </c>
      <c r="U601" t="s">
        <v>463</v>
      </c>
      <c r="Z601" s="1358">
        <f>C563</f>
        <v>0</v>
      </c>
      <c r="AA601" s="1358"/>
      <c r="AB601" s="1358"/>
      <c r="AC601" s="1358"/>
      <c r="AD601" s="1358"/>
      <c r="AE601" s="1358"/>
      <c r="AF601" s="1358"/>
      <c r="AG601" s="1358"/>
      <c r="AH601" s="1358"/>
      <c r="AI601" s="1358"/>
      <c r="AJ601" s="1358"/>
      <c r="AK601" s="1358"/>
      <c r="BB601" s="3"/>
      <c r="BC601" s="3"/>
    </row>
    <row r="602" spans="1:55" ht="12.95" customHeight="1">
      <c r="A602" s="22"/>
      <c r="B602" t="s">
        <v>85</v>
      </c>
      <c r="G602" s="1338"/>
      <c r="H602" s="1338"/>
      <c r="I602" s="1338"/>
      <c r="J602" s="1338"/>
      <c r="K602" s="1338"/>
      <c r="L602" s="1338"/>
      <c r="M602" s="1338"/>
      <c r="N602" s="1338"/>
      <c r="O602" s="1338"/>
      <c r="P602" s="1338"/>
      <c r="Q602" s="1338"/>
      <c r="R602" s="1338"/>
      <c r="T602" s="22"/>
      <c r="U602" t="s">
        <v>85</v>
      </c>
      <c r="Z602" s="1338"/>
      <c r="AA602" s="1338"/>
      <c r="AB602" s="1338"/>
      <c r="AC602" s="1338"/>
      <c r="AD602" s="1338"/>
      <c r="AE602" s="1338"/>
      <c r="AF602" s="1338"/>
      <c r="AG602" s="1338"/>
      <c r="AH602" s="1338"/>
      <c r="AI602" s="1338"/>
      <c r="AJ602" s="1338"/>
      <c r="AK602" s="1338"/>
      <c r="AZ602" s="3"/>
      <c r="BA602" s="3"/>
      <c r="BB602" s="3"/>
      <c r="BC602" s="3"/>
    </row>
    <row r="603" spans="1:55" ht="12.95" customHeight="1">
      <c r="A603" s="22"/>
      <c r="B603" t="s">
        <v>580</v>
      </c>
      <c r="G603" s="1338"/>
      <c r="H603" s="1338"/>
      <c r="I603" s="1338"/>
      <c r="J603" s="1338"/>
      <c r="K603" s="1338"/>
      <c r="L603" s="1338"/>
      <c r="M603" s="1338"/>
      <c r="N603" s="1338"/>
      <c r="O603" s="1338"/>
      <c r="P603" s="1338"/>
      <c r="Q603" s="1338"/>
      <c r="R603" s="1338"/>
      <c r="T603" s="22"/>
      <c r="U603" t="s">
        <v>580</v>
      </c>
      <c r="Z603" s="1351"/>
      <c r="AA603" s="1351"/>
      <c r="AB603" s="1351"/>
      <c r="AC603" s="1351"/>
      <c r="AD603" s="1351"/>
      <c r="AE603" s="1351"/>
      <c r="AF603" s="1351"/>
      <c r="AG603" s="1351"/>
      <c r="AH603" s="1351"/>
      <c r="AI603" s="1351"/>
      <c r="AJ603" s="1351"/>
      <c r="AK603" s="1351"/>
      <c r="AZ603" s="3"/>
      <c r="BA603" s="3"/>
      <c r="BB603" s="3"/>
      <c r="BC603" s="3"/>
    </row>
    <row r="604" spans="1:55" ht="12.95" customHeight="1">
      <c r="A604" s="22"/>
      <c r="B604" t="s">
        <v>17</v>
      </c>
      <c r="G604" s="1338"/>
      <c r="H604" s="1338"/>
      <c r="I604" s="1338"/>
      <c r="J604" s="1338"/>
      <c r="K604" s="1338"/>
      <c r="L604" s="1338"/>
      <c r="M604" s="1338"/>
      <c r="N604" s="1338"/>
      <c r="O604" s="1338"/>
      <c r="P604" s="1338"/>
      <c r="Q604" s="1338"/>
      <c r="R604" s="1338"/>
      <c r="T604" s="22"/>
      <c r="U604" t="s">
        <v>17</v>
      </c>
      <c r="Z604" s="1351"/>
      <c r="AA604" s="1351"/>
      <c r="AB604" s="1351"/>
      <c r="AC604" s="1351"/>
      <c r="AD604" s="1351"/>
      <c r="AE604" s="1351"/>
      <c r="AF604" s="1351"/>
      <c r="AG604" s="1351"/>
      <c r="AH604" s="1351"/>
      <c r="AI604" s="1351"/>
      <c r="AJ604" s="1351"/>
      <c r="AK604" s="1351"/>
      <c r="AZ604" s="3"/>
      <c r="BA604" s="3"/>
      <c r="BB604" s="3"/>
      <c r="BC604" s="3"/>
    </row>
    <row r="605" spans="1:55" s="4" customFormat="1" ht="12.95" customHeight="1">
      <c r="A605" s="22"/>
      <c r="B605" t="s">
        <v>315</v>
      </c>
      <c r="C605"/>
      <c r="D605"/>
      <c r="E605"/>
      <c r="F605"/>
      <c r="G605" s="1337"/>
      <c r="H605" s="1337"/>
      <c r="I605" s="1337"/>
      <c r="J605" s="1337"/>
      <c r="K605" s="1337"/>
      <c r="L605" s="1337"/>
      <c r="M605"/>
      <c r="N605"/>
      <c r="O605" s="33" t="s">
        <v>205</v>
      </c>
      <c r="P605" s="1450"/>
      <c r="Q605" s="1450"/>
      <c r="R605" s="1450"/>
      <c r="S605"/>
      <c r="T605" s="22"/>
      <c r="U605" t="s">
        <v>315</v>
      </c>
      <c r="V605"/>
      <c r="W605"/>
      <c r="X605"/>
      <c r="Y605"/>
      <c r="Z605" s="1337"/>
      <c r="AA605" s="1337"/>
      <c r="AB605" s="1337"/>
      <c r="AC605" s="1337"/>
      <c r="AD605" s="1337"/>
      <c r="AE605" s="1337"/>
      <c r="AF605"/>
      <c r="AG605"/>
      <c r="AH605" s="33" t="s">
        <v>205</v>
      </c>
      <c r="AI605" s="1450"/>
      <c r="AJ605" s="1450"/>
      <c r="AK605" s="1450"/>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38"/>
      <c r="I606" s="1338"/>
      <c r="J606" s="1338"/>
      <c r="K606" s="1338"/>
      <c r="L606" s="1338"/>
      <c r="M606" s="1338"/>
      <c r="N606" s="1338"/>
      <c r="O606" s="1338"/>
      <c r="P606" s="1338"/>
      <c r="Q606" s="1338"/>
      <c r="R606" s="1338"/>
      <c r="S606"/>
      <c r="T606" s="22"/>
      <c r="U606" t="s">
        <v>18</v>
      </c>
      <c r="V606"/>
      <c r="W606"/>
      <c r="X606"/>
      <c r="Y606"/>
      <c r="Z606"/>
      <c r="AA606" s="1338"/>
      <c r="AB606" s="1338"/>
      <c r="AC606" s="1338"/>
      <c r="AD606" s="1338"/>
      <c r="AE606" s="1338"/>
      <c r="AF606" s="1338"/>
      <c r="AG606" s="1338"/>
      <c r="AH606" s="1338"/>
      <c r="AI606" s="1338"/>
      <c r="AJ606" s="1338"/>
      <c r="AK606" s="1338"/>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3" t="s">
        <v>669</v>
      </c>
      <c r="O607" s="1333"/>
      <c r="P607"/>
      <c r="Q607"/>
      <c r="R607"/>
      <c r="S607"/>
      <c r="T607" s="22"/>
      <c r="U607" t="s">
        <v>20</v>
      </c>
      <c r="V607"/>
      <c r="W607"/>
      <c r="X607"/>
      <c r="Y607"/>
      <c r="Z607"/>
      <c r="AA607"/>
      <c r="AB607"/>
      <c r="AC607"/>
      <c r="AD607"/>
      <c r="AE607"/>
      <c r="AF607"/>
      <c r="AG607" s="1333" t="s">
        <v>669</v>
      </c>
      <c r="AH607" s="1333"/>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361</v>
      </c>
      <c r="B609" t="s">
        <v>463</v>
      </c>
      <c r="G609" s="1358">
        <f>C564</f>
        <v>0</v>
      </c>
      <c r="H609" s="1358"/>
      <c r="I609" s="1358"/>
      <c r="J609" s="1358"/>
      <c r="K609" s="1358"/>
      <c r="L609" s="1358"/>
      <c r="M609" s="1358"/>
      <c r="N609" s="1358"/>
      <c r="O609" s="1358"/>
      <c r="P609" s="1358"/>
      <c r="Q609" s="1358"/>
      <c r="R609" s="1358"/>
      <c r="T609" s="55" t="s">
        <v>362</v>
      </c>
      <c r="U609" t="s">
        <v>463</v>
      </c>
      <c r="Z609" s="1358">
        <f>C565</f>
        <v>0</v>
      </c>
      <c r="AA609" s="1358"/>
      <c r="AB609" s="1358"/>
      <c r="AC609" s="1358"/>
      <c r="AD609" s="1358"/>
      <c r="AE609" s="1358"/>
      <c r="AF609" s="1358"/>
      <c r="AG609" s="1358"/>
      <c r="AH609" s="1358"/>
      <c r="AI609" s="1358"/>
      <c r="AJ609" s="1358"/>
      <c r="AK609" s="1358"/>
      <c r="AZ609" s="3"/>
      <c r="BA609" s="3"/>
      <c r="BB609" s="3"/>
      <c r="BC609" s="3"/>
    </row>
    <row r="610" spans="1:55" ht="12.95" customHeight="1">
      <c r="B610" t="s">
        <v>85</v>
      </c>
      <c r="G610" s="1338"/>
      <c r="H610" s="1338"/>
      <c r="I610" s="1338"/>
      <c r="J610" s="1338"/>
      <c r="K610" s="1338"/>
      <c r="L610" s="1338"/>
      <c r="M610" s="1338"/>
      <c r="N610" s="1338"/>
      <c r="O610" s="1338"/>
      <c r="P610" s="1338"/>
      <c r="Q610" s="1338"/>
      <c r="R610" s="1338"/>
      <c r="U610" t="s">
        <v>85</v>
      </c>
      <c r="Z610" s="1338"/>
      <c r="AA610" s="1338"/>
      <c r="AB610" s="1338"/>
      <c r="AC610" s="1338"/>
      <c r="AD610" s="1338"/>
      <c r="AE610" s="1338"/>
      <c r="AF610" s="1338"/>
      <c r="AG610" s="1338"/>
      <c r="AH610" s="1338"/>
      <c r="AI610" s="1338"/>
      <c r="AJ610" s="1338"/>
      <c r="AK610" s="1338"/>
      <c r="AZ610" s="3"/>
      <c r="BA610" s="3"/>
      <c r="BB610" s="3"/>
      <c r="BC610" s="3"/>
    </row>
    <row r="611" spans="1:55" ht="12.95" customHeight="1">
      <c r="B611" t="s">
        <v>580</v>
      </c>
      <c r="G611" s="1338"/>
      <c r="H611" s="1338"/>
      <c r="I611" s="1338"/>
      <c r="J611" s="1338"/>
      <c r="K611" s="1338"/>
      <c r="L611" s="1338"/>
      <c r="M611" s="1338"/>
      <c r="N611" s="1338"/>
      <c r="O611" s="1338"/>
      <c r="P611" s="1338"/>
      <c r="Q611" s="1338"/>
      <c r="R611" s="1338"/>
      <c r="U611" t="s">
        <v>580</v>
      </c>
      <c r="Z611" s="1351"/>
      <c r="AA611" s="1351"/>
      <c r="AB611" s="1351"/>
      <c r="AC611" s="1351"/>
      <c r="AD611" s="1351"/>
      <c r="AE611" s="1351"/>
      <c r="AF611" s="1351"/>
      <c r="AG611" s="1351"/>
      <c r="AH611" s="1351"/>
      <c r="AI611" s="1351"/>
      <c r="AJ611" s="1351"/>
      <c r="AK611" s="1351"/>
      <c r="AZ611" s="3"/>
      <c r="BA611" s="3"/>
      <c r="BB611" s="3"/>
      <c r="BC611" s="3"/>
    </row>
    <row r="612" spans="1:55" ht="12.95" customHeight="1">
      <c r="B612" t="s">
        <v>17</v>
      </c>
      <c r="G612" s="1338"/>
      <c r="H612" s="1338"/>
      <c r="I612" s="1338"/>
      <c r="J612" s="1338"/>
      <c r="K612" s="1338"/>
      <c r="L612" s="1338"/>
      <c r="M612" s="1338"/>
      <c r="N612" s="1338"/>
      <c r="O612" s="1338"/>
      <c r="P612" s="1338"/>
      <c r="Q612" s="1338"/>
      <c r="R612" s="1338"/>
      <c r="U612" t="s">
        <v>17</v>
      </c>
      <c r="Z612" s="1351"/>
      <c r="AA612" s="1351"/>
      <c r="AB612" s="1351"/>
      <c r="AC612" s="1351"/>
      <c r="AD612" s="1351"/>
      <c r="AE612" s="1351"/>
      <c r="AF612" s="1351"/>
      <c r="AG612" s="1351"/>
      <c r="AH612" s="1351"/>
      <c r="AI612" s="1351"/>
      <c r="AJ612" s="1351"/>
      <c r="AK612" s="1351"/>
      <c r="AZ612" s="3"/>
      <c r="BA612" s="3"/>
      <c r="BB612" s="3"/>
      <c r="BC612" s="3"/>
    </row>
    <row r="613" spans="1:55" ht="12.95" customHeight="1">
      <c r="B613" t="s">
        <v>315</v>
      </c>
      <c r="G613" s="1337"/>
      <c r="H613" s="1337"/>
      <c r="I613" s="1337"/>
      <c r="J613" s="1337"/>
      <c r="K613" s="1337"/>
      <c r="L613" s="1337"/>
      <c r="O613" s="33" t="s">
        <v>205</v>
      </c>
      <c r="P613" s="1450"/>
      <c r="Q613" s="1450"/>
      <c r="R613" s="1450"/>
      <c r="U613" t="s">
        <v>315</v>
      </c>
      <c r="Z613" s="1337"/>
      <c r="AA613" s="1337"/>
      <c r="AB613" s="1337"/>
      <c r="AC613" s="1337"/>
      <c r="AD613" s="1337"/>
      <c r="AE613" s="1337"/>
      <c r="AH613" s="33" t="s">
        <v>205</v>
      </c>
      <c r="AI613" s="1450"/>
      <c r="AJ613" s="1450"/>
      <c r="AK613" s="1450"/>
      <c r="AZ613" s="3"/>
      <c r="BA613" s="3"/>
      <c r="BB613" s="3"/>
      <c r="BC613" s="3"/>
    </row>
    <row r="614" spans="1:55" ht="12.95" customHeight="1">
      <c r="B614" t="s">
        <v>18</v>
      </c>
      <c r="H614" s="1338"/>
      <c r="I614" s="1338"/>
      <c r="J614" s="1338"/>
      <c r="K614" s="1338"/>
      <c r="L614" s="1338"/>
      <c r="M614" s="1338"/>
      <c r="N614" s="1338"/>
      <c r="O614" s="1338"/>
      <c r="P614" s="1338"/>
      <c r="Q614" s="1338"/>
      <c r="R614" s="1338"/>
      <c r="U614" t="s">
        <v>18</v>
      </c>
      <c r="AA614" s="1338"/>
      <c r="AB614" s="1338"/>
      <c r="AC614" s="1338"/>
      <c r="AD614" s="1338"/>
      <c r="AE614" s="1338"/>
      <c r="AF614" s="1338"/>
      <c r="AG614" s="1338"/>
      <c r="AH614" s="1338"/>
      <c r="AI614" s="1338"/>
      <c r="AJ614" s="1338"/>
      <c r="AK614" s="1338"/>
      <c r="AU614" s="899"/>
      <c r="AV614" s="899"/>
      <c r="AW614" s="899"/>
      <c r="AX614" s="899"/>
      <c r="AY614" s="899"/>
      <c r="AZ614" s="3"/>
      <c r="BA614" s="3"/>
      <c r="BB614" s="3"/>
      <c r="BC614" s="3"/>
    </row>
    <row r="615" spans="1:55" ht="12.95" customHeight="1">
      <c r="B615" t="s">
        <v>20</v>
      </c>
      <c r="N615" s="1333" t="s">
        <v>669</v>
      </c>
      <c r="O615" s="1333"/>
      <c r="U615" t="s">
        <v>20</v>
      </c>
      <c r="AG615" s="1333" t="s">
        <v>669</v>
      </c>
      <c r="AH615" s="1333"/>
      <c r="AU615" s="899"/>
      <c r="AV615" s="899"/>
      <c r="AW615" s="899"/>
      <c r="AX615" s="899"/>
      <c r="AY615" s="899"/>
      <c r="AZ615" s="3"/>
      <c r="BA615" s="3"/>
      <c r="BB615" s="3"/>
      <c r="BC615" s="3"/>
    </row>
    <row r="616" spans="1:55" ht="12.95" customHeight="1">
      <c r="AZ616" s="3"/>
      <c r="BA616" s="3"/>
      <c r="BB616" s="3"/>
      <c r="BC616" s="3"/>
    </row>
    <row r="617" spans="1:55" ht="12.95" customHeight="1">
      <c r="A617" s="1260" t="s">
        <v>544</v>
      </c>
      <c r="B617" s="1260"/>
      <c r="C617" s="1260"/>
      <c r="D617" s="1260"/>
      <c r="E617" s="1260"/>
      <c r="F617" s="1260"/>
      <c r="G617" s="1260"/>
      <c r="H617" s="1260"/>
      <c r="I617" s="1260"/>
      <c r="J617" s="1260"/>
      <c r="K617" s="1260"/>
      <c r="L617" s="1260"/>
      <c r="M617" s="1260"/>
      <c r="N617" s="1260"/>
      <c r="O617" s="1260"/>
      <c r="P617" s="1260"/>
      <c r="Q617" s="1260"/>
      <c r="R617" s="1260"/>
      <c r="S617" s="1260"/>
      <c r="T617" s="1260"/>
      <c r="U617" s="1260"/>
      <c r="V617" s="1260"/>
      <c r="W617" s="1260"/>
      <c r="X617" s="1260"/>
      <c r="Y617" s="1260"/>
      <c r="Z617" s="1260"/>
      <c r="AA617" s="1260"/>
      <c r="AB617" s="1260"/>
      <c r="AC617" s="1260"/>
      <c r="AD617" s="1260"/>
      <c r="AE617" s="1260"/>
      <c r="AF617" s="1260"/>
      <c r="AG617" s="1260"/>
      <c r="AH617" s="1260"/>
      <c r="AI617" s="1260"/>
      <c r="AJ617" s="1260"/>
      <c r="AK617" s="1260"/>
      <c r="AL617" s="1260"/>
      <c r="AM617" s="1260"/>
      <c r="AN617" s="1260"/>
      <c r="AO617" s="1260"/>
      <c r="AP617" s="1260"/>
      <c r="AQ617" s="1260"/>
      <c r="AR617" s="1260"/>
      <c r="AS617" s="1260"/>
      <c r="AT617" s="1260"/>
      <c r="AZ617" s="3"/>
      <c r="BA617" s="3"/>
      <c r="BB617" s="3"/>
      <c r="BC617" s="3"/>
    </row>
    <row r="618" spans="1:55" ht="12.95" customHeight="1">
      <c r="A618" s="1260"/>
      <c r="B618" s="1260"/>
      <c r="C618" s="1260"/>
      <c r="D618" s="1260"/>
      <c r="E618" s="1260"/>
      <c r="F618" s="1260"/>
      <c r="G618" s="1260"/>
      <c r="H618" s="1260"/>
      <c r="I618" s="1260"/>
      <c r="J618" s="1260"/>
      <c r="K618" s="1260"/>
      <c r="L618" s="1260"/>
      <c r="M618" s="1260"/>
      <c r="N618" s="1260"/>
      <c r="O618" s="1260"/>
      <c r="P618" s="1260"/>
      <c r="Q618" s="1260"/>
      <c r="R618" s="1260"/>
      <c r="S618" s="1260"/>
      <c r="T618" s="1260"/>
      <c r="U618" s="1260"/>
      <c r="V618" s="1260"/>
      <c r="W618" s="1260"/>
      <c r="X618" s="1260"/>
      <c r="Y618" s="1260"/>
      <c r="Z618" s="1260"/>
      <c r="AA618" s="1260"/>
      <c r="AB618" s="1260"/>
      <c r="AC618" s="1260"/>
      <c r="AD618" s="1260"/>
      <c r="AE618" s="1260"/>
      <c r="AF618" s="1260"/>
      <c r="AG618" s="1260"/>
      <c r="AH618" s="1260"/>
      <c r="AI618" s="1260"/>
      <c r="AJ618" s="1260"/>
      <c r="AK618" s="1260"/>
      <c r="AL618" s="1260"/>
      <c r="AM618" s="1260"/>
      <c r="AN618" s="1260"/>
      <c r="AO618" s="1260"/>
      <c r="AP618" s="1260"/>
      <c r="AQ618" s="1260"/>
      <c r="AR618" s="1260"/>
      <c r="AS618" s="1260"/>
      <c r="AT618" s="1260"/>
      <c r="AZ618" s="3"/>
      <c r="BA618" s="3"/>
      <c r="BB618" s="3"/>
      <c r="BC618" s="3"/>
    </row>
    <row r="619" spans="1:55" ht="12.95" customHeight="1">
      <c r="AZ619" s="3"/>
      <c r="BA619" s="3"/>
      <c r="BB619" s="3"/>
      <c r="BC619" s="3"/>
    </row>
    <row r="620" spans="1:55" ht="12.95" customHeight="1">
      <c r="A620" s="2" t="s">
        <v>318</v>
      </c>
      <c r="B620" s="2"/>
      <c r="C620" s="2" t="s">
        <v>21</v>
      </c>
      <c r="AZ620" s="3"/>
      <c r="BA620" s="3"/>
      <c r="BB620" s="3"/>
      <c r="BC620" s="3"/>
    </row>
    <row r="621" spans="1:55" ht="12.95" customHeight="1">
      <c r="A621" s="2"/>
      <c r="B621" s="2"/>
      <c r="C621" s="2"/>
      <c r="AZ621" s="3"/>
      <c r="BA621" s="3"/>
      <c r="BB621" s="3"/>
      <c r="BC621" s="3"/>
    </row>
    <row r="622" spans="1:55" ht="12.95" customHeight="1">
      <c r="C622" s="2" t="s">
        <v>2100</v>
      </c>
      <c r="AZ622" s="3"/>
      <c r="BA622" s="3"/>
      <c r="BB622" s="3"/>
      <c r="BC622" s="3"/>
    </row>
    <row r="623" spans="1:55" ht="12.95" customHeight="1">
      <c r="B623" s="512"/>
      <c r="C623" s="2"/>
      <c r="AU623" s="3"/>
      <c r="AZ623" s="3"/>
      <c r="BA623" s="3"/>
      <c r="BB623" s="3"/>
      <c r="BC623" s="3"/>
    </row>
    <row r="624" spans="1:55" ht="12.95" customHeight="1">
      <c r="B624" s="1674" t="s">
        <v>2102</v>
      </c>
      <c r="C624" s="1674"/>
      <c r="D624" s="1674"/>
      <c r="E624" s="1674"/>
      <c r="F624" s="1674"/>
      <c r="G624" s="1674"/>
      <c r="H624" s="1674"/>
      <c r="I624" s="1674"/>
      <c r="J624" s="1674"/>
      <c r="K624" s="1674"/>
      <c r="L624" s="1674"/>
      <c r="M624" s="1455" t="s">
        <v>2103</v>
      </c>
      <c r="N624" s="1455"/>
      <c r="O624" s="1455"/>
      <c r="P624" s="1455"/>
      <c r="Q624" s="1455" t="s">
        <v>1852</v>
      </c>
      <c r="R624" s="1455"/>
      <c r="S624" s="1455"/>
      <c r="T624" s="1455" t="s">
        <v>1850</v>
      </c>
      <c r="U624" s="1455"/>
      <c r="V624" s="1455"/>
      <c r="W624" s="1692" t="s">
        <v>453</v>
      </c>
      <c r="X624" s="1692"/>
      <c r="Y624" s="1692"/>
      <c r="Z624" s="1444" t="s">
        <v>2132</v>
      </c>
      <c r="AA624" s="1444"/>
      <c r="AB624" s="1445"/>
      <c r="AC624" s="1653" t="s">
        <v>1676</v>
      </c>
      <c r="AD624" s="1654"/>
      <c r="AE624" s="1655"/>
      <c r="AF624" s="1663" t="s">
        <v>1930</v>
      </c>
      <c r="AG624" s="1444"/>
      <c r="AH624" s="1444"/>
      <c r="AI624" s="1444"/>
      <c r="AJ624" s="1445"/>
      <c r="AK624" s="1693" t="s">
        <v>1931</v>
      </c>
      <c r="AL624" s="1694"/>
      <c r="AM624" s="1694"/>
      <c r="AN624" s="1695"/>
      <c r="AO624" s="1455" t="s">
        <v>454</v>
      </c>
      <c r="AP624" s="1455"/>
      <c r="AQ624" s="1455"/>
      <c r="AR624" s="1455"/>
      <c r="AS624" s="1455"/>
      <c r="AU624" s="3"/>
      <c r="AZ624" s="3"/>
      <c r="BA624" s="3"/>
      <c r="BB624" s="3"/>
      <c r="BC624" s="3"/>
    </row>
    <row r="625" spans="2:157" ht="12.95" customHeight="1">
      <c r="B625" s="1674"/>
      <c r="C625" s="1674"/>
      <c r="D625" s="1674"/>
      <c r="E625" s="1674"/>
      <c r="F625" s="1674"/>
      <c r="G625" s="1674"/>
      <c r="H625" s="1674"/>
      <c r="I625" s="1674"/>
      <c r="J625" s="1674"/>
      <c r="K625" s="1674"/>
      <c r="L625" s="1674"/>
      <c r="M625" s="1455"/>
      <c r="N625" s="1455"/>
      <c r="O625" s="1455"/>
      <c r="P625" s="1455"/>
      <c r="Q625" s="1455"/>
      <c r="R625" s="1455"/>
      <c r="S625" s="1455"/>
      <c r="T625" s="1455"/>
      <c r="U625" s="1455"/>
      <c r="V625" s="1455"/>
      <c r="W625" s="1692"/>
      <c r="X625" s="1692"/>
      <c r="Y625" s="1692"/>
      <c r="Z625" s="1446"/>
      <c r="AA625" s="1446"/>
      <c r="AB625" s="1447"/>
      <c r="AC625" s="1656"/>
      <c r="AD625" s="1657"/>
      <c r="AE625" s="1658"/>
      <c r="AF625" s="1664"/>
      <c r="AG625" s="1446"/>
      <c r="AH625" s="1446"/>
      <c r="AI625" s="1446"/>
      <c r="AJ625" s="1447"/>
      <c r="AK625" s="1696"/>
      <c r="AL625" s="1697"/>
      <c r="AM625" s="1697"/>
      <c r="AN625" s="1698"/>
      <c r="AO625" s="1455"/>
      <c r="AP625" s="1455"/>
      <c r="AQ625" s="1455"/>
      <c r="AR625" s="1455"/>
      <c r="AS625" s="1455"/>
      <c r="AU625" s="3"/>
      <c r="AZ625" s="3"/>
      <c r="BA625" s="3"/>
      <c r="BB625" s="3"/>
      <c r="BC625" s="3"/>
      <c r="BD625" s="3"/>
    </row>
    <row r="626" spans="2:157" ht="12.95" customHeight="1">
      <c r="B626" s="1674"/>
      <c r="C626" s="1674"/>
      <c r="D626" s="1674"/>
      <c r="E626" s="1674"/>
      <c r="F626" s="1674"/>
      <c r="G626" s="1674"/>
      <c r="H626" s="1674"/>
      <c r="I626" s="1674"/>
      <c r="J626" s="1674"/>
      <c r="K626" s="1674"/>
      <c r="L626" s="1674"/>
      <c r="M626" s="1455"/>
      <c r="N626" s="1455"/>
      <c r="O626" s="1455"/>
      <c r="P626" s="1455"/>
      <c r="Q626" s="1455"/>
      <c r="R626" s="1455"/>
      <c r="S626" s="1455"/>
      <c r="T626" s="1455"/>
      <c r="U626" s="1455"/>
      <c r="V626" s="1455"/>
      <c r="W626" s="1692"/>
      <c r="X626" s="1692"/>
      <c r="Y626" s="1692"/>
      <c r="Z626" s="1448"/>
      <c r="AA626" s="1448"/>
      <c r="AB626" s="1449"/>
      <c r="AC626" s="1659"/>
      <c r="AD626" s="1660"/>
      <c r="AE626" s="1661"/>
      <c r="AF626" s="1665"/>
      <c r="AG626" s="1448"/>
      <c r="AH626" s="1448"/>
      <c r="AI626" s="1448"/>
      <c r="AJ626" s="1449"/>
      <c r="AK626" s="1699"/>
      <c r="AL626" s="1700"/>
      <c r="AM626" s="1700"/>
      <c r="AN626" s="1701"/>
      <c r="AO626" s="1455"/>
      <c r="AP626" s="1455"/>
      <c r="AQ626" s="1455"/>
      <c r="AR626" s="1455"/>
      <c r="AS626" s="1455"/>
      <c r="AT626" s="3"/>
      <c r="AU626" s="3"/>
      <c r="AZ626" s="3"/>
      <c r="BA626" s="3"/>
      <c r="BB626" s="3"/>
      <c r="BC626" s="3"/>
      <c r="BD626" s="3"/>
    </row>
    <row r="627" spans="2:157" ht="12.95" customHeight="1">
      <c r="B627" s="51" t="s">
        <v>112</v>
      </c>
      <c r="C627" s="1673" t="s">
        <v>2741</v>
      </c>
      <c r="D627" s="1673"/>
      <c r="E627" s="1673"/>
      <c r="F627" s="1673"/>
      <c r="G627" s="1673"/>
      <c r="H627" s="1673"/>
      <c r="I627" s="1673"/>
      <c r="J627" s="1673"/>
      <c r="K627" s="1673"/>
      <c r="L627" s="1673"/>
      <c r="M627" s="1652" t="s">
        <v>2119</v>
      </c>
      <c r="N627" s="1652"/>
      <c r="O627" s="1652"/>
      <c r="P627" s="1652"/>
      <c r="Q627" s="1438">
        <v>17</v>
      </c>
      <c r="R627" s="1438"/>
      <c r="S627" s="1439"/>
      <c r="T627" s="1437">
        <v>35</v>
      </c>
      <c r="U627" s="1438"/>
      <c r="V627" s="1439"/>
      <c r="W627" s="1451">
        <v>6.4399999999999999E-2</v>
      </c>
      <c r="X627" s="1452"/>
      <c r="Y627" s="1453"/>
      <c r="Z627" s="1495" t="s">
        <v>2131</v>
      </c>
      <c r="AA627" s="1496"/>
      <c r="AB627" s="1497"/>
      <c r="AC627" s="1459">
        <v>1</v>
      </c>
      <c r="AD627" s="1460"/>
      <c r="AE627" s="1461"/>
      <c r="AF627" s="1469">
        <v>347134</v>
      </c>
      <c r="AG627" s="1470"/>
      <c r="AH627" s="1470"/>
      <c r="AI627" s="1470"/>
      <c r="AJ627" s="1471"/>
      <c r="AK627" s="1440"/>
      <c r="AL627" s="1441"/>
      <c r="AM627" s="1441"/>
      <c r="AN627" s="1442"/>
      <c r="AO627" s="1462">
        <v>4629000</v>
      </c>
      <c r="AP627" s="1462"/>
      <c r="AQ627" s="1462"/>
      <c r="AR627" s="1462"/>
      <c r="AS627" s="1462"/>
      <c r="AT627" s="3"/>
      <c r="AU627" s="3"/>
      <c r="AZ627" s="3"/>
      <c r="BA627" s="3"/>
      <c r="BB627" s="3"/>
      <c r="BC627" s="3"/>
      <c r="BD627" s="3"/>
    </row>
    <row r="628" spans="2:157" ht="12.95" customHeight="1">
      <c r="B628" s="52" t="s">
        <v>113</v>
      </c>
      <c r="C628" s="1673" t="s">
        <v>2699</v>
      </c>
      <c r="D628" s="1673"/>
      <c r="E628" s="1673"/>
      <c r="F628" s="1673"/>
      <c r="G628" s="1673"/>
      <c r="H628" s="1673"/>
      <c r="I628" s="1673"/>
      <c r="J628" s="1673"/>
      <c r="K628" s="1673"/>
      <c r="L628" s="1673"/>
      <c r="M628" s="1652" t="s">
        <v>2115</v>
      </c>
      <c r="N628" s="1652"/>
      <c r="O628" s="1652"/>
      <c r="P628" s="1652"/>
      <c r="Q628" s="1437">
        <v>55</v>
      </c>
      <c r="R628" s="1438"/>
      <c r="S628" s="1439"/>
      <c r="T628" s="1437"/>
      <c r="U628" s="1438"/>
      <c r="V628" s="1439"/>
      <c r="W628" s="1451">
        <v>0.03</v>
      </c>
      <c r="X628" s="1452"/>
      <c r="Y628" s="1453"/>
      <c r="Z628" s="1495" t="s">
        <v>457</v>
      </c>
      <c r="AA628" s="1496"/>
      <c r="AB628" s="1497"/>
      <c r="AC628" s="1459">
        <v>2</v>
      </c>
      <c r="AD628" s="1460"/>
      <c r="AE628" s="1461"/>
      <c r="AF628" s="1469">
        <v>64784</v>
      </c>
      <c r="AG628" s="1470"/>
      <c r="AH628" s="1470"/>
      <c r="AI628" s="1470"/>
      <c r="AJ628" s="1471"/>
      <c r="AK628" s="1440"/>
      <c r="AL628" s="1441"/>
      <c r="AM628" s="1441"/>
      <c r="AN628" s="1442"/>
      <c r="AO628" s="1477">
        <v>15424666</v>
      </c>
      <c r="AP628" s="1478"/>
      <c r="AQ628" s="1478"/>
      <c r="AR628" s="1478"/>
      <c r="AS628" s="1479"/>
      <c r="AT628" s="1148" t="str">
        <f>IF(AND(NOT(C627=""),C628="",NOT(C629="")),"!","")</f>
        <v/>
      </c>
      <c r="AU628" s="3"/>
      <c r="AZ628" s="3"/>
      <c r="BA628" s="3"/>
      <c r="BB628" s="3"/>
      <c r="BC628" s="3"/>
      <c r="BD628" s="3"/>
    </row>
    <row r="629" spans="2:157" ht="12.95" customHeight="1">
      <c r="B629" s="52" t="s">
        <v>119</v>
      </c>
      <c r="C629" s="1673" t="s">
        <v>2701</v>
      </c>
      <c r="D629" s="1673"/>
      <c r="E629" s="1673"/>
      <c r="F629" s="1673"/>
      <c r="G629" s="1673"/>
      <c r="H629" s="1673"/>
      <c r="I629" s="1673"/>
      <c r="J629" s="1673"/>
      <c r="K629" s="1673"/>
      <c r="L629" s="1673"/>
      <c r="M629" s="1652" t="s">
        <v>2115</v>
      </c>
      <c r="N629" s="1652"/>
      <c r="O629" s="1652"/>
      <c r="P629" s="1652"/>
      <c r="Q629" s="1437">
        <v>55</v>
      </c>
      <c r="R629" s="1438"/>
      <c r="S629" s="1439"/>
      <c r="T629" s="1437"/>
      <c r="U629" s="1438"/>
      <c r="V629" s="1439"/>
      <c r="W629" s="1451">
        <v>0.03</v>
      </c>
      <c r="X629" s="1452"/>
      <c r="Y629" s="1453"/>
      <c r="Z629" s="1495" t="s">
        <v>457</v>
      </c>
      <c r="AA629" s="1496"/>
      <c r="AB629" s="1497"/>
      <c r="AC629" s="1459">
        <v>3</v>
      </c>
      <c r="AD629" s="1460"/>
      <c r="AE629" s="1461"/>
      <c r="AF629" s="1469"/>
      <c r="AG629" s="1470"/>
      <c r="AH629" s="1470"/>
      <c r="AI629" s="1470"/>
      <c r="AJ629" s="1471"/>
      <c r="AK629" s="1440"/>
      <c r="AL629" s="1441"/>
      <c r="AM629" s="1441"/>
      <c r="AN629" s="1442"/>
      <c r="AO629" s="1477">
        <v>1800000</v>
      </c>
      <c r="AP629" s="1478"/>
      <c r="AQ629" s="1478"/>
      <c r="AR629" s="1478"/>
      <c r="AS629" s="1479"/>
      <c r="AT629" s="1148" t="str">
        <f t="shared" ref="AT629:AT638" si="1">IF(AND(NOT(C628=""),C629="",NOT(C630="")),"!","")</f>
        <v/>
      </c>
      <c r="AU629" s="3"/>
      <c r="AZ629" s="3"/>
      <c r="BA629" s="3"/>
      <c r="BB629" s="3"/>
      <c r="BC629" s="3"/>
      <c r="BD629" s="3"/>
    </row>
    <row r="630" spans="2:157" ht="12.95" customHeight="1">
      <c r="B630" s="52" t="s">
        <v>581</v>
      </c>
      <c r="C630" s="1443" t="s">
        <v>2700</v>
      </c>
      <c r="D630" s="1443"/>
      <c r="E630" s="1443"/>
      <c r="F630" s="1443"/>
      <c r="G630" s="1443"/>
      <c r="H630" s="1443"/>
      <c r="I630" s="1443"/>
      <c r="J630" s="1443"/>
      <c r="K630" s="1443"/>
      <c r="L630" s="1443"/>
      <c r="M630" s="1652" t="s">
        <v>2115</v>
      </c>
      <c r="N630" s="1652"/>
      <c r="O630" s="1652"/>
      <c r="P630" s="1652"/>
      <c r="Q630" s="1437">
        <v>55</v>
      </c>
      <c r="R630" s="1438"/>
      <c r="S630" s="1439"/>
      <c r="T630" s="1437"/>
      <c r="U630" s="1438"/>
      <c r="V630" s="1439"/>
      <c r="W630" s="1451">
        <v>0.03</v>
      </c>
      <c r="X630" s="1452"/>
      <c r="Y630" s="1453"/>
      <c r="Z630" s="1495" t="s">
        <v>457</v>
      </c>
      <c r="AA630" s="1496"/>
      <c r="AB630" s="1497"/>
      <c r="AC630" s="1459">
        <v>4</v>
      </c>
      <c r="AD630" s="1460"/>
      <c r="AE630" s="1461"/>
      <c r="AF630" s="1469"/>
      <c r="AG630" s="1470"/>
      <c r="AH630" s="1470"/>
      <c r="AI630" s="1470"/>
      <c r="AJ630" s="1471"/>
      <c r="AK630" s="1440"/>
      <c r="AL630" s="1441"/>
      <c r="AM630" s="1441"/>
      <c r="AN630" s="1442"/>
      <c r="AO630" s="1477">
        <v>1200000</v>
      </c>
      <c r="AP630" s="1478"/>
      <c r="AQ630" s="1478"/>
      <c r="AR630" s="1478"/>
      <c r="AS630" s="1479"/>
      <c r="AT630" s="1148" t="str">
        <f t="shared" si="1"/>
        <v/>
      </c>
      <c r="AU630" s="3"/>
      <c r="AZ630" s="3"/>
      <c r="BA630" s="3"/>
      <c r="BB630" s="3"/>
      <c r="BC630" s="3"/>
      <c r="BD630" s="3"/>
    </row>
    <row r="631" spans="2:157" ht="12.95" customHeight="1">
      <c r="B631" s="52" t="s">
        <v>763</v>
      </c>
      <c r="C631" s="1443" t="s">
        <v>2320</v>
      </c>
      <c r="D631" s="1443"/>
      <c r="E631" s="1443"/>
      <c r="F631" s="1443"/>
      <c r="G631" s="1443"/>
      <c r="H631" s="1443"/>
      <c r="I631" s="1443"/>
      <c r="J631" s="1443"/>
      <c r="K631" s="1443"/>
      <c r="L631" s="1443"/>
      <c r="M631" s="1652" t="s">
        <v>2106</v>
      </c>
      <c r="N631" s="1652"/>
      <c r="O631" s="1652"/>
      <c r="P631" s="1652"/>
      <c r="Q631" s="1437"/>
      <c r="R631" s="1438"/>
      <c r="S631" s="1439"/>
      <c r="T631" s="1437"/>
      <c r="U631" s="1438"/>
      <c r="V631" s="1439"/>
      <c r="W631" s="1451"/>
      <c r="X631" s="1452"/>
      <c r="Y631" s="1453"/>
      <c r="Z631" s="1495" t="s">
        <v>1184</v>
      </c>
      <c r="AA631" s="1496"/>
      <c r="AB631" s="1497"/>
      <c r="AC631" s="1459"/>
      <c r="AD631" s="1460"/>
      <c r="AE631" s="1461"/>
      <c r="AF631" s="1469"/>
      <c r="AG631" s="1470"/>
      <c r="AH631" s="1470"/>
      <c r="AI631" s="1470"/>
      <c r="AJ631" s="1471"/>
      <c r="AK631" s="1440"/>
      <c r="AL631" s="1441"/>
      <c r="AM631" s="1441"/>
      <c r="AN631" s="1442"/>
      <c r="AO631" s="1477">
        <v>2303039</v>
      </c>
      <c r="AP631" s="1478"/>
      <c r="AQ631" s="1478"/>
      <c r="AR631" s="1478"/>
      <c r="AS631" s="1479"/>
      <c r="AT631" s="1148" t="str">
        <f t="shared" si="1"/>
        <v/>
      </c>
      <c r="AU631" s="3"/>
      <c r="AZ631" s="3"/>
      <c r="BA631" s="3"/>
      <c r="BB631" s="3"/>
      <c r="BC631" s="3"/>
      <c r="BD631" s="3"/>
    </row>
    <row r="632" spans="2:157" ht="12.95" customHeight="1">
      <c r="B632" s="52" t="s">
        <v>584</v>
      </c>
      <c r="C632" s="1443"/>
      <c r="D632" s="1443"/>
      <c r="E632" s="1443"/>
      <c r="F632" s="1443"/>
      <c r="G632" s="1443"/>
      <c r="H632" s="1443"/>
      <c r="I632" s="1443"/>
      <c r="J632" s="1443"/>
      <c r="K632" s="1443"/>
      <c r="L632" s="1443"/>
      <c r="M632" s="1652" t="s">
        <v>1184</v>
      </c>
      <c r="N632" s="1652"/>
      <c r="O632" s="1652"/>
      <c r="P632" s="1652"/>
      <c r="Q632" s="1437"/>
      <c r="R632" s="1438"/>
      <c r="S632" s="1439"/>
      <c r="T632" s="1437"/>
      <c r="U632" s="1438"/>
      <c r="V632" s="1439"/>
      <c r="W632" s="1451"/>
      <c r="X632" s="1452"/>
      <c r="Y632" s="1453"/>
      <c r="Z632" s="1495" t="s">
        <v>1184</v>
      </c>
      <c r="AA632" s="1496"/>
      <c r="AB632" s="1497"/>
      <c r="AC632" s="1459"/>
      <c r="AD632" s="1460"/>
      <c r="AE632" s="1461"/>
      <c r="AF632" s="1469"/>
      <c r="AG632" s="1470"/>
      <c r="AH632" s="1470"/>
      <c r="AI632" s="1470"/>
      <c r="AJ632" s="1471"/>
      <c r="AK632" s="1440"/>
      <c r="AL632" s="1441"/>
      <c r="AM632" s="1441"/>
      <c r="AN632" s="1442"/>
      <c r="AO632" s="1477"/>
      <c r="AP632" s="1478"/>
      <c r="AQ632" s="1478"/>
      <c r="AR632" s="1478"/>
      <c r="AS632" s="1479"/>
      <c r="AT632" s="1148" t="str">
        <f t="shared" si="1"/>
        <v/>
      </c>
      <c r="AU632" s="3"/>
      <c r="AZ632" s="3"/>
      <c r="BA632" s="3"/>
      <c r="BB632" s="3"/>
      <c r="BC632" s="3"/>
      <c r="BD632" s="3"/>
    </row>
    <row r="633" spans="2:157" ht="12.95" customHeight="1">
      <c r="B633" s="52" t="s">
        <v>455</v>
      </c>
      <c r="C633" s="1443"/>
      <c r="D633" s="1443"/>
      <c r="E633" s="1443"/>
      <c r="F633" s="1443"/>
      <c r="G633" s="1443"/>
      <c r="H633" s="1443"/>
      <c r="I633" s="1443"/>
      <c r="J633" s="1443"/>
      <c r="K633" s="1443"/>
      <c r="L633" s="1443"/>
      <c r="M633" s="1652" t="s">
        <v>1184</v>
      </c>
      <c r="N633" s="1652"/>
      <c r="O633" s="1652"/>
      <c r="P633" s="1652"/>
      <c r="Q633" s="1437"/>
      <c r="R633" s="1438"/>
      <c r="S633" s="1439"/>
      <c r="T633" s="1437"/>
      <c r="U633" s="1438"/>
      <c r="V633" s="1439"/>
      <c r="W633" s="1451"/>
      <c r="X633" s="1452"/>
      <c r="Y633" s="1453"/>
      <c r="Z633" s="1495" t="s">
        <v>1184</v>
      </c>
      <c r="AA633" s="1496"/>
      <c r="AB633" s="1497"/>
      <c r="AC633" s="1459"/>
      <c r="AD633" s="1460"/>
      <c r="AE633" s="1461"/>
      <c r="AF633" s="1469"/>
      <c r="AG633" s="1470"/>
      <c r="AH633" s="1470"/>
      <c r="AI633" s="1470"/>
      <c r="AJ633" s="1471"/>
      <c r="AK633" s="1440"/>
      <c r="AL633" s="1441"/>
      <c r="AM633" s="1441"/>
      <c r="AN633" s="1442"/>
      <c r="AO633" s="1477"/>
      <c r="AP633" s="1478"/>
      <c r="AQ633" s="1478"/>
      <c r="AR633" s="1478"/>
      <c r="AS633" s="1479"/>
      <c r="AT633" s="1148" t="str">
        <f t="shared" si="1"/>
        <v/>
      </c>
      <c r="AU633" s="3"/>
      <c r="AV633" s="3"/>
      <c r="AW633" s="3"/>
      <c r="AX633" s="3"/>
      <c r="AY633" s="3"/>
      <c r="AZ633" s="3"/>
      <c r="BA633" s="3"/>
      <c r="BB633" s="3"/>
      <c r="BC633" s="3"/>
      <c r="BD633" s="3"/>
    </row>
    <row r="634" spans="2:157" ht="12.95" customHeight="1">
      <c r="B634" s="52" t="s">
        <v>456</v>
      </c>
      <c r="C634" s="1443"/>
      <c r="D634" s="1443"/>
      <c r="E634" s="1443"/>
      <c r="F634" s="1443"/>
      <c r="G634" s="1443"/>
      <c r="H634" s="1443"/>
      <c r="I634" s="1443"/>
      <c r="J634" s="1443"/>
      <c r="K634" s="1443"/>
      <c r="L634" s="1443"/>
      <c r="M634" s="1652" t="s">
        <v>1184</v>
      </c>
      <c r="N634" s="1652"/>
      <c r="O634" s="1652"/>
      <c r="P634" s="1652"/>
      <c r="Q634" s="1437"/>
      <c r="R634" s="1438"/>
      <c r="S634" s="1439"/>
      <c r="T634" s="1437"/>
      <c r="U634" s="1438"/>
      <c r="V634" s="1439"/>
      <c r="W634" s="1451"/>
      <c r="X634" s="1452"/>
      <c r="Y634" s="1453"/>
      <c r="Z634" s="1495" t="s">
        <v>1184</v>
      </c>
      <c r="AA634" s="1496"/>
      <c r="AB634" s="1497"/>
      <c r="AC634" s="1459"/>
      <c r="AD634" s="1460"/>
      <c r="AE634" s="1461"/>
      <c r="AF634" s="1469"/>
      <c r="AG634" s="1470"/>
      <c r="AH634" s="1470"/>
      <c r="AI634" s="1470"/>
      <c r="AJ634" s="1471"/>
      <c r="AK634" s="1440"/>
      <c r="AL634" s="1441"/>
      <c r="AM634" s="1441"/>
      <c r="AN634" s="1442"/>
      <c r="AO634" s="1477"/>
      <c r="AP634" s="1478"/>
      <c r="AQ634" s="1478"/>
      <c r="AR634" s="1478"/>
      <c r="AS634" s="1479"/>
      <c r="AT634" s="1148" t="str">
        <f t="shared" si="1"/>
        <v/>
      </c>
      <c r="AU634" s="3"/>
      <c r="AV634" s="3"/>
      <c r="AW634" s="3"/>
      <c r="AX634" s="3"/>
      <c r="AY634" s="3"/>
      <c r="AZ634" s="3"/>
      <c r="BA634" s="3" t="s">
        <v>1184</v>
      </c>
      <c r="BB634" s="3"/>
      <c r="BC634" s="3"/>
      <c r="BD634" s="3"/>
    </row>
    <row r="635" spans="2:157" ht="12.95" customHeight="1">
      <c r="B635" s="52" t="s">
        <v>461</v>
      </c>
      <c r="C635" s="1443"/>
      <c r="D635" s="1443"/>
      <c r="E635" s="1443"/>
      <c r="F635" s="1443"/>
      <c r="G635" s="1443"/>
      <c r="H635" s="1443"/>
      <c r="I635" s="1443"/>
      <c r="J635" s="1443"/>
      <c r="K635" s="1443"/>
      <c r="L635" s="1443"/>
      <c r="M635" s="1652" t="s">
        <v>1184</v>
      </c>
      <c r="N635" s="1652"/>
      <c r="O635" s="1652"/>
      <c r="P635" s="1652"/>
      <c r="Q635" s="1437"/>
      <c r="R635" s="1438"/>
      <c r="S635" s="1439"/>
      <c r="T635" s="1437"/>
      <c r="U635" s="1438"/>
      <c r="V635" s="1439"/>
      <c r="W635" s="1451"/>
      <c r="X635" s="1452"/>
      <c r="Y635" s="1453"/>
      <c r="Z635" s="1495" t="s">
        <v>1184</v>
      </c>
      <c r="AA635" s="1496"/>
      <c r="AB635" s="1497"/>
      <c r="AC635" s="1459"/>
      <c r="AD635" s="1460"/>
      <c r="AE635" s="1461"/>
      <c r="AF635" s="1469"/>
      <c r="AG635" s="1470"/>
      <c r="AH635" s="1470"/>
      <c r="AI635" s="1470"/>
      <c r="AJ635" s="1471"/>
      <c r="AK635" s="1440"/>
      <c r="AL635" s="1441"/>
      <c r="AM635" s="1441"/>
      <c r="AN635" s="1442"/>
      <c r="AO635" s="1477"/>
      <c r="AP635" s="1478"/>
      <c r="AQ635" s="1478"/>
      <c r="AR635" s="1478"/>
      <c r="AS635" s="1479"/>
      <c r="AT635" s="1148" t="str">
        <f t="shared" si="1"/>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75" t="e">
        <f t="shared" ref="DX635:DX669" si="2">EZ718*(CP718/$CP$753)</f>
        <v>#VALUE!</v>
      </c>
      <c r="DY635" s="1475"/>
      <c r="DZ635" s="1475"/>
      <c r="EA635" s="1475"/>
      <c r="EB635" s="1475"/>
      <c r="EC635" s="1475">
        <f t="shared" ref="EC635:EC669" si="3">FE718*(CU718/$CU$753)</f>
        <v>410.22</v>
      </c>
      <c r="ED635" s="1475"/>
      <c r="EE635" s="1475"/>
      <c r="EF635" s="1475"/>
      <c r="EG635" s="1475"/>
      <c r="EH635" s="1475" t="e">
        <f t="shared" ref="EH635:EH669" si="4">FJ718*(CZ718/$CZ$753)</f>
        <v>#VALUE!</v>
      </c>
      <c r="EI635" s="1475"/>
      <c r="EJ635" s="1475"/>
      <c r="EK635" s="1475"/>
      <c r="EL635" s="1475"/>
      <c r="EM635" s="1475" t="e">
        <f t="shared" ref="EM635:EM669" si="5">FO718*(DE718/$DE$753)</f>
        <v>#VALUE!</v>
      </c>
      <c r="EN635" s="1475"/>
      <c r="EO635" s="1475"/>
      <c r="EP635" s="1475"/>
      <c r="EQ635" s="1475"/>
      <c r="ER635" s="1475" t="e">
        <f t="shared" ref="ER635:ER669" si="6">FT718*(DJ718/$DJ$753)</f>
        <v>#VALUE!</v>
      </c>
      <c r="ES635" s="1475"/>
      <c r="ET635" s="1475"/>
      <c r="EU635" s="1475"/>
      <c r="EV635" s="1475"/>
      <c r="EW635" s="1475" t="e">
        <f t="shared" ref="EW635:EW669" si="7">FY718*(DO718/$DO$753)</f>
        <v>#VALUE!</v>
      </c>
      <c r="EX635" s="1475"/>
      <c r="EY635" s="1475"/>
      <c r="EZ635" s="1475"/>
      <c r="FA635" s="1475"/>
    </row>
    <row r="636" spans="2:157" ht="12.95" customHeight="1">
      <c r="B636" s="52" t="s">
        <v>646</v>
      </c>
      <c r="C636" s="1443"/>
      <c r="D636" s="1443"/>
      <c r="E636" s="1443"/>
      <c r="F636" s="1443"/>
      <c r="G636" s="1443"/>
      <c r="H636" s="1443"/>
      <c r="I636" s="1443"/>
      <c r="J636" s="1443"/>
      <c r="K636" s="1443"/>
      <c r="L636" s="1443"/>
      <c r="M636" s="1652" t="s">
        <v>1184</v>
      </c>
      <c r="N636" s="1652"/>
      <c r="O636" s="1652"/>
      <c r="P636" s="1652"/>
      <c r="Q636" s="1437"/>
      <c r="R636" s="1438"/>
      <c r="S636" s="1439"/>
      <c r="T636" s="1437"/>
      <c r="U636" s="1438"/>
      <c r="V636" s="1439"/>
      <c r="W636" s="1451"/>
      <c r="X636" s="1452"/>
      <c r="Y636" s="1453"/>
      <c r="Z636" s="1495" t="s">
        <v>1184</v>
      </c>
      <c r="AA636" s="1496"/>
      <c r="AB636" s="1497"/>
      <c r="AC636" s="1459"/>
      <c r="AD636" s="1460"/>
      <c r="AE636" s="1461"/>
      <c r="AF636" s="1469"/>
      <c r="AG636" s="1470"/>
      <c r="AH636" s="1470"/>
      <c r="AI636" s="1470"/>
      <c r="AJ636" s="1471"/>
      <c r="AK636" s="1440"/>
      <c r="AL636" s="1441"/>
      <c r="AM636" s="1441"/>
      <c r="AN636" s="1442"/>
      <c r="AO636" s="1477"/>
      <c r="AP636" s="1478"/>
      <c r="AQ636" s="1478"/>
      <c r="AR636" s="1478"/>
      <c r="AS636" s="1479"/>
      <c r="AT636" s="1148" t="str">
        <f t="shared" si="1"/>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475" t="e">
        <f t="shared" si="2"/>
        <v>#VALUE!</v>
      </c>
      <c r="DY636" s="1475"/>
      <c r="DZ636" s="1475"/>
      <c r="EA636" s="1475"/>
      <c r="EB636" s="1475"/>
      <c r="EC636" s="1475" t="e">
        <f t="shared" si="3"/>
        <v>#VALUE!</v>
      </c>
      <c r="ED636" s="1475"/>
      <c r="EE636" s="1475"/>
      <c r="EF636" s="1475"/>
      <c r="EG636" s="1475"/>
      <c r="EH636" s="1475">
        <f t="shared" si="4"/>
        <v>109.84666666666666</v>
      </c>
      <c r="EI636" s="1475"/>
      <c r="EJ636" s="1475"/>
      <c r="EK636" s="1475"/>
      <c r="EL636" s="1475"/>
      <c r="EM636" s="1475" t="e">
        <f t="shared" si="5"/>
        <v>#VALUE!</v>
      </c>
      <c r="EN636" s="1475"/>
      <c r="EO636" s="1475"/>
      <c r="EP636" s="1475"/>
      <c r="EQ636" s="1475"/>
      <c r="ER636" s="1475" t="e">
        <f t="shared" si="6"/>
        <v>#VALUE!</v>
      </c>
      <c r="ES636" s="1475"/>
      <c r="ET636" s="1475"/>
      <c r="EU636" s="1475"/>
      <c r="EV636" s="1475"/>
      <c r="EW636" s="1475" t="e">
        <f t="shared" si="7"/>
        <v>#VALUE!</v>
      </c>
      <c r="EX636" s="1475"/>
      <c r="EY636" s="1475"/>
      <c r="EZ636" s="1475"/>
      <c r="FA636" s="1475"/>
    </row>
    <row r="637" spans="2:157" ht="12.95" customHeight="1">
      <c r="B637" s="52" t="s">
        <v>361</v>
      </c>
      <c r="C637" s="1443"/>
      <c r="D637" s="1443"/>
      <c r="E637" s="1443"/>
      <c r="F637" s="1443"/>
      <c r="G637" s="1443"/>
      <c r="H637" s="1443"/>
      <c r="I637" s="1443"/>
      <c r="J637" s="1443"/>
      <c r="K637" s="1443"/>
      <c r="L637" s="1443"/>
      <c r="M637" s="1652" t="s">
        <v>1184</v>
      </c>
      <c r="N637" s="1652"/>
      <c r="O637" s="1652"/>
      <c r="P637" s="1652"/>
      <c r="Q637" s="1437"/>
      <c r="R637" s="1438"/>
      <c r="S637" s="1439"/>
      <c r="T637" s="1437"/>
      <c r="U637" s="1438"/>
      <c r="V637" s="1439"/>
      <c r="W637" s="1451"/>
      <c r="X637" s="1452"/>
      <c r="Y637" s="1453"/>
      <c r="Z637" s="1495" t="s">
        <v>1184</v>
      </c>
      <c r="AA637" s="1496"/>
      <c r="AB637" s="1497"/>
      <c r="AC637" s="1459"/>
      <c r="AD637" s="1460"/>
      <c r="AE637" s="1461"/>
      <c r="AF637" s="1469"/>
      <c r="AG637" s="1470"/>
      <c r="AH637" s="1470"/>
      <c r="AI637" s="1470"/>
      <c r="AJ637" s="1471"/>
      <c r="AK637" s="1440"/>
      <c r="AL637" s="1441"/>
      <c r="AM637" s="1441"/>
      <c r="AN637" s="1442"/>
      <c r="AO637" s="1477"/>
      <c r="AP637" s="1478"/>
      <c r="AQ637" s="1478"/>
      <c r="AR637" s="1478"/>
      <c r="AS637" s="1479"/>
      <c r="AT637" s="1148" t="str">
        <f t="shared" si="1"/>
        <v/>
      </c>
      <c r="AV637" s="3"/>
      <c r="AW637" s="3"/>
      <c r="AX637" s="3"/>
      <c r="AY637" s="3"/>
      <c r="AZ637" s="34"/>
      <c r="BA637" s="3" t="s">
        <v>2131</v>
      </c>
      <c r="BB637" s="34"/>
      <c r="BC637" s="34"/>
      <c r="BD637" s="34"/>
      <c r="BE637" s="34"/>
      <c r="BF637" s="34"/>
      <c r="BG637" s="34"/>
      <c r="BH637" s="34"/>
      <c r="BI637" s="34"/>
      <c r="BJ637" s="34"/>
      <c r="BK637" s="34"/>
      <c r="BL637" s="34"/>
      <c r="BM637" s="34"/>
      <c r="DA637" s="3"/>
      <c r="DB637" s="3"/>
      <c r="DC637" s="3"/>
      <c r="DD637" s="3"/>
      <c r="DE637" s="3"/>
      <c r="DF637" s="3"/>
      <c r="DX637" s="1475" t="e">
        <f t="shared" si="2"/>
        <v>#VALUE!</v>
      </c>
      <c r="DY637" s="1475"/>
      <c r="DZ637" s="1475"/>
      <c r="EA637" s="1475"/>
      <c r="EB637" s="1475"/>
      <c r="EC637" s="1475" t="e">
        <f t="shared" si="3"/>
        <v>#VALUE!</v>
      </c>
      <c r="ED637" s="1475"/>
      <c r="EE637" s="1475"/>
      <c r="EF637" s="1475"/>
      <c r="EG637" s="1475"/>
      <c r="EH637" s="1475" t="e">
        <f t="shared" si="4"/>
        <v>#VALUE!</v>
      </c>
      <c r="EI637" s="1475"/>
      <c r="EJ637" s="1475"/>
      <c r="EK637" s="1475"/>
      <c r="EL637" s="1475"/>
      <c r="EM637" s="1475">
        <f t="shared" si="5"/>
        <v>113.88800000000002</v>
      </c>
      <c r="EN637" s="1475"/>
      <c r="EO637" s="1475"/>
      <c r="EP637" s="1475"/>
      <c r="EQ637" s="1475"/>
      <c r="ER637" s="1475" t="e">
        <f t="shared" si="6"/>
        <v>#VALUE!</v>
      </c>
      <c r="ES637" s="1475"/>
      <c r="ET637" s="1475"/>
      <c r="EU637" s="1475"/>
      <c r="EV637" s="1475"/>
      <c r="EW637" s="1475" t="e">
        <f t="shared" si="7"/>
        <v>#VALUE!</v>
      </c>
      <c r="EX637" s="1475"/>
      <c r="EY637" s="1475"/>
      <c r="EZ637" s="1475"/>
      <c r="FA637" s="1475"/>
    </row>
    <row r="638" spans="2:157" ht="12.95" customHeight="1">
      <c r="B638" s="52" t="s">
        <v>362</v>
      </c>
      <c r="C638" s="1443"/>
      <c r="D638" s="1443"/>
      <c r="E638" s="1443"/>
      <c r="F638" s="1443"/>
      <c r="G638" s="1443"/>
      <c r="H638" s="1443"/>
      <c r="I638" s="1443"/>
      <c r="J638" s="1443"/>
      <c r="K638" s="1443"/>
      <c r="L638" s="1443"/>
      <c r="M638" s="1652" t="s">
        <v>1184</v>
      </c>
      <c r="N638" s="1652"/>
      <c r="O638" s="1652"/>
      <c r="P638" s="1652"/>
      <c r="Q638" s="1437"/>
      <c r="R638" s="1438"/>
      <c r="S638" s="1439"/>
      <c r="T638" s="1437"/>
      <c r="U638" s="1438"/>
      <c r="V638" s="1439"/>
      <c r="W638" s="1451"/>
      <c r="X638" s="1452"/>
      <c r="Y638" s="1453"/>
      <c r="Z638" s="1495" t="s">
        <v>1184</v>
      </c>
      <c r="AA638" s="1496"/>
      <c r="AB638" s="1497"/>
      <c r="AC638" s="1459"/>
      <c r="AD638" s="1460"/>
      <c r="AE638" s="1461"/>
      <c r="AF638" s="1469"/>
      <c r="AG638" s="1470"/>
      <c r="AH638" s="1470"/>
      <c r="AI638" s="1470"/>
      <c r="AJ638" s="1471"/>
      <c r="AK638" s="1440"/>
      <c r="AL638" s="1441"/>
      <c r="AM638" s="1441"/>
      <c r="AN638" s="1442"/>
      <c r="AO638" s="1477"/>
      <c r="AP638" s="1478"/>
      <c r="AQ638" s="1478"/>
      <c r="AR638" s="1478"/>
      <c r="AS638" s="1479"/>
      <c r="AT638" s="1148" t="str">
        <f t="shared" si="1"/>
        <v/>
      </c>
      <c r="AV638" s="3"/>
      <c r="AW638" s="3"/>
      <c r="AX638" s="3"/>
      <c r="AY638" s="3"/>
      <c r="AZ638" s="34"/>
      <c r="BA638" s="3" t="s">
        <v>299</v>
      </c>
      <c r="BB638" s="34"/>
      <c r="BC638" s="34"/>
      <c r="BD638" s="34"/>
      <c r="BE638" s="34"/>
      <c r="BF638" s="34"/>
      <c r="BG638" s="34"/>
      <c r="BH638" s="34"/>
      <c r="BI638" s="34"/>
      <c r="BJ638" s="34"/>
      <c r="BK638" s="34"/>
      <c r="BL638" s="34"/>
      <c r="BM638" s="34"/>
      <c r="DA638" s="3"/>
      <c r="DB638" s="3"/>
      <c r="DC638" s="3"/>
      <c r="DD638" s="3"/>
      <c r="DE638" s="3"/>
      <c r="DF638" s="3"/>
      <c r="DX638" s="1475" t="e">
        <f t="shared" si="2"/>
        <v>#VALUE!</v>
      </c>
      <c r="DY638" s="1475"/>
      <c r="DZ638" s="1475"/>
      <c r="EA638" s="1475"/>
      <c r="EB638" s="1475"/>
      <c r="EC638" s="1475">
        <f t="shared" si="3"/>
        <v>367.14666666666665</v>
      </c>
      <c r="ED638" s="1475"/>
      <c r="EE638" s="1475"/>
      <c r="EF638" s="1475"/>
      <c r="EG638" s="1475"/>
      <c r="EH638" s="1475" t="e">
        <f t="shared" si="4"/>
        <v>#VALUE!</v>
      </c>
      <c r="EI638" s="1475"/>
      <c r="EJ638" s="1475"/>
      <c r="EK638" s="1475"/>
      <c r="EL638" s="1475"/>
      <c r="EM638" s="1475" t="e">
        <f t="shared" si="5"/>
        <v>#VALUE!</v>
      </c>
      <c r="EN638" s="1475"/>
      <c r="EO638" s="1475"/>
      <c r="EP638" s="1475"/>
      <c r="EQ638" s="1475"/>
      <c r="ER638" s="1475" t="e">
        <f t="shared" si="6"/>
        <v>#VALUE!</v>
      </c>
      <c r="ES638" s="1475"/>
      <c r="ET638" s="1475"/>
      <c r="EU638" s="1475"/>
      <c r="EV638" s="1475"/>
      <c r="EW638" s="1475" t="e">
        <f t="shared" si="7"/>
        <v>#VALUE!</v>
      </c>
      <c r="EX638" s="1475"/>
      <c r="EY638" s="1475"/>
      <c r="EZ638" s="1475"/>
      <c r="FA638" s="1475"/>
    </row>
    <row r="639" spans="2:157" ht="12.95" customHeight="1">
      <c r="B639" s="1642" t="s">
        <v>128</v>
      </c>
      <c r="C639" s="1643"/>
      <c r="D639" s="1643"/>
      <c r="E639" s="1643"/>
      <c r="F639" s="1643"/>
      <c r="G639" s="1643"/>
      <c r="H639" s="1643"/>
      <c r="I639" s="1643"/>
      <c r="J639" s="1643"/>
      <c r="K639" s="1643"/>
      <c r="L639" s="1643"/>
      <c r="M639" s="1643"/>
      <c r="N639" s="1643"/>
      <c r="O639" s="1643"/>
      <c r="P639" s="1643"/>
      <c r="Q639" s="1643"/>
      <c r="R639" s="1643"/>
      <c r="S639" s="1643"/>
      <c r="T639" s="1643"/>
      <c r="U639" s="1643"/>
      <c r="V639" s="1643"/>
      <c r="W639" s="1643"/>
      <c r="X639" s="1643"/>
      <c r="Y639" s="1643"/>
      <c r="Z639" s="1643"/>
      <c r="AA639" s="1643"/>
      <c r="AB639" s="1643"/>
      <c r="AC639" s="1643"/>
      <c r="AD639" s="1643"/>
      <c r="AE639" s="1643"/>
      <c r="AF639" s="1643"/>
      <c r="AG639" s="1643"/>
      <c r="AH639" s="1643"/>
      <c r="AI639" s="1643"/>
      <c r="AJ639" s="1643"/>
      <c r="AK639" s="1643"/>
      <c r="AL639" s="1643"/>
      <c r="AM639" s="1643"/>
      <c r="AN639" s="1644"/>
      <c r="AO639" s="1613">
        <f>SUM(AO627:AR638)</f>
        <v>25356705</v>
      </c>
      <c r="AP639" s="1614"/>
      <c r="AQ639" s="1614"/>
      <c r="AR639" s="1614"/>
      <c r="AS639" s="1615"/>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75" t="e">
        <f t="shared" si="2"/>
        <v>#VALUE!</v>
      </c>
      <c r="DY639" s="1475"/>
      <c r="DZ639" s="1475"/>
      <c r="EA639" s="1475"/>
      <c r="EB639" s="1475"/>
      <c r="EC639" s="1475" t="e">
        <f t="shared" si="3"/>
        <v>#VALUE!</v>
      </c>
      <c r="ED639" s="1475"/>
      <c r="EE639" s="1475"/>
      <c r="EF639" s="1475"/>
      <c r="EG639" s="1475"/>
      <c r="EH639" s="1475">
        <f t="shared" si="4"/>
        <v>196.38814814814813</v>
      </c>
      <c r="EI639" s="1475"/>
      <c r="EJ639" s="1475"/>
      <c r="EK639" s="1475"/>
      <c r="EL639" s="1475"/>
      <c r="EM639" s="1475" t="e">
        <f t="shared" si="5"/>
        <v>#VALUE!</v>
      </c>
      <c r="EN639" s="1475"/>
      <c r="EO639" s="1475"/>
      <c r="EP639" s="1475"/>
      <c r="EQ639" s="1475"/>
      <c r="ER639" s="1475" t="e">
        <f t="shared" si="6"/>
        <v>#VALUE!</v>
      </c>
      <c r="ES639" s="1475"/>
      <c r="ET639" s="1475"/>
      <c r="EU639" s="1475"/>
      <c r="EV639" s="1475"/>
      <c r="EW639" s="1475" t="e">
        <f t="shared" si="7"/>
        <v>#VALUE!</v>
      </c>
      <c r="EX639" s="1475"/>
      <c r="EY639" s="1475"/>
      <c r="EZ639" s="1475"/>
      <c r="FA639" s="1475"/>
    </row>
    <row r="640" spans="2:157" ht="12.95" customHeight="1">
      <c r="B640" s="1642" t="s">
        <v>266</v>
      </c>
      <c r="C640" s="1643"/>
      <c r="D640" s="1643"/>
      <c r="E640" s="1643"/>
      <c r="F640" s="1643"/>
      <c r="G640" s="1643"/>
      <c r="H640" s="1643"/>
      <c r="I640" s="1643"/>
      <c r="J640" s="1643"/>
      <c r="K640" s="1643"/>
      <c r="L640" s="1643"/>
      <c r="M640" s="1643"/>
      <c r="N640" s="1643"/>
      <c r="O640" s="1643"/>
      <c r="P640" s="1643"/>
      <c r="Q640" s="1643"/>
      <c r="R640" s="1643"/>
      <c r="S640" s="1643"/>
      <c r="T640" s="1643"/>
      <c r="U640" s="1643"/>
      <c r="V640" s="1643"/>
      <c r="W640" s="1643"/>
      <c r="X640" s="1643"/>
      <c r="Y640" s="1643"/>
      <c r="Z640" s="1643"/>
      <c r="AA640" s="1643"/>
      <c r="AB640" s="1643"/>
      <c r="AC640" s="1643"/>
      <c r="AD640" s="1643"/>
      <c r="AE640" s="1643"/>
      <c r="AF640" s="1643"/>
      <c r="AG640" s="1643"/>
      <c r="AH640" s="1643"/>
      <c r="AI640" s="1643"/>
      <c r="AJ640" s="1643"/>
      <c r="AK640" s="1643"/>
      <c r="AL640" s="1643"/>
      <c r="AM640" s="1643"/>
      <c r="AN640" s="1644"/>
      <c r="AO640" s="1477">
        <f>15667414-212500</f>
        <v>15454914</v>
      </c>
      <c r="AP640" s="1478"/>
      <c r="AQ640" s="1478"/>
      <c r="AR640" s="1478"/>
      <c r="AS640" s="147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75" t="e">
        <f t="shared" si="2"/>
        <v>#VALUE!</v>
      </c>
      <c r="DY640" s="1475"/>
      <c r="DZ640" s="1475"/>
      <c r="EA640" s="1475"/>
      <c r="EB640" s="1475"/>
      <c r="EC640" s="1475" t="e">
        <f t="shared" si="3"/>
        <v>#VALUE!</v>
      </c>
      <c r="ED640" s="1475"/>
      <c r="EE640" s="1475"/>
      <c r="EF640" s="1475"/>
      <c r="EG640" s="1475"/>
      <c r="EH640" s="1475" t="e">
        <f t="shared" si="4"/>
        <v>#VALUE!</v>
      </c>
      <c r="EI640" s="1475"/>
      <c r="EJ640" s="1475"/>
      <c r="EK640" s="1475"/>
      <c r="EL640" s="1475"/>
      <c r="EM640" s="1475">
        <f t="shared" si="5"/>
        <v>152.88800000000001</v>
      </c>
      <c r="EN640" s="1475"/>
      <c r="EO640" s="1475"/>
      <c r="EP640" s="1475"/>
      <c r="EQ640" s="1475"/>
      <c r="ER640" s="1475" t="e">
        <f t="shared" si="6"/>
        <v>#VALUE!</v>
      </c>
      <c r="ES640" s="1475"/>
      <c r="ET640" s="1475"/>
      <c r="EU640" s="1475"/>
      <c r="EV640" s="1475"/>
      <c r="EW640" s="1475" t="e">
        <f t="shared" si="7"/>
        <v>#VALUE!</v>
      </c>
      <c r="EX640" s="1475"/>
      <c r="EY640" s="1475"/>
      <c r="EZ640" s="1475"/>
      <c r="FA640" s="1475"/>
    </row>
    <row r="641" spans="1:157" ht="12.95" customHeight="1">
      <c r="B641" s="1466" t="s">
        <v>267</v>
      </c>
      <c r="C641" s="1467"/>
      <c r="D641" s="1467"/>
      <c r="E641" s="1467"/>
      <c r="F641" s="1467"/>
      <c r="G641" s="1467"/>
      <c r="H641" s="1467"/>
      <c r="I641" s="1467"/>
      <c r="J641" s="1467"/>
      <c r="K641" s="1467"/>
      <c r="L641" s="1467"/>
      <c r="M641" s="1467"/>
      <c r="N641" s="1467"/>
      <c r="O641" s="1467"/>
      <c r="P641" s="1467"/>
      <c r="Q641" s="1467"/>
      <c r="R641" s="1467"/>
      <c r="S641" s="1467"/>
      <c r="T641" s="1467"/>
      <c r="U641" s="1467"/>
      <c r="V641" s="1467"/>
      <c r="W641" s="1467"/>
      <c r="X641" s="1467"/>
      <c r="Y641" s="1467"/>
      <c r="Z641" s="1467"/>
      <c r="AA641" s="1467"/>
      <c r="AB641" s="1467"/>
      <c r="AC641" s="1467"/>
      <c r="AD641" s="1467"/>
      <c r="AE641" s="1467"/>
      <c r="AF641" s="1467"/>
      <c r="AG641" s="1467"/>
      <c r="AH641" s="1467"/>
      <c r="AI641" s="1467"/>
      <c r="AJ641" s="1467"/>
      <c r="AK641" s="1467"/>
      <c r="AL641" s="1467"/>
      <c r="AM641" s="1467"/>
      <c r="AN641" s="1468"/>
      <c r="AO641" s="1613">
        <f>AO639+AO640</f>
        <v>40811619</v>
      </c>
      <c r="AP641" s="1614"/>
      <c r="AQ641" s="1614"/>
      <c r="AR641" s="1614"/>
      <c r="AS641" s="1615"/>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75" t="e">
        <f t="shared" si="2"/>
        <v>#VALUE!</v>
      </c>
      <c r="DY641" s="1475"/>
      <c r="DZ641" s="1475"/>
      <c r="EA641" s="1475"/>
      <c r="EB641" s="1475"/>
      <c r="EC641" s="1475">
        <f t="shared" si="3"/>
        <v>206.90666666666667</v>
      </c>
      <c r="ED641" s="1475"/>
      <c r="EE641" s="1475"/>
      <c r="EF641" s="1475"/>
      <c r="EG641" s="1475"/>
      <c r="EH641" s="1475" t="e">
        <f t="shared" si="4"/>
        <v>#VALUE!</v>
      </c>
      <c r="EI641" s="1475"/>
      <c r="EJ641" s="1475"/>
      <c r="EK641" s="1475"/>
      <c r="EL641" s="1475"/>
      <c r="EM641" s="1475" t="e">
        <f t="shared" si="5"/>
        <v>#VALUE!</v>
      </c>
      <c r="EN641" s="1475"/>
      <c r="EO641" s="1475"/>
      <c r="EP641" s="1475"/>
      <c r="EQ641" s="1475"/>
      <c r="ER641" s="1475" t="e">
        <f t="shared" si="6"/>
        <v>#VALUE!</v>
      </c>
      <c r="ES641" s="1475"/>
      <c r="ET641" s="1475"/>
      <c r="EU641" s="1475"/>
      <c r="EV641" s="1475"/>
      <c r="EW641" s="1475" t="e">
        <f t="shared" si="7"/>
        <v>#VALUE!</v>
      </c>
      <c r="EX641" s="1475"/>
      <c r="EY641" s="1475"/>
      <c r="EZ641" s="1475"/>
      <c r="FA641" s="1475"/>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75" t="e">
        <f t="shared" si="2"/>
        <v>#VALUE!</v>
      </c>
      <c r="DY642" s="1475"/>
      <c r="DZ642" s="1475"/>
      <c r="EA642" s="1475"/>
      <c r="EB642" s="1475"/>
      <c r="EC642" s="1475" t="e">
        <f t="shared" si="3"/>
        <v>#VALUE!</v>
      </c>
      <c r="ED642" s="1475"/>
      <c r="EE642" s="1475"/>
      <c r="EF642" s="1475"/>
      <c r="EG642" s="1475"/>
      <c r="EH642" s="1475">
        <f t="shared" si="4"/>
        <v>276.59629629629626</v>
      </c>
      <c r="EI642" s="1475"/>
      <c r="EJ642" s="1475"/>
      <c r="EK642" s="1475"/>
      <c r="EL642" s="1475"/>
      <c r="EM642" s="1475" t="e">
        <f t="shared" si="5"/>
        <v>#VALUE!</v>
      </c>
      <c r="EN642" s="1475"/>
      <c r="EO642" s="1475"/>
      <c r="EP642" s="1475"/>
      <c r="EQ642" s="1475"/>
      <c r="ER642" s="1475" t="e">
        <f t="shared" si="6"/>
        <v>#VALUE!</v>
      </c>
      <c r="ES642" s="1475"/>
      <c r="ET642" s="1475"/>
      <c r="EU642" s="1475"/>
      <c r="EV642" s="1475"/>
      <c r="EW642" s="1475" t="e">
        <f t="shared" si="7"/>
        <v>#VALUE!</v>
      </c>
      <c r="EX642" s="1475"/>
      <c r="EY642" s="1475"/>
      <c r="EZ642" s="1475"/>
      <c r="FA642" s="1475"/>
    </row>
    <row r="643" spans="1:157" ht="12.95" customHeight="1">
      <c r="A643" s="55" t="s">
        <v>112</v>
      </c>
      <c r="B643" t="s">
        <v>463</v>
      </c>
      <c r="G643" s="1358" t="str">
        <f>C627</f>
        <v>Chase Bank</v>
      </c>
      <c r="H643" s="1358"/>
      <c r="I643" s="1358"/>
      <c r="J643" s="1358"/>
      <c r="K643" s="1358"/>
      <c r="L643" s="1358"/>
      <c r="M643" s="1358"/>
      <c r="N643" s="1358"/>
      <c r="O643" s="1358"/>
      <c r="P643" s="1358"/>
      <c r="Q643" s="1358"/>
      <c r="R643" s="1358"/>
      <c r="S643" s="8"/>
      <c r="T643" s="55" t="s">
        <v>113</v>
      </c>
      <c r="U643" t="s">
        <v>463</v>
      </c>
      <c r="Z643" s="1358" t="str">
        <f>C628</f>
        <v>HCD Joe Serna FW Grant</v>
      </c>
      <c r="AA643" s="1358"/>
      <c r="AB643" s="1358"/>
      <c r="AC643" s="1358"/>
      <c r="AD643" s="1358"/>
      <c r="AE643" s="1358"/>
      <c r="AF643" s="1358"/>
      <c r="AG643" s="1358"/>
      <c r="AH643" s="1358"/>
      <c r="AI643" s="1358"/>
      <c r="AJ643" s="1358"/>
      <c r="AK643" s="1358"/>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75" t="e">
        <f t="shared" si="2"/>
        <v>#VALUE!</v>
      </c>
      <c r="DY643" s="1475"/>
      <c r="DZ643" s="1475"/>
      <c r="EA643" s="1475"/>
      <c r="EB643" s="1475"/>
      <c r="EC643" s="1475" t="e">
        <f t="shared" si="3"/>
        <v>#VALUE!</v>
      </c>
      <c r="ED643" s="1475"/>
      <c r="EE643" s="1475"/>
      <c r="EF643" s="1475"/>
      <c r="EG643" s="1475"/>
      <c r="EH643" s="1475" t="e">
        <f t="shared" si="4"/>
        <v>#VALUE!</v>
      </c>
      <c r="EI643" s="1475"/>
      <c r="EJ643" s="1475"/>
      <c r="EK643" s="1475"/>
      <c r="EL643" s="1475"/>
      <c r="EM643" s="1475">
        <f t="shared" si="5"/>
        <v>172.28800000000001</v>
      </c>
      <c r="EN643" s="1475"/>
      <c r="EO643" s="1475"/>
      <c r="EP643" s="1475"/>
      <c r="EQ643" s="1475"/>
      <c r="ER643" s="1475" t="e">
        <f t="shared" si="6"/>
        <v>#VALUE!</v>
      </c>
      <c r="ES643" s="1475"/>
      <c r="ET643" s="1475"/>
      <c r="EU643" s="1475"/>
      <c r="EV643" s="1475"/>
      <c r="EW643" s="1475" t="e">
        <f t="shared" si="7"/>
        <v>#VALUE!</v>
      </c>
      <c r="EX643" s="1475"/>
      <c r="EY643" s="1475"/>
      <c r="EZ643" s="1475"/>
      <c r="FA643" s="1475"/>
    </row>
    <row r="644" spans="1:157" ht="12.95" customHeight="1">
      <c r="A644" s="22"/>
      <c r="B644" t="s">
        <v>85</v>
      </c>
      <c r="G644" s="1338" t="s">
        <v>2737</v>
      </c>
      <c r="H644" s="1338"/>
      <c r="I644" s="1338"/>
      <c r="J644" s="1338"/>
      <c r="K644" s="1338"/>
      <c r="L644" s="1338"/>
      <c r="M644" s="1338"/>
      <c r="N644" s="1338"/>
      <c r="O644" s="1338"/>
      <c r="P644" s="1338"/>
      <c r="Q644" s="1338"/>
      <c r="R644" s="1338"/>
      <c r="S644" s="8"/>
      <c r="T644" s="22"/>
      <c r="U644" t="s">
        <v>85</v>
      </c>
      <c r="Z644" s="1338" t="s">
        <v>2703</v>
      </c>
      <c r="AA644" s="1338"/>
      <c r="AB644" s="1338"/>
      <c r="AC644" s="1338"/>
      <c r="AD644" s="1338"/>
      <c r="AE644" s="1338"/>
      <c r="AF644" s="1338"/>
      <c r="AG644" s="1338"/>
      <c r="AH644" s="1338"/>
      <c r="AI644" s="1338"/>
      <c r="AJ644" s="1338"/>
      <c r="AK644" s="1338"/>
      <c r="AV644" s="3"/>
      <c r="AW644" s="3"/>
      <c r="AX644" s="3"/>
      <c r="AY644" s="3"/>
      <c r="AZ644" s="3"/>
      <c r="BA644" s="3"/>
      <c r="BB644" s="3"/>
      <c r="BC644" s="3"/>
      <c r="BD644" s="3"/>
      <c r="BE644" s="3"/>
      <c r="BF644" s="3"/>
      <c r="BG644" s="3"/>
      <c r="BH644" s="3"/>
      <c r="BI644" s="3"/>
      <c r="BJ644" s="3"/>
      <c r="BK644" s="3"/>
      <c r="BL644" s="3"/>
      <c r="BM644" s="3"/>
      <c r="DX644" s="1475" t="e">
        <f t="shared" si="2"/>
        <v>#VALUE!</v>
      </c>
      <c r="DY644" s="1475"/>
      <c r="DZ644" s="1475"/>
      <c r="EA644" s="1475"/>
      <c r="EB644" s="1475"/>
      <c r="EC644" s="1475" t="e">
        <f t="shared" si="3"/>
        <v>#VALUE!</v>
      </c>
      <c r="ED644" s="1475"/>
      <c r="EE644" s="1475"/>
      <c r="EF644" s="1475"/>
      <c r="EG644" s="1475"/>
      <c r="EH644" s="1475">
        <f t="shared" si="4"/>
        <v>615.78518518518513</v>
      </c>
      <c r="EI644" s="1475"/>
      <c r="EJ644" s="1475"/>
      <c r="EK644" s="1475"/>
      <c r="EL644" s="1475"/>
      <c r="EM644" s="1475" t="e">
        <f t="shared" si="5"/>
        <v>#VALUE!</v>
      </c>
      <c r="EN644" s="1475"/>
      <c r="EO644" s="1475"/>
      <c r="EP644" s="1475"/>
      <c r="EQ644" s="1475"/>
      <c r="ER644" s="1475" t="e">
        <f t="shared" si="6"/>
        <v>#VALUE!</v>
      </c>
      <c r="ES644" s="1475"/>
      <c r="ET644" s="1475"/>
      <c r="EU644" s="1475"/>
      <c r="EV644" s="1475"/>
      <c r="EW644" s="1475" t="e">
        <f t="shared" si="7"/>
        <v>#VALUE!</v>
      </c>
      <c r="EX644" s="1475"/>
      <c r="EY644" s="1475"/>
      <c r="EZ644" s="1475"/>
      <c r="FA644" s="1475"/>
    </row>
    <row r="645" spans="1:157" ht="12.95" customHeight="1">
      <c r="A645" s="22"/>
      <c r="B645" t="s">
        <v>580</v>
      </c>
      <c r="G645" s="1338" t="s">
        <v>2738</v>
      </c>
      <c r="H645" s="1338"/>
      <c r="I645" s="1338"/>
      <c r="J645" s="1338"/>
      <c r="K645" s="1338"/>
      <c r="L645" s="1338"/>
      <c r="M645" s="1338"/>
      <c r="N645" s="1338"/>
      <c r="O645" s="1338"/>
      <c r="P645" s="1338"/>
      <c r="Q645" s="1338"/>
      <c r="R645" s="1338"/>
      <c r="T645" s="22"/>
      <c r="U645" t="s">
        <v>580</v>
      </c>
      <c r="Z645" s="1351" t="s">
        <v>68</v>
      </c>
      <c r="AA645" s="1351"/>
      <c r="AB645" s="1351"/>
      <c r="AC645" s="1351"/>
      <c r="AD645" s="1351"/>
      <c r="AE645" s="1351"/>
      <c r="AF645" s="1351"/>
      <c r="AG645" s="1351"/>
      <c r="AH645" s="1351"/>
      <c r="AI645" s="1351"/>
      <c r="AJ645" s="1351"/>
      <c r="AK645" s="1351"/>
      <c r="AV645" s="3"/>
      <c r="AW645" s="3"/>
      <c r="AX645" s="3"/>
      <c r="AY645" s="3"/>
      <c r="AZ645" s="3"/>
      <c r="BA645" s="3"/>
      <c r="BB645" s="3"/>
      <c r="BC645" s="3"/>
      <c r="BD645" s="3"/>
      <c r="BE645" s="3"/>
      <c r="BF645" s="3"/>
      <c r="BG645" s="3"/>
      <c r="BH645" s="3"/>
      <c r="BI645" s="3"/>
      <c r="BJ645" s="3"/>
      <c r="BK645" s="3"/>
      <c r="BL645" s="3"/>
      <c r="BM645" s="3"/>
      <c r="DX645" s="1475" t="e">
        <f t="shared" si="2"/>
        <v>#VALUE!</v>
      </c>
      <c r="DY645" s="1475"/>
      <c r="DZ645" s="1475"/>
      <c r="EA645" s="1475"/>
      <c r="EB645" s="1475"/>
      <c r="EC645" s="1475" t="e">
        <f t="shared" si="3"/>
        <v>#VALUE!</v>
      </c>
      <c r="ED645" s="1475"/>
      <c r="EE645" s="1475"/>
      <c r="EF645" s="1475"/>
      <c r="EG645" s="1475"/>
      <c r="EH645" s="1475" t="e">
        <f t="shared" si="4"/>
        <v>#VALUE!</v>
      </c>
      <c r="EI645" s="1475"/>
      <c r="EJ645" s="1475"/>
      <c r="EK645" s="1475"/>
      <c r="EL645" s="1475"/>
      <c r="EM645" s="1475">
        <f t="shared" si="5"/>
        <v>575.36400000000003</v>
      </c>
      <c r="EN645" s="1475"/>
      <c r="EO645" s="1475"/>
      <c r="EP645" s="1475"/>
      <c r="EQ645" s="1475"/>
      <c r="ER645" s="1475" t="e">
        <f t="shared" si="6"/>
        <v>#VALUE!</v>
      </c>
      <c r="ES645" s="1475"/>
      <c r="ET645" s="1475"/>
      <c r="EU645" s="1475"/>
      <c r="EV645" s="1475"/>
      <c r="EW645" s="1475" t="e">
        <f t="shared" si="7"/>
        <v>#VALUE!</v>
      </c>
      <c r="EX645" s="1475"/>
      <c r="EY645" s="1475"/>
      <c r="EZ645" s="1475"/>
      <c r="FA645" s="1475"/>
    </row>
    <row r="646" spans="1:157" ht="12.95" customHeight="1">
      <c r="A646" s="22"/>
      <c r="B646" t="s">
        <v>17</v>
      </c>
      <c r="G646" s="1338" t="s">
        <v>2736</v>
      </c>
      <c r="H646" s="1338"/>
      <c r="I646" s="1338"/>
      <c r="J646" s="1338"/>
      <c r="K646" s="1338"/>
      <c r="L646" s="1338"/>
      <c r="M646" s="1338"/>
      <c r="N646" s="1338"/>
      <c r="O646" s="1338"/>
      <c r="P646" s="1338"/>
      <c r="Q646" s="1338"/>
      <c r="R646" s="1338"/>
      <c r="S646" s="8"/>
      <c r="T646" s="22"/>
      <c r="U646" t="s">
        <v>17</v>
      </c>
      <c r="Z646" s="1351" t="s">
        <v>2704</v>
      </c>
      <c r="AA646" s="1351"/>
      <c r="AB646" s="1351"/>
      <c r="AC646" s="1351"/>
      <c r="AD646" s="1351"/>
      <c r="AE646" s="1351"/>
      <c r="AF646" s="1351"/>
      <c r="AG646" s="1351"/>
      <c r="AH646" s="1351"/>
      <c r="AI646" s="1351"/>
      <c r="AJ646" s="1351"/>
      <c r="AK646" s="1351"/>
      <c r="AZ646" s="3"/>
      <c r="BA646" s="3"/>
      <c r="BB646" s="3"/>
      <c r="BC646" s="3"/>
      <c r="BD646" s="3"/>
      <c r="BE646" s="3"/>
      <c r="BF646" s="3"/>
      <c r="BG646" s="3"/>
      <c r="BH646" s="3"/>
      <c r="BI646" s="3"/>
      <c r="BJ646" s="3"/>
      <c r="BK646" s="3"/>
      <c r="BL646" s="3"/>
      <c r="BM646" s="3"/>
      <c r="DX646" s="1475" t="e">
        <f t="shared" si="2"/>
        <v>#VALUE!</v>
      </c>
      <c r="DY646" s="1475"/>
      <c r="DZ646" s="1475"/>
      <c r="EA646" s="1475"/>
      <c r="EB646" s="1475"/>
      <c r="EC646" s="1475" t="e">
        <f t="shared" si="3"/>
        <v>#VALUE!</v>
      </c>
      <c r="ED646" s="1475"/>
      <c r="EE646" s="1475"/>
      <c r="EF646" s="1475"/>
      <c r="EG646" s="1475"/>
      <c r="EH646" s="1475">
        <f t="shared" si="4"/>
        <v>339.00370370370365</v>
      </c>
      <c r="EI646" s="1475"/>
      <c r="EJ646" s="1475"/>
      <c r="EK646" s="1475"/>
      <c r="EL646" s="1475"/>
      <c r="EM646" s="1475" t="e">
        <f t="shared" si="5"/>
        <v>#VALUE!</v>
      </c>
      <c r="EN646" s="1475"/>
      <c r="EO646" s="1475"/>
      <c r="EP646" s="1475"/>
      <c r="EQ646" s="1475"/>
      <c r="ER646" s="1475" t="e">
        <f t="shared" si="6"/>
        <v>#VALUE!</v>
      </c>
      <c r="ES646" s="1475"/>
      <c r="ET646" s="1475"/>
      <c r="EU646" s="1475"/>
      <c r="EV646" s="1475"/>
      <c r="EW646" s="1475" t="e">
        <f t="shared" si="7"/>
        <v>#VALUE!</v>
      </c>
      <c r="EX646" s="1475"/>
      <c r="EY646" s="1475"/>
      <c r="EZ646" s="1475"/>
      <c r="FA646" s="1475"/>
    </row>
    <row r="647" spans="1:157" ht="12.95" customHeight="1">
      <c r="A647" s="22"/>
      <c r="B647" t="s">
        <v>315</v>
      </c>
      <c r="G647" s="1337" t="s">
        <v>2739</v>
      </c>
      <c r="H647" s="1337"/>
      <c r="I647" s="1337"/>
      <c r="J647" s="1337"/>
      <c r="K647" s="1337"/>
      <c r="L647" s="1337"/>
      <c r="O647" s="33" t="s">
        <v>205</v>
      </c>
      <c r="P647" s="1450"/>
      <c r="Q647" s="1450"/>
      <c r="R647" s="1450"/>
      <c r="S647" s="10"/>
      <c r="T647" s="22"/>
      <c r="U647" t="s">
        <v>315</v>
      </c>
      <c r="Z647" s="1337" t="s">
        <v>2709</v>
      </c>
      <c r="AA647" s="1337"/>
      <c r="AB647" s="1337"/>
      <c r="AC647" s="1337"/>
      <c r="AD647" s="1337"/>
      <c r="AE647" s="1337"/>
      <c r="AH647" s="33" t="s">
        <v>205</v>
      </c>
      <c r="AI647" s="1450"/>
      <c r="AJ647" s="1450"/>
      <c r="AK647" s="1450"/>
      <c r="AZ647" s="34"/>
      <c r="BA647" s="34"/>
      <c r="BB647" s="34"/>
      <c r="BC647" s="34"/>
      <c r="BD647" s="34"/>
      <c r="BE647" s="34"/>
      <c r="BF647" s="34"/>
      <c r="BG647" s="34"/>
      <c r="BH647" s="34"/>
      <c r="BI647" s="34"/>
      <c r="BJ647" s="34"/>
      <c r="BK647" s="34"/>
      <c r="BL647" s="34"/>
      <c r="BM647" s="34"/>
      <c r="DX647" s="1475" t="e">
        <f t="shared" si="2"/>
        <v>#VALUE!</v>
      </c>
      <c r="DY647" s="1475"/>
      <c r="DZ647" s="1475"/>
      <c r="EA647" s="1475"/>
      <c r="EB647" s="1475"/>
      <c r="EC647" s="1475" t="e">
        <f t="shared" si="3"/>
        <v>#VALUE!</v>
      </c>
      <c r="ED647" s="1475"/>
      <c r="EE647" s="1475"/>
      <c r="EF647" s="1475"/>
      <c r="EG647" s="1475"/>
      <c r="EH647" s="1475" t="e">
        <f t="shared" si="4"/>
        <v>#VALUE!</v>
      </c>
      <c r="EI647" s="1475"/>
      <c r="EJ647" s="1475"/>
      <c r="EK647" s="1475"/>
      <c r="EL647" s="1475"/>
      <c r="EM647" s="1475">
        <f t="shared" si="5"/>
        <v>527.97</v>
      </c>
      <c r="EN647" s="1475"/>
      <c r="EO647" s="1475"/>
      <c r="EP647" s="1475"/>
      <c r="EQ647" s="1475"/>
      <c r="ER647" s="1475" t="e">
        <f t="shared" si="6"/>
        <v>#VALUE!</v>
      </c>
      <c r="ES647" s="1475"/>
      <c r="ET647" s="1475"/>
      <c r="EU647" s="1475"/>
      <c r="EV647" s="1475"/>
      <c r="EW647" s="1475" t="e">
        <f t="shared" si="7"/>
        <v>#VALUE!</v>
      </c>
      <c r="EX647" s="1475"/>
      <c r="EY647" s="1475"/>
      <c r="EZ647" s="1475"/>
      <c r="FA647" s="1475"/>
    </row>
    <row r="648" spans="1:157" ht="12.95" customHeight="1">
      <c r="A648" s="22"/>
      <c r="B648" t="s">
        <v>18</v>
      </c>
      <c r="H648" s="1429" t="s">
        <v>2716</v>
      </c>
      <c r="I648" s="1338"/>
      <c r="J648" s="1338"/>
      <c r="K648" s="1338"/>
      <c r="L648" s="1338"/>
      <c r="M648" s="1338"/>
      <c r="N648" s="1338"/>
      <c r="O648" s="1338"/>
      <c r="P648" s="1338"/>
      <c r="Q648" s="1338"/>
      <c r="R648" s="1338"/>
      <c r="S648" s="8"/>
      <c r="T648" s="22"/>
      <c r="U648" t="s">
        <v>18</v>
      </c>
      <c r="AA648" s="1338" t="s">
        <v>2708</v>
      </c>
      <c r="AB648" s="1338"/>
      <c r="AC648" s="1338"/>
      <c r="AD648" s="1338"/>
      <c r="AE648" s="1338"/>
      <c r="AF648" s="1338"/>
      <c r="AG648" s="1338"/>
      <c r="AH648" s="1338"/>
      <c r="AI648" s="1338"/>
      <c r="AJ648" s="1338"/>
      <c r="AK648" s="1338"/>
      <c r="AZ648" s="34"/>
      <c r="BA648" s="34"/>
      <c r="BB648" s="34"/>
      <c r="BC648" s="34"/>
      <c r="BD648" s="34"/>
      <c r="BE648" s="34"/>
      <c r="BF648" s="34"/>
      <c r="BG648" s="34"/>
      <c r="BH648" s="34"/>
      <c r="BI648" s="34"/>
      <c r="BJ648" s="34"/>
      <c r="BK648" s="34"/>
      <c r="BL648" s="34"/>
      <c r="BM648" s="34"/>
      <c r="DX648" s="1475" t="e">
        <f t="shared" si="2"/>
        <v>#VALUE!</v>
      </c>
      <c r="DY648" s="1475"/>
      <c r="DZ648" s="1475"/>
      <c r="EA648" s="1475"/>
      <c r="EB648" s="1475"/>
      <c r="EC648" s="1475" t="e">
        <f t="shared" si="3"/>
        <v>#VALUE!</v>
      </c>
      <c r="ED648" s="1475"/>
      <c r="EE648" s="1475"/>
      <c r="EF648" s="1475"/>
      <c r="EG648" s="1475"/>
      <c r="EH648" s="1475" t="e">
        <f t="shared" si="4"/>
        <v>#VALUE!</v>
      </c>
      <c r="EI648" s="1475"/>
      <c r="EJ648" s="1475"/>
      <c r="EK648" s="1475"/>
      <c r="EL648" s="1475"/>
      <c r="EM648" s="1475">
        <f t="shared" si="5"/>
        <v>346.03199999999998</v>
      </c>
      <c r="EN648" s="1475"/>
      <c r="EO648" s="1475"/>
      <c r="EP648" s="1475"/>
      <c r="EQ648" s="1475"/>
      <c r="ER648" s="1475" t="e">
        <f t="shared" si="6"/>
        <v>#VALUE!</v>
      </c>
      <c r="ES648" s="1475"/>
      <c r="ET648" s="1475"/>
      <c r="EU648" s="1475"/>
      <c r="EV648" s="1475"/>
      <c r="EW648" s="1475" t="e">
        <f t="shared" si="7"/>
        <v>#VALUE!</v>
      </c>
      <c r="EX648" s="1475"/>
      <c r="EY648" s="1475"/>
      <c r="EZ648" s="1475"/>
      <c r="FA648" s="1475"/>
    </row>
    <row r="649" spans="1:157" ht="12.95" customHeight="1">
      <c r="A649" s="22"/>
      <c r="B649" t="s">
        <v>20</v>
      </c>
      <c r="N649" s="1333" t="s">
        <v>545</v>
      </c>
      <c r="O649" s="1333"/>
      <c r="T649" s="22"/>
      <c r="U649" t="s">
        <v>20</v>
      </c>
      <c r="AG649" s="1333" t="s">
        <v>545</v>
      </c>
      <c r="AH649" s="1333"/>
      <c r="AZ649" s="34"/>
      <c r="BA649" s="34"/>
      <c r="BB649" s="34"/>
      <c r="BC649" s="34"/>
      <c r="BD649" s="34"/>
      <c r="BE649" s="34"/>
      <c r="BF649" s="34"/>
      <c r="BG649" s="34"/>
      <c r="BH649" s="34"/>
      <c r="BI649" s="34"/>
      <c r="BJ649" s="34"/>
      <c r="BK649" s="34"/>
      <c r="BL649" s="34"/>
      <c r="BM649" s="34"/>
      <c r="DX649" s="1475" t="e">
        <f t="shared" si="2"/>
        <v>#VALUE!</v>
      </c>
      <c r="DY649" s="1475"/>
      <c r="DZ649" s="1475"/>
      <c r="EA649" s="1475"/>
      <c r="EB649" s="1475"/>
      <c r="EC649" s="1475" t="e">
        <f t="shared" si="3"/>
        <v>#VALUE!</v>
      </c>
      <c r="ED649" s="1475"/>
      <c r="EE649" s="1475"/>
      <c r="EF649" s="1475"/>
      <c r="EG649" s="1475"/>
      <c r="EH649" s="1475" t="e">
        <f t="shared" si="4"/>
        <v>#VALUE!</v>
      </c>
      <c r="EI649" s="1475"/>
      <c r="EJ649" s="1475"/>
      <c r="EK649" s="1475"/>
      <c r="EL649" s="1475"/>
      <c r="EM649" s="1475" t="e">
        <f t="shared" si="5"/>
        <v>#VALUE!</v>
      </c>
      <c r="EN649" s="1475"/>
      <c r="EO649" s="1475"/>
      <c r="EP649" s="1475"/>
      <c r="EQ649" s="1475"/>
      <c r="ER649" s="1475" t="e">
        <f t="shared" si="6"/>
        <v>#VALUE!</v>
      </c>
      <c r="ES649" s="1475"/>
      <c r="ET649" s="1475"/>
      <c r="EU649" s="1475"/>
      <c r="EV649" s="1475"/>
      <c r="EW649" s="1475" t="e">
        <f t="shared" si="7"/>
        <v>#VALUE!</v>
      </c>
      <c r="EX649" s="1475"/>
      <c r="EY649" s="1475"/>
      <c r="EZ649" s="1475"/>
      <c r="FA649" s="1475"/>
    </row>
    <row r="650" spans="1:157" ht="12.95" customHeight="1">
      <c r="A650" s="22"/>
      <c r="T650" s="22"/>
      <c r="AZ650" s="34"/>
      <c r="BA650" s="34"/>
      <c r="BB650" s="34"/>
      <c r="BC650" s="34"/>
      <c r="BD650" s="34"/>
      <c r="BE650" s="34"/>
      <c r="BF650" s="34"/>
      <c r="BG650" s="34"/>
      <c r="BH650" s="34"/>
      <c r="BI650" s="34"/>
      <c r="BJ650" s="34"/>
      <c r="BK650" s="34"/>
      <c r="BL650" s="34"/>
      <c r="BM650" s="34"/>
      <c r="DX650" s="1475" t="e">
        <f t="shared" si="2"/>
        <v>#VALUE!</v>
      </c>
      <c r="DY650" s="1475"/>
      <c r="DZ650" s="1475"/>
      <c r="EA650" s="1475"/>
      <c r="EB650" s="1475"/>
      <c r="EC650" s="1475" t="e">
        <f t="shared" si="3"/>
        <v>#VALUE!</v>
      </c>
      <c r="ED650" s="1475"/>
      <c r="EE650" s="1475"/>
      <c r="EF650" s="1475"/>
      <c r="EG650" s="1475"/>
      <c r="EH650" s="1475" t="e">
        <f t="shared" si="4"/>
        <v>#VALUE!</v>
      </c>
      <c r="EI650" s="1475"/>
      <c r="EJ650" s="1475"/>
      <c r="EK650" s="1475"/>
      <c r="EL650" s="1475"/>
      <c r="EM650" s="1475" t="e">
        <f t="shared" si="5"/>
        <v>#VALUE!</v>
      </c>
      <c r="EN650" s="1475"/>
      <c r="EO650" s="1475"/>
      <c r="EP650" s="1475"/>
      <c r="EQ650" s="1475"/>
      <c r="ER650" s="1475" t="e">
        <f t="shared" si="6"/>
        <v>#VALUE!</v>
      </c>
      <c r="ES650" s="1475"/>
      <c r="ET650" s="1475"/>
      <c r="EU650" s="1475"/>
      <c r="EV650" s="1475"/>
      <c r="EW650" s="1475" t="e">
        <f t="shared" si="7"/>
        <v>#VALUE!</v>
      </c>
      <c r="EX650" s="1475"/>
      <c r="EY650" s="1475"/>
      <c r="EZ650" s="1475"/>
      <c r="FA650" s="1475"/>
    </row>
    <row r="651" spans="1:157" ht="12.95" customHeight="1">
      <c r="A651" s="55" t="s">
        <v>119</v>
      </c>
      <c r="B651" t="s">
        <v>463</v>
      </c>
      <c r="G651" s="1358" t="str">
        <f>C629</f>
        <v>Ventura County General Fund</v>
      </c>
      <c r="H651" s="1358"/>
      <c r="I651" s="1358"/>
      <c r="J651" s="1358"/>
      <c r="K651" s="1358"/>
      <c r="L651" s="1358"/>
      <c r="M651" s="1358"/>
      <c r="N651" s="1358"/>
      <c r="O651" s="1358"/>
      <c r="P651" s="1358"/>
      <c r="Q651" s="1358"/>
      <c r="R651" s="1358"/>
      <c r="T651" s="55" t="s">
        <v>581</v>
      </c>
      <c r="U651" t="s">
        <v>463</v>
      </c>
      <c r="Z651" s="1358" t="str">
        <f>C630</f>
        <v>City of Oxnard HOME-ARP</v>
      </c>
      <c r="AA651" s="1358"/>
      <c r="AB651" s="1358"/>
      <c r="AC651" s="1358"/>
      <c r="AD651" s="1358"/>
      <c r="AE651" s="1358"/>
      <c r="AF651" s="1358"/>
      <c r="AG651" s="1358"/>
      <c r="AH651" s="1358"/>
      <c r="AI651" s="1358"/>
      <c r="AJ651" s="1358"/>
      <c r="AK651" s="1358"/>
      <c r="AZ651" s="34"/>
      <c r="BA651" s="34"/>
      <c r="BB651" s="34"/>
      <c r="BC651" s="34"/>
      <c r="BD651" s="34"/>
      <c r="BE651" s="34"/>
      <c r="BF651" s="34"/>
      <c r="BG651" s="34"/>
      <c r="BH651" s="34"/>
      <c r="BI651" s="34"/>
      <c r="BJ651" s="34"/>
      <c r="BK651" s="34"/>
      <c r="BL651" s="34"/>
      <c r="BM651" s="34"/>
      <c r="DX651" s="1475" t="e">
        <f t="shared" si="2"/>
        <v>#VALUE!</v>
      </c>
      <c r="DY651" s="1475"/>
      <c r="DZ651" s="1475"/>
      <c r="EA651" s="1475"/>
      <c r="EB651" s="1475"/>
      <c r="EC651" s="1475" t="e">
        <f t="shared" si="3"/>
        <v>#VALUE!</v>
      </c>
      <c r="ED651" s="1475"/>
      <c r="EE651" s="1475"/>
      <c r="EF651" s="1475"/>
      <c r="EG651" s="1475"/>
      <c r="EH651" s="1475" t="e">
        <f t="shared" si="4"/>
        <v>#VALUE!</v>
      </c>
      <c r="EI651" s="1475"/>
      <c r="EJ651" s="1475"/>
      <c r="EK651" s="1475"/>
      <c r="EL651" s="1475"/>
      <c r="EM651" s="1475" t="e">
        <f t="shared" si="5"/>
        <v>#VALUE!</v>
      </c>
      <c r="EN651" s="1475"/>
      <c r="EO651" s="1475"/>
      <c r="EP651" s="1475"/>
      <c r="EQ651" s="1475"/>
      <c r="ER651" s="1475" t="e">
        <f t="shared" si="6"/>
        <v>#VALUE!</v>
      </c>
      <c r="ES651" s="1475"/>
      <c r="ET651" s="1475"/>
      <c r="EU651" s="1475"/>
      <c r="EV651" s="1475"/>
      <c r="EW651" s="1475" t="e">
        <f t="shared" si="7"/>
        <v>#VALUE!</v>
      </c>
      <c r="EX651" s="1475"/>
      <c r="EY651" s="1475"/>
      <c r="EZ651" s="1475"/>
      <c r="FA651" s="1475"/>
    </row>
    <row r="652" spans="1:157" ht="12.95" customHeight="1">
      <c r="A652" s="22"/>
      <c r="B652" t="s">
        <v>85</v>
      </c>
      <c r="G652" s="1338" t="s">
        <v>2705</v>
      </c>
      <c r="H652" s="1338"/>
      <c r="I652" s="1338"/>
      <c r="J652" s="1338"/>
      <c r="K652" s="1338"/>
      <c r="L652" s="1338"/>
      <c r="M652" s="1338"/>
      <c r="N652" s="1338"/>
      <c r="O652" s="1338"/>
      <c r="P652" s="1338"/>
      <c r="Q652" s="1338"/>
      <c r="R652" s="1338"/>
      <c r="T652" s="22"/>
      <c r="U652" t="s">
        <v>85</v>
      </c>
      <c r="Z652" s="1338" t="s">
        <v>2616</v>
      </c>
      <c r="AA652" s="1338"/>
      <c r="AB652" s="1338"/>
      <c r="AC652" s="1338"/>
      <c r="AD652" s="1338"/>
      <c r="AE652" s="1338"/>
      <c r="AF652" s="1338"/>
      <c r="AG652" s="1338"/>
      <c r="AH652" s="1338"/>
      <c r="AI652" s="1338"/>
      <c r="AJ652" s="1338"/>
      <c r="AK652" s="1338"/>
      <c r="AZ652" s="34"/>
      <c r="BA652" s="34"/>
      <c r="BB652" s="34"/>
      <c r="BC652" s="34"/>
      <c r="BD652" s="34"/>
      <c r="BE652" s="34"/>
      <c r="BF652" s="34"/>
      <c r="BG652" s="34"/>
      <c r="BH652" s="34"/>
      <c r="BI652" s="34"/>
      <c r="BJ652" s="34"/>
      <c r="BK652" s="34"/>
      <c r="BL652" s="34"/>
      <c r="BM652" s="34"/>
      <c r="DX652" s="1475" t="e">
        <f t="shared" si="2"/>
        <v>#VALUE!</v>
      </c>
      <c r="DY652" s="1475"/>
      <c r="DZ652" s="1475"/>
      <c r="EA652" s="1475"/>
      <c r="EB652" s="1475"/>
      <c r="EC652" s="1475" t="e">
        <f t="shared" si="3"/>
        <v>#VALUE!</v>
      </c>
      <c r="ED652" s="1475"/>
      <c r="EE652" s="1475"/>
      <c r="EF652" s="1475"/>
      <c r="EG652" s="1475"/>
      <c r="EH652" s="1475" t="e">
        <f t="shared" si="4"/>
        <v>#VALUE!</v>
      </c>
      <c r="EI652" s="1475"/>
      <c r="EJ652" s="1475"/>
      <c r="EK652" s="1475"/>
      <c r="EL652" s="1475"/>
      <c r="EM652" s="1475" t="e">
        <f t="shared" si="5"/>
        <v>#VALUE!</v>
      </c>
      <c r="EN652" s="1475"/>
      <c r="EO652" s="1475"/>
      <c r="EP652" s="1475"/>
      <c r="EQ652" s="1475"/>
      <c r="ER652" s="1475" t="e">
        <f t="shared" si="6"/>
        <v>#VALUE!</v>
      </c>
      <c r="ES652" s="1475"/>
      <c r="ET652" s="1475"/>
      <c r="EU652" s="1475"/>
      <c r="EV652" s="1475"/>
      <c r="EW652" s="1475" t="e">
        <f t="shared" si="7"/>
        <v>#VALUE!</v>
      </c>
      <c r="EX652" s="1475"/>
      <c r="EY652" s="1475"/>
      <c r="EZ652" s="1475"/>
      <c r="FA652" s="1475"/>
    </row>
    <row r="653" spans="1:157" ht="12.95" customHeight="1">
      <c r="A653" s="22"/>
      <c r="B653" t="s">
        <v>580</v>
      </c>
      <c r="G653" s="1351" t="s">
        <v>202</v>
      </c>
      <c r="H653" s="1351"/>
      <c r="I653" s="1351"/>
      <c r="J653" s="1351"/>
      <c r="K653" s="1351"/>
      <c r="L653" s="1351"/>
      <c r="M653" s="1351"/>
      <c r="N653" s="1351"/>
      <c r="O653" s="1351"/>
      <c r="P653" s="1351"/>
      <c r="Q653" s="1351"/>
      <c r="R653" s="1351"/>
      <c r="T653" s="22"/>
      <c r="U653" t="s">
        <v>580</v>
      </c>
      <c r="Z653" s="1351" t="s">
        <v>2617</v>
      </c>
      <c r="AA653" s="1351"/>
      <c r="AB653" s="1351"/>
      <c r="AC653" s="1351"/>
      <c r="AD653" s="1351"/>
      <c r="AE653" s="1351"/>
      <c r="AF653" s="1351"/>
      <c r="AG653" s="1351"/>
      <c r="AH653" s="1351"/>
      <c r="AI653" s="1351"/>
      <c r="AJ653" s="1351"/>
      <c r="AK653" s="1351"/>
      <c r="AZ653" s="34"/>
      <c r="BA653" s="34"/>
      <c r="BB653" s="34"/>
      <c r="BC653" s="34"/>
      <c r="BD653" s="34"/>
      <c r="BE653" s="34"/>
      <c r="BF653" s="34"/>
      <c r="BG653" s="34"/>
      <c r="BH653" s="34"/>
      <c r="BI653" s="34"/>
      <c r="BJ653" s="34"/>
      <c r="BK653" s="34"/>
      <c r="BL653" s="34"/>
      <c r="BM653" s="34"/>
      <c r="DX653" s="1475" t="e">
        <f t="shared" si="2"/>
        <v>#VALUE!</v>
      </c>
      <c r="DY653" s="1475"/>
      <c r="DZ653" s="1475"/>
      <c r="EA653" s="1475"/>
      <c r="EB653" s="1475"/>
      <c r="EC653" s="1475" t="e">
        <f t="shared" si="3"/>
        <v>#VALUE!</v>
      </c>
      <c r="ED653" s="1475"/>
      <c r="EE653" s="1475"/>
      <c r="EF653" s="1475"/>
      <c r="EG653" s="1475"/>
      <c r="EH653" s="1475" t="e">
        <f t="shared" si="4"/>
        <v>#VALUE!</v>
      </c>
      <c r="EI653" s="1475"/>
      <c r="EJ653" s="1475"/>
      <c r="EK653" s="1475"/>
      <c r="EL653" s="1475"/>
      <c r="EM653" s="1475" t="e">
        <f t="shared" si="5"/>
        <v>#VALUE!</v>
      </c>
      <c r="EN653" s="1475"/>
      <c r="EO653" s="1475"/>
      <c r="EP653" s="1475"/>
      <c r="EQ653" s="1475"/>
      <c r="ER653" s="1475" t="e">
        <f t="shared" si="6"/>
        <v>#VALUE!</v>
      </c>
      <c r="ES653" s="1475"/>
      <c r="ET653" s="1475"/>
      <c r="EU653" s="1475"/>
      <c r="EV653" s="1475"/>
      <c r="EW653" s="1475" t="e">
        <f t="shared" si="7"/>
        <v>#VALUE!</v>
      </c>
      <c r="EX653" s="1475"/>
      <c r="EY653" s="1475"/>
      <c r="EZ653" s="1475"/>
      <c r="FA653" s="1475"/>
    </row>
    <row r="654" spans="1:157" ht="12.95" customHeight="1">
      <c r="A654" s="22"/>
      <c r="B654" t="s">
        <v>17</v>
      </c>
      <c r="G654" s="1351" t="s">
        <v>2706</v>
      </c>
      <c r="H654" s="1351"/>
      <c r="I654" s="1351"/>
      <c r="J654" s="1351"/>
      <c r="K654" s="1351"/>
      <c r="L654" s="1351"/>
      <c r="M654" s="1351"/>
      <c r="N654" s="1351"/>
      <c r="O654" s="1351"/>
      <c r="P654" s="1351"/>
      <c r="Q654" s="1351"/>
      <c r="R654" s="1351"/>
      <c r="T654" s="22"/>
      <c r="U654" t="s">
        <v>17</v>
      </c>
      <c r="Z654" s="1351" t="s">
        <v>2714</v>
      </c>
      <c r="AA654" s="1351"/>
      <c r="AB654" s="1351"/>
      <c r="AC654" s="1351"/>
      <c r="AD654" s="1351"/>
      <c r="AE654" s="1351"/>
      <c r="AF654" s="1351"/>
      <c r="AG654" s="1351"/>
      <c r="AH654" s="1351"/>
      <c r="AI654" s="1351"/>
      <c r="AJ654" s="1351"/>
      <c r="AK654" s="1351"/>
      <c r="AZ654" s="34"/>
      <c r="BA654" s="34"/>
      <c r="BB654" s="34"/>
      <c r="BC654" s="34"/>
      <c r="BD654" s="34"/>
      <c r="BE654" s="34"/>
      <c r="BF654" s="34"/>
      <c r="BG654" s="34"/>
      <c r="BH654" s="34"/>
      <c r="BI654" s="34"/>
      <c r="BJ654" s="34"/>
      <c r="BK654" s="34"/>
      <c r="BL654" s="34"/>
      <c r="BM654" s="34"/>
      <c r="DX654" s="1475" t="e">
        <f t="shared" si="2"/>
        <v>#VALUE!</v>
      </c>
      <c r="DY654" s="1475"/>
      <c r="DZ654" s="1475"/>
      <c r="EA654" s="1475"/>
      <c r="EB654" s="1475"/>
      <c r="EC654" s="1475" t="e">
        <f t="shared" si="3"/>
        <v>#VALUE!</v>
      </c>
      <c r="ED654" s="1475"/>
      <c r="EE654" s="1475"/>
      <c r="EF654" s="1475"/>
      <c r="EG654" s="1475"/>
      <c r="EH654" s="1475" t="e">
        <f t="shared" si="4"/>
        <v>#VALUE!</v>
      </c>
      <c r="EI654" s="1475"/>
      <c r="EJ654" s="1475"/>
      <c r="EK654" s="1475"/>
      <c r="EL654" s="1475"/>
      <c r="EM654" s="1475" t="e">
        <f t="shared" si="5"/>
        <v>#VALUE!</v>
      </c>
      <c r="EN654" s="1475"/>
      <c r="EO654" s="1475"/>
      <c r="EP654" s="1475"/>
      <c r="EQ654" s="1475"/>
      <c r="ER654" s="1475" t="e">
        <f t="shared" si="6"/>
        <v>#VALUE!</v>
      </c>
      <c r="ES654" s="1475"/>
      <c r="ET654" s="1475"/>
      <c r="EU654" s="1475"/>
      <c r="EV654" s="1475"/>
      <c r="EW654" s="1475" t="e">
        <f t="shared" si="7"/>
        <v>#VALUE!</v>
      </c>
      <c r="EX654" s="1475"/>
      <c r="EY654" s="1475"/>
      <c r="EZ654" s="1475"/>
      <c r="FA654" s="1475"/>
    </row>
    <row r="655" spans="1:157" ht="12.95" customHeight="1">
      <c r="A655" s="22"/>
      <c r="B655" t="s">
        <v>315</v>
      </c>
      <c r="G655" s="1337" t="s">
        <v>2707</v>
      </c>
      <c r="H655" s="1337"/>
      <c r="I655" s="1337"/>
      <c r="J655" s="1337"/>
      <c r="K655" s="1337"/>
      <c r="L655" s="1337"/>
      <c r="O655" s="33" t="s">
        <v>205</v>
      </c>
      <c r="P655" s="1450"/>
      <c r="Q655" s="1450"/>
      <c r="R655" s="1450"/>
      <c r="T655" s="22"/>
      <c r="U655" t="s">
        <v>315</v>
      </c>
      <c r="Z655" s="1337" t="s">
        <v>2715</v>
      </c>
      <c r="AA655" s="1337"/>
      <c r="AB655" s="1337"/>
      <c r="AC655" s="1337"/>
      <c r="AD655" s="1337"/>
      <c r="AE655" s="1337"/>
      <c r="AH655" s="33" t="s">
        <v>205</v>
      </c>
      <c r="AI655" s="1450"/>
      <c r="AJ655" s="1450"/>
      <c r="AK655" s="1450"/>
      <c r="AZ655" s="34"/>
      <c r="BA655" s="34"/>
      <c r="BB655" s="34"/>
      <c r="BC655" s="34"/>
      <c r="BD655" s="34"/>
      <c r="BE655" s="34"/>
      <c r="BF655" s="34"/>
      <c r="BG655" s="34"/>
      <c r="BH655" s="34"/>
      <c r="BI655" s="34"/>
      <c r="BJ655" s="34"/>
      <c r="BK655" s="34"/>
      <c r="BL655" s="34"/>
      <c r="BM655" s="34"/>
      <c r="DX655" s="1475" t="e">
        <f t="shared" si="2"/>
        <v>#VALUE!</v>
      </c>
      <c r="DY655" s="1475"/>
      <c r="DZ655" s="1475"/>
      <c r="EA655" s="1475"/>
      <c r="EB655" s="1475"/>
      <c r="EC655" s="1475" t="e">
        <f t="shared" si="3"/>
        <v>#VALUE!</v>
      </c>
      <c r="ED655" s="1475"/>
      <c r="EE655" s="1475"/>
      <c r="EF655" s="1475"/>
      <c r="EG655" s="1475"/>
      <c r="EH655" s="1475" t="e">
        <f t="shared" si="4"/>
        <v>#VALUE!</v>
      </c>
      <c r="EI655" s="1475"/>
      <c r="EJ655" s="1475"/>
      <c r="EK655" s="1475"/>
      <c r="EL655" s="1475"/>
      <c r="EM655" s="1475" t="e">
        <f t="shared" si="5"/>
        <v>#VALUE!</v>
      </c>
      <c r="EN655" s="1475"/>
      <c r="EO655" s="1475"/>
      <c r="EP655" s="1475"/>
      <c r="EQ655" s="1475"/>
      <c r="ER655" s="1475" t="e">
        <f t="shared" si="6"/>
        <v>#VALUE!</v>
      </c>
      <c r="ES655" s="1475"/>
      <c r="ET655" s="1475"/>
      <c r="EU655" s="1475"/>
      <c r="EV655" s="1475"/>
      <c r="EW655" s="1475" t="e">
        <f t="shared" si="7"/>
        <v>#VALUE!</v>
      </c>
      <c r="EX655" s="1475"/>
      <c r="EY655" s="1475"/>
      <c r="EZ655" s="1475"/>
      <c r="FA655" s="1475"/>
    </row>
    <row r="656" spans="1:157" ht="12.95" customHeight="1">
      <c r="A656" s="22"/>
      <c r="B656" t="s">
        <v>18</v>
      </c>
      <c r="H656" s="1338" t="s">
        <v>2115</v>
      </c>
      <c r="I656" s="1338"/>
      <c r="J656" s="1338"/>
      <c r="K656" s="1338"/>
      <c r="L656" s="1338"/>
      <c r="M656" s="1338"/>
      <c r="N656" s="1338"/>
      <c r="O656" s="1338"/>
      <c r="P656" s="1338"/>
      <c r="Q656" s="1338"/>
      <c r="R656" s="1338"/>
      <c r="T656" s="22"/>
      <c r="U656" t="s">
        <v>18</v>
      </c>
      <c r="AA656" s="1338" t="s">
        <v>2115</v>
      </c>
      <c r="AB656" s="1338"/>
      <c r="AC656" s="1338"/>
      <c r="AD656" s="1338"/>
      <c r="AE656" s="1338"/>
      <c r="AF656" s="1338"/>
      <c r="AG656" s="1338"/>
      <c r="AH656" s="1338"/>
      <c r="AI656" s="1338"/>
      <c r="AJ656" s="1338"/>
      <c r="AK656" s="1338"/>
      <c r="AZ656" s="34"/>
      <c r="BA656" s="34"/>
      <c r="BB656" s="34"/>
      <c r="BC656" s="34"/>
      <c r="BD656" s="34"/>
      <c r="BE656" s="34"/>
      <c r="BF656" s="34"/>
      <c r="BG656" s="34"/>
      <c r="BH656" s="34"/>
      <c r="BI656" s="34"/>
      <c r="BJ656" s="34"/>
      <c r="BK656" s="34"/>
      <c r="BL656" s="34"/>
      <c r="BM656" s="34"/>
      <c r="DX656" s="1475" t="e">
        <f t="shared" si="2"/>
        <v>#VALUE!</v>
      </c>
      <c r="DY656" s="1475"/>
      <c r="DZ656" s="1475"/>
      <c r="EA656" s="1475"/>
      <c r="EB656" s="1475"/>
      <c r="EC656" s="1475" t="e">
        <f t="shared" si="3"/>
        <v>#VALUE!</v>
      </c>
      <c r="ED656" s="1475"/>
      <c r="EE656" s="1475"/>
      <c r="EF656" s="1475"/>
      <c r="EG656" s="1475"/>
      <c r="EH656" s="1475" t="e">
        <f t="shared" si="4"/>
        <v>#VALUE!</v>
      </c>
      <c r="EI656" s="1475"/>
      <c r="EJ656" s="1475"/>
      <c r="EK656" s="1475"/>
      <c r="EL656" s="1475"/>
      <c r="EM656" s="1475" t="e">
        <f t="shared" si="5"/>
        <v>#VALUE!</v>
      </c>
      <c r="EN656" s="1475"/>
      <c r="EO656" s="1475"/>
      <c r="EP656" s="1475"/>
      <c r="EQ656" s="1475"/>
      <c r="ER656" s="1475" t="e">
        <f t="shared" si="6"/>
        <v>#VALUE!</v>
      </c>
      <c r="ES656" s="1475"/>
      <c r="ET656" s="1475"/>
      <c r="EU656" s="1475"/>
      <c r="EV656" s="1475"/>
      <c r="EW656" s="1475" t="e">
        <f t="shared" si="7"/>
        <v>#VALUE!</v>
      </c>
      <c r="EX656" s="1475"/>
      <c r="EY656" s="1475"/>
      <c r="EZ656" s="1475"/>
      <c r="FA656" s="1475"/>
    </row>
    <row r="657" spans="1:157" ht="12.95" customHeight="1">
      <c r="A657" s="22"/>
      <c r="B657" t="s">
        <v>20</v>
      </c>
      <c r="N657" s="1333" t="s">
        <v>545</v>
      </c>
      <c r="O657" s="1333"/>
      <c r="T657" s="22"/>
      <c r="U657" t="s">
        <v>20</v>
      </c>
      <c r="AG657" s="1333" t="s">
        <v>545</v>
      </c>
      <c r="AH657" s="1333"/>
      <c r="AZ657" s="34"/>
      <c r="BA657" s="34"/>
      <c r="BB657" s="34"/>
      <c r="BC657" s="34"/>
      <c r="BD657" s="34"/>
      <c r="BE657" s="34"/>
      <c r="BF657" s="34"/>
      <c r="BG657" s="34"/>
      <c r="BH657" s="34"/>
      <c r="BI657" s="34"/>
      <c r="BJ657" s="34"/>
      <c r="BK657" s="34"/>
      <c r="BL657" s="34"/>
      <c r="BM657" s="34"/>
      <c r="DX657" s="1475" t="e">
        <f t="shared" si="2"/>
        <v>#VALUE!</v>
      </c>
      <c r="DY657" s="1475"/>
      <c r="DZ657" s="1475"/>
      <c r="EA657" s="1475"/>
      <c r="EB657" s="1475"/>
      <c r="EC657" s="1475" t="e">
        <f t="shared" si="3"/>
        <v>#VALUE!</v>
      </c>
      <c r="ED657" s="1475"/>
      <c r="EE657" s="1475"/>
      <c r="EF657" s="1475"/>
      <c r="EG657" s="1475"/>
      <c r="EH657" s="1475" t="e">
        <f t="shared" si="4"/>
        <v>#VALUE!</v>
      </c>
      <c r="EI657" s="1475"/>
      <c r="EJ657" s="1475"/>
      <c r="EK657" s="1475"/>
      <c r="EL657" s="1475"/>
      <c r="EM657" s="1475" t="e">
        <f t="shared" si="5"/>
        <v>#VALUE!</v>
      </c>
      <c r="EN657" s="1475"/>
      <c r="EO657" s="1475"/>
      <c r="EP657" s="1475"/>
      <c r="EQ657" s="1475"/>
      <c r="ER657" s="1475" t="e">
        <f t="shared" si="6"/>
        <v>#VALUE!</v>
      </c>
      <c r="ES657" s="1475"/>
      <c r="ET657" s="1475"/>
      <c r="EU657" s="1475"/>
      <c r="EV657" s="1475"/>
      <c r="EW657" s="1475" t="e">
        <f t="shared" si="7"/>
        <v>#VALUE!</v>
      </c>
      <c r="EX657" s="1475"/>
      <c r="EY657" s="1475"/>
      <c r="EZ657" s="1475"/>
      <c r="FA657" s="1475"/>
    </row>
    <row r="658" spans="1:157" ht="12.95" customHeight="1">
      <c r="A658" s="22"/>
      <c r="T658" s="22"/>
      <c r="AZ658" s="34"/>
      <c r="BA658" s="34"/>
      <c r="BB658" s="34"/>
      <c r="BC658" s="34"/>
      <c r="BD658" s="34"/>
      <c r="BE658" s="34"/>
      <c r="BF658" s="34"/>
      <c r="BG658" s="34"/>
      <c r="BH658" s="34"/>
      <c r="BI658" s="34"/>
      <c r="BJ658" s="34"/>
      <c r="BK658" s="34"/>
      <c r="BL658" s="34"/>
      <c r="BM658" s="34"/>
      <c r="DX658" s="1475" t="e">
        <f t="shared" si="2"/>
        <v>#VALUE!</v>
      </c>
      <c r="DY658" s="1475"/>
      <c r="DZ658" s="1475"/>
      <c r="EA658" s="1475"/>
      <c r="EB658" s="1475"/>
      <c r="EC658" s="1475" t="e">
        <f t="shared" si="3"/>
        <v>#VALUE!</v>
      </c>
      <c r="ED658" s="1475"/>
      <c r="EE658" s="1475"/>
      <c r="EF658" s="1475"/>
      <c r="EG658" s="1475"/>
      <c r="EH658" s="1475" t="e">
        <f t="shared" si="4"/>
        <v>#VALUE!</v>
      </c>
      <c r="EI658" s="1475"/>
      <c r="EJ658" s="1475"/>
      <c r="EK658" s="1475"/>
      <c r="EL658" s="1475"/>
      <c r="EM658" s="1475" t="e">
        <f t="shared" si="5"/>
        <v>#VALUE!</v>
      </c>
      <c r="EN658" s="1475"/>
      <c r="EO658" s="1475"/>
      <c r="EP658" s="1475"/>
      <c r="EQ658" s="1475"/>
      <c r="ER658" s="1475" t="e">
        <f t="shared" si="6"/>
        <v>#VALUE!</v>
      </c>
      <c r="ES658" s="1475"/>
      <c r="ET658" s="1475"/>
      <c r="EU658" s="1475"/>
      <c r="EV658" s="1475"/>
      <c r="EW658" s="1475" t="e">
        <f t="shared" si="7"/>
        <v>#VALUE!</v>
      </c>
      <c r="EX658" s="1475"/>
      <c r="EY658" s="1475"/>
      <c r="EZ658" s="1475"/>
      <c r="FA658" s="1475"/>
    </row>
    <row r="659" spans="1:157" ht="12.95" customHeight="1">
      <c r="A659" s="55" t="s">
        <v>763</v>
      </c>
      <c r="B659" t="s">
        <v>463</v>
      </c>
      <c r="G659" s="1358" t="str">
        <f>C631</f>
        <v>Deferred Developer Fee</v>
      </c>
      <c r="H659" s="1358"/>
      <c r="I659" s="1358"/>
      <c r="J659" s="1358"/>
      <c r="K659" s="1358"/>
      <c r="L659" s="1358"/>
      <c r="M659" s="1358"/>
      <c r="N659" s="1358"/>
      <c r="O659" s="1358"/>
      <c r="P659" s="1358"/>
      <c r="Q659" s="1358"/>
      <c r="R659" s="1358"/>
      <c r="T659" s="55" t="s">
        <v>584</v>
      </c>
      <c r="U659" t="s">
        <v>463</v>
      </c>
      <c r="Z659" s="1358">
        <f>C632</f>
        <v>0</v>
      </c>
      <c r="AA659" s="1358"/>
      <c r="AB659" s="1358"/>
      <c r="AC659" s="1358"/>
      <c r="AD659" s="1358"/>
      <c r="AE659" s="1358"/>
      <c r="AF659" s="1358"/>
      <c r="AG659" s="1358"/>
      <c r="AH659" s="1358"/>
      <c r="AI659" s="1358"/>
      <c r="AJ659" s="1358"/>
      <c r="AK659" s="1358"/>
      <c r="AZ659" s="34"/>
      <c r="BA659" s="34"/>
      <c r="BB659" s="34"/>
      <c r="BC659" s="34"/>
      <c r="BD659" s="34"/>
      <c r="BE659" s="34"/>
      <c r="BF659" s="34"/>
      <c r="BG659" s="34"/>
      <c r="BH659" s="34"/>
      <c r="BI659" s="34"/>
      <c r="BJ659" s="34"/>
      <c r="BK659" s="34"/>
      <c r="BL659" s="34"/>
      <c r="BM659" s="34"/>
      <c r="DX659" s="1475" t="e">
        <f t="shared" si="2"/>
        <v>#VALUE!</v>
      </c>
      <c r="DY659" s="1475"/>
      <c r="DZ659" s="1475"/>
      <c r="EA659" s="1475"/>
      <c r="EB659" s="1475"/>
      <c r="EC659" s="1475" t="e">
        <f t="shared" si="3"/>
        <v>#VALUE!</v>
      </c>
      <c r="ED659" s="1475"/>
      <c r="EE659" s="1475"/>
      <c r="EF659" s="1475"/>
      <c r="EG659" s="1475"/>
      <c r="EH659" s="1475" t="e">
        <f t="shared" si="4"/>
        <v>#VALUE!</v>
      </c>
      <c r="EI659" s="1475"/>
      <c r="EJ659" s="1475"/>
      <c r="EK659" s="1475"/>
      <c r="EL659" s="1475"/>
      <c r="EM659" s="1475" t="e">
        <f t="shared" si="5"/>
        <v>#VALUE!</v>
      </c>
      <c r="EN659" s="1475"/>
      <c r="EO659" s="1475"/>
      <c r="EP659" s="1475"/>
      <c r="EQ659" s="1475"/>
      <c r="ER659" s="1475" t="e">
        <f t="shared" si="6"/>
        <v>#VALUE!</v>
      </c>
      <c r="ES659" s="1475"/>
      <c r="ET659" s="1475"/>
      <c r="EU659" s="1475"/>
      <c r="EV659" s="1475"/>
      <c r="EW659" s="1475" t="e">
        <f t="shared" si="7"/>
        <v>#VALUE!</v>
      </c>
      <c r="EX659" s="1475"/>
      <c r="EY659" s="1475"/>
      <c r="EZ659" s="1475"/>
      <c r="FA659" s="1475"/>
    </row>
    <row r="660" spans="1:157" ht="12.95" customHeight="1">
      <c r="A660" s="22"/>
      <c r="B660" t="s">
        <v>85</v>
      </c>
      <c r="G660" s="1338" t="s">
        <v>2710</v>
      </c>
      <c r="H660" s="1338"/>
      <c r="I660" s="1338"/>
      <c r="J660" s="1338"/>
      <c r="K660" s="1338"/>
      <c r="L660" s="1338"/>
      <c r="M660" s="1338"/>
      <c r="N660" s="1338"/>
      <c r="O660" s="1338"/>
      <c r="P660" s="1338"/>
      <c r="Q660" s="1338"/>
      <c r="R660" s="1338"/>
      <c r="T660" s="22"/>
      <c r="U660" t="s">
        <v>85</v>
      </c>
      <c r="Z660" s="1338"/>
      <c r="AA660" s="1338"/>
      <c r="AB660" s="1338"/>
      <c r="AC660" s="1338"/>
      <c r="AD660" s="1338"/>
      <c r="AE660" s="1338"/>
      <c r="AF660" s="1338"/>
      <c r="AG660" s="1338"/>
      <c r="AH660" s="1338"/>
      <c r="AI660" s="1338"/>
      <c r="AJ660" s="1338"/>
      <c r="AK660" s="1338"/>
      <c r="AZ660" s="34"/>
      <c r="BA660" s="34"/>
      <c r="BB660" s="34"/>
      <c r="BC660" s="34"/>
      <c r="BD660" s="34"/>
      <c r="BE660" s="34"/>
      <c r="BF660" s="34"/>
      <c r="BG660" s="34"/>
      <c r="BH660" s="34"/>
      <c r="BI660" s="34"/>
      <c r="BJ660" s="34"/>
      <c r="BK660" s="34"/>
      <c r="BL660" s="34"/>
      <c r="BM660" s="34"/>
      <c r="DX660" s="1475" t="e">
        <f t="shared" si="2"/>
        <v>#VALUE!</v>
      </c>
      <c r="DY660" s="1475"/>
      <c r="DZ660" s="1475"/>
      <c r="EA660" s="1475"/>
      <c r="EB660" s="1475"/>
      <c r="EC660" s="1475" t="e">
        <f t="shared" si="3"/>
        <v>#VALUE!</v>
      </c>
      <c r="ED660" s="1475"/>
      <c r="EE660" s="1475"/>
      <c r="EF660" s="1475"/>
      <c r="EG660" s="1475"/>
      <c r="EH660" s="1475" t="e">
        <f t="shared" si="4"/>
        <v>#VALUE!</v>
      </c>
      <c r="EI660" s="1475"/>
      <c r="EJ660" s="1475"/>
      <c r="EK660" s="1475"/>
      <c r="EL660" s="1475"/>
      <c r="EM660" s="1475" t="e">
        <f t="shared" si="5"/>
        <v>#VALUE!</v>
      </c>
      <c r="EN660" s="1475"/>
      <c r="EO660" s="1475"/>
      <c r="EP660" s="1475"/>
      <c r="EQ660" s="1475"/>
      <c r="ER660" s="1475" t="e">
        <f t="shared" si="6"/>
        <v>#VALUE!</v>
      </c>
      <c r="ES660" s="1475"/>
      <c r="ET660" s="1475"/>
      <c r="EU660" s="1475"/>
      <c r="EV660" s="1475"/>
      <c r="EW660" s="1475" t="e">
        <f t="shared" si="7"/>
        <v>#VALUE!</v>
      </c>
      <c r="EX660" s="1475"/>
      <c r="EY660" s="1475"/>
      <c r="EZ660" s="1475"/>
      <c r="FA660" s="1475"/>
    </row>
    <row r="661" spans="1:157" ht="12.95" customHeight="1">
      <c r="A661" s="22"/>
      <c r="B661" t="s">
        <v>580</v>
      </c>
      <c r="G661" s="1338" t="s">
        <v>69</v>
      </c>
      <c r="H661" s="1338"/>
      <c r="I661" s="1338"/>
      <c r="J661" s="1338"/>
      <c r="K661" s="1338"/>
      <c r="L661" s="1338"/>
      <c r="M661" s="1338"/>
      <c r="N661" s="1338"/>
      <c r="O661" s="1338"/>
      <c r="P661" s="1338"/>
      <c r="Q661" s="1338"/>
      <c r="R661" s="1338"/>
      <c r="T661" s="22"/>
      <c r="U661" t="s">
        <v>580</v>
      </c>
      <c r="Z661" s="1351"/>
      <c r="AA661" s="1351"/>
      <c r="AB661" s="1351"/>
      <c r="AC661" s="1351"/>
      <c r="AD661" s="1351"/>
      <c r="AE661" s="1351"/>
      <c r="AF661" s="1351"/>
      <c r="AG661" s="1351"/>
      <c r="AH661" s="1351"/>
      <c r="AI661" s="1351"/>
      <c r="AJ661" s="1351"/>
      <c r="AK661" s="1351"/>
      <c r="AZ661" s="34"/>
      <c r="BA661" s="34"/>
      <c r="BB661" s="34"/>
      <c r="BC661" s="34"/>
      <c r="BD661" s="34"/>
      <c r="BE661" s="34"/>
      <c r="BF661" s="34"/>
      <c r="BG661" s="34"/>
      <c r="BH661" s="34"/>
      <c r="BI661" s="34"/>
      <c r="BJ661" s="34"/>
      <c r="BK661" s="34"/>
      <c r="BL661" s="34"/>
      <c r="BM661" s="34"/>
      <c r="DX661" s="1475" t="e">
        <f t="shared" si="2"/>
        <v>#VALUE!</v>
      </c>
      <c r="DY661" s="1475"/>
      <c r="DZ661" s="1475"/>
      <c r="EA661" s="1475"/>
      <c r="EB661" s="1475"/>
      <c r="EC661" s="1475" t="e">
        <f t="shared" si="3"/>
        <v>#VALUE!</v>
      </c>
      <c r="ED661" s="1475"/>
      <c r="EE661" s="1475"/>
      <c r="EF661" s="1475"/>
      <c r="EG661" s="1475"/>
      <c r="EH661" s="1475" t="e">
        <f t="shared" si="4"/>
        <v>#VALUE!</v>
      </c>
      <c r="EI661" s="1475"/>
      <c r="EJ661" s="1475"/>
      <c r="EK661" s="1475"/>
      <c r="EL661" s="1475"/>
      <c r="EM661" s="1475" t="e">
        <f t="shared" si="5"/>
        <v>#VALUE!</v>
      </c>
      <c r="EN661" s="1475"/>
      <c r="EO661" s="1475"/>
      <c r="EP661" s="1475"/>
      <c r="EQ661" s="1475"/>
      <c r="ER661" s="1475" t="e">
        <f t="shared" si="6"/>
        <v>#VALUE!</v>
      </c>
      <c r="ES661" s="1475"/>
      <c r="ET661" s="1475"/>
      <c r="EU661" s="1475"/>
      <c r="EV661" s="1475"/>
      <c r="EW661" s="1475" t="e">
        <f t="shared" si="7"/>
        <v>#VALUE!</v>
      </c>
      <c r="EX661" s="1475"/>
      <c r="EY661" s="1475"/>
      <c r="EZ661" s="1475"/>
      <c r="FA661" s="1475"/>
    </row>
    <row r="662" spans="1:157" ht="12.95" customHeight="1">
      <c r="A662" s="22"/>
      <c r="B662" t="s">
        <v>17</v>
      </c>
      <c r="G662" s="1338" t="s">
        <v>2624</v>
      </c>
      <c r="H662" s="1338"/>
      <c r="I662" s="1338"/>
      <c r="J662" s="1338"/>
      <c r="K662" s="1338"/>
      <c r="L662" s="1338"/>
      <c r="M662" s="1338"/>
      <c r="N662" s="1338"/>
      <c r="O662" s="1338"/>
      <c r="P662" s="1338"/>
      <c r="Q662" s="1338"/>
      <c r="R662" s="1338"/>
      <c r="T662" s="22"/>
      <c r="U662" t="s">
        <v>17</v>
      </c>
      <c r="Z662" s="1351"/>
      <c r="AA662" s="1351"/>
      <c r="AB662" s="1351"/>
      <c r="AC662" s="1351"/>
      <c r="AD662" s="1351"/>
      <c r="AE662" s="1351"/>
      <c r="AF662" s="1351"/>
      <c r="AG662" s="1351"/>
      <c r="AH662" s="1351"/>
      <c r="AI662" s="1351"/>
      <c r="AJ662" s="1351"/>
      <c r="AK662" s="135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75" t="e">
        <f t="shared" si="2"/>
        <v>#VALUE!</v>
      </c>
      <c r="DY662" s="1475"/>
      <c r="DZ662" s="1475"/>
      <c r="EA662" s="1475"/>
      <c r="EB662" s="1475"/>
      <c r="EC662" s="1475" t="e">
        <f t="shared" si="3"/>
        <v>#VALUE!</v>
      </c>
      <c r="ED662" s="1475"/>
      <c r="EE662" s="1475"/>
      <c r="EF662" s="1475"/>
      <c r="EG662" s="1475"/>
      <c r="EH662" s="1475" t="e">
        <f t="shared" si="4"/>
        <v>#VALUE!</v>
      </c>
      <c r="EI662" s="1475"/>
      <c r="EJ662" s="1475"/>
      <c r="EK662" s="1475"/>
      <c r="EL662" s="1475"/>
      <c r="EM662" s="1475" t="e">
        <f t="shared" si="5"/>
        <v>#VALUE!</v>
      </c>
      <c r="EN662" s="1475"/>
      <c r="EO662" s="1475"/>
      <c r="EP662" s="1475"/>
      <c r="EQ662" s="1475"/>
      <c r="ER662" s="1475" t="e">
        <f t="shared" si="6"/>
        <v>#VALUE!</v>
      </c>
      <c r="ES662" s="1475"/>
      <c r="ET662" s="1475"/>
      <c r="EU662" s="1475"/>
      <c r="EV662" s="1475"/>
      <c r="EW662" s="1475" t="e">
        <f t="shared" si="7"/>
        <v>#VALUE!</v>
      </c>
      <c r="EX662" s="1475"/>
      <c r="EY662" s="1475"/>
      <c r="EZ662" s="1475"/>
      <c r="FA662" s="1475"/>
    </row>
    <row r="663" spans="1:157" ht="12.95" customHeight="1">
      <c r="A663" s="22"/>
      <c r="B663" t="s">
        <v>315</v>
      </c>
      <c r="G663" s="1337" t="s">
        <v>2711</v>
      </c>
      <c r="H663" s="1337"/>
      <c r="I663" s="1337"/>
      <c r="J663" s="1337"/>
      <c r="K663" s="1337"/>
      <c r="L663" s="1337"/>
      <c r="O663" s="33" t="s">
        <v>205</v>
      </c>
      <c r="P663" s="1450"/>
      <c r="Q663" s="1450"/>
      <c r="R663" s="1450"/>
      <c r="T663" s="22"/>
      <c r="U663" t="s">
        <v>315</v>
      </c>
      <c r="Z663" s="1337"/>
      <c r="AA663" s="1337"/>
      <c r="AB663" s="1337"/>
      <c r="AC663" s="1337"/>
      <c r="AD663" s="1337"/>
      <c r="AE663" s="1337"/>
      <c r="AH663" s="33" t="s">
        <v>205</v>
      </c>
      <c r="AI663" s="1450"/>
      <c r="AJ663" s="1450"/>
      <c r="AK663" s="1450"/>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75" t="e">
        <f t="shared" si="2"/>
        <v>#VALUE!</v>
      </c>
      <c r="DY663" s="1475"/>
      <c r="DZ663" s="1475"/>
      <c r="EA663" s="1475"/>
      <c r="EB663" s="1475"/>
      <c r="EC663" s="1475" t="e">
        <f t="shared" si="3"/>
        <v>#VALUE!</v>
      </c>
      <c r="ED663" s="1475"/>
      <c r="EE663" s="1475"/>
      <c r="EF663" s="1475"/>
      <c r="EG663" s="1475"/>
      <c r="EH663" s="1475" t="e">
        <f t="shared" si="4"/>
        <v>#VALUE!</v>
      </c>
      <c r="EI663" s="1475"/>
      <c r="EJ663" s="1475"/>
      <c r="EK663" s="1475"/>
      <c r="EL663" s="1475"/>
      <c r="EM663" s="1475" t="e">
        <f t="shared" si="5"/>
        <v>#VALUE!</v>
      </c>
      <c r="EN663" s="1475"/>
      <c r="EO663" s="1475"/>
      <c r="EP663" s="1475"/>
      <c r="EQ663" s="1475"/>
      <c r="ER663" s="1475" t="e">
        <f t="shared" si="6"/>
        <v>#VALUE!</v>
      </c>
      <c r="ES663" s="1475"/>
      <c r="ET663" s="1475"/>
      <c r="EU663" s="1475"/>
      <c r="EV663" s="1475"/>
      <c r="EW663" s="1475" t="e">
        <f t="shared" si="7"/>
        <v>#VALUE!</v>
      </c>
      <c r="EX663" s="1475"/>
      <c r="EY663" s="1475"/>
      <c r="EZ663" s="1475"/>
      <c r="FA663" s="1475"/>
    </row>
    <row r="664" spans="1:157" ht="12.95" customHeight="1">
      <c r="A664" s="22"/>
      <c r="B664" t="s">
        <v>18</v>
      </c>
      <c r="H664" s="1429" t="s">
        <v>2712</v>
      </c>
      <c r="I664" s="1338"/>
      <c r="J664" s="1338"/>
      <c r="K664" s="1338"/>
      <c r="L664" s="1338"/>
      <c r="M664" s="1338"/>
      <c r="N664" s="1338"/>
      <c r="O664" s="1338"/>
      <c r="P664" s="1338"/>
      <c r="Q664" s="1338"/>
      <c r="R664" s="1338"/>
      <c r="T664" s="22"/>
      <c r="U664" t="s">
        <v>18</v>
      </c>
      <c r="AA664" s="1338"/>
      <c r="AB664" s="1338"/>
      <c r="AC664" s="1338"/>
      <c r="AD664" s="1338"/>
      <c r="AE664" s="1338"/>
      <c r="AF664" s="1338"/>
      <c r="AG664" s="1338"/>
      <c r="AH664" s="1338"/>
      <c r="AI664" s="1338"/>
      <c r="AJ664" s="1338"/>
      <c r="AK664" s="1338"/>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75" t="e">
        <f t="shared" si="2"/>
        <v>#VALUE!</v>
      </c>
      <c r="DY664" s="1475"/>
      <c r="DZ664" s="1475"/>
      <c r="EA664" s="1475"/>
      <c r="EB664" s="1475"/>
      <c r="EC664" s="1475" t="e">
        <f t="shared" si="3"/>
        <v>#VALUE!</v>
      </c>
      <c r="ED664" s="1475"/>
      <c r="EE664" s="1475"/>
      <c r="EF664" s="1475"/>
      <c r="EG664" s="1475"/>
      <c r="EH664" s="1475" t="e">
        <f t="shared" si="4"/>
        <v>#VALUE!</v>
      </c>
      <c r="EI664" s="1475"/>
      <c r="EJ664" s="1475"/>
      <c r="EK664" s="1475"/>
      <c r="EL664" s="1475"/>
      <c r="EM664" s="1475" t="e">
        <f t="shared" si="5"/>
        <v>#VALUE!</v>
      </c>
      <c r="EN664" s="1475"/>
      <c r="EO664" s="1475"/>
      <c r="EP664" s="1475"/>
      <c r="EQ664" s="1475"/>
      <c r="ER664" s="1475" t="e">
        <f t="shared" si="6"/>
        <v>#VALUE!</v>
      </c>
      <c r="ES664" s="1475"/>
      <c r="ET664" s="1475"/>
      <c r="EU664" s="1475"/>
      <c r="EV664" s="1475"/>
      <c r="EW664" s="1475" t="e">
        <f t="shared" si="7"/>
        <v>#VALUE!</v>
      </c>
      <c r="EX664" s="1475"/>
      <c r="EY664" s="1475"/>
      <c r="EZ664" s="1475"/>
      <c r="FA664" s="1475"/>
    </row>
    <row r="665" spans="1:157" ht="12.95" customHeight="1">
      <c r="A665" s="22"/>
      <c r="B665" t="s">
        <v>20</v>
      </c>
      <c r="N665" s="1333" t="s">
        <v>545</v>
      </c>
      <c r="O665" s="1333"/>
      <c r="T665" s="22"/>
      <c r="U665" t="s">
        <v>20</v>
      </c>
      <c r="AG665" s="1333" t="s">
        <v>669</v>
      </c>
      <c r="AH665" s="1333"/>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75" t="e">
        <f t="shared" si="2"/>
        <v>#VALUE!</v>
      </c>
      <c r="DY665" s="1475"/>
      <c r="DZ665" s="1475"/>
      <c r="EA665" s="1475"/>
      <c r="EB665" s="1475"/>
      <c r="EC665" s="1475" t="e">
        <f t="shared" si="3"/>
        <v>#VALUE!</v>
      </c>
      <c r="ED665" s="1475"/>
      <c r="EE665" s="1475"/>
      <c r="EF665" s="1475"/>
      <c r="EG665" s="1475"/>
      <c r="EH665" s="1475" t="e">
        <f t="shared" si="4"/>
        <v>#VALUE!</v>
      </c>
      <c r="EI665" s="1475"/>
      <c r="EJ665" s="1475"/>
      <c r="EK665" s="1475"/>
      <c r="EL665" s="1475"/>
      <c r="EM665" s="1475" t="e">
        <f t="shared" si="5"/>
        <v>#VALUE!</v>
      </c>
      <c r="EN665" s="1475"/>
      <c r="EO665" s="1475"/>
      <c r="EP665" s="1475"/>
      <c r="EQ665" s="1475"/>
      <c r="ER665" s="1475" t="e">
        <f t="shared" si="6"/>
        <v>#VALUE!</v>
      </c>
      <c r="ES665" s="1475"/>
      <c r="ET665" s="1475"/>
      <c r="EU665" s="1475"/>
      <c r="EV665" s="1475"/>
      <c r="EW665" s="1475" t="e">
        <f t="shared" si="7"/>
        <v>#VALUE!</v>
      </c>
      <c r="EX665" s="1475"/>
      <c r="EY665" s="1475"/>
      <c r="EZ665" s="1475"/>
      <c r="FA665" s="1475"/>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75" t="e">
        <f t="shared" si="2"/>
        <v>#VALUE!</v>
      </c>
      <c r="DY666" s="1475"/>
      <c r="DZ666" s="1475"/>
      <c r="EA666" s="1475"/>
      <c r="EB666" s="1475"/>
      <c r="EC666" s="1475" t="e">
        <f t="shared" si="3"/>
        <v>#VALUE!</v>
      </c>
      <c r="ED666" s="1475"/>
      <c r="EE666" s="1475"/>
      <c r="EF666" s="1475"/>
      <c r="EG666" s="1475"/>
      <c r="EH666" s="1475" t="e">
        <f t="shared" si="4"/>
        <v>#VALUE!</v>
      </c>
      <c r="EI666" s="1475"/>
      <c r="EJ666" s="1475"/>
      <c r="EK666" s="1475"/>
      <c r="EL666" s="1475"/>
      <c r="EM666" s="1475" t="e">
        <f t="shared" si="5"/>
        <v>#VALUE!</v>
      </c>
      <c r="EN666" s="1475"/>
      <c r="EO666" s="1475"/>
      <c r="EP666" s="1475"/>
      <c r="EQ666" s="1475"/>
      <c r="ER666" s="1475" t="e">
        <f t="shared" si="6"/>
        <v>#VALUE!</v>
      </c>
      <c r="ES666" s="1475"/>
      <c r="ET666" s="1475"/>
      <c r="EU666" s="1475"/>
      <c r="EV666" s="1475"/>
      <c r="EW666" s="1475" t="e">
        <f t="shared" si="7"/>
        <v>#VALUE!</v>
      </c>
      <c r="EX666" s="1475"/>
      <c r="EY666" s="1475"/>
      <c r="EZ666" s="1475"/>
      <c r="FA666" s="1475"/>
    </row>
    <row r="667" spans="1:157" ht="12.95" customHeight="1">
      <c r="A667" s="55" t="s">
        <v>455</v>
      </c>
      <c r="B667" t="s">
        <v>463</v>
      </c>
      <c r="G667" s="1358">
        <f>C633</f>
        <v>0</v>
      </c>
      <c r="H667" s="1358"/>
      <c r="I667" s="1358"/>
      <c r="J667" s="1358"/>
      <c r="K667" s="1358"/>
      <c r="L667" s="1358"/>
      <c r="M667" s="1358"/>
      <c r="N667" s="1358"/>
      <c r="O667" s="1358"/>
      <c r="P667" s="1358"/>
      <c r="Q667" s="1358"/>
      <c r="R667" s="1358"/>
      <c r="T667" s="55" t="s">
        <v>456</v>
      </c>
      <c r="U667" t="s">
        <v>463</v>
      </c>
      <c r="Z667" s="1358">
        <f>C634</f>
        <v>0</v>
      </c>
      <c r="AA667" s="1358"/>
      <c r="AB667" s="1358"/>
      <c r="AC667" s="1358"/>
      <c r="AD667" s="1358"/>
      <c r="AE667" s="1358"/>
      <c r="AF667" s="1358"/>
      <c r="AG667" s="1358"/>
      <c r="AH667" s="1358"/>
      <c r="AI667" s="1358"/>
      <c r="AJ667" s="1358"/>
      <c r="AK667" s="1358"/>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75" t="e">
        <f t="shared" si="2"/>
        <v>#VALUE!</v>
      </c>
      <c r="DY667" s="1475"/>
      <c r="DZ667" s="1475"/>
      <c r="EA667" s="1475"/>
      <c r="EB667" s="1475"/>
      <c r="EC667" s="1475" t="e">
        <f t="shared" si="3"/>
        <v>#VALUE!</v>
      </c>
      <c r="ED667" s="1475"/>
      <c r="EE667" s="1475"/>
      <c r="EF667" s="1475"/>
      <c r="EG667" s="1475"/>
      <c r="EH667" s="1475" t="e">
        <f t="shared" si="4"/>
        <v>#VALUE!</v>
      </c>
      <c r="EI667" s="1475"/>
      <c r="EJ667" s="1475"/>
      <c r="EK667" s="1475"/>
      <c r="EL667" s="1475"/>
      <c r="EM667" s="1475" t="e">
        <f t="shared" si="5"/>
        <v>#VALUE!</v>
      </c>
      <c r="EN667" s="1475"/>
      <c r="EO667" s="1475"/>
      <c r="EP667" s="1475"/>
      <c r="EQ667" s="1475"/>
      <c r="ER667" s="1475" t="e">
        <f t="shared" si="6"/>
        <v>#VALUE!</v>
      </c>
      <c r="ES667" s="1475"/>
      <c r="ET667" s="1475"/>
      <c r="EU667" s="1475"/>
      <c r="EV667" s="1475"/>
      <c r="EW667" s="1475" t="e">
        <f t="shared" si="7"/>
        <v>#VALUE!</v>
      </c>
      <c r="EX667" s="1475"/>
      <c r="EY667" s="1475"/>
      <c r="EZ667" s="1475"/>
      <c r="FA667" s="1475"/>
    </row>
    <row r="668" spans="1:157" ht="12.95" customHeight="1">
      <c r="A668" s="22"/>
      <c r="B668" t="s">
        <v>85</v>
      </c>
      <c r="G668" s="1338"/>
      <c r="H668" s="1338"/>
      <c r="I668" s="1338"/>
      <c r="J668" s="1338"/>
      <c r="K668" s="1338"/>
      <c r="L668" s="1338"/>
      <c r="M668" s="1338"/>
      <c r="N668" s="1338"/>
      <c r="O668" s="1338"/>
      <c r="P668" s="1338"/>
      <c r="Q668" s="1338"/>
      <c r="R668" s="1338"/>
      <c r="T668" s="22"/>
      <c r="U668" t="s">
        <v>85</v>
      </c>
      <c r="Z668" s="1338"/>
      <c r="AA668" s="1338"/>
      <c r="AB668" s="1338"/>
      <c r="AC668" s="1338"/>
      <c r="AD668" s="1338"/>
      <c r="AE668" s="1338"/>
      <c r="AF668" s="1338"/>
      <c r="AG668" s="1338"/>
      <c r="AH668" s="1338"/>
      <c r="AI668" s="1338"/>
      <c r="AJ668" s="1338"/>
      <c r="AK668" s="1338"/>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75" t="e">
        <f t="shared" si="2"/>
        <v>#VALUE!</v>
      </c>
      <c r="DY668" s="1475"/>
      <c r="DZ668" s="1475"/>
      <c r="EA668" s="1475"/>
      <c r="EB668" s="1475"/>
      <c r="EC668" s="1475" t="e">
        <f t="shared" si="3"/>
        <v>#VALUE!</v>
      </c>
      <c r="ED668" s="1475"/>
      <c r="EE668" s="1475"/>
      <c r="EF668" s="1475"/>
      <c r="EG668" s="1475"/>
      <c r="EH668" s="1475" t="e">
        <f t="shared" si="4"/>
        <v>#VALUE!</v>
      </c>
      <c r="EI668" s="1475"/>
      <c r="EJ668" s="1475"/>
      <c r="EK668" s="1475"/>
      <c r="EL668" s="1475"/>
      <c r="EM668" s="1475" t="e">
        <f t="shared" si="5"/>
        <v>#VALUE!</v>
      </c>
      <c r="EN668" s="1475"/>
      <c r="EO668" s="1475"/>
      <c r="EP668" s="1475"/>
      <c r="EQ668" s="1475"/>
      <c r="ER668" s="1475" t="e">
        <f t="shared" si="6"/>
        <v>#VALUE!</v>
      </c>
      <c r="ES668" s="1475"/>
      <c r="ET668" s="1475"/>
      <c r="EU668" s="1475"/>
      <c r="EV668" s="1475"/>
      <c r="EW668" s="1475" t="e">
        <f t="shared" si="7"/>
        <v>#VALUE!</v>
      </c>
      <c r="EX668" s="1475"/>
      <c r="EY668" s="1475"/>
      <c r="EZ668" s="1475"/>
      <c r="FA668" s="1475"/>
    </row>
    <row r="669" spans="1:157" ht="12.95" customHeight="1">
      <c r="A669" s="22"/>
      <c r="B669" t="s">
        <v>580</v>
      </c>
      <c r="G669" s="1338"/>
      <c r="H669" s="1338"/>
      <c r="I669" s="1338"/>
      <c r="J669" s="1338"/>
      <c r="K669" s="1338"/>
      <c r="L669" s="1338"/>
      <c r="M669" s="1338"/>
      <c r="N669" s="1338"/>
      <c r="O669" s="1338"/>
      <c r="P669" s="1338"/>
      <c r="Q669" s="1338"/>
      <c r="R669" s="1338"/>
      <c r="T669" s="22"/>
      <c r="U669" t="s">
        <v>580</v>
      </c>
      <c r="Z669" s="1351"/>
      <c r="AA669" s="1351"/>
      <c r="AB669" s="1351"/>
      <c r="AC669" s="1351"/>
      <c r="AD669" s="1351"/>
      <c r="AE669" s="1351"/>
      <c r="AF669" s="1351"/>
      <c r="AG669" s="1351"/>
      <c r="AH669" s="1351"/>
      <c r="AI669" s="1351"/>
      <c r="AJ669" s="1351"/>
      <c r="AK669" s="1351"/>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75" t="e">
        <f t="shared" si="2"/>
        <v>#VALUE!</v>
      </c>
      <c r="DY669" s="1475"/>
      <c r="DZ669" s="1475"/>
      <c r="EA669" s="1475"/>
      <c r="EB669" s="1475"/>
      <c r="EC669" s="1475" t="e">
        <f t="shared" si="3"/>
        <v>#VALUE!</v>
      </c>
      <c r="ED669" s="1475"/>
      <c r="EE669" s="1475"/>
      <c r="EF669" s="1475"/>
      <c r="EG669" s="1475"/>
      <c r="EH669" s="1475" t="e">
        <f t="shared" si="4"/>
        <v>#VALUE!</v>
      </c>
      <c r="EI669" s="1475"/>
      <c r="EJ669" s="1475"/>
      <c r="EK669" s="1475"/>
      <c r="EL669" s="1475"/>
      <c r="EM669" s="1475" t="e">
        <f t="shared" si="5"/>
        <v>#VALUE!</v>
      </c>
      <c r="EN669" s="1475"/>
      <c r="EO669" s="1475"/>
      <c r="EP669" s="1475"/>
      <c r="EQ669" s="1475"/>
      <c r="ER669" s="1475" t="e">
        <f t="shared" si="6"/>
        <v>#VALUE!</v>
      </c>
      <c r="ES669" s="1475"/>
      <c r="ET669" s="1475"/>
      <c r="EU669" s="1475"/>
      <c r="EV669" s="1475"/>
      <c r="EW669" s="1475" t="e">
        <f t="shared" si="7"/>
        <v>#VALUE!</v>
      </c>
      <c r="EX669" s="1475"/>
      <c r="EY669" s="1475"/>
      <c r="EZ669" s="1475"/>
      <c r="FA669" s="1475"/>
    </row>
    <row r="670" spans="1:157" ht="12.95" customHeight="1">
      <c r="A670" s="22"/>
      <c r="B670" t="s">
        <v>17</v>
      </c>
      <c r="G670" s="1338"/>
      <c r="H670" s="1338"/>
      <c r="I670" s="1338"/>
      <c r="J670" s="1338"/>
      <c r="K670" s="1338"/>
      <c r="L670" s="1338"/>
      <c r="M670" s="1338"/>
      <c r="N670" s="1338"/>
      <c r="O670" s="1338"/>
      <c r="P670" s="1338"/>
      <c r="Q670" s="1338"/>
      <c r="R670" s="1338"/>
      <c r="T670" s="22"/>
      <c r="U670" t="s">
        <v>17</v>
      </c>
      <c r="Z670" s="1351"/>
      <c r="AA670" s="1351"/>
      <c r="AB670" s="1351"/>
      <c r="AC670" s="1351"/>
      <c r="AD670" s="1351"/>
      <c r="AE670" s="1351"/>
      <c r="AF670" s="1351"/>
      <c r="AG670" s="1351"/>
      <c r="AH670" s="1351"/>
      <c r="AI670" s="1351"/>
      <c r="AJ670" s="1351"/>
      <c r="AK670" s="1351"/>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75">
        <f>SUMIF(DX635:EB669,"&gt;0")</f>
        <v>0</v>
      </c>
      <c r="DY670" s="1475"/>
      <c r="DZ670" s="1475"/>
      <c r="EA670" s="1475"/>
      <c r="EB670" s="1475"/>
      <c r="EC670" s="1475">
        <f>SUMIF(EC635:EG669,"&gt;0")</f>
        <v>984.27333333333331</v>
      </c>
      <c r="ED670" s="1475"/>
      <c r="EE670" s="1475"/>
      <c r="EF670" s="1475"/>
      <c r="EG670" s="1475"/>
      <c r="EH670" s="1475">
        <f>SUMIF(EH635:EL669,"&gt;0")</f>
        <v>1537.62</v>
      </c>
      <c r="EI670" s="1475"/>
      <c r="EJ670" s="1475"/>
      <c r="EK670" s="1475"/>
      <c r="EL670" s="1475"/>
      <c r="EM670" s="1475">
        <f>SUMIF(EM635:EQ669,"&gt;0")</f>
        <v>1888.43</v>
      </c>
      <c r="EN670" s="1475"/>
      <c r="EO670" s="1475"/>
      <c r="EP670" s="1475"/>
      <c r="EQ670" s="1475"/>
      <c r="ER670" s="1475">
        <f>SUMIF(ER635:EV669,"&gt;0")</f>
        <v>0</v>
      </c>
      <c r="ES670" s="1475"/>
      <c r="ET670" s="1475"/>
      <c r="EU670" s="1475"/>
      <c r="EV670" s="1475"/>
      <c r="EW670" s="1475">
        <f>SUMIF(EW635:FA669,"&gt;0")</f>
        <v>0</v>
      </c>
      <c r="EX670" s="1475"/>
      <c r="EY670" s="1475"/>
      <c r="EZ670" s="1475"/>
      <c r="FA670" s="1475"/>
    </row>
    <row r="671" spans="1:157" ht="12.95" customHeight="1">
      <c r="A671" s="22"/>
      <c r="B671" t="s">
        <v>315</v>
      </c>
      <c r="G671" s="1337"/>
      <c r="H671" s="1337"/>
      <c r="I671" s="1337"/>
      <c r="J671" s="1337"/>
      <c r="K671" s="1337"/>
      <c r="L671" s="1337"/>
      <c r="O671" s="33" t="s">
        <v>205</v>
      </c>
      <c r="P671" s="1450"/>
      <c r="Q671" s="1450"/>
      <c r="R671" s="1450"/>
      <c r="T671" s="22"/>
      <c r="U671" t="s">
        <v>315</v>
      </c>
      <c r="Z671" s="1337"/>
      <c r="AA671" s="1337"/>
      <c r="AB671" s="1337"/>
      <c r="AC671" s="1337"/>
      <c r="AD671" s="1337"/>
      <c r="AE671" s="1337"/>
      <c r="AH671" s="33" t="s">
        <v>205</v>
      </c>
      <c r="AI671" s="1450"/>
      <c r="AJ671" s="1450"/>
      <c r="AK671" s="1450"/>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38"/>
      <c r="I672" s="1338"/>
      <c r="J672" s="1338"/>
      <c r="K672" s="1338"/>
      <c r="L672" s="1338"/>
      <c r="M672" s="1338"/>
      <c r="N672" s="1338"/>
      <c r="O672" s="1338"/>
      <c r="P672" s="1338"/>
      <c r="Q672" s="1338"/>
      <c r="R672" s="1338"/>
      <c r="T672" s="22"/>
      <c r="U672" t="s">
        <v>18</v>
      </c>
      <c r="AA672" s="1338"/>
      <c r="AB672" s="1338"/>
      <c r="AC672" s="1338"/>
      <c r="AD672" s="1338"/>
      <c r="AE672" s="1338"/>
      <c r="AF672" s="1338"/>
      <c r="AG672" s="1338"/>
      <c r="AH672" s="1338"/>
      <c r="AI672" s="1338"/>
      <c r="AJ672" s="1338"/>
      <c r="AK672" s="1338"/>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3" t="s">
        <v>669</v>
      </c>
      <c r="O673" s="1333"/>
      <c r="T673" s="22"/>
      <c r="U673" t="s">
        <v>20</v>
      </c>
      <c r="AG673" s="1333" t="s">
        <v>669</v>
      </c>
      <c r="AH673" s="1333"/>
      <c r="AZ673" s="3"/>
    </row>
    <row r="674" spans="1:52" ht="12.95" customHeight="1">
      <c r="A674" s="22"/>
      <c r="T674" s="22"/>
      <c r="AZ674" s="3"/>
    </row>
    <row r="675" spans="1:52" ht="12.95" customHeight="1">
      <c r="A675" s="55" t="s">
        <v>461</v>
      </c>
      <c r="B675" t="s">
        <v>463</v>
      </c>
      <c r="G675" s="1358">
        <f>C635</f>
        <v>0</v>
      </c>
      <c r="H675" s="1358"/>
      <c r="I675" s="1358"/>
      <c r="J675" s="1358"/>
      <c r="K675" s="1358"/>
      <c r="L675" s="1358"/>
      <c r="M675" s="1358"/>
      <c r="N675" s="1358"/>
      <c r="O675" s="1358"/>
      <c r="P675" s="1358"/>
      <c r="Q675" s="1358"/>
      <c r="R675" s="1358"/>
      <c r="T675" s="55" t="s">
        <v>646</v>
      </c>
      <c r="U675" t="s">
        <v>463</v>
      </c>
      <c r="Z675" s="1358">
        <f>C636</f>
        <v>0</v>
      </c>
      <c r="AA675" s="1358"/>
      <c r="AB675" s="1358"/>
      <c r="AC675" s="1358"/>
      <c r="AD675" s="1358"/>
      <c r="AE675" s="1358"/>
      <c r="AF675" s="1358"/>
      <c r="AG675" s="1358"/>
      <c r="AH675" s="1358"/>
      <c r="AI675" s="1358"/>
      <c r="AJ675" s="1358"/>
      <c r="AK675" s="1358"/>
      <c r="AZ675" s="3"/>
    </row>
    <row r="676" spans="1:52" ht="12.95" customHeight="1">
      <c r="A676" s="22"/>
      <c r="B676" t="s">
        <v>85</v>
      </c>
      <c r="G676" s="1338"/>
      <c r="H676" s="1338"/>
      <c r="I676" s="1338"/>
      <c r="J676" s="1338"/>
      <c r="K676" s="1338"/>
      <c r="L676" s="1338"/>
      <c r="M676" s="1338"/>
      <c r="N676" s="1338"/>
      <c r="O676" s="1338"/>
      <c r="P676" s="1338"/>
      <c r="Q676" s="1338"/>
      <c r="R676" s="1338"/>
      <c r="T676" s="22"/>
      <c r="U676" t="s">
        <v>85</v>
      </c>
      <c r="Z676" s="1338"/>
      <c r="AA676" s="1338"/>
      <c r="AB676" s="1338"/>
      <c r="AC676" s="1338"/>
      <c r="AD676" s="1338"/>
      <c r="AE676" s="1338"/>
      <c r="AF676" s="1338"/>
      <c r="AG676" s="1338"/>
      <c r="AH676" s="1338"/>
      <c r="AI676" s="1338"/>
      <c r="AJ676" s="1338"/>
      <c r="AK676" s="1338"/>
      <c r="AZ676" s="3"/>
    </row>
    <row r="677" spans="1:52" ht="12.95" customHeight="1">
      <c r="A677" s="22"/>
      <c r="B677" t="s">
        <v>580</v>
      </c>
      <c r="G677" s="1338"/>
      <c r="H677" s="1338"/>
      <c r="I677" s="1338"/>
      <c r="J677" s="1338"/>
      <c r="K677" s="1338"/>
      <c r="L677" s="1338"/>
      <c r="M677" s="1338"/>
      <c r="N677" s="1338"/>
      <c r="O677" s="1338"/>
      <c r="P677" s="1338"/>
      <c r="Q677" s="1338"/>
      <c r="R677" s="1338"/>
      <c r="T677" s="22"/>
      <c r="U677" t="s">
        <v>580</v>
      </c>
      <c r="Z677" s="1351"/>
      <c r="AA677" s="1351"/>
      <c r="AB677" s="1351"/>
      <c r="AC677" s="1351"/>
      <c r="AD677" s="1351"/>
      <c r="AE677" s="1351"/>
      <c r="AF677" s="1351"/>
      <c r="AG677" s="1351"/>
      <c r="AH677" s="1351"/>
      <c r="AI677" s="1351"/>
      <c r="AJ677" s="1351"/>
      <c r="AK677" s="1351"/>
      <c r="AZ677" s="3"/>
    </row>
    <row r="678" spans="1:52" ht="12.95" customHeight="1">
      <c r="A678" s="22"/>
      <c r="B678" t="s">
        <v>17</v>
      </c>
      <c r="G678" s="1338"/>
      <c r="H678" s="1338"/>
      <c r="I678" s="1338"/>
      <c r="J678" s="1338"/>
      <c r="K678" s="1338"/>
      <c r="L678" s="1338"/>
      <c r="M678" s="1338"/>
      <c r="N678" s="1338"/>
      <c r="O678" s="1338"/>
      <c r="P678" s="1338"/>
      <c r="Q678" s="1338"/>
      <c r="R678" s="1338"/>
      <c r="T678" s="22"/>
      <c r="U678" t="s">
        <v>17</v>
      </c>
      <c r="Z678" s="1351"/>
      <c r="AA678" s="1351"/>
      <c r="AB678" s="1351"/>
      <c r="AC678" s="1351"/>
      <c r="AD678" s="1351"/>
      <c r="AE678" s="1351"/>
      <c r="AF678" s="1351"/>
      <c r="AG678" s="1351"/>
      <c r="AH678" s="1351"/>
      <c r="AI678" s="1351"/>
      <c r="AJ678" s="1351"/>
      <c r="AK678" s="1351"/>
      <c r="AZ678" s="3"/>
    </row>
    <row r="679" spans="1:52" ht="12.95" customHeight="1">
      <c r="A679" s="22"/>
      <c r="B679" t="s">
        <v>315</v>
      </c>
      <c r="G679" s="1337"/>
      <c r="H679" s="1337"/>
      <c r="I679" s="1337"/>
      <c r="J679" s="1337"/>
      <c r="K679" s="1337"/>
      <c r="L679" s="1337"/>
      <c r="O679" s="33" t="s">
        <v>205</v>
      </c>
      <c r="P679" s="1450"/>
      <c r="Q679" s="1450"/>
      <c r="R679" s="1450"/>
      <c r="T679" s="22"/>
      <c r="U679" t="s">
        <v>315</v>
      </c>
      <c r="Z679" s="1337"/>
      <c r="AA679" s="1337"/>
      <c r="AB679" s="1337"/>
      <c r="AC679" s="1337"/>
      <c r="AD679" s="1337"/>
      <c r="AE679" s="1337"/>
      <c r="AH679" s="33" t="s">
        <v>205</v>
      </c>
      <c r="AI679" s="1450"/>
      <c r="AJ679" s="1450"/>
      <c r="AK679" s="1450"/>
      <c r="AZ679" s="3"/>
    </row>
    <row r="680" spans="1:52" ht="12.95" customHeight="1">
      <c r="A680" s="22"/>
      <c r="B680" t="s">
        <v>18</v>
      </c>
      <c r="H680" s="1338"/>
      <c r="I680" s="1338"/>
      <c r="J680" s="1338"/>
      <c r="K680" s="1338"/>
      <c r="L680" s="1338"/>
      <c r="M680" s="1338"/>
      <c r="N680" s="1338"/>
      <c r="O680" s="1338"/>
      <c r="P680" s="1338"/>
      <c r="Q680" s="1338"/>
      <c r="R680" s="1338"/>
      <c r="T680" s="22"/>
      <c r="U680" t="s">
        <v>18</v>
      </c>
      <c r="AA680" s="1338"/>
      <c r="AB680" s="1338"/>
      <c r="AC680" s="1338"/>
      <c r="AD680" s="1338"/>
      <c r="AE680" s="1338"/>
      <c r="AF680" s="1338"/>
      <c r="AG680" s="1338"/>
      <c r="AH680" s="1338"/>
      <c r="AI680" s="1338"/>
      <c r="AJ680" s="1338"/>
      <c r="AK680" s="1338"/>
      <c r="AZ680" s="3"/>
    </row>
    <row r="681" spans="1:52" ht="12.95" customHeight="1">
      <c r="A681" s="22"/>
      <c r="B681" t="s">
        <v>20</v>
      </c>
      <c r="N681" s="1333" t="s">
        <v>669</v>
      </c>
      <c r="O681" s="1333"/>
      <c r="T681" s="22"/>
      <c r="U681" t="s">
        <v>20</v>
      </c>
      <c r="AG681" s="1333" t="s">
        <v>669</v>
      </c>
      <c r="AH681" s="1333"/>
      <c r="AZ681" s="3"/>
    </row>
    <row r="682" spans="1:52" ht="12.95" customHeight="1">
      <c r="A682" s="22"/>
      <c r="T682" s="22"/>
      <c r="AZ682" s="3"/>
    </row>
    <row r="683" spans="1:52" ht="12.95" customHeight="1">
      <c r="A683" s="55" t="s">
        <v>361</v>
      </c>
      <c r="B683" t="s">
        <v>463</v>
      </c>
      <c r="G683" s="1358">
        <f>C637</f>
        <v>0</v>
      </c>
      <c r="H683" s="1358"/>
      <c r="I683" s="1358"/>
      <c r="J683" s="1358"/>
      <c r="K683" s="1358"/>
      <c r="L683" s="1358"/>
      <c r="M683" s="1358"/>
      <c r="N683" s="1358"/>
      <c r="O683" s="1358"/>
      <c r="P683" s="1358"/>
      <c r="Q683" s="1358"/>
      <c r="R683" s="1358"/>
      <c r="T683" s="55" t="s">
        <v>362</v>
      </c>
      <c r="U683" t="s">
        <v>463</v>
      </c>
      <c r="Z683" s="1358">
        <f>C638</f>
        <v>0</v>
      </c>
      <c r="AA683" s="1358"/>
      <c r="AB683" s="1358"/>
      <c r="AC683" s="1358"/>
      <c r="AD683" s="1358"/>
      <c r="AE683" s="1358"/>
      <c r="AF683" s="1358"/>
      <c r="AG683" s="1358"/>
      <c r="AH683" s="1358"/>
      <c r="AI683" s="1358"/>
      <c r="AJ683" s="1358"/>
      <c r="AK683" s="1358"/>
      <c r="AZ683" s="3"/>
    </row>
    <row r="684" spans="1:52" ht="12.95" customHeight="1">
      <c r="B684" t="s">
        <v>85</v>
      </c>
      <c r="G684" s="1338"/>
      <c r="H684" s="1338"/>
      <c r="I684" s="1338"/>
      <c r="J684" s="1338"/>
      <c r="K684" s="1338"/>
      <c r="L684" s="1338"/>
      <c r="M684" s="1338"/>
      <c r="N684" s="1338"/>
      <c r="O684" s="1338"/>
      <c r="P684" s="1338"/>
      <c r="Q684" s="1338"/>
      <c r="R684" s="1338"/>
      <c r="T684" s="22"/>
      <c r="U684" t="s">
        <v>85</v>
      </c>
      <c r="Z684" s="1338"/>
      <c r="AA684" s="1338"/>
      <c r="AB684" s="1338"/>
      <c r="AC684" s="1338"/>
      <c r="AD684" s="1338"/>
      <c r="AE684" s="1338"/>
      <c r="AF684" s="1338"/>
      <c r="AG684" s="1338"/>
      <c r="AH684" s="1338"/>
      <c r="AI684" s="1338"/>
      <c r="AJ684" s="1338"/>
      <c r="AK684" s="1338"/>
      <c r="AZ684" s="3"/>
    </row>
    <row r="685" spans="1:52" ht="12.95" customHeight="1">
      <c r="B685" t="s">
        <v>580</v>
      </c>
      <c r="G685" s="1338"/>
      <c r="H685" s="1338"/>
      <c r="I685" s="1338"/>
      <c r="J685" s="1338"/>
      <c r="K685" s="1338"/>
      <c r="L685" s="1338"/>
      <c r="M685" s="1338"/>
      <c r="N685" s="1338"/>
      <c r="O685" s="1338"/>
      <c r="P685" s="1338"/>
      <c r="Q685" s="1338"/>
      <c r="R685" s="1338"/>
      <c r="U685" t="s">
        <v>580</v>
      </c>
      <c r="Z685" s="1351"/>
      <c r="AA685" s="1351"/>
      <c r="AB685" s="1351"/>
      <c r="AC685" s="1351"/>
      <c r="AD685" s="1351"/>
      <c r="AE685" s="1351"/>
      <c r="AF685" s="1351"/>
      <c r="AG685" s="1351"/>
      <c r="AH685" s="1351"/>
      <c r="AI685" s="1351"/>
      <c r="AJ685" s="1351"/>
      <c r="AK685" s="1351"/>
      <c r="AZ685" s="3"/>
    </row>
    <row r="686" spans="1:52" ht="12.95" customHeight="1">
      <c r="B686" t="s">
        <v>17</v>
      </c>
      <c r="G686" s="1338"/>
      <c r="H686" s="1338"/>
      <c r="I686" s="1338"/>
      <c r="J686" s="1338"/>
      <c r="K686" s="1338"/>
      <c r="L686" s="1338"/>
      <c r="M686" s="1338"/>
      <c r="N686" s="1338"/>
      <c r="O686" s="1338"/>
      <c r="P686" s="1338"/>
      <c r="Q686" s="1338"/>
      <c r="R686" s="1338"/>
      <c r="U686" t="s">
        <v>17</v>
      </c>
      <c r="Z686" s="1351"/>
      <c r="AA686" s="1351"/>
      <c r="AB686" s="1351"/>
      <c r="AC686" s="1351"/>
      <c r="AD686" s="1351"/>
      <c r="AE686" s="1351"/>
      <c r="AF686" s="1351"/>
      <c r="AG686" s="1351"/>
      <c r="AH686" s="1351"/>
      <c r="AI686" s="1351"/>
      <c r="AJ686" s="1351"/>
      <c r="AK686" s="1351"/>
      <c r="AZ686" s="3"/>
    </row>
    <row r="687" spans="1:52" ht="12.95" customHeight="1">
      <c r="B687" t="s">
        <v>315</v>
      </c>
      <c r="G687" s="1337"/>
      <c r="H687" s="1337"/>
      <c r="I687" s="1337"/>
      <c r="J687" s="1337"/>
      <c r="K687" s="1337"/>
      <c r="L687" s="1337"/>
      <c r="O687" s="33" t="s">
        <v>205</v>
      </c>
      <c r="P687" s="1450"/>
      <c r="Q687" s="1450"/>
      <c r="R687" s="1450"/>
      <c r="U687" t="s">
        <v>315</v>
      </c>
      <c r="Z687" s="1337"/>
      <c r="AA687" s="1337"/>
      <c r="AB687" s="1337"/>
      <c r="AC687" s="1337"/>
      <c r="AD687" s="1337"/>
      <c r="AE687" s="1337"/>
      <c r="AH687" s="33" t="s">
        <v>205</v>
      </c>
      <c r="AI687" s="1450"/>
      <c r="AJ687" s="1450"/>
      <c r="AK687" s="1450"/>
      <c r="AZ687" s="3"/>
    </row>
    <row r="688" spans="1:52" ht="12.95" customHeight="1">
      <c r="B688" t="s">
        <v>18</v>
      </c>
      <c r="H688" s="1338"/>
      <c r="I688" s="1338"/>
      <c r="J688" s="1338"/>
      <c r="K688" s="1338"/>
      <c r="L688" s="1338"/>
      <c r="M688" s="1338"/>
      <c r="N688" s="1338"/>
      <c r="O688" s="1338"/>
      <c r="P688" s="1338"/>
      <c r="Q688" s="1338"/>
      <c r="R688" s="1338"/>
      <c r="U688" t="s">
        <v>18</v>
      </c>
      <c r="AA688" s="1338"/>
      <c r="AB688" s="1338"/>
      <c r="AC688" s="1338"/>
      <c r="AD688" s="1338"/>
      <c r="AE688" s="1338"/>
      <c r="AF688" s="1338"/>
      <c r="AG688" s="1338"/>
      <c r="AH688" s="1338"/>
      <c r="AI688" s="1338"/>
      <c r="AJ688" s="1338"/>
      <c r="AK688" s="1338"/>
      <c r="AZ688" s="3"/>
    </row>
    <row r="689" spans="1:67" ht="12.95" customHeight="1">
      <c r="B689" t="s">
        <v>20</v>
      </c>
      <c r="N689" s="1333" t="s">
        <v>669</v>
      </c>
      <c r="O689" s="1333"/>
      <c r="U689" t="s">
        <v>20</v>
      </c>
      <c r="AG689" s="1333" t="s">
        <v>669</v>
      </c>
      <c r="AH689" s="1333"/>
      <c r="AZ689" s="3"/>
    </row>
    <row r="690" spans="1:67" ht="12.95" customHeight="1">
      <c r="AZ690" s="3"/>
    </row>
    <row r="691" spans="1:67" ht="12.95" customHeight="1">
      <c r="A691" s="2" t="s">
        <v>576</v>
      </c>
      <c r="C691" s="2" t="s">
        <v>326</v>
      </c>
      <c r="E691" s="130"/>
      <c r="F691" s="130"/>
      <c r="G691" s="130"/>
      <c r="H691" s="130"/>
      <c r="AZ691" s="3"/>
    </row>
    <row r="692" spans="1:67" ht="12.95" customHeight="1">
      <c r="B692" s="135"/>
      <c r="C692" s="135"/>
      <c r="D692" s="136" t="s">
        <v>433</v>
      </c>
      <c r="E692" s="135"/>
      <c r="F692" s="135"/>
      <c r="G692" s="135"/>
      <c r="H692" s="135"/>
      <c r="AZ692" s="3"/>
    </row>
    <row r="693" spans="1:67" ht="12.95" customHeight="1">
      <c r="B693" s="135"/>
      <c r="C693" s="135"/>
      <c r="E693" s="136" t="s">
        <v>434</v>
      </c>
      <c r="F693" s="135"/>
      <c r="G693" s="135"/>
      <c r="H693" s="135"/>
      <c r="AE693" s="1333" t="s">
        <v>669</v>
      </c>
      <c r="AF693" s="1333"/>
      <c r="AZ693" s="3"/>
    </row>
    <row r="694" spans="1:67" ht="12.95" customHeight="1">
      <c r="B694" s="135"/>
      <c r="C694" s="135"/>
      <c r="D694" s="136" t="s">
        <v>437</v>
      </c>
      <c r="E694" s="135"/>
      <c r="F694" s="135"/>
      <c r="G694" s="135"/>
      <c r="H694" s="135"/>
      <c r="AE694" s="1333" t="s">
        <v>669</v>
      </c>
      <c r="AF694" s="1333"/>
      <c r="AZ694" s="3"/>
    </row>
    <row r="695" spans="1:67" ht="12.95" customHeight="1">
      <c r="B695" s="135"/>
      <c r="C695" s="135"/>
      <c r="D695" s="136" t="s">
        <v>920</v>
      </c>
      <c r="E695" s="135"/>
      <c r="F695" s="135"/>
      <c r="G695" s="135"/>
      <c r="H695" s="135"/>
      <c r="AE695" s="1666">
        <v>45909</v>
      </c>
      <c r="AF695" s="1666"/>
      <c r="AG695" s="1666"/>
      <c r="AH695" s="1666"/>
      <c r="AI695" s="1666"/>
    </row>
    <row r="696" spans="1:67" ht="12.95" customHeight="1">
      <c r="B696" s="135"/>
      <c r="C696" s="135"/>
      <c r="D696" s="317" t="s">
        <v>983</v>
      </c>
      <c r="E696" s="135"/>
      <c r="F696" s="135"/>
      <c r="G696" s="135"/>
      <c r="H696" s="135"/>
      <c r="AE696" s="1702">
        <v>45980</v>
      </c>
      <c r="AF696" s="1702"/>
      <c r="AG696" s="1702"/>
      <c r="AH696" s="1702"/>
      <c r="AI696" s="1702"/>
    </row>
    <row r="697" spans="1:67" ht="12.95" customHeight="1">
      <c r="B697" s="135"/>
      <c r="C697" s="135"/>
    </row>
    <row r="698" spans="1:67" ht="12.95" customHeight="1">
      <c r="B698" s="135"/>
      <c r="C698" s="135"/>
      <c r="D698" s="136" t="s">
        <v>816</v>
      </c>
      <c r="E698" s="135"/>
      <c r="F698" s="135"/>
      <c r="G698" s="135"/>
      <c r="H698" s="135"/>
      <c r="AE698" s="1666">
        <v>46161</v>
      </c>
      <c r="AF698" s="1666"/>
      <c r="AG698" s="1666"/>
      <c r="AH698" s="1666"/>
      <c r="AI698" s="1666"/>
    </row>
    <row r="699" spans="1:67" ht="12.95" customHeight="1">
      <c r="B699" s="135"/>
      <c r="C699" s="135"/>
      <c r="D699" s="136" t="s">
        <v>435</v>
      </c>
      <c r="E699" s="135"/>
      <c r="F699" s="135"/>
      <c r="G699" s="135"/>
      <c r="H699" s="135"/>
      <c r="AE699" s="1662">
        <v>0.3</v>
      </c>
      <c r="AF699" s="1662"/>
      <c r="AG699" s="1662"/>
      <c r="AH699" s="1662"/>
      <c r="AI699" s="1662"/>
    </row>
    <row r="700" spans="1:67" ht="12.95" customHeight="1">
      <c r="B700" s="135"/>
      <c r="C700" s="135"/>
      <c r="D700" s="136" t="s">
        <v>436</v>
      </c>
      <c r="E700" s="135"/>
      <c r="F700" s="135"/>
      <c r="G700" s="135"/>
      <c r="H700" s="135"/>
      <c r="W700" s="1358" t="str">
        <f>H335</f>
        <v>California Municipal Finance Authority</v>
      </c>
      <c r="X700" s="1358"/>
      <c r="Y700" s="1358"/>
      <c r="Z700" s="1358"/>
      <c r="AA700" s="1358"/>
      <c r="AB700" s="1358"/>
      <c r="AC700" s="1358"/>
      <c r="AD700" s="1358"/>
      <c r="AE700" s="1358"/>
      <c r="AF700" s="1358"/>
      <c r="AG700" s="1358"/>
      <c r="AH700" s="1358"/>
      <c r="AI700" s="1358"/>
      <c r="AJ700" s="1358"/>
      <c r="AK700" s="1358"/>
    </row>
    <row r="701" spans="1:67" ht="12.95" customHeight="1">
      <c r="B701" s="135"/>
      <c r="C701" s="135"/>
      <c r="D701" s="136"/>
      <c r="E701" s="135"/>
      <c r="F701" s="135"/>
      <c r="G701" s="135"/>
      <c r="H701" s="135"/>
    </row>
    <row r="702" spans="1:67" ht="12.95" customHeight="1">
      <c r="B702" s="135"/>
      <c r="C702" s="135"/>
      <c r="D702" s="136" t="s">
        <v>438</v>
      </c>
      <c r="E702" s="135"/>
      <c r="F702" s="135"/>
      <c r="G702" s="135"/>
      <c r="H702" s="135"/>
      <c r="AE702" s="1333" t="s">
        <v>669</v>
      </c>
      <c r="AF702" s="1333"/>
      <c r="AZ702" s="4" t="s">
        <v>323</v>
      </c>
    </row>
    <row r="703" spans="1:67" ht="12.95" customHeight="1">
      <c r="B703" s="135"/>
      <c r="C703" s="135"/>
      <c r="D703" s="136" t="s">
        <v>442</v>
      </c>
      <c r="E703" s="135"/>
      <c r="F703" s="135"/>
      <c r="G703" s="135"/>
      <c r="H703" s="135"/>
      <c r="W703" s="1338"/>
      <c r="X703" s="1338"/>
      <c r="Y703" s="1338"/>
      <c r="Z703" s="1338"/>
      <c r="AA703" s="1338"/>
      <c r="AB703" s="1338"/>
      <c r="AC703" s="1338"/>
      <c r="AD703" s="1338"/>
      <c r="AE703" s="1338"/>
      <c r="AF703" s="1338"/>
      <c r="AG703" s="1338"/>
      <c r="AH703" s="1338"/>
      <c r="AI703" s="1338"/>
      <c r="AJ703" s="1338"/>
      <c r="AK703" s="1338"/>
      <c r="AZ703" s="4" t="s">
        <v>324</v>
      </c>
    </row>
    <row r="704" spans="1:67" ht="12.95" customHeight="1">
      <c r="B704" s="135"/>
      <c r="C704" s="135"/>
      <c r="D704" s="136" t="s">
        <v>87</v>
      </c>
      <c r="E704" s="135"/>
      <c r="F704" s="135"/>
      <c r="G704" s="135"/>
      <c r="H704" s="135"/>
      <c r="J704" s="1338"/>
      <c r="K704" s="1338"/>
      <c r="L704" s="1338"/>
      <c r="M704" s="1338"/>
      <c r="N704" s="1338"/>
      <c r="O704" s="1338"/>
      <c r="P704" s="1338"/>
      <c r="Q704" s="1338"/>
      <c r="R704" s="1338"/>
      <c r="S704" s="1338"/>
      <c r="T704" s="1338"/>
      <c r="U704" s="1338"/>
      <c r="V704" s="1338"/>
      <c r="W704" s="1338"/>
      <c r="X704" s="1338"/>
      <c r="AZ704" s="4" t="s">
        <v>163</v>
      </c>
      <c r="BB704" s="34"/>
      <c r="BC704" s="34"/>
      <c r="BD704" s="34"/>
      <c r="BE704" s="3"/>
      <c r="BF704" s="3"/>
      <c r="BJ704" s="3"/>
      <c r="BK704" s="3"/>
      <c r="BL704" s="3"/>
      <c r="BM704" s="3"/>
      <c r="BN704" s="34"/>
      <c r="BO704" s="34"/>
    </row>
    <row r="705" spans="1:185" ht="12.95" customHeight="1">
      <c r="B705" s="135"/>
      <c r="C705" s="135"/>
      <c r="D705" s="136" t="s">
        <v>88</v>
      </c>
      <c r="J705" s="1337"/>
      <c r="K705" s="1337"/>
      <c r="L705" s="1337"/>
      <c r="M705" s="1337"/>
      <c r="N705" s="1337"/>
      <c r="O705" s="1337"/>
      <c r="P705" s="4" t="s">
        <v>205</v>
      </c>
      <c r="Q705" s="4"/>
      <c r="R705" s="1450"/>
      <c r="S705" s="1450"/>
      <c r="T705" s="1450"/>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443</v>
      </c>
      <c r="W706" s="1338" t="s">
        <v>306</v>
      </c>
      <c r="X706" s="1338"/>
      <c r="Y706" s="1338"/>
      <c r="Z706" s="1338"/>
      <c r="AA706" s="1338"/>
      <c r="AB706" s="1338"/>
      <c r="AC706" s="1338"/>
      <c r="AD706" s="1338"/>
      <c r="AE706" s="1338"/>
      <c r="AF706" s="1338"/>
      <c r="AG706" s="1338"/>
      <c r="AH706" s="1338"/>
      <c r="AI706" s="1338"/>
      <c r="AJ706" s="1338"/>
      <c r="AK706" s="1338"/>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38" t="s">
        <v>333</v>
      </c>
      <c r="F707" s="1338"/>
      <c r="G707" s="1338"/>
      <c r="H707" s="1338"/>
      <c r="I707" s="1338"/>
      <c r="J707" s="1338"/>
      <c r="K707" s="1338"/>
      <c r="L707" s="1338"/>
      <c r="M707" s="1338"/>
      <c r="N707" s="1338"/>
      <c r="O707" s="1338"/>
      <c r="P707" s="1338"/>
      <c r="Q707" s="1338"/>
      <c r="R707" s="1338"/>
      <c r="S707" s="1338"/>
      <c r="T707" s="1338"/>
      <c r="U707" s="1338"/>
      <c r="V707" s="1338"/>
      <c r="W707" s="1338"/>
      <c r="X707" s="1338"/>
      <c r="Y707" s="1338"/>
      <c r="Z707" s="1338"/>
      <c r="AA707" s="1338"/>
      <c r="AB707" s="1338"/>
      <c r="AC707" s="1338"/>
      <c r="AD707" s="1338"/>
      <c r="AE707" s="1338"/>
      <c r="AF707" s="1338"/>
      <c r="AG707" s="1338"/>
      <c r="AH707" s="1338"/>
      <c r="AI707" s="1338"/>
      <c r="AJ707" s="1338"/>
      <c r="AK707" s="1338"/>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0" t="s">
        <v>95</v>
      </c>
      <c r="B709" s="1260"/>
      <c r="C709" s="1260"/>
      <c r="D709" s="1260"/>
      <c r="E709" s="1260"/>
      <c r="F709" s="1260"/>
      <c r="G709" s="1260"/>
      <c r="H709" s="1260"/>
      <c r="I709" s="1260"/>
      <c r="J709" s="1260"/>
      <c r="K709" s="1260"/>
      <c r="L709" s="1260"/>
      <c r="M709" s="1260"/>
      <c r="N709" s="1260"/>
      <c r="O709" s="1260"/>
      <c r="P709" s="1260"/>
      <c r="Q709" s="1260"/>
      <c r="R709" s="1260"/>
      <c r="S709" s="1260"/>
      <c r="T709" s="1260"/>
      <c r="U709" s="1260"/>
      <c r="V709" s="1260"/>
      <c r="W709" s="1260"/>
      <c r="X709" s="1260"/>
      <c r="Y709" s="1260"/>
      <c r="Z709" s="1260"/>
      <c r="AA709" s="1260"/>
      <c r="AB709" s="1260"/>
      <c r="AC709" s="1260"/>
      <c r="AD709" s="1260"/>
      <c r="AE709" s="1260"/>
      <c r="AF709" s="1260"/>
      <c r="AG709" s="1260"/>
      <c r="AH709" s="1260"/>
      <c r="AI709" s="1260"/>
      <c r="AJ709" s="1260"/>
      <c r="AK709" s="1260"/>
      <c r="AL709" s="1260"/>
      <c r="AM709" s="1260"/>
      <c r="AN709" s="1260"/>
      <c r="AO709" s="1260"/>
      <c r="AP709" s="1260"/>
      <c r="AQ709" s="1260"/>
      <c r="AR709" s="1260"/>
      <c r="AS709" s="1260"/>
      <c r="AT709" s="126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0"/>
      <c r="B710" s="1260"/>
      <c r="C710" s="1260"/>
      <c r="D710" s="1260"/>
      <c r="E710" s="1260"/>
      <c r="F710" s="1260"/>
      <c r="G710" s="1260"/>
      <c r="H710" s="1260"/>
      <c r="I710" s="1260"/>
      <c r="J710" s="1260"/>
      <c r="K710" s="1260"/>
      <c r="L710" s="1260"/>
      <c r="M710" s="1260"/>
      <c r="N710" s="1260"/>
      <c r="O710" s="1260"/>
      <c r="P710" s="1260"/>
      <c r="Q710" s="1260"/>
      <c r="R710" s="1260"/>
      <c r="S710" s="1260"/>
      <c r="T710" s="1260"/>
      <c r="U710" s="1260"/>
      <c r="V710" s="1260"/>
      <c r="W710" s="1260"/>
      <c r="X710" s="1260"/>
      <c r="Y710" s="1260"/>
      <c r="Z710" s="1260"/>
      <c r="AA710" s="1260"/>
      <c r="AB710" s="1260"/>
      <c r="AC710" s="1260"/>
      <c r="AD710" s="1260"/>
      <c r="AE710" s="1260"/>
      <c r="AF710" s="1260"/>
      <c r="AG710" s="1260"/>
      <c r="AH710" s="1260"/>
      <c r="AI710" s="1260"/>
      <c r="AJ710" s="1260"/>
      <c r="AK710" s="1260"/>
      <c r="AL710" s="1260"/>
      <c r="AM710" s="1260"/>
      <c r="AN710" s="1260"/>
      <c r="AO710" s="1260"/>
      <c r="AP710" s="1260"/>
      <c r="AQ710" s="1260"/>
      <c r="AR710" s="1260"/>
      <c r="AS710" s="1260"/>
      <c r="AT710" s="126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0"/>
      <c r="B711" s="1260"/>
      <c r="C711" s="1260"/>
      <c r="D711" s="1260"/>
      <c r="E711" s="1260"/>
      <c r="F711" s="1260"/>
      <c r="G711" s="1260"/>
      <c r="H711" s="1260"/>
      <c r="I711" s="1260"/>
      <c r="J711" s="1260"/>
      <c r="K711" s="1260"/>
      <c r="L711" s="1260"/>
      <c r="M711" s="1260"/>
      <c r="N711" s="1260"/>
      <c r="O711" s="1260"/>
      <c r="P711" s="1260"/>
      <c r="Q711" s="1260"/>
      <c r="R711" s="1260"/>
      <c r="S711" s="1260"/>
      <c r="T711" s="1260"/>
      <c r="U711" s="1260"/>
      <c r="V711" s="1260"/>
      <c r="W711" s="1260"/>
      <c r="X711" s="1260"/>
      <c r="Y711" s="1260"/>
      <c r="Z711" s="1260"/>
      <c r="AA711" s="1260"/>
      <c r="AB711" s="1260"/>
      <c r="AC711" s="1260"/>
      <c r="AD711" s="1260"/>
      <c r="AE711" s="1260"/>
      <c r="AF711" s="1260"/>
      <c r="AG711" s="1260"/>
      <c r="AH711" s="1260"/>
      <c r="AI711" s="1260"/>
      <c r="AJ711" s="1260"/>
      <c r="AK711" s="1260"/>
      <c r="AL711" s="1260"/>
      <c r="AM711" s="1260"/>
      <c r="AN711" s="1260"/>
      <c r="AO711" s="1260"/>
      <c r="AP711" s="1260"/>
      <c r="AQ711" s="1260"/>
      <c r="AR711" s="1260"/>
      <c r="AS711" s="1260"/>
      <c r="AT711" s="126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318</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62" t="s">
        <v>388</v>
      </c>
      <c r="C714" s="1363"/>
      <c r="D714" s="1363"/>
      <c r="E714" s="1363"/>
      <c r="F714" s="1364"/>
      <c r="G714" s="1362" t="s">
        <v>284</v>
      </c>
      <c r="H714" s="1363"/>
      <c r="I714" s="1363"/>
      <c r="J714" s="1364"/>
      <c r="K714" s="1729" t="s">
        <v>1679</v>
      </c>
      <c r="L714" s="1730"/>
      <c r="M714" s="1730"/>
      <c r="N714" s="1731"/>
      <c r="O714" s="1362" t="s">
        <v>447</v>
      </c>
      <c r="P714" s="1363"/>
      <c r="Q714" s="1363"/>
      <c r="R714" s="1363"/>
      <c r="S714" s="1364"/>
      <c r="T714" s="1650" t="s">
        <v>1949</v>
      </c>
      <c r="U714" s="1363"/>
      <c r="V714" s="1363"/>
      <c r="W714" s="1364"/>
      <c r="X714" s="1650" t="s">
        <v>1951</v>
      </c>
      <c r="Y714" s="1363"/>
      <c r="Z714" s="1363"/>
      <c r="AA714" s="1363"/>
      <c r="AB714" s="1364"/>
      <c r="AC714" s="1650" t="s">
        <v>1950</v>
      </c>
      <c r="AD714" s="1363"/>
      <c r="AE714" s="1363"/>
      <c r="AF714" s="1363"/>
      <c r="AG714" s="1364"/>
      <c r="AH714" s="1650" t="s">
        <v>1952</v>
      </c>
      <c r="AI714" s="1363"/>
      <c r="AJ714" s="1364"/>
      <c r="AK714" s="1650" t="s">
        <v>1979</v>
      </c>
      <c r="AL714" s="1363"/>
      <c r="AM714" s="1363"/>
      <c r="AN714" s="1363"/>
      <c r="AO714" s="1364"/>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65"/>
      <c r="C715" s="1366"/>
      <c r="D715" s="1366"/>
      <c r="E715" s="1366"/>
      <c r="F715" s="1367"/>
      <c r="G715" s="1365"/>
      <c r="H715" s="1366"/>
      <c r="I715" s="1366"/>
      <c r="J715" s="1367"/>
      <c r="K715" s="1732"/>
      <c r="L715" s="1733"/>
      <c r="M715" s="1733"/>
      <c r="N715" s="1734"/>
      <c r="O715" s="1365"/>
      <c r="P715" s="1366"/>
      <c r="Q715" s="1366"/>
      <c r="R715" s="1366"/>
      <c r="S715" s="1367"/>
      <c r="T715" s="1365"/>
      <c r="U715" s="1366"/>
      <c r="V715" s="1366"/>
      <c r="W715" s="1367"/>
      <c r="X715" s="1365"/>
      <c r="Y715" s="1366"/>
      <c r="Z715" s="1366"/>
      <c r="AA715" s="1366"/>
      <c r="AB715" s="1367"/>
      <c r="AC715" s="1365"/>
      <c r="AD715" s="1366"/>
      <c r="AE715" s="1366"/>
      <c r="AF715" s="1366"/>
      <c r="AG715" s="1367"/>
      <c r="AH715" s="1365"/>
      <c r="AI715" s="1366"/>
      <c r="AJ715" s="1367"/>
      <c r="AK715" s="1365"/>
      <c r="AL715" s="1366"/>
      <c r="AM715" s="1366"/>
      <c r="AN715" s="1366"/>
      <c r="AO715" s="1367"/>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65"/>
      <c r="C716" s="1366"/>
      <c r="D716" s="1366"/>
      <c r="E716" s="1366"/>
      <c r="F716" s="1367"/>
      <c r="G716" s="1365"/>
      <c r="H716" s="1366"/>
      <c r="I716" s="1366"/>
      <c r="J716" s="1367"/>
      <c r="K716" s="1732"/>
      <c r="L716" s="1733"/>
      <c r="M716" s="1733"/>
      <c r="N716" s="1734"/>
      <c r="O716" s="1365"/>
      <c r="P716" s="1366"/>
      <c r="Q716" s="1366"/>
      <c r="R716" s="1366"/>
      <c r="S716" s="1367"/>
      <c r="T716" s="1365"/>
      <c r="U716" s="1366"/>
      <c r="V716" s="1366"/>
      <c r="W716" s="1367"/>
      <c r="X716" s="1365"/>
      <c r="Y716" s="1366"/>
      <c r="Z716" s="1366"/>
      <c r="AA716" s="1366"/>
      <c r="AB716" s="1367"/>
      <c r="AC716" s="1365"/>
      <c r="AD716" s="1366"/>
      <c r="AE716" s="1366"/>
      <c r="AF716" s="1366"/>
      <c r="AG716" s="1367"/>
      <c r="AH716" s="1365"/>
      <c r="AI716" s="1366"/>
      <c r="AJ716" s="1367"/>
      <c r="AK716" s="1365"/>
      <c r="AL716" s="1366"/>
      <c r="AM716" s="1366"/>
      <c r="AN716" s="1366"/>
      <c r="AO716" s="1367"/>
      <c r="AP716" s="3"/>
      <c r="AQ716" s="3"/>
      <c r="AR716" s="3"/>
      <c r="AS716" s="3"/>
      <c r="BA716" s="3"/>
      <c r="BB716" s="3"/>
      <c r="BC716" s="3"/>
      <c r="BD716" s="3"/>
      <c r="BE716" s="204"/>
      <c r="BF716" s="205" t="s">
        <v>895</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359</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68"/>
      <c r="C717" s="1369"/>
      <c r="D717" s="1369"/>
      <c r="E717" s="1369"/>
      <c r="F717" s="1370"/>
      <c r="G717" s="1368"/>
      <c r="H717" s="1369"/>
      <c r="I717" s="1369"/>
      <c r="J717" s="1370"/>
      <c r="K717" s="1732"/>
      <c r="L717" s="1733"/>
      <c r="M717" s="1733"/>
      <c r="N717" s="1734"/>
      <c r="O717" s="1368"/>
      <c r="P717" s="1369"/>
      <c r="Q717" s="1369"/>
      <c r="R717" s="1369"/>
      <c r="S717" s="1370"/>
      <c r="T717" s="1368"/>
      <c r="U717" s="1369"/>
      <c r="V717" s="1369"/>
      <c r="W717" s="1370"/>
      <c r="X717" s="1368"/>
      <c r="Y717" s="1369"/>
      <c r="Z717" s="1369"/>
      <c r="AA717" s="1369"/>
      <c r="AB717" s="1370"/>
      <c r="AC717" s="1368"/>
      <c r="AD717" s="1369"/>
      <c r="AE717" s="1369"/>
      <c r="AF717" s="1369"/>
      <c r="AG717" s="1370"/>
      <c r="AH717" s="1368"/>
      <c r="AI717" s="1369"/>
      <c r="AJ717" s="1370"/>
      <c r="AK717" s="1368"/>
      <c r="AL717" s="1369"/>
      <c r="AM717" s="1369"/>
      <c r="AN717" s="1369"/>
      <c r="AO717" s="1370"/>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474</v>
      </c>
      <c r="CH717" s="122"/>
      <c r="CI717" s="1484"/>
      <c r="CJ717" s="1485"/>
      <c r="CK717" s="121" t="s">
        <v>475</v>
      </c>
      <c r="CL717" s="122"/>
      <c r="CM717" s="1484"/>
      <c r="CN717" s="1485"/>
      <c r="CO717" s="3"/>
      <c r="CP717" s="1385" t="s">
        <v>633</v>
      </c>
      <c r="CQ717" s="1386"/>
      <c r="CR717" s="1386"/>
      <c r="CS717" s="1386"/>
      <c r="CT717" s="1387"/>
      <c r="CU717" s="1483" t="s">
        <v>324</v>
      </c>
      <c r="CV717" s="1483"/>
      <c r="CW717" s="1483"/>
      <c r="CX717" s="1483"/>
      <c r="CY717" s="1483"/>
      <c r="CZ717" s="1483" t="s">
        <v>163</v>
      </c>
      <c r="DA717" s="1483"/>
      <c r="DB717" s="1483"/>
      <c r="DC717" s="1483"/>
      <c r="DD717" s="1483"/>
      <c r="DE717" s="1483" t="s">
        <v>164</v>
      </c>
      <c r="DF717" s="1483"/>
      <c r="DG717" s="1483"/>
      <c r="DH717" s="1483"/>
      <c r="DI717" s="1483"/>
      <c r="DJ717" s="1483" t="s">
        <v>460</v>
      </c>
      <c r="DK717" s="1483"/>
      <c r="DL717" s="1483"/>
      <c r="DM717" s="1483"/>
      <c r="DN717" s="1483"/>
      <c r="DO717" s="1483" t="s">
        <v>30</v>
      </c>
      <c r="DP717" s="1483"/>
      <c r="DQ717" s="1483"/>
      <c r="DR717" s="1483"/>
      <c r="DS717" s="1483"/>
      <c r="DT717" s="89"/>
      <c r="DU717" s="1483" t="s">
        <v>633</v>
      </c>
      <c r="DV717" s="1483"/>
      <c r="DW717" s="1483"/>
      <c r="DX717" s="1483"/>
      <c r="DY717" s="1483"/>
      <c r="DZ717" s="1483" t="s">
        <v>324</v>
      </c>
      <c r="EA717" s="1483"/>
      <c r="EB717" s="1483"/>
      <c r="EC717" s="1483"/>
      <c r="ED717" s="1483"/>
      <c r="EE717" s="1483" t="s">
        <v>163</v>
      </c>
      <c r="EF717" s="1483"/>
      <c r="EG717" s="1483"/>
      <c r="EH717" s="1483"/>
      <c r="EI717" s="1483"/>
      <c r="EJ717" s="1483" t="s">
        <v>164</v>
      </c>
      <c r="EK717" s="1483"/>
      <c r="EL717" s="1483"/>
      <c r="EM717" s="1483"/>
      <c r="EN717" s="1483"/>
      <c r="EO717" s="1483" t="s">
        <v>460</v>
      </c>
      <c r="EP717" s="1483"/>
      <c r="EQ717" s="1483"/>
      <c r="ER717" s="1483"/>
      <c r="ES717" s="1483"/>
      <c r="ET717" s="1483" t="s">
        <v>30</v>
      </c>
      <c r="EU717" s="1483"/>
      <c r="EV717" s="1483"/>
      <c r="EW717" s="1483"/>
      <c r="EX717" s="1483"/>
      <c r="EY717" s="4"/>
      <c r="EZ717" s="1483" t="s">
        <v>633</v>
      </c>
      <c r="FA717" s="1483"/>
      <c r="FB717" s="1483"/>
      <c r="FC717" s="1483"/>
      <c r="FD717" s="1483"/>
      <c r="FE717" s="1483" t="s">
        <v>324</v>
      </c>
      <c r="FF717" s="1483"/>
      <c r="FG717" s="1483"/>
      <c r="FH717" s="1483"/>
      <c r="FI717" s="1483"/>
      <c r="FJ717" s="1483" t="s">
        <v>163</v>
      </c>
      <c r="FK717" s="1483"/>
      <c r="FL717" s="1483"/>
      <c r="FM717" s="1483"/>
      <c r="FN717" s="1483"/>
      <c r="FO717" s="1483" t="s">
        <v>164</v>
      </c>
      <c r="FP717" s="1483"/>
      <c r="FQ717" s="1483"/>
      <c r="FR717" s="1483"/>
      <c r="FS717" s="1483"/>
      <c r="FT717" s="1483" t="s">
        <v>460</v>
      </c>
      <c r="FU717" s="1483"/>
      <c r="FV717" s="1483"/>
      <c r="FW717" s="1483"/>
      <c r="FX717" s="1483"/>
      <c r="FY717" s="1483" t="s">
        <v>30</v>
      </c>
      <c r="FZ717" s="1483"/>
      <c r="GA717" s="1483"/>
      <c r="GB717" s="1483"/>
      <c r="GC717" s="1483"/>
    </row>
    <row r="718" spans="1:185" ht="12.95" customHeight="1">
      <c r="A718" s="4"/>
      <c r="B718" s="1348" t="s">
        <v>324</v>
      </c>
      <c r="C718" s="1349"/>
      <c r="D718" s="1349"/>
      <c r="E718" s="1349"/>
      <c r="F718" s="1350"/>
      <c r="G718" s="1345">
        <v>6</v>
      </c>
      <c r="H718" s="1346"/>
      <c r="I718" s="1346"/>
      <c r="J718" s="1347"/>
      <c r="K718" s="1359">
        <v>572</v>
      </c>
      <c r="L718" s="1360"/>
      <c r="M718" s="1360"/>
      <c r="N718" s="1361"/>
      <c r="O718" s="1342">
        <f>842-T718</f>
        <v>820.44</v>
      </c>
      <c r="P718" s="1343"/>
      <c r="Q718" s="1343"/>
      <c r="R718" s="1343"/>
      <c r="S718" s="1344"/>
      <c r="T718" s="1342">
        <v>21.56</v>
      </c>
      <c r="U718" s="1343"/>
      <c r="V718" s="1343"/>
      <c r="W718" s="1344"/>
      <c r="X718" s="1352">
        <f t="shared" ref="X718:X741" si="8">O718+T718</f>
        <v>842</v>
      </c>
      <c r="Y718" s="1353"/>
      <c r="Z718" s="1353"/>
      <c r="AA718" s="1353"/>
      <c r="AB718" s="1354"/>
      <c r="AC718" s="1339">
        <v>0.3</v>
      </c>
      <c r="AD718" s="1340"/>
      <c r="AE718" s="1340"/>
      <c r="AF718" s="1340"/>
      <c r="AG718" s="1341"/>
      <c r="AH718" s="1355">
        <f>IF($AC718&gt;0,($X718/$AZ718), "")</f>
        <v>0.3000712758374911</v>
      </c>
      <c r="AI718" s="1356"/>
      <c r="AJ718" s="1357"/>
      <c r="AK718" s="1348" t="s">
        <v>591</v>
      </c>
      <c r="AL718" s="1349"/>
      <c r="AM718" s="1349"/>
      <c r="AN718" s="1349"/>
      <c r="AO718" s="1350"/>
      <c r="AP718" s="3"/>
      <c r="AQ718" s="3"/>
      <c r="AR718" s="3"/>
      <c r="AS718" s="3"/>
      <c r="AZ718" s="118">
        <f t="shared" ref="AZ718:AZ752" si="9">IF($G718=0,"N/A",VLOOKUP($T$189,TC_Rent,(MATCH($B718,bedrooms,FALSE)),FALSE))</f>
        <v>2806</v>
      </c>
      <c r="BA718" s="3"/>
      <c r="BB718" s="3"/>
      <c r="BC718" s="3"/>
      <c r="BD718" s="3"/>
      <c r="BE718" s="204"/>
      <c r="BF718" s="293">
        <f t="shared" ref="BF718:BF752" si="10">G718</f>
        <v>6</v>
      </c>
      <c r="BG718" s="297">
        <f t="shared" ref="BG718:BG752" si="11">IF($BF$753=0,0,BF718/$BF$753)</f>
        <v>0.10169491525423729</v>
      </c>
      <c r="BH718" s="298">
        <f t="shared" ref="BH718:BH752" si="12">IF(BG718=0,"",BG718*AC718)</f>
        <v>3.0508474576271188E-2</v>
      </c>
      <c r="BI718" s="3"/>
      <c r="BJ718" s="3"/>
      <c r="BK718" s="3"/>
      <c r="BL718" s="3"/>
      <c r="BM718" s="3"/>
      <c r="BN718" s="3"/>
      <c r="BS718" s="293">
        <f t="shared" ref="BS718:BS752" si="13">G718</f>
        <v>6</v>
      </c>
      <c r="BT718" s="297">
        <f t="shared" ref="BT718:BT752" si="14">IF($BS$753=0,0,BS718/$BS$753)</f>
        <v>0.10169491525423729</v>
      </c>
      <c r="BU718" s="298">
        <f t="shared" ref="BU718:BU752" si="15">IF(BT718=0,"",BT718*AH718)</f>
        <v>3.0515722966524522E-2</v>
      </c>
      <c r="CC718" s="3"/>
      <c r="CD718" s="3"/>
      <c r="CE718" s="3"/>
      <c r="CF718" s="3"/>
      <c r="CG718" s="1486">
        <f>IF(AND(AC718&lt;=0.5,AC718&gt;=0.36),1,0)</f>
        <v>0</v>
      </c>
      <c r="CH718" s="1487"/>
      <c r="CI718" s="1484">
        <f>IF(CG718=1,G718,0)</f>
        <v>0</v>
      </c>
      <c r="CJ718" s="1485"/>
      <c r="CK718" s="1486">
        <f t="shared" ref="CK718:CK752" si="16">IF(AND(AC718&lt;=0.35,AC718&gt;0),1,0)</f>
        <v>1</v>
      </c>
      <c r="CL718" s="1487"/>
      <c r="CM718" s="1484">
        <f t="shared" ref="CM718:CM752" si="17">IF(CK718=1,G718,0)</f>
        <v>6</v>
      </c>
      <c r="CN718" s="1485"/>
      <c r="CO718" s="3"/>
      <c r="CP718" s="1488">
        <f t="shared" ref="CP718:CP752" si="18">IF(B718="SRO/Studio",G718,0)</f>
        <v>0</v>
      </c>
      <c r="CQ718" s="1489"/>
      <c r="CR718" s="1489"/>
      <c r="CS718" s="1489"/>
      <c r="CT718" s="1490"/>
      <c r="CU718" s="1480">
        <f t="shared" ref="CU718:CU752" si="19">IF(B718="1 Bedroom",G718,0)</f>
        <v>6</v>
      </c>
      <c r="CV718" s="1480"/>
      <c r="CW718" s="1480"/>
      <c r="CX718" s="1480"/>
      <c r="CY718" s="1480"/>
      <c r="CZ718" s="1480">
        <f t="shared" ref="CZ718:CZ752" si="20">IF(B718="2 Bedrooms",G718,0)</f>
        <v>0</v>
      </c>
      <c r="DA718" s="1480"/>
      <c r="DB718" s="1480"/>
      <c r="DC718" s="1480"/>
      <c r="DD718" s="1480"/>
      <c r="DE718" s="1480">
        <f t="shared" ref="DE718:DE752" si="21">IF(B718="3 Bedrooms",G718,0)</f>
        <v>0</v>
      </c>
      <c r="DF718" s="1480"/>
      <c r="DG718" s="1480"/>
      <c r="DH718" s="1480"/>
      <c r="DI718" s="1480"/>
      <c r="DJ718" s="1480">
        <f t="shared" ref="DJ718:DJ752" si="22">IF(B718="4 Bedrooms",G718,0)</f>
        <v>0</v>
      </c>
      <c r="DK718" s="1480"/>
      <c r="DL718" s="1480"/>
      <c r="DM718" s="1480"/>
      <c r="DN718" s="1480"/>
      <c r="DO718" s="1480">
        <f t="shared" ref="DO718:DO752" si="23">IF(B718="5 Bedrooms",G718,0)</f>
        <v>0</v>
      </c>
      <c r="DP718" s="1480"/>
      <c r="DQ718" s="1480"/>
      <c r="DR718" s="1480"/>
      <c r="DS718" s="1480"/>
      <c r="DT718" s="6"/>
      <c r="DU718" s="1482">
        <f t="shared" ref="DU718:DU752" si="24">IF(AND(B718="SRO/Studio",AC718&lt;=0.3),G718,0)</f>
        <v>0</v>
      </c>
      <c r="DV718" s="1482"/>
      <c r="DW718" s="1482"/>
      <c r="DX718" s="1482"/>
      <c r="DY718" s="1482"/>
      <c r="DZ718" s="1482">
        <f t="shared" ref="DZ718:DZ752" si="25">IF(AND(B718="1 Bedroom",AC718&lt;=0.3),G718,0)</f>
        <v>6</v>
      </c>
      <c r="EA718" s="1482"/>
      <c r="EB718" s="1482"/>
      <c r="EC718" s="1482"/>
      <c r="ED718" s="1482"/>
      <c r="EE718" s="1482">
        <f t="shared" ref="EE718:EE752" si="26">IF(AND(B718="2 Bedrooms",AC718&lt;=0.3),G718,0)</f>
        <v>0</v>
      </c>
      <c r="EF718" s="1482"/>
      <c r="EG718" s="1482"/>
      <c r="EH718" s="1482"/>
      <c r="EI718" s="1482"/>
      <c r="EJ718" s="1482">
        <f t="shared" ref="EJ718:EJ752" si="27">IF(AND(B718="3 Bedrooms",AC718&lt;=0.3),G718,0)</f>
        <v>0</v>
      </c>
      <c r="EK718" s="1482"/>
      <c r="EL718" s="1482"/>
      <c r="EM718" s="1482"/>
      <c r="EN718" s="1482"/>
      <c r="EO718" s="1482">
        <f t="shared" ref="EO718:EO752" si="28">IF(AND(B718="4 Bedrooms",AC718&lt;=0.3),G718,0)</f>
        <v>0</v>
      </c>
      <c r="EP718" s="1482"/>
      <c r="EQ718" s="1482"/>
      <c r="ER718" s="1482"/>
      <c r="ES718" s="1482"/>
      <c r="ET718" s="1482">
        <f t="shared" ref="ET718:ET752" si="29">IF(AND(B718="5 Bedrooms",AC718&lt;=0.3),G718,0)</f>
        <v>0</v>
      </c>
      <c r="EU718" s="1482"/>
      <c r="EV718" s="1482"/>
      <c r="EW718" s="1482"/>
      <c r="EX718" s="1482"/>
      <c r="EY718" s="4"/>
      <c r="EZ718" s="1486" t="str">
        <f t="shared" ref="EZ718:EZ752" si="30">IF(CP718&gt;0,O718,"")</f>
        <v/>
      </c>
      <c r="FA718" s="1491"/>
      <c r="FB718" s="1491"/>
      <c r="FC718" s="1491"/>
      <c r="FD718" s="1487"/>
      <c r="FE718" s="1486">
        <f t="shared" ref="FE718:FE752" si="31">IF(CU718&gt;0,O718,"")</f>
        <v>820.44</v>
      </c>
      <c r="FF718" s="1491"/>
      <c r="FG718" s="1491"/>
      <c r="FH718" s="1491"/>
      <c r="FI718" s="1487"/>
      <c r="FJ718" s="1486" t="str">
        <f t="shared" ref="FJ718:FJ752" si="32">IF(CZ718&gt;0,O718,"")</f>
        <v/>
      </c>
      <c r="FK718" s="1491"/>
      <c r="FL718" s="1491"/>
      <c r="FM718" s="1491"/>
      <c r="FN718" s="1487"/>
      <c r="FO718" s="1486" t="str">
        <f t="shared" ref="FO718:FO752" si="33">IF(DE718&gt;0,O718,"")</f>
        <v/>
      </c>
      <c r="FP718" s="1491"/>
      <c r="FQ718" s="1491"/>
      <c r="FR718" s="1491"/>
      <c r="FS718" s="1487"/>
      <c r="FT718" s="1486" t="str">
        <f t="shared" ref="FT718:FT752" si="34">IF(DJ718&gt;0,O718,"")</f>
        <v/>
      </c>
      <c r="FU718" s="1491"/>
      <c r="FV718" s="1491"/>
      <c r="FW718" s="1491"/>
      <c r="FX718" s="1487"/>
      <c r="FY718" s="1486" t="str">
        <f t="shared" ref="FY718:FY752" si="35">IF(DO718&gt;0,O718,"")</f>
        <v/>
      </c>
      <c r="FZ718" s="1491"/>
      <c r="GA718" s="1491"/>
      <c r="GB718" s="1491"/>
      <c r="GC718" s="1487"/>
    </row>
    <row r="719" spans="1:185" ht="12.95" customHeight="1">
      <c r="A719" s="4"/>
      <c r="B719" s="1348" t="s">
        <v>163</v>
      </c>
      <c r="C719" s="1349"/>
      <c r="D719" s="1349"/>
      <c r="E719" s="1349"/>
      <c r="F719" s="1350"/>
      <c r="G719" s="1345">
        <v>3</v>
      </c>
      <c r="H719" s="1346"/>
      <c r="I719" s="1346"/>
      <c r="J719" s="1347"/>
      <c r="K719" s="1359">
        <v>800</v>
      </c>
      <c r="L719" s="1360"/>
      <c r="M719" s="1360"/>
      <c r="N719" s="1361"/>
      <c r="O719" s="1342">
        <f>1011-T719</f>
        <v>988.62</v>
      </c>
      <c r="P719" s="1343"/>
      <c r="Q719" s="1343"/>
      <c r="R719" s="1343"/>
      <c r="S719" s="1344"/>
      <c r="T719" s="1342">
        <v>22.38</v>
      </c>
      <c r="U719" s="1343"/>
      <c r="V719" s="1343"/>
      <c r="W719" s="1344"/>
      <c r="X719" s="1352">
        <f t="shared" si="8"/>
        <v>1011</v>
      </c>
      <c r="Y719" s="1353"/>
      <c r="Z719" s="1353"/>
      <c r="AA719" s="1353"/>
      <c r="AB719" s="1354"/>
      <c r="AC719" s="1339">
        <v>0.3</v>
      </c>
      <c r="AD719" s="1340"/>
      <c r="AE719" s="1340"/>
      <c r="AF719" s="1340"/>
      <c r="AG719" s="1341"/>
      <c r="AH719" s="1355">
        <f t="shared" ref="AH719:AH752" si="36">IF($AC719&gt;0,($X719/$AZ719), "")</f>
        <v>0.3</v>
      </c>
      <c r="AI719" s="1356"/>
      <c r="AJ719" s="1357"/>
      <c r="AK719" s="1348" t="s">
        <v>591</v>
      </c>
      <c r="AL719" s="1349"/>
      <c r="AM719" s="1349"/>
      <c r="AN719" s="1349"/>
      <c r="AO719" s="1350"/>
      <c r="AP719" s="3"/>
      <c r="AQ719" s="3"/>
      <c r="AR719" s="3"/>
      <c r="AS719" s="3"/>
      <c r="AZ719" s="118">
        <f t="shared" si="9"/>
        <v>3370</v>
      </c>
      <c r="BA719" s="3"/>
      <c r="BB719" s="3"/>
      <c r="BC719" s="3"/>
      <c r="BD719" s="3"/>
      <c r="BE719" s="204"/>
      <c r="BF719" s="294">
        <f t="shared" si="10"/>
        <v>3</v>
      </c>
      <c r="BG719" s="297">
        <f t="shared" si="11"/>
        <v>5.0847457627118647E-2</v>
      </c>
      <c r="BH719" s="298">
        <f t="shared" si="12"/>
        <v>1.5254237288135594E-2</v>
      </c>
      <c r="BI719" s="3"/>
      <c r="BJ719" s="3"/>
      <c r="BK719" s="3"/>
      <c r="BL719" s="3"/>
      <c r="BM719" s="3"/>
      <c r="BN719" s="3"/>
      <c r="BS719" s="294">
        <f t="shared" si="13"/>
        <v>3</v>
      </c>
      <c r="BT719" s="297">
        <f t="shared" si="14"/>
        <v>5.0847457627118647E-2</v>
      </c>
      <c r="BU719" s="298">
        <f t="shared" si="15"/>
        <v>1.5254237288135594E-2</v>
      </c>
      <c r="CC719" s="3"/>
      <c r="CD719" s="3"/>
      <c r="CE719" s="3"/>
      <c r="CF719" s="3"/>
      <c r="CG719" s="1486">
        <f t="shared" ref="CG719:CG752" si="37">IF(AND(AC719&lt;=0.5,AC719&gt;=0.36),1,0)</f>
        <v>0</v>
      </c>
      <c r="CH719" s="1487"/>
      <c r="CI719" s="1484">
        <f t="shared" ref="CI719:CI752" si="38">IF(CG719=1,G719,0)</f>
        <v>0</v>
      </c>
      <c r="CJ719" s="1485"/>
      <c r="CK719" s="1486">
        <f t="shared" si="16"/>
        <v>1</v>
      </c>
      <c r="CL719" s="1487"/>
      <c r="CM719" s="1484">
        <f t="shared" si="17"/>
        <v>3</v>
      </c>
      <c r="CN719" s="1485"/>
      <c r="CO719" s="3"/>
      <c r="CP719" s="1488">
        <f t="shared" si="18"/>
        <v>0</v>
      </c>
      <c r="CQ719" s="1489"/>
      <c r="CR719" s="1489"/>
      <c r="CS719" s="1489"/>
      <c r="CT719" s="1490"/>
      <c r="CU719" s="1480">
        <f t="shared" si="19"/>
        <v>0</v>
      </c>
      <c r="CV719" s="1480"/>
      <c r="CW719" s="1480"/>
      <c r="CX719" s="1480"/>
      <c r="CY719" s="1480"/>
      <c r="CZ719" s="1480">
        <f t="shared" si="20"/>
        <v>3</v>
      </c>
      <c r="DA719" s="1480"/>
      <c r="DB719" s="1480"/>
      <c r="DC719" s="1480"/>
      <c r="DD719" s="1480"/>
      <c r="DE719" s="1480">
        <f t="shared" si="21"/>
        <v>0</v>
      </c>
      <c r="DF719" s="1480"/>
      <c r="DG719" s="1480"/>
      <c r="DH719" s="1480"/>
      <c r="DI719" s="1480"/>
      <c r="DJ719" s="1480">
        <f t="shared" si="22"/>
        <v>0</v>
      </c>
      <c r="DK719" s="1480"/>
      <c r="DL719" s="1480"/>
      <c r="DM719" s="1480"/>
      <c r="DN719" s="1480"/>
      <c r="DO719" s="1480">
        <f t="shared" si="23"/>
        <v>0</v>
      </c>
      <c r="DP719" s="1480"/>
      <c r="DQ719" s="1480"/>
      <c r="DR719" s="1480"/>
      <c r="DS719" s="1480"/>
      <c r="DT719" s="6"/>
      <c r="DU719" s="1482">
        <f t="shared" si="24"/>
        <v>0</v>
      </c>
      <c r="DV719" s="1482"/>
      <c r="DW719" s="1482"/>
      <c r="DX719" s="1482"/>
      <c r="DY719" s="1482"/>
      <c r="DZ719" s="1482">
        <f t="shared" si="25"/>
        <v>0</v>
      </c>
      <c r="EA719" s="1482"/>
      <c r="EB719" s="1482"/>
      <c r="EC719" s="1482"/>
      <c r="ED719" s="1482"/>
      <c r="EE719" s="1482">
        <f t="shared" si="26"/>
        <v>3</v>
      </c>
      <c r="EF719" s="1482"/>
      <c r="EG719" s="1482"/>
      <c r="EH719" s="1482"/>
      <c r="EI719" s="1482"/>
      <c r="EJ719" s="1482">
        <f t="shared" si="27"/>
        <v>0</v>
      </c>
      <c r="EK719" s="1482"/>
      <c r="EL719" s="1482"/>
      <c r="EM719" s="1482"/>
      <c r="EN719" s="1482"/>
      <c r="EO719" s="1482">
        <f t="shared" si="28"/>
        <v>0</v>
      </c>
      <c r="EP719" s="1482"/>
      <c r="EQ719" s="1482"/>
      <c r="ER719" s="1482"/>
      <c r="ES719" s="1482"/>
      <c r="ET719" s="1482">
        <f t="shared" si="29"/>
        <v>0</v>
      </c>
      <c r="EU719" s="1482"/>
      <c r="EV719" s="1482"/>
      <c r="EW719" s="1482"/>
      <c r="EX719" s="1482"/>
      <c r="EY719" s="4"/>
      <c r="EZ719" s="1486" t="str">
        <f t="shared" si="30"/>
        <v/>
      </c>
      <c r="FA719" s="1491"/>
      <c r="FB719" s="1491"/>
      <c r="FC719" s="1491"/>
      <c r="FD719" s="1487"/>
      <c r="FE719" s="1486" t="str">
        <f t="shared" si="31"/>
        <v/>
      </c>
      <c r="FF719" s="1491"/>
      <c r="FG719" s="1491"/>
      <c r="FH719" s="1491"/>
      <c r="FI719" s="1487"/>
      <c r="FJ719" s="1486">
        <f t="shared" si="32"/>
        <v>988.62</v>
      </c>
      <c r="FK719" s="1491"/>
      <c r="FL719" s="1491"/>
      <c r="FM719" s="1491"/>
      <c r="FN719" s="1487"/>
      <c r="FO719" s="1486" t="str">
        <f t="shared" si="33"/>
        <v/>
      </c>
      <c r="FP719" s="1491"/>
      <c r="FQ719" s="1491"/>
      <c r="FR719" s="1491"/>
      <c r="FS719" s="1487"/>
      <c r="FT719" s="1486" t="str">
        <f t="shared" si="34"/>
        <v/>
      </c>
      <c r="FU719" s="1491"/>
      <c r="FV719" s="1491"/>
      <c r="FW719" s="1491"/>
      <c r="FX719" s="1487"/>
      <c r="FY719" s="1486" t="str">
        <f t="shared" si="35"/>
        <v/>
      </c>
      <c r="FZ719" s="1491"/>
      <c r="GA719" s="1491"/>
      <c r="GB719" s="1491"/>
      <c r="GC719" s="1487"/>
    </row>
    <row r="720" spans="1:185" ht="12.95" customHeight="1">
      <c r="A720" s="4"/>
      <c r="B720" s="1348" t="s">
        <v>164</v>
      </c>
      <c r="C720" s="1349"/>
      <c r="D720" s="1349"/>
      <c r="E720" s="1349"/>
      <c r="F720" s="1350"/>
      <c r="G720" s="1345">
        <v>2</v>
      </c>
      <c r="H720" s="1346"/>
      <c r="I720" s="1346"/>
      <c r="J720" s="1347"/>
      <c r="K720" s="1359">
        <v>1012</v>
      </c>
      <c r="L720" s="1360"/>
      <c r="M720" s="1360"/>
      <c r="N720" s="1361"/>
      <c r="O720" s="1342">
        <f>1167-T720</f>
        <v>1138.8800000000001</v>
      </c>
      <c r="P720" s="1343"/>
      <c r="Q720" s="1343"/>
      <c r="R720" s="1343"/>
      <c r="S720" s="1344"/>
      <c r="T720" s="1342">
        <v>28.12</v>
      </c>
      <c r="U720" s="1343"/>
      <c r="V720" s="1343"/>
      <c r="W720" s="1344"/>
      <c r="X720" s="1352">
        <f t="shared" si="8"/>
        <v>1167</v>
      </c>
      <c r="Y720" s="1353"/>
      <c r="Z720" s="1353"/>
      <c r="AA720" s="1353"/>
      <c r="AB720" s="1354"/>
      <c r="AC720" s="1339">
        <v>0.3</v>
      </c>
      <c r="AD720" s="1340"/>
      <c r="AE720" s="1340"/>
      <c r="AF720" s="1340"/>
      <c r="AG720" s="1341"/>
      <c r="AH720" s="1355">
        <f t="shared" si="36"/>
        <v>0.29984583761562178</v>
      </c>
      <c r="AI720" s="1356"/>
      <c r="AJ720" s="1357"/>
      <c r="AK720" s="1348" t="s">
        <v>591</v>
      </c>
      <c r="AL720" s="1349"/>
      <c r="AM720" s="1349"/>
      <c r="AN720" s="1349"/>
      <c r="AO720" s="1350"/>
      <c r="AP720" s="3"/>
      <c r="AQ720" s="3"/>
      <c r="AR720" s="3"/>
      <c r="AS720" s="3"/>
      <c r="AZ720" s="118">
        <f t="shared" si="9"/>
        <v>3892</v>
      </c>
      <c r="BA720" s="3"/>
      <c r="BB720" s="3"/>
      <c r="BC720" s="3"/>
      <c r="BD720" s="3"/>
      <c r="BE720" s="204"/>
      <c r="BF720" s="294">
        <f t="shared" si="10"/>
        <v>2</v>
      </c>
      <c r="BG720" s="297">
        <f t="shared" si="11"/>
        <v>3.3898305084745763E-2</v>
      </c>
      <c r="BH720" s="298">
        <f t="shared" si="12"/>
        <v>1.0169491525423728E-2</v>
      </c>
      <c r="BI720" s="3"/>
      <c r="BJ720" s="3"/>
      <c r="BK720" s="3"/>
      <c r="BL720" s="3"/>
      <c r="BM720" s="3"/>
      <c r="BN720" s="3"/>
      <c r="BS720" s="294">
        <f t="shared" si="13"/>
        <v>2</v>
      </c>
      <c r="BT720" s="297">
        <f t="shared" si="14"/>
        <v>3.3898305084745763E-2</v>
      </c>
      <c r="BU720" s="298">
        <f t="shared" si="15"/>
        <v>1.0164265681885484E-2</v>
      </c>
      <c r="CC720" s="3"/>
      <c r="CD720" s="3"/>
      <c r="CE720" s="3"/>
      <c r="CF720" s="3"/>
      <c r="CG720" s="1486">
        <f t="shared" si="37"/>
        <v>0</v>
      </c>
      <c r="CH720" s="1487"/>
      <c r="CI720" s="1484">
        <f t="shared" si="38"/>
        <v>0</v>
      </c>
      <c r="CJ720" s="1485"/>
      <c r="CK720" s="1486">
        <f t="shared" si="16"/>
        <v>1</v>
      </c>
      <c r="CL720" s="1487"/>
      <c r="CM720" s="1484">
        <f t="shared" si="17"/>
        <v>2</v>
      </c>
      <c r="CN720" s="1485"/>
      <c r="CO720" s="3"/>
      <c r="CP720" s="1488">
        <f t="shared" si="18"/>
        <v>0</v>
      </c>
      <c r="CQ720" s="1489"/>
      <c r="CR720" s="1489"/>
      <c r="CS720" s="1489"/>
      <c r="CT720" s="1490"/>
      <c r="CU720" s="1480">
        <f t="shared" si="19"/>
        <v>0</v>
      </c>
      <c r="CV720" s="1480"/>
      <c r="CW720" s="1480"/>
      <c r="CX720" s="1480"/>
      <c r="CY720" s="1480"/>
      <c r="CZ720" s="1480">
        <f t="shared" si="20"/>
        <v>0</v>
      </c>
      <c r="DA720" s="1480"/>
      <c r="DB720" s="1480"/>
      <c r="DC720" s="1480"/>
      <c r="DD720" s="1480"/>
      <c r="DE720" s="1480">
        <f t="shared" si="21"/>
        <v>2</v>
      </c>
      <c r="DF720" s="1480"/>
      <c r="DG720" s="1480"/>
      <c r="DH720" s="1480"/>
      <c r="DI720" s="1480"/>
      <c r="DJ720" s="1480">
        <f t="shared" si="22"/>
        <v>0</v>
      </c>
      <c r="DK720" s="1480"/>
      <c r="DL720" s="1480"/>
      <c r="DM720" s="1480"/>
      <c r="DN720" s="1480"/>
      <c r="DO720" s="1480">
        <f t="shared" si="23"/>
        <v>0</v>
      </c>
      <c r="DP720" s="1480"/>
      <c r="DQ720" s="1480"/>
      <c r="DR720" s="1480"/>
      <c r="DS720" s="1480"/>
      <c r="DT720" s="6"/>
      <c r="DU720" s="1482">
        <f t="shared" si="24"/>
        <v>0</v>
      </c>
      <c r="DV720" s="1482"/>
      <c r="DW720" s="1482"/>
      <c r="DX720" s="1482"/>
      <c r="DY720" s="1482"/>
      <c r="DZ720" s="1482">
        <f t="shared" si="25"/>
        <v>0</v>
      </c>
      <c r="EA720" s="1482"/>
      <c r="EB720" s="1482"/>
      <c r="EC720" s="1482"/>
      <c r="ED720" s="1482"/>
      <c r="EE720" s="1482">
        <f t="shared" si="26"/>
        <v>0</v>
      </c>
      <c r="EF720" s="1482"/>
      <c r="EG720" s="1482"/>
      <c r="EH720" s="1482"/>
      <c r="EI720" s="1482"/>
      <c r="EJ720" s="1482">
        <f t="shared" si="27"/>
        <v>2</v>
      </c>
      <c r="EK720" s="1482"/>
      <c r="EL720" s="1482"/>
      <c r="EM720" s="1482"/>
      <c r="EN720" s="1482"/>
      <c r="EO720" s="1482">
        <f t="shared" si="28"/>
        <v>0</v>
      </c>
      <c r="EP720" s="1482"/>
      <c r="EQ720" s="1482"/>
      <c r="ER720" s="1482"/>
      <c r="ES720" s="1482"/>
      <c r="ET720" s="1482">
        <f t="shared" si="29"/>
        <v>0</v>
      </c>
      <c r="EU720" s="1482"/>
      <c r="EV720" s="1482"/>
      <c r="EW720" s="1482"/>
      <c r="EX720" s="1482"/>
      <c r="EZ720" s="1486" t="str">
        <f t="shared" si="30"/>
        <v/>
      </c>
      <c r="FA720" s="1491"/>
      <c r="FB720" s="1491"/>
      <c r="FC720" s="1491"/>
      <c r="FD720" s="1487"/>
      <c r="FE720" s="1486" t="str">
        <f t="shared" si="31"/>
        <v/>
      </c>
      <c r="FF720" s="1491"/>
      <c r="FG720" s="1491"/>
      <c r="FH720" s="1491"/>
      <c r="FI720" s="1487"/>
      <c r="FJ720" s="1486" t="str">
        <f t="shared" si="32"/>
        <v/>
      </c>
      <c r="FK720" s="1491"/>
      <c r="FL720" s="1491"/>
      <c r="FM720" s="1491"/>
      <c r="FN720" s="1487"/>
      <c r="FO720" s="1486">
        <f t="shared" si="33"/>
        <v>1138.8800000000001</v>
      </c>
      <c r="FP720" s="1491"/>
      <c r="FQ720" s="1491"/>
      <c r="FR720" s="1491"/>
      <c r="FS720" s="1487"/>
      <c r="FT720" s="1486" t="str">
        <f t="shared" si="34"/>
        <v/>
      </c>
      <c r="FU720" s="1491"/>
      <c r="FV720" s="1491"/>
      <c r="FW720" s="1491"/>
      <c r="FX720" s="1487"/>
      <c r="FY720" s="1486" t="str">
        <f t="shared" si="35"/>
        <v/>
      </c>
      <c r="FZ720" s="1491"/>
      <c r="GA720" s="1491"/>
      <c r="GB720" s="1491"/>
      <c r="GC720" s="1487"/>
    </row>
    <row r="721" spans="1:185" ht="12.95" customHeight="1">
      <c r="B721" s="1348" t="s">
        <v>324</v>
      </c>
      <c r="C721" s="1349"/>
      <c r="D721" s="1349"/>
      <c r="E721" s="1349"/>
      <c r="F721" s="1350"/>
      <c r="G721" s="1345">
        <v>4</v>
      </c>
      <c r="H721" s="1346"/>
      <c r="I721" s="1346"/>
      <c r="J721" s="1347"/>
      <c r="K721" s="1359">
        <v>572</v>
      </c>
      <c r="L721" s="1360"/>
      <c r="M721" s="1360"/>
      <c r="N721" s="1361"/>
      <c r="O721" s="1342">
        <f>1123-T721</f>
        <v>1101.44</v>
      </c>
      <c r="P721" s="1343"/>
      <c r="Q721" s="1343"/>
      <c r="R721" s="1343"/>
      <c r="S721" s="1344"/>
      <c r="T721" s="1342">
        <v>21.56</v>
      </c>
      <c r="U721" s="1343"/>
      <c r="V721" s="1343"/>
      <c r="W721" s="1344"/>
      <c r="X721" s="1352">
        <f t="shared" si="8"/>
        <v>1123</v>
      </c>
      <c r="Y721" s="1353"/>
      <c r="Z721" s="1353"/>
      <c r="AA721" s="1353"/>
      <c r="AB721" s="1354"/>
      <c r="AC721" s="1339">
        <v>0.4</v>
      </c>
      <c r="AD721" s="1340"/>
      <c r="AE721" s="1340"/>
      <c r="AF721" s="1340"/>
      <c r="AG721" s="1341"/>
      <c r="AH721" s="1355">
        <f t="shared" si="36"/>
        <v>0.40021382751247325</v>
      </c>
      <c r="AI721" s="1356"/>
      <c r="AJ721" s="1357"/>
      <c r="AK721" s="1348" t="s">
        <v>591</v>
      </c>
      <c r="AL721" s="1349"/>
      <c r="AM721" s="1349"/>
      <c r="AN721" s="1349"/>
      <c r="AO721" s="1350"/>
      <c r="AP721" s="3"/>
      <c r="AQ721" s="3"/>
      <c r="AR721" s="3"/>
      <c r="AS721" s="3"/>
      <c r="AY721" s="116"/>
      <c r="AZ721" s="118">
        <f t="shared" si="9"/>
        <v>2806</v>
      </c>
      <c r="BA721" s="3"/>
      <c r="BB721" s="3"/>
      <c r="BC721" s="3"/>
      <c r="BD721" s="3"/>
      <c r="BE721" s="204"/>
      <c r="BF721" s="294">
        <f t="shared" si="10"/>
        <v>4</v>
      </c>
      <c r="BG721" s="297">
        <f t="shared" si="11"/>
        <v>6.7796610169491525E-2</v>
      </c>
      <c r="BH721" s="298">
        <f t="shared" si="12"/>
        <v>2.7118644067796613E-2</v>
      </c>
      <c r="BI721" s="3"/>
      <c r="BJ721" s="3"/>
      <c r="BK721" s="3"/>
      <c r="BL721" s="3"/>
      <c r="BM721" s="3"/>
      <c r="BN721" s="3"/>
      <c r="BS721" s="294">
        <f t="shared" si="13"/>
        <v>4</v>
      </c>
      <c r="BT721" s="297">
        <f t="shared" si="14"/>
        <v>6.7796610169491525E-2</v>
      </c>
      <c r="BU721" s="298">
        <f t="shared" si="15"/>
        <v>2.7133140848303271E-2</v>
      </c>
      <c r="CC721" s="3"/>
      <c r="CD721" s="3"/>
      <c r="CE721" s="3"/>
      <c r="CF721" s="3"/>
      <c r="CG721" s="1486">
        <f t="shared" si="37"/>
        <v>1</v>
      </c>
      <c r="CH721" s="1487"/>
      <c r="CI721" s="1484">
        <f t="shared" si="38"/>
        <v>4</v>
      </c>
      <c r="CJ721" s="1485"/>
      <c r="CK721" s="1486">
        <f t="shared" si="16"/>
        <v>0</v>
      </c>
      <c r="CL721" s="1487"/>
      <c r="CM721" s="1484">
        <f t="shared" si="17"/>
        <v>0</v>
      </c>
      <c r="CN721" s="1485"/>
      <c r="CO721" s="3"/>
      <c r="CP721" s="1488">
        <f t="shared" si="18"/>
        <v>0</v>
      </c>
      <c r="CQ721" s="1489"/>
      <c r="CR721" s="1489"/>
      <c r="CS721" s="1489"/>
      <c r="CT721" s="1490"/>
      <c r="CU721" s="1480">
        <f t="shared" si="19"/>
        <v>4</v>
      </c>
      <c r="CV721" s="1480"/>
      <c r="CW721" s="1480"/>
      <c r="CX721" s="1480"/>
      <c r="CY721" s="1480"/>
      <c r="CZ721" s="1480">
        <f t="shared" si="20"/>
        <v>0</v>
      </c>
      <c r="DA721" s="1480"/>
      <c r="DB721" s="1480"/>
      <c r="DC721" s="1480"/>
      <c r="DD721" s="1480"/>
      <c r="DE721" s="1480">
        <f t="shared" si="21"/>
        <v>0</v>
      </c>
      <c r="DF721" s="1480"/>
      <c r="DG721" s="1480"/>
      <c r="DH721" s="1480"/>
      <c r="DI721" s="1480"/>
      <c r="DJ721" s="1480">
        <f t="shared" si="22"/>
        <v>0</v>
      </c>
      <c r="DK721" s="1480"/>
      <c r="DL721" s="1480"/>
      <c r="DM721" s="1480"/>
      <c r="DN721" s="1480"/>
      <c r="DO721" s="1480">
        <f t="shared" si="23"/>
        <v>0</v>
      </c>
      <c r="DP721" s="1480"/>
      <c r="DQ721" s="1480"/>
      <c r="DR721" s="1480"/>
      <c r="DS721" s="1480"/>
      <c r="DT721" s="6"/>
      <c r="DU721" s="1482">
        <f t="shared" si="24"/>
        <v>0</v>
      </c>
      <c r="DV721" s="1482"/>
      <c r="DW721" s="1482"/>
      <c r="DX721" s="1482"/>
      <c r="DY721" s="1482"/>
      <c r="DZ721" s="1482">
        <f t="shared" si="25"/>
        <v>0</v>
      </c>
      <c r="EA721" s="1482"/>
      <c r="EB721" s="1482"/>
      <c r="EC721" s="1482"/>
      <c r="ED721" s="1482"/>
      <c r="EE721" s="1482">
        <f t="shared" si="26"/>
        <v>0</v>
      </c>
      <c r="EF721" s="1482"/>
      <c r="EG721" s="1482"/>
      <c r="EH721" s="1482"/>
      <c r="EI721" s="1482"/>
      <c r="EJ721" s="1482">
        <f t="shared" si="27"/>
        <v>0</v>
      </c>
      <c r="EK721" s="1482"/>
      <c r="EL721" s="1482"/>
      <c r="EM721" s="1482"/>
      <c r="EN721" s="1482"/>
      <c r="EO721" s="1482">
        <f t="shared" si="28"/>
        <v>0</v>
      </c>
      <c r="EP721" s="1482"/>
      <c r="EQ721" s="1482"/>
      <c r="ER721" s="1482"/>
      <c r="ES721" s="1482"/>
      <c r="ET721" s="1482">
        <f t="shared" si="29"/>
        <v>0</v>
      </c>
      <c r="EU721" s="1482"/>
      <c r="EV721" s="1482"/>
      <c r="EW721" s="1482"/>
      <c r="EX721" s="1482"/>
      <c r="EZ721" s="1486" t="str">
        <f t="shared" si="30"/>
        <v/>
      </c>
      <c r="FA721" s="1491"/>
      <c r="FB721" s="1491"/>
      <c r="FC721" s="1491"/>
      <c r="FD721" s="1487"/>
      <c r="FE721" s="1486">
        <f t="shared" si="31"/>
        <v>1101.44</v>
      </c>
      <c r="FF721" s="1491"/>
      <c r="FG721" s="1491"/>
      <c r="FH721" s="1491"/>
      <c r="FI721" s="1487"/>
      <c r="FJ721" s="1486" t="str">
        <f t="shared" si="32"/>
        <v/>
      </c>
      <c r="FK721" s="1491"/>
      <c r="FL721" s="1491"/>
      <c r="FM721" s="1491"/>
      <c r="FN721" s="1487"/>
      <c r="FO721" s="1486" t="str">
        <f t="shared" si="33"/>
        <v/>
      </c>
      <c r="FP721" s="1491"/>
      <c r="FQ721" s="1491"/>
      <c r="FR721" s="1491"/>
      <c r="FS721" s="1487"/>
      <c r="FT721" s="1486" t="str">
        <f t="shared" si="34"/>
        <v/>
      </c>
      <c r="FU721" s="1491"/>
      <c r="FV721" s="1491"/>
      <c r="FW721" s="1491"/>
      <c r="FX721" s="1487"/>
      <c r="FY721" s="1486" t="str">
        <f t="shared" si="35"/>
        <v/>
      </c>
      <c r="FZ721" s="1491"/>
      <c r="GA721" s="1491"/>
      <c r="GB721" s="1491"/>
      <c r="GC721" s="1487"/>
    </row>
    <row r="722" spans="1:185" ht="12.95" customHeight="1">
      <c r="B722" s="1348" t="s">
        <v>163</v>
      </c>
      <c r="C722" s="1349"/>
      <c r="D722" s="1349"/>
      <c r="E722" s="1349"/>
      <c r="F722" s="1350"/>
      <c r="G722" s="1345">
        <v>4</v>
      </c>
      <c r="H722" s="1346"/>
      <c r="I722" s="1346"/>
      <c r="J722" s="1347"/>
      <c r="K722" s="1359">
        <v>800</v>
      </c>
      <c r="L722" s="1360"/>
      <c r="M722" s="1360"/>
      <c r="N722" s="1361"/>
      <c r="O722" s="1342">
        <f>1348-T722</f>
        <v>1325.62</v>
      </c>
      <c r="P722" s="1343"/>
      <c r="Q722" s="1343"/>
      <c r="R722" s="1343"/>
      <c r="S722" s="1344"/>
      <c r="T722" s="1342">
        <v>22.38</v>
      </c>
      <c r="U722" s="1343"/>
      <c r="V722" s="1343"/>
      <c r="W722" s="1344"/>
      <c r="X722" s="1352">
        <f t="shared" si="8"/>
        <v>1348</v>
      </c>
      <c r="Y722" s="1353"/>
      <c r="Z722" s="1353"/>
      <c r="AA722" s="1353"/>
      <c r="AB722" s="1354"/>
      <c r="AC722" s="1339">
        <v>0.4</v>
      </c>
      <c r="AD722" s="1340"/>
      <c r="AE722" s="1340"/>
      <c r="AF722" s="1340"/>
      <c r="AG722" s="1341"/>
      <c r="AH722" s="1355">
        <f t="shared" si="36"/>
        <v>0.4</v>
      </c>
      <c r="AI722" s="1356"/>
      <c r="AJ722" s="1357"/>
      <c r="AK722" s="1348" t="s">
        <v>591</v>
      </c>
      <c r="AL722" s="1349"/>
      <c r="AM722" s="1349"/>
      <c r="AN722" s="1349"/>
      <c r="AO722" s="1350"/>
      <c r="AP722" s="3"/>
      <c r="AQ722" s="3"/>
      <c r="AR722" s="3"/>
      <c r="AS722" s="3"/>
      <c r="AY722" s="116"/>
      <c r="AZ722" s="118">
        <f t="shared" si="9"/>
        <v>3370</v>
      </c>
      <c r="BA722" s="3"/>
      <c r="BB722" s="3"/>
      <c r="BC722" s="3"/>
      <c r="BD722" s="3"/>
      <c r="BE722" s="204"/>
      <c r="BF722" s="294">
        <f t="shared" si="10"/>
        <v>4</v>
      </c>
      <c r="BG722" s="297">
        <f t="shared" si="11"/>
        <v>6.7796610169491525E-2</v>
      </c>
      <c r="BH722" s="298">
        <f t="shared" si="12"/>
        <v>2.7118644067796613E-2</v>
      </c>
      <c r="BI722" s="3"/>
      <c r="BJ722" s="3"/>
      <c r="BK722" s="3"/>
      <c r="BL722" s="3"/>
      <c r="BM722" s="3"/>
      <c r="BN722" s="3"/>
      <c r="BS722" s="294">
        <f t="shared" si="13"/>
        <v>4</v>
      </c>
      <c r="BT722" s="297">
        <f t="shared" si="14"/>
        <v>6.7796610169491525E-2</v>
      </c>
      <c r="BU722" s="298">
        <f t="shared" si="15"/>
        <v>2.7118644067796613E-2</v>
      </c>
      <c r="CC722" s="3"/>
      <c r="CD722" s="3"/>
      <c r="CE722" s="3"/>
      <c r="CF722" s="3"/>
      <c r="CG722" s="1486">
        <f t="shared" si="37"/>
        <v>1</v>
      </c>
      <c r="CH722" s="1487"/>
      <c r="CI722" s="1484">
        <f t="shared" si="38"/>
        <v>4</v>
      </c>
      <c r="CJ722" s="1485"/>
      <c r="CK722" s="1486">
        <f t="shared" si="16"/>
        <v>0</v>
      </c>
      <c r="CL722" s="1487"/>
      <c r="CM722" s="1484">
        <f t="shared" si="17"/>
        <v>0</v>
      </c>
      <c r="CN722" s="1485"/>
      <c r="CO722" s="3"/>
      <c r="CP722" s="1488">
        <f t="shared" si="18"/>
        <v>0</v>
      </c>
      <c r="CQ722" s="1489"/>
      <c r="CR722" s="1489"/>
      <c r="CS722" s="1489"/>
      <c r="CT722" s="1490"/>
      <c r="CU722" s="1480">
        <f t="shared" si="19"/>
        <v>0</v>
      </c>
      <c r="CV722" s="1480"/>
      <c r="CW722" s="1480"/>
      <c r="CX722" s="1480"/>
      <c r="CY722" s="1480"/>
      <c r="CZ722" s="1480">
        <f t="shared" si="20"/>
        <v>4</v>
      </c>
      <c r="DA722" s="1480"/>
      <c r="DB722" s="1480"/>
      <c r="DC722" s="1480"/>
      <c r="DD722" s="1480"/>
      <c r="DE722" s="1480">
        <f t="shared" si="21"/>
        <v>0</v>
      </c>
      <c r="DF722" s="1480"/>
      <c r="DG722" s="1480"/>
      <c r="DH722" s="1480"/>
      <c r="DI722" s="1480"/>
      <c r="DJ722" s="1480">
        <f t="shared" si="22"/>
        <v>0</v>
      </c>
      <c r="DK722" s="1480"/>
      <c r="DL722" s="1480"/>
      <c r="DM722" s="1480"/>
      <c r="DN722" s="1480"/>
      <c r="DO722" s="1480">
        <f t="shared" si="23"/>
        <v>0</v>
      </c>
      <c r="DP722" s="1480"/>
      <c r="DQ722" s="1480"/>
      <c r="DR722" s="1480"/>
      <c r="DS722" s="1480"/>
      <c r="DT722" s="6"/>
      <c r="DU722" s="1482">
        <f t="shared" si="24"/>
        <v>0</v>
      </c>
      <c r="DV722" s="1482"/>
      <c r="DW722" s="1482"/>
      <c r="DX722" s="1482"/>
      <c r="DY722" s="1482"/>
      <c r="DZ722" s="1482">
        <f t="shared" si="25"/>
        <v>0</v>
      </c>
      <c r="EA722" s="1482"/>
      <c r="EB722" s="1482"/>
      <c r="EC722" s="1482"/>
      <c r="ED722" s="1482"/>
      <c r="EE722" s="1482">
        <f t="shared" si="26"/>
        <v>0</v>
      </c>
      <c r="EF722" s="1482"/>
      <c r="EG722" s="1482"/>
      <c r="EH722" s="1482"/>
      <c r="EI722" s="1482"/>
      <c r="EJ722" s="1482">
        <f t="shared" si="27"/>
        <v>0</v>
      </c>
      <c r="EK722" s="1482"/>
      <c r="EL722" s="1482"/>
      <c r="EM722" s="1482"/>
      <c r="EN722" s="1482"/>
      <c r="EO722" s="1482">
        <f t="shared" si="28"/>
        <v>0</v>
      </c>
      <c r="EP722" s="1482"/>
      <c r="EQ722" s="1482"/>
      <c r="ER722" s="1482"/>
      <c r="ES722" s="1482"/>
      <c r="ET722" s="1482">
        <f t="shared" si="29"/>
        <v>0</v>
      </c>
      <c r="EU722" s="1482"/>
      <c r="EV722" s="1482"/>
      <c r="EW722" s="1482"/>
      <c r="EX722" s="1482"/>
      <c r="EZ722" s="1486" t="str">
        <f t="shared" si="30"/>
        <v/>
      </c>
      <c r="FA722" s="1491"/>
      <c r="FB722" s="1491"/>
      <c r="FC722" s="1491"/>
      <c r="FD722" s="1487"/>
      <c r="FE722" s="1486" t="str">
        <f t="shared" si="31"/>
        <v/>
      </c>
      <c r="FF722" s="1491"/>
      <c r="FG722" s="1491"/>
      <c r="FH722" s="1491"/>
      <c r="FI722" s="1487"/>
      <c r="FJ722" s="1486">
        <f t="shared" si="32"/>
        <v>1325.62</v>
      </c>
      <c r="FK722" s="1491"/>
      <c r="FL722" s="1491"/>
      <c r="FM722" s="1491"/>
      <c r="FN722" s="1487"/>
      <c r="FO722" s="1486" t="str">
        <f t="shared" si="33"/>
        <v/>
      </c>
      <c r="FP722" s="1491"/>
      <c r="FQ722" s="1491"/>
      <c r="FR722" s="1491"/>
      <c r="FS722" s="1487"/>
      <c r="FT722" s="1486" t="str">
        <f t="shared" si="34"/>
        <v/>
      </c>
      <c r="FU722" s="1491"/>
      <c r="FV722" s="1491"/>
      <c r="FW722" s="1491"/>
      <c r="FX722" s="1487"/>
      <c r="FY722" s="1486" t="str">
        <f t="shared" si="35"/>
        <v/>
      </c>
      <c r="FZ722" s="1491"/>
      <c r="GA722" s="1491"/>
      <c r="GB722" s="1491"/>
      <c r="GC722" s="1487"/>
    </row>
    <row r="723" spans="1:185" ht="12.95" customHeight="1">
      <c r="B723" s="1348" t="s">
        <v>164</v>
      </c>
      <c r="C723" s="1349"/>
      <c r="D723" s="1349"/>
      <c r="E723" s="1349"/>
      <c r="F723" s="1350"/>
      <c r="G723" s="1345">
        <v>2</v>
      </c>
      <c r="H723" s="1346"/>
      <c r="I723" s="1346"/>
      <c r="J723" s="1347"/>
      <c r="K723" s="1359">
        <v>1012</v>
      </c>
      <c r="L723" s="1360"/>
      <c r="M723" s="1360"/>
      <c r="N723" s="1361"/>
      <c r="O723" s="1342">
        <f>1557-T723</f>
        <v>1528.88</v>
      </c>
      <c r="P723" s="1343"/>
      <c r="Q723" s="1343"/>
      <c r="R723" s="1343"/>
      <c r="S723" s="1344"/>
      <c r="T723" s="1342">
        <v>28.12</v>
      </c>
      <c r="U723" s="1343"/>
      <c r="V723" s="1343"/>
      <c r="W723" s="1344"/>
      <c r="X723" s="1352">
        <f t="shared" si="8"/>
        <v>1557</v>
      </c>
      <c r="Y723" s="1353"/>
      <c r="Z723" s="1353"/>
      <c r="AA723" s="1353"/>
      <c r="AB723" s="1354"/>
      <c r="AC723" s="1339">
        <v>0.4</v>
      </c>
      <c r="AD723" s="1340"/>
      <c r="AE723" s="1340"/>
      <c r="AF723" s="1340"/>
      <c r="AG723" s="1341"/>
      <c r="AH723" s="1355">
        <f t="shared" si="36"/>
        <v>0.40005138746145941</v>
      </c>
      <c r="AI723" s="1356"/>
      <c r="AJ723" s="1357"/>
      <c r="AK723" s="1348" t="s">
        <v>591</v>
      </c>
      <c r="AL723" s="1349"/>
      <c r="AM723" s="1349"/>
      <c r="AN723" s="1349"/>
      <c r="AO723" s="1350"/>
      <c r="AP723" s="3"/>
      <c r="AQ723" s="3"/>
      <c r="AR723" s="3"/>
      <c r="AS723" s="3"/>
      <c r="AY723" s="116"/>
      <c r="AZ723" s="118">
        <f t="shared" si="9"/>
        <v>3892</v>
      </c>
      <c r="BA723" s="3"/>
      <c r="BB723" s="3"/>
      <c r="BC723" s="3"/>
      <c r="BD723" s="3"/>
      <c r="BE723" s="204"/>
      <c r="BF723" s="294">
        <f t="shared" si="10"/>
        <v>2</v>
      </c>
      <c r="BG723" s="297">
        <f t="shared" si="11"/>
        <v>3.3898305084745763E-2</v>
      </c>
      <c r="BH723" s="298">
        <f t="shared" si="12"/>
        <v>1.3559322033898306E-2</v>
      </c>
      <c r="BI723" s="3"/>
      <c r="BJ723" s="3"/>
      <c r="BK723" s="3"/>
      <c r="BL723" s="3"/>
      <c r="BM723" s="3"/>
      <c r="BN723" s="3"/>
      <c r="BS723" s="294">
        <f t="shared" si="13"/>
        <v>2</v>
      </c>
      <c r="BT723" s="297">
        <f t="shared" si="14"/>
        <v>3.3898305084745763E-2</v>
      </c>
      <c r="BU723" s="298">
        <f t="shared" si="15"/>
        <v>1.3561063981744387E-2</v>
      </c>
      <c r="CC723" s="3"/>
      <c r="CD723" s="3"/>
      <c r="CE723" s="3"/>
      <c r="CF723" s="3"/>
      <c r="CG723" s="1486">
        <f t="shared" si="37"/>
        <v>1</v>
      </c>
      <c r="CH723" s="1487"/>
      <c r="CI723" s="1484">
        <f t="shared" si="38"/>
        <v>2</v>
      </c>
      <c r="CJ723" s="1485"/>
      <c r="CK723" s="1486">
        <f t="shared" si="16"/>
        <v>0</v>
      </c>
      <c r="CL723" s="1487"/>
      <c r="CM723" s="1484">
        <f t="shared" si="17"/>
        <v>0</v>
      </c>
      <c r="CN723" s="1485"/>
      <c r="CO723" s="3"/>
      <c r="CP723" s="1488">
        <f t="shared" si="18"/>
        <v>0</v>
      </c>
      <c r="CQ723" s="1489"/>
      <c r="CR723" s="1489"/>
      <c r="CS723" s="1489"/>
      <c r="CT723" s="1490"/>
      <c r="CU723" s="1480">
        <f t="shared" si="19"/>
        <v>0</v>
      </c>
      <c r="CV723" s="1480"/>
      <c r="CW723" s="1480"/>
      <c r="CX723" s="1480"/>
      <c r="CY723" s="1480"/>
      <c r="CZ723" s="1480">
        <f t="shared" si="20"/>
        <v>0</v>
      </c>
      <c r="DA723" s="1480"/>
      <c r="DB723" s="1480"/>
      <c r="DC723" s="1480"/>
      <c r="DD723" s="1480"/>
      <c r="DE723" s="1480">
        <f t="shared" si="21"/>
        <v>2</v>
      </c>
      <c r="DF723" s="1480"/>
      <c r="DG723" s="1480"/>
      <c r="DH723" s="1480"/>
      <c r="DI723" s="1480"/>
      <c r="DJ723" s="1480">
        <f t="shared" si="22"/>
        <v>0</v>
      </c>
      <c r="DK723" s="1480"/>
      <c r="DL723" s="1480"/>
      <c r="DM723" s="1480"/>
      <c r="DN723" s="1480"/>
      <c r="DO723" s="1480">
        <f t="shared" si="23"/>
        <v>0</v>
      </c>
      <c r="DP723" s="1480"/>
      <c r="DQ723" s="1480"/>
      <c r="DR723" s="1480"/>
      <c r="DS723" s="1480"/>
      <c r="DT723" s="6"/>
      <c r="DU723" s="1482">
        <f t="shared" si="24"/>
        <v>0</v>
      </c>
      <c r="DV723" s="1482"/>
      <c r="DW723" s="1482"/>
      <c r="DX723" s="1482"/>
      <c r="DY723" s="1482"/>
      <c r="DZ723" s="1482">
        <f t="shared" si="25"/>
        <v>0</v>
      </c>
      <c r="EA723" s="1482"/>
      <c r="EB723" s="1482"/>
      <c r="EC723" s="1482"/>
      <c r="ED723" s="1482"/>
      <c r="EE723" s="1482">
        <f t="shared" si="26"/>
        <v>0</v>
      </c>
      <c r="EF723" s="1482"/>
      <c r="EG723" s="1482"/>
      <c r="EH723" s="1482"/>
      <c r="EI723" s="1482"/>
      <c r="EJ723" s="1482">
        <f t="shared" si="27"/>
        <v>0</v>
      </c>
      <c r="EK723" s="1482"/>
      <c r="EL723" s="1482"/>
      <c r="EM723" s="1482"/>
      <c r="EN723" s="1482"/>
      <c r="EO723" s="1482">
        <f t="shared" si="28"/>
        <v>0</v>
      </c>
      <c r="EP723" s="1482"/>
      <c r="EQ723" s="1482"/>
      <c r="ER723" s="1482"/>
      <c r="ES723" s="1482"/>
      <c r="ET723" s="1482">
        <f t="shared" si="29"/>
        <v>0</v>
      </c>
      <c r="EU723" s="1482"/>
      <c r="EV723" s="1482"/>
      <c r="EW723" s="1482"/>
      <c r="EX723" s="1482"/>
      <c r="EZ723" s="1486" t="str">
        <f t="shared" si="30"/>
        <v/>
      </c>
      <c r="FA723" s="1491"/>
      <c r="FB723" s="1491"/>
      <c r="FC723" s="1491"/>
      <c r="FD723" s="1487"/>
      <c r="FE723" s="1486" t="str">
        <f t="shared" si="31"/>
        <v/>
      </c>
      <c r="FF723" s="1491"/>
      <c r="FG723" s="1491"/>
      <c r="FH723" s="1491"/>
      <c r="FI723" s="1487"/>
      <c r="FJ723" s="1486" t="str">
        <f t="shared" si="32"/>
        <v/>
      </c>
      <c r="FK723" s="1491"/>
      <c r="FL723" s="1491"/>
      <c r="FM723" s="1491"/>
      <c r="FN723" s="1487"/>
      <c r="FO723" s="1486">
        <f t="shared" si="33"/>
        <v>1528.88</v>
      </c>
      <c r="FP723" s="1491"/>
      <c r="FQ723" s="1491"/>
      <c r="FR723" s="1491"/>
      <c r="FS723" s="1487"/>
      <c r="FT723" s="1486" t="str">
        <f t="shared" si="34"/>
        <v/>
      </c>
      <c r="FU723" s="1491"/>
      <c r="FV723" s="1491"/>
      <c r="FW723" s="1491"/>
      <c r="FX723" s="1487"/>
      <c r="FY723" s="1486" t="str">
        <f t="shared" si="35"/>
        <v/>
      </c>
      <c r="FZ723" s="1491"/>
      <c r="GA723" s="1491"/>
      <c r="GB723" s="1491"/>
      <c r="GC723" s="1487"/>
    </row>
    <row r="724" spans="1:185" ht="12.95" customHeight="1">
      <c r="B724" s="1348" t="s">
        <v>324</v>
      </c>
      <c r="C724" s="1349"/>
      <c r="D724" s="1349"/>
      <c r="E724" s="1349"/>
      <c r="F724" s="1350"/>
      <c r="G724" s="1345">
        <v>2</v>
      </c>
      <c r="H724" s="1346"/>
      <c r="I724" s="1346"/>
      <c r="J724" s="1347"/>
      <c r="K724" s="1359">
        <v>572</v>
      </c>
      <c r="L724" s="1360"/>
      <c r="M724" s="1360"/>
      <c r="N724" s="1361"/>
      <c r="O724" s="1342">
        <f>1263-T724</f>
        <v>1241.44</v>
      </c>
      <c r="P724" s="1343"/>
      <c r="Q724" s="1343"/>
      <c r="R724" s="1343"/>
      <c r="S724" s="1344"/>
      <c r="T724" s="1342">
        <v>21.56</v>
      </c>
      <c r="U724" s="1343"/>
      <c r="V724" s="1343"/>
      <c r="W724" s="1344"/>
      <c r="X724" s="1352">
        <f t="shared" si="8"/>
        <v>1263</v>
      </c>
      <c r="Y724" s="1353"/>
      <c r="Z724" s="1353"/>
      <c r="AA724" s="1353"/>
      <c r="AB724" s="1354"/>
      <c r="AC724" s="1339">
        <v>0.45</v>
      </c>
      <c r="AD724" s="1340"/>
      <c r="AE724" s="1340"/>
      <c r="AF724" s="1340"/>
      <c r="AG724" s="1341"/>
      <c r="AH724" s="1355">
        <f t="shared" si="36"/>
        <v>0.45010691375623663</v>
      </c>
      <c r="AI724" s="1356"/>
      <c r="AJ724" s="1357"/>
      <c r="AK724" s="1348" t="s">
        <v>591</v>
      </c>
      <c r="AL724" s="1349"/>
      <c r="AM724" s="1349"/>
      <c r="AN724" s="1349"/>
      <c r="AO724" s="1350"/>
      <c r="AP724" s="3"/>
      <c r="AQ724" s="3"/>
      <c r="AR724" s="3"/>
      <c r="AS724" s="3"/>
      <c r="AY724" s="116"/>
      <c r="AZ724" s="118">
        <f t="shared" si="9"/>
        <v>2806</v>
      </c>
      <c r="BA724" s="3"/>
      <c r="BB724" s="3"/>
      <c r="BC724" s="3"/>
      <c r="BD724" s="3"/>
      <c r="BE724" s="204"/>
      <c r="BF724" s="294">
        <f t="shared" si="10"/>
        <v>2</v>
      </c>
      <c r="BG724" s="297">
        <f t="shared" si="11"/>
        <v>3.3898305084745763E-2</v>
      </c>
      <c r="BH724" s="298">
        <f t="shared" si="12"/>
        <v>1.5254237288135594E-2</v>
      </c>
      <c r="BI724" s="3"/>
      <c r="BJ724" s="3"/>
      <c r="BK724" s="3"/>
      <c r="BL724" s="3"/>
      <c r="BM724" s="3"/>
      <c r="BN724" s="3"/>
      <c r="BS724" s="294">
        <f t="shared" si="13"/>
        <v>2</v>
      </c>
      <c r="BT724" s="297">
        <f t="shared" si="14"/>
        <v>3.3898305084745763E-2</v>
      </c>
      <c r="BU724" s="298">
        <f t="shared" si="15"/>
        <v>1.5257861483262258E-2</v>
      </c>
      <c r="CC724" s="3"/>
      <c r="CE724" s="3"/>
      <c r="CF724" s="3"/>
      <c r="CG724" s="1486">
        <f t="shared" si="37"/>
        <v>1</v>
      </c>
      <c r="CH724" s="1487"/>
      <c r="CI724" s="1484">
        <f t="shared" si="38"/>
        <v>2</v>
      </c>
      <c r="CJ724" s="1485"/>
      <c r="CK724" s="1486">
        <f t="shared" si="16"/>
        <v>0</v>
      </c>
      <c r="CL724" s="1487"/>
      <c r="CM724" s="1484">
        <f t="shared" si="17"/>
        <v>0</v>
      </c>
      <c r="CN724" s="1485"/>
      <c r="CO724" s="3"/>
      <c r="CP724" s="1488">
        <f t="shared" si="18"/>
        <v>0</v>
      </c>
      <c r="CQ724" s="1489"/>
      <c r="CR724" s="1489"/>
      <c r="CS724" s="1489"/>
      <c r="CT724" s="1490"/>
      <c r="CU724" s="1480">
        <f t="shared" si="19"/>
        <v>2</v>
      </c>
      <c r="CV724" s="1480"/>
      <c r="CW724" s="1480"/>
      <c r="CX724" s="1480"/>
      <c r="CY724" s="1480"/>
      <c r="CZ724" s="1480">
        <f t="shared" si="20"/>
        <v>0</v>
      </c>
      <c r="DA724" s="1480"/>
      <c r="DB724" s="1480"/>
      <c r="DC724" s="1480"/>
      <c r="DD724" s="1480"/>
      <c r="DE724" s="1480">
        <f t="shared" si="21"/>
        <v>0</v>
      </c>
      <c r="DF724" s="1480"/>
      <c r="DG724" s="1480"/>
      <c r="DH724" s="1480"/>
      <c r="DI724" s="1480"/>
      <c r="DJ724" s="1480">
        <f t="shared" si="22"/>
        <v>0</v>
      </c>
      <c r="DK724" s="1480"/>
      <c r="DL724" s="1480"/>
      <c r="DM724" s="1480"/>
      <c r="DN724" s="1480"/>
      <c r="DO724" s="1480">
        <f t="shared" si="23"/>
        <v>0</v>
      </c>
      <c r="DP724" s="1480"/>
      <c r="DQ724" s="1480"/>
      <c r="DR724" s="1480"/>
      <c r="DS724" s="1480"/>
      <c r="DT724" s="6"/>
      <c r="DU724" s="1482">
        <f t="shared" si="24"/>
        <v>0</v>
      </c>
      <c r="DV724" s="1482"/>
      <c r="DW724" s="1482"/>
      <c r="DX724" s="1482"/>
      <c r="DY724" s="1482"/>
      <c r="DZ724" s="1482">
        <f t="shared" si="25"/>
        <v>0</v>
      </c>
      <c r="EA724" s="1482"/>
      <c r="EB724" s="1482"/>
      <c r="EC724" s="1482"/>
      <c r="ED724" s="1482"/>
      <c r="EE724" s="1482">
        <f t="shared" si="26"/>
        <v>0</v>
      </c>
      <c r="EF724" s="1482"/>
      <c r="EG724" s="1482"/>
      <c r="EH724" s="1482"/>
      <c r="EI724" s="1482"/>
      <c r="EJ724" s="1482">
        <f t="shared" si="27"/>
        <v>0</v>
      </c>
      <c r="EK724" s="1482"/>
      <c r="EL724" s="1482"/>
      <c r="EM724" s="1482"/>
      <c r="EN724" s="1482"/>
      <c r="EO724" s="1482">
        <f t="shared" si="28"/>
        <v>0</v>
      </c>
      <c r="EP724" s="1482"/>
      <c r="EQ724" s="1482"/>
      <c r="ER724" s="1482"/>
      <c r="ES724" s="1482"/>
      <c r="ET724" s="1482">
        <f t="shared" si="29"/>
        <v>0</v>
      </c>
      <c r="EU724" s="1482"/>
      <c r="EV724" s="1482"/>
      <c r="EW724" s="1482"/>
      <c r="EX724" s="1482"/>
      <c r="EZ724" s="1486" t="str">
        <f t="shared" si="30"/>
        <v/>
      </c>
      <c r="FA724" s="1491"/>
      <c r="FB724" s="1491"/>
      <c r="FC724" s="1491"/>
      <c r="FD724" s="1487"/>
      <c r="FE724" s="1486">
        <f t="shared" si="31"/>
        <v>1241.44</v>
      </c>
      <c r="FF724" s="1491"/>
      <c r="FG724" s="1491"/>
      <c r="FH724" s="1491"/>
      <c r="FI724" s="1487"/>
      <c r="FJ724" s="1486" t="str">
        <f t="shared" si="32"/>
        <v/>
      </c>
      <c r="FK724" s="1491"/>
      <c r="FL724" s="1491"/>
      <c r="FM724" s="1491"/>
      <c r="FN724" s="1487"/>
      <c r="FO724" s="1486" t="str">
        <f t="shared" si="33"/>
        <v/>
      </c>
      <c r="FP724" s="1491"/>
      <c r="FQ724" s="1491"/>
      <c r="FR724" s="1491"/>
      <c r="FS724" s="1487"/>
      <c r="FT724" s="1486" t="str">
        <f t="shared" si="34"/>
        <v/>
      </c>
      <c r="FU724" s="1491"/>
      <c r="FV724" s="1491"/>
      <c r="FW724" s="1491"/>
      <c r="FX724" s="1487"/>
      <c r="FY724" s="1486" t="str">
        <f t="shared" si="35"/>
        <v/>
      </c>
      <c r="FZ724" s="1491"/>
      <c r="GA724" s="1491"/>
      <c r="GB724" s="1491"/>
      <c r="GC724" s="1487"/>
    </row>
    <row r="725" spans="1:185" ht="12.95" customHeight="1">
      <c r="B725" s="1348" t="s">
        <v>163</v>
      </c>
      <c r="C725" s="1349"/>
      <c r="D725" s="1349"/>
      <c r="E725" s="1349"/>
      <c r="F725" s="1350"/>
      <c r="G725" s="1345">
        <v>5</v>
      </c>
      <c r="H725" s="1346"/>
      <c r="I725" s="1346"/>
      <c r="J725" s="1347"/>
      <c r="K725" s="1359">
        <v>800</v>
      </c>
      <c r="L725" s="1360"/>
      <c r="M725" s="1360"/>
      <c r="N725" s="1361"/>
      <c r="O725" s="1342">
        <f>1516-T725</f>
        <v>1493.62</v>
      </c>
      <c r="P725" s="1343"/>
      <c r="Q725" s="1343"/>
      <c r="R725" s="1343"/>
      <c r="S725" s="1344"/>
      <c r="T725" s="1342">
        <v>22.38</v>
      </c>
      <c r="U725" s="1343"/>
      <c r="V725" s="1343"/>
      <c r="W725" s="1344"/>
      <c r="X725" s="1352">
        <f t="shared" si="8"/>
        <v>1516</v>
      </c>
      <c r="Y725" s="1353"/>
      <c r="Z725" s="1353"/>
      <c r="AA725" s="1353"/>
      <c r="AB725" s="1354"/>
      <c r="AC725" s="1339">
        <v>0.45</v>
      </c>
      <c r="AD725" s="1340"/>
      <c r="AE725" s="1340"/>
      <c r="AF725" s="1340"/>
      <c r="AG725" s="1341"/>
      <c r="AH725" s="1355">
        <f t="shared" si="36"/>
        <v>0.44985163204747775</v>
      </c>
      <c r="AI725" s="1356"/>
      <c r="AJ725" s="1357"/>
      <c r="AK725" s="1348" t="s">
        <v>591</v>
      </c>
      <c r="AL725" s="1349"/>
      <c r="AM725" s="1349"/>
      <c r="AN725" s="1349"/>
      <c r="AO725" s="1350"/>
      <c r="AP725" s="3"/>
      <c r="AQ725" s="3"/>
      <c r="AR725" s="3"/>
      <c r="AS725" s="3"/>
      <c r="AY725" s="1085"/>
      <c r="AZ725" s="118">
        <f t="shared" si="9"/>
        <v>3370</v>
      </c>
      <c r="BA725" s="3"/>
      <c r="BB725" s="3"/>
      <c r="BC725" s="3"/>
      <c r="BD725" s="3"/>
      <c r="BE725" s="204"/>
      <c r="BF725" s="294">
        <f t="shared" si="10"/>
        <v>5</v>
      </c>
      <c r="BG725" s="297">
        <f t="shared" si="11"/>
        <v>8.4745762711864403E-2</v>
      </c>
      <c r="BH725" s="298">
        <f t="shared" si="12"/>
        <v>3.8135593220338986E-2</v>
      </c>
      <c r="BI725" s="3"/>
      <c r="BJ725" s="3"/>
      <c r="BK725" s="3"/>
      <c r="BL725" s="3"/>
      <c r="BM725" s="3"/>
      <c r="BN725" s="3"/>
      <c r="BS725" s="294">
        <f t="shared" si="13"/>
        <v>5</v>
      </c>
      <c r="BT725" s="297">
        <f t="shared" si="14"/>
        <v>8.4745762711864403E-2</v>
      </c>
      <c r="BU725" s="298">
        <f t="shared" si="15"/>
        <v>3.8123019665040482E-2</v>
      </c>
      <c r="BV725" s="292"/>
      <c r="BW725" s="3"/>
      <c r="BX725" s="3"/>
      <c r="BY725" s="3"/>
      <c r="BZ725" s="3"/>
      <c r="CA725" s="3"/>
      <c r="CB725" s="3"/>
      <c r="CC725" s="3"/>
      <c r="CE725" s="3"/>
      <c r="CF725" s="3"/>
      <c r="CG725" s="1486">
        <f t="shared" si="37"/>
        <v>1</v>
      </c>
      <c r="CH725" s="1487"/>
      <c r="CI725" s="1484">
        <f t="shared" si="38"/>
        <v>5</v>
      </c>
      <c r="CJ725" s="1485"/>
      <c r="CK725" s="1486">
        <f t="shared" si="16"/>
        <v>0</v>
      </c>
      <c r="CL725" s="1487"/>
      <c r="CM725" s="1484">
        <f t="shared" si="17"/>
        <v>0</v>
      </c>
      <c r="CN725" s="1485"/>
      <c r="CO725" s="3"/>
      <c r="CP725" s="1488">
        <f t="shared" si="18"/>
        <v>0</v>
      </c>
      <c r="CQ725" s="1489"/>
      <c r="CR725" s="1489"/>
      <c r="CS725" s="1489"/>
      <c r="CT725" s="1490"/>
      <c r="CU725" s="1480">
        <f t="shared" si="19"/>
        <v>0</v>
      </c>
      <c r="CV725" s="1480"/>
      <c r="CW725" s="1480"/>
      <c r="CX725" s="1480"/>
      <c r="CY725" s="1480"/>
      <c r="CZ725" s="1480">
        <f t="shared" si="20"/>
        <v>5</v>
      </c>
      <c r="DA725" s="1480"/>
      <c r="DB725" s="1480"/>
      <c r="DC725" s="1480"/>
      <c r="DD725" s="1480"/>
      <c r="DE725" s="1480">
        <f t="shared" si="21"/>
        <v>0</v>
      </c>
      <c r="DF725" s="1480"/>
      <c r="DG725" s="1480"/>
      <c r="DH725" s="1480"/>
      <c r="DI725" s="1480"/>
      <c r="DJ725" s="1480">
        <f t="shared" si="22"/>
        <v>0</v>
      </c>
      <c r="DK725" s="1480"/>
      <c r="DL725" s="1480"/>
      <c r="DM725" s="1480"/>
      <c r="DN725" s="1480"/>
      <c r="DO725" s="1480">
        <f t="shared" si="23"/>
        <v>0</v>
      </c>
      <c r="DP725" s="1480"/>
      <c r="DQ725" s="1480"/>
      <c r="DR725" s="1480"/>
      <c r="DS725" s="1480"/>
      <c r="DT725" s="6"/>
      <c r="DU725" s="1482">
        <f t="shared" si="24"/>
        <v>0</v>
      </c>
      <c r="DV725" s="1482"/>
      <c r="DW725" s="1482"/>
      <c r="DX725" s="1482"/>
      <c r="DY725" s="1482"/>
      <c r="DZ725" s="1482">
        <f t="shared" si="25"/>
        <v>0</v>
      </c>
      <c r="EA725" s="1482"/>
      <c r="EB725" s="1482"/>
      <c r="EC725" s="1482"/>
      <c r="ED725" s="1482"/>
      <c r="EE725" s="1482">
        <f t="shared" si="26"/>
        <v>0</v>
      </c>
      <c r="EF725" s="1482"/>
      <c r="EG725" s="1482"/>
      <c r="EH725" s="1482"/>
      <c r="EI725" s="1482"/>
      <c r="EJ725" s="1482">
        <f t="shared" si="27"/>
        <v>0</v>
      </c>
      <c r="EK725" s="1482"/>
      <c r="EL725" s="1482"/>
      <c r="EM725" s="1482"/>
      <c r="EN725" s="1482"/>
      <c r="EO725" s="1482">
        <f t="shared" si="28"/>
        <v>0</v>
      </c>
      <c r="EP725" s="1482"/>
      <c r="EQ725" s="1482"/>
      <c r="ER725" s="1482"/>
      <c r="ES725" s="1482"/>
      <c r="ET725" s="1482">
        <f t="shared" si="29"/>
        <v>0</v>
      </c>
      <c r="EU725" s="1482"/>
      <c r="EV725" s="1482"/>
      <c r="EW725" s="1482"/>
      <c r="EX725" s="1482"/>
      <c r="EZ725" s="1486" t="str">
        <f t="shared" si="30"/>
        <v/>
      </c>
      <c r="FA725" s="1491"/>
      <c r="FB725" s="1491"/>
      <c r="FC725" s="1491"/>
      <c r="FD725" s="1487"/>
      <c r="FE725" s="1486" t="str">
        <f t="shared" si="31"/>
        <v/>
      </c>
      <c r="FF725" s="1491"/>
      <c r="FG725" s="1491"/>
      <c r="FH725" s="1491"/>
      <c r="FI725" s="1487"/>
      <c r="FJ725" s="1486">
        <f t="shared" si="32"/>
        <v>1493.62</v>
      </c>
      <c r="FK725" s="1491"/>
      <c r="FL725" s="1491"/>
      <c r="FM725" s="1491"/>
      <c r="FN725" s="1487"/>
      <c r="FO725" s="1486" t="str">
        <f t="shared" si="33"/>
        <v/>
      </c>
      <c r="FP725" s="1491"/>
      <c r="FQ725" s="1491"/>
      <c r="FR725" s="1491"/>
      <c r="FS725" s="1487"/>
      <c r="FT725" s="1486" t="str">
        <f t="shared" si="34"/>
        <v/>
      </c>
      <c r="FU725" s="1491"/>
      <c r="FV725" s="1491"/>
      <c r="FW725" s="1491"/>
      <c r="FX725" s="1487"/>
      <c r="FY725" s="1486" t="str">
        <f t="shared" si="35"/>
        <v/>
      </c>
      <c r="FZ725" s="1491"/>
      <c r="GA725" s="1491"/>
      <c r="GB725" s="1491"/>
      <c r="GC725" s="1487"/>
    </row>
    <row r="726" spans="1:185" ht="12.95" customHeight="1">
      <c r="B726" s="1348" t="s">
        <v>164</v>
      </c>
      <c r="C726" s="1349"/>
      <c r="D726" s="1349"/>
      <c r="E726" s="1349"/>
      <c r="F726" s="1350"/>
      <c r="G726" s="1345">
        <v>2</v>
      </c>
      <c r="H726" s="1346"/>
      <c r="I726" s="1346"/>
      <c r="J726" s="1347"/>
      <c r="K726" s="1359">
        <v>1012</v>
      </c>
      <c r="L726" s="1360"/>
      <c r="M726" s="1360"/>
      <c r="N726" s="1361"/>
      <c r="O726" s="1342">
        <f>1751-T726</f>
        <v>1722.88</v>
      </c>
      <c r="P726" s="1343"/>
      <c r="Q726" s="1343"/>
      <c r="R726" s="1343"/>
      <c r="S726" s="1344"/>
      <c r="T726" s="1342">
        <v>28.12</v>
      </c>
      <c r="U726" s="1343"/>
      <c r="V726" s="1343"/>
      <c r="W726" s="1344"/>
      <c r="X726" s="1352">
        <f t="shared" si="8"/>
        <v>1751</v>
      </c>
      <c r="Y726" s="1353"/>
      <c r="Z726" s="1353"/>
      <c r="AA726" s="1353"/>
      <c r="AB726" s="1354"/>
      <c r="AC726" s="1339">
        <v>0.45</v>
      </c>
      <c r="AD726" s="1340"/>
      <c r="AE726" s="1340"/>
      <c r="AF726" s="1340"/>
      <c r="AG726" s="1341"/>
      <c r="AH726" s="1355">
        <f t="shared" si="36"/>
        <v>0.44989722507708119</v>
      </c>
      <c r="AI726" s="1356"/>
      <c r="AJ726" s="1357"/>
      <c r="AK726" s="1348" t="s">
        <v>591</v>
      </c>
      <c r="AL726" s="1349"/>
      <c r="AM726" s="1349"/>
      <c r="AN726" s="1349"/>
      <c r="AO726" s="1350"/>
      <c r="AP726" s="3"/>
      <c r="AQ726" s="3"/>
      <c r="AR726" s="3"/>
      <c r="AS726" s="3"/>
      <c r="AY726" s="1085"/>
      <c r="AZ726" s="118">
        <f t="shared" si="9"/>
        <v>3892</v>
      </c>
      <c r="BA726" s="3"/>
      <c r="BB726" s="3"/>
      <c r="BC726" s="3"/>
      <c r="BD726" s="3"/>
      <c r="BE726" s="204"/>
      <c r="BF726" s="294">
        <f t="shared" si="10"/>
        <v>2</v>
      </c>
      <c r="BG726" s="297">
        <f t="shared" si="11"/>
        <v>3.3898305084745763E-2</v>
      </c>
      <c r="BH726" s="298">
        <f t="shared" si="12"/>
        <v>1.5254237288135594E-2</v>
      </c>
      <c r="BI726" s="3"/>
      <c r="BJ726" s="3"/>
      <c r="BK726" s="3"/>
      <c r="BL726" s="3"/>
      <c r="BM726" s="3"/>
      <c r="BN726" s="3"/>
      <c r="BS726" s="294">
        <f t="shared" si="13"/>
        <v>2</v>
      </c>
      <c r="BT726" s="297">
        <f t="shared" si="14"/>
        <v>3.3898305084745763E-2</v>
      </c>
      <c r="BU726" s="298">
        <f t="shared" si="15"/>
        <v>1.5250753392443431E-2</v>
      </c>
      <c r="BV726" s="3"/>
      <c r="BW726" s="3"/>
      <c r="BX726" s="3"/>
      <c r="BY726" s="3"/>
      <c r="BZ726" s="3"/>
      <c r="CA726" s="3"/>
      <c r="CB726" s="3"/>
      <c r="CC726" s="3"/>
      <c r="CE726" s="3"/>
      <c r="CF726" s="3"/>
      <c r="CG726" s="1486">
        <f t="shared" si="37"/>
        <v>1</v>
      </c>
      <c r="CH726" s="1487"/>
      <c r="CI726" s="1484">
        <f t="shared" si="38"/>
        <v>2</v>
      </c>
      <c r="CJ726" s="1485"/>
      <c r="CK726" s="1486">
        <f t="shared" si="16"/>
        <v>0</v>
      </c>
      <c r="CL726" s="1487"/>
      <c r="CM726" s="1484">
        <f t="shared" si="17"/>
        <v>0</v>
      </c>
      <c r="CN726" s="1485"/>
      <c r="CO726" s="3"/>
      <c r="CP726" s="1488">
        <f t="shared" si="18"/>
        <v>0</v>
      </c>
      <c r="CQ726" s="1489"/>
      <c r="CR726" s="1489"/>
      <c r="CS726" s="1489"/>
      <c r="CT726" s="1490"/>
      <c r="CU726" s="1480">
        <f t="shared" si="19"/>
        <v>0</v>
      </c>
      <c r="CV726" s="1480"/>
      <c r="CW726" s="1480"/>
      <c r="CX726" s="1480"/>
      <c r="CY726" s="1480"/>
      <c r="CZ726" s="1480">
        <f t="shared" si="20"/>
        <v>0</v>
      </c>
      <c r="DA726" s="1480"/>
      <c r="DB726" s="1480"/>
      <c r="DC726" s="1480"/>
      <c r="DD726" s="1480"/>
      <c r="DE726" s="1480">
        <f t="shared" si="21"/>
        <v>2</v>
      </c>
      <c r="DF726" s="1480"/>
      <c r="DG726" s="1480"/>
      <c r="DH726" s="1480"/>
      <c r="DI726" s="1480"/>
      <c r="DJ726" s="1480">
        <f t="shared" si="22"/>
        <v>0</v>
      </c>
      <c r="DK726" s="1480"/>
      <c r="DL726" s="1480"/>
      <c r="DM726" s="1480"/>
      <c r="DN726" s="1480"/>
      <c r="DO726" s="1480">
        <f t="shared" si="23"/>
        <v>0</v>
      </c>
      <c r="DP726" s="1480"/>
      <c r="DQ726" s="1480"/>
      <c r="DR726" s="1480"/>
      <c r="DS726" s="1480"/>
      <c r="DT726" s="6"/>
      <c r="DU726" s="1482">
        <f t="shared" si="24"/>
        <v>0</v>
      </c>
      <c r="DV726" s="1482"/>
      <c r="DW726" s="1482"/>
      <c r="DX726" s="1482"/>
      <c r="DY726" s="1482"/>
      <c r="DZ726" s="1482">
        <f t="shared" si="25"/>
        <v>0</v>
      </c>
      <c r="EA726" s="1482"/>
      <c r="EB726" s="1482"/>
      <c r="EC726" s="1482"/>
      <c r="ED726" s="1482"/>
      <c r="EE726" s="1482">
        <f t="shared" si="26"/>
        <v>0</v>
      </c>
      <c r="EF726" s="1482"/>
      <c r="EG726" s="1482"/>
      <c r="EH726" s="1482"/>
      <c r="EI726" s="1482"/>
      <c r="EJ726" s="1482">
        <f t="shared" si="27"/>
        <v>0</v>
      </c>
      <c r="EK726" s="1482"/>
      <c r="EL726" s="1482"/>
      <c r="EM726" s="1482"/>
      <c r="EN726" s="1482"/>
      <c r="EO726" s="1482">
        <f t="shared" si="28"/>
        <v>0</v>
      </c>
      <c r="EP726" s="1482"/>
      <c r="EQ726" s="1482"/>
      <c r="ER726" s="1482"/>
      <c r="ES726" s="1482"/>
      <c r="ET726" s="1482">
        <f t="shared" si="29"/>
        <v>0</v>
      </c>
      <c r="EU726" s="1482"/>
      <c r="EV726" s="1482"/>
      <c r="EW726" s="1482"/>
      <c r="EX726" s="1482"/>
      <c r="EY726" s="4"/>
      <c r="EZ726" s="1486" t="str">
        <f t="shared" si="30"/>
        <v/>
      </c>
      <c r="FA726" s="1491"/>
      <c r="FB726" s="1491"/>
      <c r="FC726" s="1491"/>
      <c r="FD726" s="1487"/>
      <c r="FE726" s="1486" t="str">
        <f t="shared" si="31"/>
        <v/>
      </c>
      <c r="FF726" s="1491"/>
      <c r="FG726" s="1491"/>
      <c r="FH726" s="1491"/>
      <c r="FI726" s="1487"/>
      <c r="FJ726" s="1486" t="str">
        <f t="shared" si="32"/>
        <v/>
      </c>
      <c r="FK726" s="1491"/>
      <c r="FL726" s="1491"/>
      <c r="FM726" s="1491"/>
      <c r="FN726" s="1487"/>
      <c r="FO726" s="1486">
        <f t="shared" si="33"/>
        <v>1722.88</v>
      </c>
      <c r="FP726" s="1491"/>
      <c r="FQ726" s="1491"/>
      <c r="FR726" s="1491"/>
      <c r="FS726" s="1487"/>
      <c r="FT726" s="1486" t="str">
        <f t="shared" si="34"/>
        <v/>
      </c>
      <c r="FU726" s="1491"/>
      <c r="FV726" s="1491"/>
      <c r="FW726" s="1491"/>
      <c r="FX726" s="1487"/>
      <c r="FY726" s="1486" t="str">
        <f t="shared" si="35"/>
        <v/>
      </c>
      <c r="FZ726" s="1491"/>
      <c r="GA726" s="1491"/>
      <c r="GB726" s="1491"/>
      <c r="GC726" s="1487"/>
    </row>
    <row r="727" spans="1:185" ht="12.95" customHeight="1">
      <c r="A727" s="4"/>
      <c r="B727" s="1348" t="s">
        <v>163</v>
      </c>
      <c r="C727" s="1349"/>
      <c r="D727" s="1349"/>
      <c r="E727" s="1349"/>
      <c r="F727" s="1350"/>
      <c r="G727" s="1345">
        <v>10</v>
      </c>
      <c r="H727" s="1346"/>
      <c r="I727" s="1346"/>
      <c r="J727" s="1347"/>
      <c r="K727" s="1359">
        <v>800</v>
      </c>
      <c r="L727" s="1360"/>
      <c r="M727" s="1360"/>
      <c r="N727" s="1361"/>
      <c r="O727" s="1342">
        <f>1685-T727</f>
        <v>1662.62</v>
      </c>
      <c r="P727" s="1343"/>
      <c r="Q727" s="1343"/>
      <c r="R727" s="1343"/>
      <c r="S727" s="1344"/>
      <c r="T727" s="1342">
        <v>22.38</v>
      </c>
      <c r="U727" s="1343"/>
      <c r="V727" s="1343"/>
      <c r="W727" s="1344"/>
      <c r="X727" s="1352">
        <f t="shared" si="8"/>
        <v>1685</v>
      </c>
      <c r="Y727" s="1353"/>
      <c r="Z727" s="1353"/>
      <c r="AA727" s="1353"/>
      <c r="AB727" s="1354"/>
      <c r="AC727" s="1339">
        <v>0.5</v>
      </c>
      <c r="AD727" s="1340"/>
      <c r="AE727" s="1340"/>
      <c r="AF727" s="1340"/>
      <c r="AG727" s="1341"/>
      <c r="AH727" s="1355">
        <f t="shared" si="36"/>
        <v>0.5</v>
      </c>
      <c r="AI727" s="1356"/>
      <c r="AJ727" s="1357"/>
      <c r="AK727" s="1348" t="s">
        <v>591</v>
      </c>
      <c r="AL727" s="1349"/>
      <c r="AM727" s="1349"/>
      <c r="AN727" s="1349"/>
      <c r="AO727" s="1350"/>
      <c r="AP727" s="3"/>
      <c r="AQ727" s="3"/>
      <c r="AR727" s="3"/>
      <c r="AS727" s="3"/>
      <c r="AY727" s="1085"/>
      <c r="AZ727" s="118">
        <f t="shared" si="9"/>
        <v>3370</v>
      </c>
      <c r="BA727" s="3"/>
      <c r="BB727" s="3"/>
      <c r="BC727" s="3"/>
      <c r="BD727" s="3"/>
      <c r="BE727" s="204"/>
      <c r="BF727" s="294">
        <f t="shared" si="10"/>
        <v>10</v>
      </c>
      <c r="BG727" s="297">
        <f t="shared" si="11"/>
        <v>0.16949152542372881</v>
      </c>
      <c r="BH727" s="298">
        <f t="shared" si="12"/>
        <v>8.4745762711864403E-2</v>
      </c>
      <c r="BI727" s="3"/>
      <c r="BJ727" s="3"/>
      <c r="BK727" s="3"/>
      <c r="BL727" s="3"/>
      <c r="BM727" s="3"/>
      <c r="BN727" s="3"/>
      <c r="BS727" s="294">
        <f t="shared" si="13"/>
        <v>10</v>
      </c>
      <c r="BT727" s="297">
        <f t="shared" si="14"/>
        <v>0.16949152542372881</v>
      </c>
      <c r="BU727" s="298">
        <f t="shared" si="15"/>
        <v>8.4745762711864403E-2</v>
      </c>
      <c r="BV727" s="3"/>
      <c r="BW727" s="3"/>
      <c r="BX727" s="3"/>
      <c r="BY727" s="3"/>
      <c r="BZ727" s="3"/>
      <c r="CA727" s="3"/>
      <c r="CB727" s="3"/>
      <c r="CC727" s="3"/>
      <c r="CE727" s="3"/>
      <c r="CF727" s="3"/>
      <c r="CG727" s="1486">
        <f t="shared" si="37"/>
        <v>1</v>
      </c>
      <c r="CH727" s="1487"/>
      <c r="CI727" s="1484">
        <f t="shared" si="38"/>
        <v>10</v>
      </c>
      <c r="CJ727" s="1485"/>
      <c r="CK727" s="1486">
        <f t="shared" si="16"/>
        <v>0</v>
      </c>
      <c r="CL727" s="1487"/>
      <c r="CM727" s="1484">
        <f t="shared" si="17"/>
        <v>0</v>
      </c>
      <c r="CN727" s="1485"/>
      <c r="CO727" s="3"/>
      <c r="CP727" s="1488">
        <f t="shared" si="18"/>
        <v>0</v>
      </c>
      <c r="CQ727" s="1489"/>
      <c r="CR727" s="1489"/>
      <c r="CS727" s="1489"/>
      <c r="CT727" s="1490"/>
      <c r="CU727" s="1480">
        <f t="shared" si="19"/>
        <v>0</v>
      </c>
      <c r="CV727" s="1480"/>
      <c r="CW727" s="1480"/>
      <c r="CX727" s="1480"/>
      <c r="CY727" s="1480"/>
      <c r="CZ727" s="1480">
        <f t="shared" si="20"/>
        <v>10</v>
      </c>
      <c r="DA727" s="1480"/>
      <c r="DB727" s="1480"/>
      <c r="DC727" s="1480"/>
      <c r="DD727" s="1480"/>
      <c r="DE727" s="1480">
        <f t="shared" si="21"/>
        <v>0</v>
      </c>
      <c r="DF727" s="1480"/>
      <c r="DG727" s="1480"/>
      <c r="DH727" s="1480"/>
      <c r="DI727" s="1480"/>
      <c r="DJ727" s="1480">
        <f t="shared" si="22"/>
        <v>0</v>
      </c>
      <c r="DK727" s="1480"/>
      <c r="DL727" s="1480"/>
      <c r="DM727" s="1480"/>
      <c r="DN727" s="1480"/>
      <c r="DO727" s="1480">
        <f t="shared" si="23"/>
        <v>0</v>
      </c>
      <c r="DP727" s="1480"/>
      <c r="DQ727" s="1480"/>
      <c r="DR727" s="1480"/>
      <c r="DS727" s="1480"/>
      <c r="DT727" s="6"/>
      <c r="DU727" s="1482">
        <f t="shared" si="24"/>
        <v>0</v>
      </c>
      <c r="DV727" s="1482"/>
      <c r="DW727" s="1482"/>
      <c r="DX727" s="1482"/>
      <c r="DY727" s="1482"/>
      <c r="DZ727" s="1482">
        <f t="shared" si="25"/>
        <v>0</v>
      </c>
      <c r="EA727" s="1482"/>
      <c r="EB727" s="1482"/>
      <c r="EC727" s="1482"/>
      <c r="ED727" s="1482"/>
      <c r="EE727" s="1482">
        <f t="shared" si="26"/>
        <v>0</v>
      </c>
      <c r="EF727" s="1482"/>
      <c r="EG727" s="1482"/>
      <c r="EH727" s="1482"/>
      <c r="EI727" s="1482"/>
      <c r="EJ727" s="1482">
        <f t="shared" si="27"/>
        <v>0</v>
      </c>
      <c r="EK727" s="1482"/>
      <c r="EL727" s="1482"/>
      <c r="EM727" s="1482"/>
      <c r="EN727" s="1482"/>
      <c r="EO727" s="1482">
        <f t="shared" si="28"/>
        <v>0</v>
      </c>
      <c r="EP727" s="1482"/>
      <c r="EQ727" s="1482"/>
      <c r="ER727" s="1482"/>
      <c r="ES727" s="1482"/>
      <c r="ET727" s="1482">
        <f t="shared" si="29"/>
        <v>0</v>
      </c>
      <c r="EU727" s="1482"/>
      <c r="EV727" s="1482"/>
      <c r="EW727" s="1482"/>
      <c r="EX727" s="1482"/>
      <c r="EY727" s="4"/>
      <c r="EZ727" s="1486" t="str">
        <f t="shared" si="30"/>
        <v/>
      </c>
      <c r="FA727" s="1491"/>
      <c r="FB727" s="1491"/>
      <c r="FC727" s="1491"/>
      <c r="FD727" s="1487"/>
      <c r="FE727" s="1486" t="str">
        <f t="shared" si="31"/>
        <v/>
      </c>
      <c r="FF727" s="1491"/>
      <c r="FG727" s="1491"/>
      <c r="FH727" s="1491"/>
      <c r="FI727" s="1487"/>
      <c r="FJ727" s="1486">
        <f t="shared" si="32"/>
        <v>1662.62</v>
      </c>
      <c r="FK727" s="1491"/>
      <c r="FL727" s="1491"/>
      <c r="FM727" s="1491"/>
      <c r="FN727" s="1487"/>
      <c r="FO727" s="1486" t="str">
        <f t="shared" si="33"/>
        <v/>
      </c>
      <c r="FP727" s="1491"/>
      <c r="FQ727" s="1491"/>
      <c r="FR727" s="1491"/>
      <c r="FS727" s="1487"/>
      <c r="FT727" s="1486" t="str">
        <f t="shared" si="34"/>
        <v/>
      </c>
      <c r="FU727" s="1491"/>
      <c r="FV727" s="1491"/>
      <c r="FW727" s="1491"/>
      <c r="FX727" s="1487"/>
      <c r="FY727" s="1486" t="str">
        <f t="shared" si="35"/>
        <v/>
      </c>
      <c r="FZ727" s="1491"/>
      <c r="GA727" s="1491"/>
      <c r="GB727" s="1491"/>
      <c r="GC727" s="1487"/>
    </row>
    <row r="728" spans="1:185" ht="12.95" customHeight="1">
      <c r="A728" s="4"/>
      <c r="B728" s="1348" t="s">
        <v>164</v>
      </c>
      <c r="C728" s="1349"/>
      <c r="D728" s="1349"/>
      <c r="E728" s="1349"/>
      <c r="F728" s="1350"/>
      <c r="G728" s="1345">
        <v>6</v>
      </c>
      <c r="H728" s="1346"/>
      <c r="I728" s="1346"/>
      <c r="J728" s="1347"/>
      <c r="K728" s="1359">
        <v>1012</v>
      </c>
      <c r="L728" s="1360"/>
      <c r="M728" s="1360"/>
      <c r="N728" s="1361"/>
      <c r="O728" s="1342">
        <f>1946-T728</f>
        <v>1917.88</v>
      </c>
      <c r="P728" s="1343"/>
      <c r="Q728" s="1343"/>
      <c r="R728" s="1343"/>
      <c r="S728" s="1344"/>
      <c r="T728" s="1342">
        <v>28.12</v>
      </c>
      <c r="U728" s="1343"/>
      <c r="V728" s="1343"/>
      <c r="W728" s="1344"/>
      <c r="X728" s="1352">
        <f t="shared" si="8"/>
        <v>1946</v>
      </c>
      <c r="Y728" s="1353"/>
      <c r="Z728" s="1353"/>
      <c r="AA728" s="1353"/>
      <c r="AB728" s="1354"/>
      <c r="AC728" s="1339">
        <v>0.5</v>
      </c>
      <c r="AD728" s="1340"/>
      <c r="AE728" s="1340"/>
      <c r="AF728" s="1340"/>
      <c r="AG728" s="1341"/>
      <c r="AH728" s="1355">
        <f t="shared" si="36"/>
        <v>0.5</v>
      </c>
      <c r="AI728" s="1356"/>
      <c r="AJ728" s="1357"/>
      <c r="AK728" s="1348" t="s">
        <v>591</v>
      </c>
      <c r="AL728" s="1349"/>
      <c r="AM728" s="1349"/>
      <c r="AN728" s="1349"/>
      <c r="AO728" s="1350"/>
      <c r="AP728" s="3"/>
      <c r="AQ728" s="3"/>
      <c r="AR728" s="3"/>
      <c r="AS728" s="3"/>
      <c r="AY728" s="1085"/>
      <c r="AZ728" s="118">
        <f t="shared" si="9"/>
        <v>3892</v>
      </c>
      <c r="BA728" s="3"/>
      <c r="BB728" s="3"/>
      <c r="BC728" s="3"/>
      <c r="BD728" s="3"/>
      <c r="BE728" s="204"/>
      <c r="BF728" s="294">
        <f t="shared" si="10"/>
        <v>6</v>
      </c>
      <c r="BG728" s="297">
        <f t="shared" si="11"/>
        <v>0.10169491525423729</v>
      </c>
      <c r="BH728" s="298">
        <f t="shared" si="12"/>
        <v>5.0847457627118647E-2</v>
      </c>
      <c r="BI728" s="3"/>
      <c r="BJ728" s="3"/>
      <c r="BK728" s="3"/>
      <c r="BL728" s="3"/>
      <c r="BM728" s="3"/>
      <c r="BN728" s="3"/>
      <c r="BS728" s="294">
        <f t="shared" si="13"/>
        <v>6</v>
      </c>
      <c r="BT728" s="297">
        <f t="shared" si="14"/>
        <v>0.10169491525423729</v>
      </c>
      <c r="BU728" s="298">
        <f t="shared" si="15"/>
        <v>5.0847457627118647E-2</v>
      </c>
      <c r="BV728" s="3"/>
      <c r="BW728" s="3"/>
      <c r="BX728" s="3"/>
      <c r="BY728" s="3"/>
      <c r="BZ728" s="3"/>
      <c r="CA728" s="3"/>
      <c r="CB728" s="3"/>
      <c r="CC728" s="3"/>
      <c r="CE728" s="3"/>
      <c r="CF728" s="3"/>
      <c r="CG728" s="1486">
        <f t="shared" si="37"/>
        <v>1</v>
      </c>
      <c r="CH728" s="1487"/>
      <c r="CI728" s="1484">
        <f t="shared" si="38"/>
        <v>6</v>
      </c>
      <c r="CJ728" s="1485"/>
      <c r="CK728" s="1486">
        <f t="shared" si="16"/>
        <v>0</v>
      </c>
      <c r="CL728" s="1487"/>
      <c r="CM728" s="1484">
        <f t="shared" si="17"/>
        <v>0</v>
      </c>
      <c r="CN728" s="1485"/>
      <c r="CO728" s="3"/>
      <c r="CP728" s="1488">
        <f t="shared" si="18"/>
        <v>0</v>
      </c>
      <c r="CQ728" s="1489"/>
      <c r="CR728" s="1489"/>
      <c r="CS728" s="1489"/>
      <c r="CT728" s="1490"/>
      <c r="CU728" s="1480">
        <f t="shared" si="19"/>
        <v>0</v>
      </c>
      <c r="CV728" s="1480"/>
      <c r="CW728" s="1480"/>
      <c r="CX728" s="1480"/>
      <c r="CY728" s="1480"/>
      <c r="CZ728" s="1480">
        <f t="shared" si="20"/>
        <v>0</v>
      </c>
      <c r="DA728" s="1480"/>
      <c r="DB728" s="1480"/>
      <c r="DC728" s="1480"/>
      <c r="DD728" s="1480"/>
      <c r="DE728" s="1480">
        <f t="shared" si="21"/>
        <v>6</v>
      </c>
      <c r="DF728" s="1480"/>
      <c r="DG728" s="1480"/>
      <c r="DH728" s="1480"/>
      <c r="DI728" s="1480"/>
      <c r="DJ728" s="1480">
        <f t="shared" si="22"/>
        <v>0</v>
      </c>
      <c r="DK728" s="1480"/>
      <c r="DL728" s="1480"/>
      <c r="DM728" s="1480"/>
      <c r="DN728" s="1480"/>
      <c r="DO728" s="1480">
        <f t="shared" si="23"/>
        <v>0</v>
      </c>
      <c r="DP728" s="1480"/>
      <c r="DQ728" s="1480"/>
      <c r="DR728" s="1480"/>
      <c r="DS728" s="1480"/>
      <c r="DT728" s="6"/>
      <c r="DU728" s="1482">
        <f t="shared" si="24"/>
        <v>0</v>
      </c>
      <c r="DV728" s="1482"/>
      <c r="DW728" s="1482"/>
      <c r="DX728" s="1482"/>
      <c r="DY728" s="1482"/>
      <c r="DZ728" s="1482">
        <f t="shared" si="25"/>
        <v>0</v>
      </c>
      <c r="EA728" s="1482"/>
      <c r="EB728" s="1482"/>
      <c r="EC728" s="1482"/>
      <c r="ED728" s="1482"/>
      <c r="EE728" s="1482">
        <f t="shared" si="26"/>
        <v>0</v>
      </c>
      <c r="EF728" s="1482"/>
      <c r="EG728" s="1482"/>
      <c r="EH728" s="1482"/>
      <c r="EI728" s="1482"/>
      <c r="EJ728" s="1482">
        <f t="shared" si="27"/>
        <v>0</v>
      </c>
      <c r="EK728" s="1482"/>
      <c r="EL728" s="1482"/>
      <c r="EM728" s="1482"/>
      <c r="EN728" s="1482"/>
      <c r="EO728" s="1482">
        <f t="shared" si="28"/>
        <v>0</v>
      </c>
      <c r="EP728" s="1482"/>
      <c r="EQ728" s="1482"/>
      <c r="ER728" s="1482"/>
      <c r="ES728" s="1482"/>
      <c r="ET728" s="1482">
        <f t="shared" si="29"/>
        <v>0</v>
      </c>
      <c r="EU728" s="1482"/>
      <c r="EV728" s="1482"/>
      <c r="EW728" s="1482"/>
      <c r="EX728" s="1482"/>
      <c r="EY728" s="4"/>
      <c r="EZ728" s="1486" t="str">
        <f t="shared" si="30"/>
        <v/>
      </c>
      <c r="FA728" s="1491"/>
      <c r="FB728" s="1491"/>
      <c r="FC728" s="1491"/>
      <c r="FD728" s="1487"/>
      <c r="FE728" s="1486" t="str">
        <f t="shared" si="31"/>
        <v/>
      </c>
      <c r="FF728" s="1491"/>
      <c r="FG728" s="1491"/>
      <c r="FH728" s="1491"/>
      <c r="FI728" s="1487"/>
      <c r="FJ728" s="1486" t="str">
        <f t="shared" si="32"/>
        <v/>
      </c>
      <c r="FK728" s="1491"/>
      <c r="FL728" s="1491"/>
      <c r="FM728" s="1491"/>
      <c r="FN728" s="1487"/>
      <c r="FO728" s="1486">
        <f t="shared" si="33"/>
        <v>1917.88</v>
      </c>
      <c r="FP728" s="1491"/>
      <c r="FQ728" s="1491"/>
      <c r="FR728" s="1491"/>
      <c r="FS728" s="1487"/>
      <c r="FT728" s="1486" t="str">
        <f t="shared" si="34"/>
        <v/>
      </c>
      <c r="FU728" s="1491"/>
      <c r="FV728" s="1491"/>
      <c r="FW728" s="1491"/>
      <c r="FX728" s="1487"/>
      <c r="FY728" s="1486" t="str">
        <f t="shared" si="35"/>
        <v/>
      </c>
      <c r="FZ728" s="1491"/>
      <c r="GA728" s="1491"/>
      <c r="GB728" s="1491"/>
      <c r="GC728" s="1487"/>
    </row>
    <row r="729" spans="1:185" ht="12.95" customHeight="1">
      <c r="A729" s="4"/>
      <c r="B729" s="1348" t="s">
        <v>163</v>
      </c>
      <c r="C729" s="1349"/>
      <c r="D729" s="1349"/>
      <c r="E729" s="1349"/>
      <c r="F729" s="1350"/>
      <c r="G729" s="1345">
        <v>5</v>
      </c>
      <c r="H729" s="1346"/>
      <c r="I729" s="1346"/>
      <c r="J729" s="1347"/>
      <c r="K729" s="1359">
        <v>800</v>
      </c>
      <c r="L729" s="1360"/>
      <c r="M729" s="1360"/>
      <c r="N729" s="1361"/>
      <c r="O729" s="1342">
        <f>1853-T729</f>
        <v>1830.62</v>
      </c>
      <c r="P729" s="1343"/>
      <c r="Q729" s="1343"/>
      <c r="R729" s="1343"/>
      <c r="S729" s="1344"/>
      <c r="T729" s="1342">
        <v>22.38</v>
      </c>
      <c r="U729" s="1343"/>
      <c r="V729" s="1343"/>
      <c r="W729" s="1344"/>
      <c r="X729" s="1352">
        <f t="shared" si="8"/>
        <v>1853</v>
      </c>
      <c r="Y729" s="1353"/>
      <c r="Z729" s="1353"/>
      <c r="AA729" s="1353"/>
      <c r="AB729" s="1354"/>
      <c r="AC729" s="1339">
        <v>0.55000000000000004</v>
      </c>
      <c r="AD729" s="1340"/>
      <c r="AE729" s="1340"/>
      <c r="AF729" s="1340"/>
      <c r="AG729" s="1341"/>
      <c r="AH729" s="1355">
        <f t="shared" si="36"/>
        <v>0.54985163204747778</v>
      </c>
      <c r="AI729" s="1356"/>
      <c r="AJ729" s="1357"/>
      <c r="AK729" s="1348" t="s">
        <v>591</v>
      </c>
      <c r="AL729" s="1349"/>
      <c r="AM729" s="1349"/>
      <c r="AN729" s="1349"/>
      <c r="AO729" s="1350"/>
      <c r="AP729" s="3"/>
      <c r="AQ729" s="3"/>
      <c r="AR729" s="3"/>
      <c r="AS729" s="3"/>
      <c r="AY729" s="1085"/>
      <c r="AZ729" s="118">
        <f t="shared" si="9"/>
        <v>3370</v>
      </c>
      <c r="BA729" s="3"/>
      <c r="BB729" s="3"/>
      <c r="BC729" s="3"/>
      <c r="BD729" s="3"/>
      <c r="BE729" s="204"/>
      <c r="BF729" s="294">
        <f t="shared" si="10"/>
        <v>5</v>
      </c>
      <c r="BG729" s="297">
        <f t="shared" si="11"/>
        <v>8.4745762711864403E-2</v>
      </c>
      <c r="BH729" s="298">
        <f t="shared" si="12"/>
        <v>4.6610169491525424E-2</v>
      </c>
      <c r="BI729" s="3"/>
      <c r="BJ729" s="3"/>
      <c r="BK729" s="3"/>
      <c r="BL729" s="3"/>
      <c r="BM729" s="3"/>
      <c r="BN729" s="3"/>
      <c r="BS729" s="294">
        <f t="shared" si="13"/>
        <v>5</v>
      </c>
      <c r="BT729" s="297">
        <f t="shared" si="14"/>
        <v>8.4745762711864403E-2</v>
      </c>
      <c r="BU729" s="298">
        <f t="shared" si="15"/>
        <v>4.6597595936226928E-2</v>
      </c>
      <c r="BV729" s="3"/>
      <c r="BW729" s="3"/>
      <c r="BX729" s="3"/>
      <c r="BY729" s="3"/>
      <c r="BZ729" s="3"/>
      <c r="CA729" s="3"/>
      <c r="CB729" s="3"/>
      <c r="CC729" s="3"/>
      <c r="CE729" s="3"/>
      <c r="CF729" s="3"/>
      <c r="CG729" s="1486">
        <f t="shared" si="37"/>
        <v>0</v>
      </c>
      <c r="CH729" s="1487"/>
      <c r="CI729" s="1484">
        <f t="shared" si="38"/>
        <v>0</v>
      </c>
      <c r="CJ729" s="1485"/>
      <c r="CK729" s="1486">
        <f t="shared" si="16"/>
        <v>0</v>
      </c>
      <c r="CL729" s="1487"/>
      <c r="CM729" s="1484">
        <f t="shared" si="17"/>
        <v>0</v>
      </c>
      <c r="CN729" s="1485"/>
      <c r="CO729" s="3"/>
      <c r="CP729" s="1488">
        <f t="shared" si="18"/>
        <v>0</v>
      </c>
      <c r="CQ729" s="1489"/>
      <c r="CR729" s="1489"/>
      <c r="CS729" s="1489"/>
      <c r="CT729" s="1490"/>
      <c r="CU729" s="1480">
        <f t="shared" si="19"/>
        <v>0</v>
      </c>
      <c r="CV729" s="1480"/>
      <c r="CW729" s="1480"/>
      <c r="CX729" s="1480"/>
      <c r="CY729" s="1480"/>
      <c r="CZ729" s="1480">
        <f t="shared" si="20"/>
        <v>5</v>
      </c>
      <c r="DA729" s="1480"/>
      <c r="DB729" s="1480"/>
      <c r="DC729" s="1480"/>
      <c r="DD729" s="1480"/>
      <c r="DE729" s="1480">
        <f t="shared" si="21"/>
        <v>0</v>
      </c>
      <c r="DF729" s="1480"/>
      <c r="DG729" s="1480"/>
      <c r="DH729" s="1480"/>
      <c r="DI729" s="1480"/>
      <c r="DJ729" s="1480">
        <f t="shared" si="22"/>
        <v>0</v>
      </c>
      <c r="DK729" s="1480"/>
      <c r="DL729" s="1480"/>
      <c r="DM729" s="1480"/>
      <c r="DN729" s="1480"/>
      <c r="DO729" s="1480">
        <f t="shared" si="23"/>
        <v>0</v>
      </c>
      <c r="DP729" s="1480"/>
      <c r="DQ729" s="1480"/>
      <c r="DR729" s="1480"/>
      <c r="DS729" s="1480"/>
      <c r="DT729" s="6"/>
      <c r="DU729" s="1482">
        <f t="shared" si="24"/>
        <v>0</v>
      </c>
      <c r="DV729" s="1482"/>
      <c r="DW729" s="1482"/>
      <c r="DX729" s="1482"/>
      <c r="DY729" s="1482"/>
      <c r="DZ729" s="1482">
        <f t="shared" si="25"/>
        <v>0</v>
      </c>
      <c r="EA729" s="1482"/>
      <c r="EB729" s="1482"/>
      <c r="EC729" s="1482"/>
      <c r="ED729" s="1482"/>
      <c r="EE729" s="1482">
        <f t="shared" si="26"/>
        <v>0</v>
      </c>
      <c r="EF729" s="1482"/>
      <c r="EG729" s="1482"/>
      <c r="EH729" s="1482"/>
      <c r="EI729" s="1482"/>
      <c r="EJ729" s="1482">
        <f t="shared" si="27"/>
        <v>0</v>
      </c>
      <c r="EK729" s="1482"/>
      <c r="EL729" s="1482"/>
      <c r="EM729" s="1482"/>
      <c r="EN729" s="1482"/>
      <c r="EO729" s="1482">
        <f t="shared" si="28"/>
        <v>0</v>
      </c>
      <c r="EP729" s="1482"/>
      <c r="EQ729" s="1482"/>
      <c r="ER729" s="1482"/>
      <c r="ES729" s="1482"/>
      <c r="ET729" s="1482">
        <f t="shared" si="29"/>
        <v>0</v>
      </c>
      <c r="EU729" s="1482"/>
      <c r="EV729" s="1482"/>
      <c r="EW729" s="1482"/>
      <c r="EX729" s="1482"/>
      <c r="EZ729" s="1486" t="str">
        <f t="shared" si="30"/>
        <v/>
      </c>
      <c r="FA729" s="1491"/>
      <c r="FB729" s="1491"/>
      <c r="FC729" s="1491"/>
      <c r="FD729" s="1487"/>
      <c r="FE729" s="1486" t="str">
        <f t="shared" si="31"/>
        <v/>
      </c>
      <c r="FF729" s="1491"/>
      <c r="FG729" s="1491"/>
      <c r="FH729" s="1491"/>
      <c r="FI729" s="1487"/>
      <c r="FJ729" s="1486">
        <f t="shared" si="32"/>
        <v>1830.62</v>
      </c>
      <c r="FK729" s="1491"/>
      <c r="FL729" s="1491"/>
      <c r="FM729" s="1491"/>
      <c r="FN729" s="1487"/>
      <c r="FO729" s="1486" t="str">
        <f t="shared" si="33"/>
        <v/>
      </c>
      <c r="FP729" s="1491"/>
      <c r="FQ729" s="1491"/>
      <c r="FR729" s="1491"/>
      <c r="FS729" s="1487"/>
      <c r="FT729" s="1486" t="str">
        <f t="shared" si="34"/>
        <v/>
      </c>
      <c r="FU729" s="1491"/>
      <c r="FV729" s="1491"/>
      <c r="FW729" s="1491"/>
      <c r="FX729" s="1487"/>
      <c r="FY729" s="1486" t="str">
        <f t="shared" si="35"/>
        <v/>
      </c>
      <c r="FZ729" s="1491"/>
      <c r="GA729" s="1491"/>
      <c r="GB729" s="1491"/>
      <c r="GC729" s="1487"/>
    </row>
    <row r="730" spans="1:185" ht="12.95" customHeight="1">
      <c r="B730" s="1348" t="s">
        <v>164</v>
      </c>
      <c r="C730" s="1349"/>
      <c r="D730" s="1349"/>
      <c r="E730" s="1349"/>
      <c r="F730" s="1350"/>
      <c r="G730" s="1345">
        <v>5</v>
      </c>
      <c r="H730" s="1346"/>
      <c r="I730" s="1346"/>
      <c r="J730" s="1347"/>
      <c r="K730" s="1359">
        <v>1012</v>
      </c>
      <c r="L730" s="1360"/>
      <c r="M730" s="1360"/>
      <c r="N730" s="1361"/>
      <c r="O730" s="1342">
        <f>2140-T730</f>
        <v>2111.88</v>
      </c>
      <c r="P730" s="1343"/>
      <c r="Q730" s="1343"/>
      <c r="R730" s="1343"/>
      <c r="S730" s="1344"/>
      <c r="T730" s="1342">
        <v>28.12</v>
      </c>
      <c r="U730" s="1343"/>
      <c r="V730" s="1343"/>
      <c r="W730" s="1344"/>
      <c r="X730" s="1352">
        <f t="shared" si="8"/>
        <v>2140</v>
      </c>
      <c r="Y730" s="1353"/>
      <c r="Z730" s="1353"/>
      <c r="AA730" s="1353"/>
      <c r="AB730" s="1354"/>
      <c r="AC730" s="1339">
        <v>0.55000000000000004</v>
      </c>
      <c r="AD730" s="1340"/>
      <c r="AE730" s="1340"/>
      <c r="AF730" s="1340"/>
      <c r="AG730" s="1341"/>
      <c r="AH730" s="1355">
        <f t="shared" si="36"/>
        <v>0.54984583761562178</v>
      </c>
      <c r="AI730" s="1356"/>
      <c r="AJ730" s="1357"/>
      <c r="AK730" s="1348" t="s">
        <v>591</v>
      </c>
      <c r="AL730" s="1349"/>
      <c r="AM730" s="1349"/>
      <c r="AN730" s="1349"/>
      <c r="AO730" s="1350"/>
      <c r="AP730" s="3"/>
      <c r="AQ730" s="3"/>
      <c r="AR730" s="3"/>
      <c r="AS730" s="3"/>
      <c r="AY730" s="1085"/>
      <c r="AZ730" s="118">
        <f t="shared" si="9"/>
        <v>3892</v>
      </c>
      <c r="BA730" s="3"/>
      <c r="BB730" s="3"/>
      <c r="BC730" s="3"/>
      <c r="BD730" s="3"/>
      <c r="BE730" s="204"/>
      <c r="BF730" s="294">
        <f t="shared" si="10"/>
        <v>5</v>
      </c>
      <c r="BG730" s="297">
        <f t="shared" si="11"/>
        <v>8.4745762711864403E-2</v>
      </c>
      <c r="BH730" s="298">
        <f t="shared" si="12"/>
        <v>4.6610169491525424E-2</v>
      </c>
      <c r="BI730" s="3"/>
      <c r="BJ730" s="3"/>
      <c r="BK730" s="3"/>
      <c r="BL730" s="3"/>
      <c r="BM730" s="3"/>
      <c r="BN730" s="3"/>
      <c r="BS730" s="294">
        <f t="shared" si="13"/>
        <v>5</v>
      </c>
      <c r="BT730" s="297">
        <f t="shared" si="14"/>
        <v>8.4745762711864403E-2</v>
      </c>
      <c r="BU730" s="298">
        <f t="shared" si="15"/>
        <v>4.6597104882679811E-2</v>
      </c>
      <c r="BV730" s="3"/>
      <c r="BW730" s="3"/>
      <c r="BX730" s="3"/>
      <c r="BY730" s="3"/>
      <c r="BZ730" s="3"/>
      <c r="CA730" s="3"/>
      <c r="CB730" s="3"/>
      <c r="CC730" s="3"/>
      <c r="CE730" s="3"/>
      <c r="CF730" s="3"/>
      <c r="CG730" s="1486">
        <f t="shared" si="37"/>
        <v>0</v>
      </c>
      <c r="CH730" s="1487"/>
      <c r="CI730" s="1484">
        <f t="shared" si="38"/>
        <v>0</v>
      </c>
      <c r="CJ730" s="1485"/>
      <c r="CK730" s="1486">
        <f t="shared" si="16"/>
        <v>0</v>
      </c>
      <c r="CL730" s="1487"/>
      <c r="CM730" s="1484">
        <f t="shared" si="17"/>
        <v>0</v>
      </c>
      <c r="CN730" s="1485"/>
      <c r="CO730" s="3"/>
      <c r="CP730" s="1488">
        <f t="shared" si="18"/>
        <v>0</v>
      </c>
      <c r="CQ730" s="1489"/>
      <c r="CR730" s="1489"/>
      <c r="CS730" s="1489"/>
      <c r="CT730" s="1490"/>
      <c r="CU730" s="1480">
        <f t="shared" si="19"/>
        <v>0</v>
      </c>
      <c r="CV730" s="1480"/>
      <c r="CW730" s="1480"/>
      <c r="CX730" s="1480"/>
      <c r="CY730" s="1480"/>
      <c r="CZ730" s="1480">
        <f t="shared" si="20"/>
        <v>0</v>
      </c>
      <c r="DA730" s="1480"/>
      <c r="DB730" s="1480"/>
      <c r="DC730" s="1480"/>
      <c r="DD730" s="1480"/>
      <c r="DE730" s="1480">
        <f t="shared" si="21"/>
        <v>5</v>
      </c>
      <c r="DF730" s="1480"/>
      <c r="DG730" s="1480"/>
      <c r="DH730" s="1480"/>
      <c r="DI730" s="1480"/>
      <c r="DJ730" s="1480">
        <f t="shared" si="22"/>
        <v>0</v>
      </c>
      <c r="DK730" s="1480"/>
      <c r="DL730" s="1480"/>
      <c r="DM730" s="1480"/>
      <c r="DN730" s="1480"/>
      <c r="DO730" s="1480">
        <f t="shared" si="23"/>
        <v>0</v>
      </c>
      <c r="DP730" s="1480"/>
      <c r="DQ730" s="1480"/>
      <c r="DR730" s="1480"/>
      <c r="DS730" s="1480"/>
      <c r="DT730" s="6"/>
      <c r="DU730" s="1482">
        <f t="shared" si="24"/>
        <v>0</v>
      </c>
      <c r="DV730" s="1482"/>
      <c r="DW730" s="1482"/>
      <c r="DX730" s="1482"/>
      <c r="DY730" s="1482"/>
      <c r="DZ730" s="1482">
        <f t="shared" si="25"/>
        <v>0</v>
      </c>
      <c r="EA730" s="1482"/>
      <c r="EB730" s="1482"/>
      <c r="EC730" s="1482"/>
      <c r="ED730" s="1482"/>
      <c r="EE730" s="1482">
        <f t="shared" si="26"/>
        <v>0</v>
      </c>
      <c r="EF730" s="1482"/>
      <c r="EG730" s="1482"/>
      <c r="EH730" s="1482"/>
      <c r="EI730" s="1482"/>
      <c r="EJ730" s="1482">
        <f t="shared" si="27"/>
        <v>0</v>
      </c>
      <c r="EK730" s="1482"/>
      <c r="EL730" s="1482"/>
      <c r="EM730" s="1482"/>
      <c r="EN730" s="1482"/>
      <c r="EO730" s="1482">
        <f t="shared" si="28"/>
        <v>0</v>
      </c>
      <c r="EP730" s="1482"/>
      <c r="EQ730" s="1482"/>
      <c r="ER730" s="1482"/>
      <c r="ES730" s="1482"/>
      <c r="ET730" s="1482">
        <f t="shared" si="29"/>
        <v>0</v>
      </c>
      <c r="EU730" s="1482"/>
      <c r="EV730" s="1482"/>
      <c r="EW730" s="1482"/>
      <c r="EX730" s="1482"/>
      <c r="EZ730" s="1486" t="str">
        <f t="shared" si="30"/>
        <v/>
      </c>
      <c r="FA730" s="1491"/>
      <c r="FB730" s="1491"/>
      <c r="FC730" s="1491"/>
      <c r="FD730" s="1487"/>
      <c r="FE730" s="1486" t="str">
        <f t="shared" si="31"/>
        <v/>
      </c>
      <c r="FF730" s="1491"/>
      <c r="FG730" s="1491"/>
      <c r="FH730" s="1491"/>
      <c r="FI730" s="1487"/>
      <c r="FJ730" s="1486" t="str">
        <f t="shared" si="32"/>
        <v/>
      </c>
      <c r="FK730" s="1491"/>
      <c r="FL730" s="1491"/>
      <c r="FM730" s="1491"/>
      <c r="FN730" s="1487"/>
      <c r="FO730" s="1486">
        <f t="shared" si="33"/>
        <v>2111.88</v>
      </c>
      <c r="FP730" s="1491"/>
      <c r="FQ730" s="1491"/>
      <c r="FR730" s="1491"/>
      <c r="FS730" s="1487"/>
      <c r="FT730" s="1486" t="str">
        <f t="shared" si="34"/>
        <v/>
      </c>
      <c r="FU730" s="1491"/>
      <c r="FV730" s="1491"/>
      <c r="FW730" s="1491"/>
      <c r="FX730" s="1487"/>
      <c r="FY730" s="1486" t="str">
        <f t="shared" si="35"/>
        <v/>
      </c>
      <c r="FZ730" s="1491"/>
      <c r="GA730" s="1491"/>
      <c r="GB730" s="1491"/>
      <c r="GC730" s="1487"/>
    </row>
    <row r="731" spans="1:185" ht="12.95" customHeight="1">
      <c r="B731" s="1348" t="s">
        <v>164</v>
      </c>
      <c r="C731" s="1349"/>
      <c r="D731" s="1349"/>
      <c r="E731" s="1349"/>
      <c r="F731" s="1350"/>
      <c r="G731" s="1345">
        <v>3</v>
      </c>
      <c r="H731" s="1346"/>
      <c r="I731" s="1346"/>
      <c r="J731" s="1347"/>
      <c r="K731" s="1359">
        <v>1012</v>
      </c>
      <c r="L731" s="1360"/>
      <c r="M731" s="1360"/>
      <c r="N731" s="1361"/>
      <c r="O731" s="1342">
        <f>2335-T731</f>
        <v>2306.88</v>
      </c>
      <c r="P731" s="1343"/>
      <c r="Q731" s="1343"/>
      <c r="R731" s="1343"/>
      <c r="S731" s="1344"/>
      <c r="T731" s="1342">
        <v>28.12</v>
      </c>
      <c r="U731" s="1343"/>
      <c r="V731" s="1343"/>
      <c r="W731" s="1344"/>
      <c r="X731" s="1352">
        <f t="shared" si="8"/>
        <v>2335</v>
      </c>
      <c r="Y731" s="1353"/>
      <c r="Z731" s="1353"/>
      <c r="AA731" s="1353"/>
      <c r="AB731" s="1354"/>
      <c r="AC731" s="1339">
        <v>0.6</v>
      </c>
      <c r="AD731" s="1340"/>
      <c r="AE731" s="1340"/>
      <c r="AF731" s="1340"/>
      <c r="AG731" s="1341"/>
      <c r="AH731" s="1355">
        <f t="shared" si="36"/>
        <v>0.59994861253854059</v>
      </c>
      <c r="AI731" s="1356"/>
      <c r="AJ731" s="1357"/>
      <c r="AK731" s="1348" t="s">
        <v>591</v>
      </c>
      <c r="AL731" s="1349"/>
      <c r="AM731" s="1349"/>
      <c r="AN731" s="1349"/>
      <c r="AO731" s="1350"/>
      <c r="AP731" s="3"/>
      <c r="AQ731" s="3"/>
      <c r="AR731" s="3"/>
      <c r="AS731" s="3"/>
      <c r="AY731" s="1085"/>
      <c r="AZ731" s="118">
        <f t="shared" si="9"/>
        <v>3892</v>
      </c>
      <c r="BA731" s="3"/>
      <c r="BB731" s="3"/>
      <c r="BC731" s="3"/>
      <c r="BD731" s="3"/>
      <c r="BE731" s="204"/>
      <c r="BF731" s="294">
        <f t="shared" si="10"/>
        <v>3</v>
      </c>
      <c r="BG731" s="297">
        <f t="shared" si="11"/>
        <v>5.0847457627118647E-2</v>
      </c>
      <c r="BH731" s="298">
        <f t="shared" si="12"/>
        <v>3.0508474576271188E-2</v>
      </c>
      <c r="BI731" s="3"/>
      <c r="BJ731" s="3"/>
      <c r="BK731" s="3"/>
      <c r="BL731" s="3"/>
      <c r="BM731" s="3"/>
      <c r="BN731" s="3"/>
      <c r="BS731" s="294">
        <f t="shared" si="13"/>
        <v>3</v>
      </c>
      <c r="BT731" s="297">
        <f t="shared" si="14"/>
        <v>5.0847457627118647E-2</v>
      </c>
      <c r="BU731" s="298">
        <f t="shared" si="15"/>
        <v>3.0505861654502066E-2</v>
      </c>
      <c r="BV731" s="3"/>
      <c r="BW731" s="3"/>
      <c r="BX731" s="3"/>
      <c r="BY731" s="3"/>
      <c r="BZ731" s="3"/>
      <c r="CA731" s="3"/>
      <c r="CB731" s="3"/>
      <c r="CC731" s="3"/>
      <c r="CE731" s="3"/>
      <c r="CF731" s="3"/>
      <c r="CG731" s="1486">
        <f t="shared" si="37"/>
        <v>0</v>
      </c>
      <c r="CH731" s="1487"/>
      <c r="CI731" s="1484">
        <f t="shared" si="38"/>
        <v>0</v>
      </c>
      <c r="CJ731" s="1485"/>
      <c r="CK731" s="1486">
        <f t="shared" si="16"/>
        <v>0</v>
      </c>
      <c r="CL731" s="1487"/>
      <c r="CM731" s="1484">
        <f t="shared" si="17"/>
        <v>0</v>
      </c>
      <c r="CN731" s="1485"/>
      <c r="CO731" s="3"/>
      <c r="CP731" s="1488">
        <f t="shared" si="18"/>
        <v>0</v>
      </c>
      <c r="CQ731" s="1489"/>
      <c r="CR731" s="1489"/>
      <c r="CS731" s="1489"/>
      <c r="CT731" s="1490"/>
      <c r="CU731" s="1480">
        <f t="shared" si="19"/>
        <v>0</v>
      </c>
      <c r="CV731" s="1480"/>
      <c r="CW731" s="1480"/>
      <c r="CX731" s="1480"/>
      <c r="CY731" s="1480"/>
      <c r="CZ731" s="1480">
        <f t="shared" si="20"/>
        <v>0</v>
      </c>
      <c r="DA731" s="1480"/>
      <c r="DB731" s="1480"/>
      <c r="DC731" s="1480"/>
      <c r="DD731" s="1480"/>
      <c r="DE731" s="1480">
        <f t="shared" si="21"/>
        <v>3</v>
      </c>
      <c r="DF731" s="1480"/>
      <c r="DG731" s="1480"/>
      <c r="DH731" s="1480"/>
      <c r="DI731" s="1480"/>
      <c r="DJ731" s="1480">
        <f t="shared" si="22"/>
        <v>0</v>
      </c>
      <c r="DK731" s="1480"/>
      <c r="DL731" s="1480"/>
      <c r="DM731" s="1480"/>
      <c r="DN731" s="1480"/>
      <c r="DO731" s="1480">
        <f t="shared" si="23"/>
        <v>0</v>
      </c>
      <c r="DP731" s="1480"/>
      <c r="DQ731" s="1480"/>
      <c r="DR731" s="1480"/>
      <c r="DS731" s="1480"/>
      <c r="DT731" s="6"/>
      <c r="DU731" s="1482">
        <f t="shared" si="24"/>
        <v>0</v>
      </c>
      <c r="DV731" s="1482"/>
      <c r="DW731" s="1482"/>
      <c r="DX731" s="1482"/>
      <c r="DY731" s="1482"/>
      <c r="DZ731" s="1482">
        <f t="shared" si="25"/>
        <v>0</v>
      </c>
      <c r="EA731" s="1482"/>
      <c r="EB731" s="1482"/>
      <c r="EC731" s="1482"/>
      <c r="ED731" s="1482"/>
      <c r="EE731" s="1482">
        <f t="shared" si="26"/>
        <v>0</v>
      </c>
      <c r="EF731" s="1482"/>
      <c r="EG731" s="1482"/>
      <c r="EH731" s="1482"/>
      <c r="EI731" s="1482"/>
      <c r="EJ731" s="1482">
        <f t="shared" si="27"/>
        <v>0</v>
      </c>
      <c r="EK731" s="1482"/>
      <c r="EL731" s="1482"/>
      <c r="EM731" s="1482"/>
      <c r="EN731" s="1482"/>
      <c r="EO731" s="1482">
        <f t="shared" si="28"/>
        <v>0</v>
      </c>
      <c r="EP731" s="1482"/>
      <c r="EQ731" s="1482"/>
      <c r="ER731" s="1482"/>
      <c r="ES731" s="1482"/>
      <c r="ET731" s="1482">
        <f t="shared" si="29"/>
        <v>0</v>
      </c>
      <c r="EU731" s="1482"/>
      <c r="EV731" s="1482"/>
      <c r="EW731" s="1482"/>
      <c r="EX731" s="1482"/>
      <c r="EZ731" s="1486" t="str">
        <f t="shared" si="30"/>
        <v/>
      </c>
      <c r="FA731" s="1491"/>
      <c r="FB731" s="1491"/>
      <c r="FC731" s="1491"/>
      <c r="FD731" s="1487"/>
      <c r="FE731" s="1486" t="str">
        <f t="shared" si="31"/>
        <v/>
      </c>
      <c r="FF731" s="1491"/>
      <c r="FG731" s="1491"/>
      <c r="FH731" s="1491"/>
      <c r="FI731" s="1487"/>
      <c r="FJ731" s="1486" t="str">
        <f t="shared" si="32"/>
        <v/>
      </c>
      <c r="FK731" s="1491"/>
      <c r="FL731" s="1491"/>
      <c r="FM731" s="1491"/>
      <c r="FN731" s="1487"/>
      <c r="FO731" s="1486">
        <f t="shared" si="33"/>
        <v>2306.88</v>
      </c>
      <c r="FP731" s="1491"/>
      <c r="FQ731" s="1491"/>
      <c r="FR731" s="1491"/>
      <c r="FS731" s="1487"/>
      <c r="FT731" s="1486" t="str">
        <f t="shared" si="34"/>
        <v/>
      </c>
      <c r="FU731" s="1491"/>
      <c r="FV731" s="1491"/>
      <c r="FW731" s="1491"/>
      <c r="FX731" s="1487"/>
      <c r="FY731" s="1486" t="str">
        <f t="shared" si="35"/>
        <v/>
      </c>
      <c r="FZ731" s="1491"/>
      <c r="GA731" s="1491"/>
      <c r="GB731" s="1491"/>
      <c r="GC731" s="1487"/>
    </row>
    <row r="732" spans="1:185" ht="12.95" customHeight="1">
      <c r="B732" s="1348"/>
      <c r="C732" s="1349"/>
      <c r="D732" s="1349"/>
      <c r="E732" s="1349"/>
      <c r="F732" s="1350"/>
      <c r="G732" s="1345"/>
      <c r="H732" s="1346"/>
      <c r="I732" s="1346"/>
      <c r="J732" s="1347"/>
      <c r="K732" s="1359"/>
      <c r="L732" s="1360"/>
      <c r="M732" s="1360"/>
      <c r="N732" s="1361"/>
      <c r="O732" s="1342"/>
      <c r="P732" s="1343"/>
      <c r="Q732" s="1343"/>
      <c r="R732" s="1343"/>
      <c r="S732" s="1344"/>
      <c r="T732" s="1342"/>
      <c r="U732" s="1343"/>
      <c r="V732" s="1343"/>
      <c r="W732" s="1344"/>
      <c r="X732" s="1352">
        <f t="shared" si="8"/>
        <v>0</v>
      </c>
      <c r="Y732" s="1353"/>
      <c r="Z732" s="1353"/>
      <c r="AA732" s="1353"/>
      <c r="AB732" s="1354"/>
      <c r="AC732" s="1339"/>
      <c r="AD732" s="1340"/>
      <c r="AE732" s="1340"/>
      <c r="AF732" s="1340"/>
      <c r="AG732" s="1341"/>
      <c r="AH732" s="1355" t="str">
        <f t="shared" si="36"/>
        <v/>
      </c>
      <c r="AI732" s="1356"/>
      <c r="AJ732" s="1357"/>
      <c r="AK732" s="1348" t="s">
        <v>591</v>
      </c>
      <c r="AL732" s="1349"/>
      <c r="AM732" s="1349"/>
      <c r="AN732" s="1349"/>
      <c r="AO732" s="1350"/>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486">
        <f t="shared" si="37"/>
        <v>0</v>
      </c>
      <c r="CH732" s="1487"/>
      <c r="CI732" s="1484">
        <f t="shared" si="38"/>
        <v>0</v>
      </c>
      <c r="CJ732" s="1485"/>
      <c r="CK732" s="1486">
        <f t="shared" si="16"/>
        <v>0</v>
      </c>
      <c r="CL732" s="1487"/>
      <c r="CM732" s="1484">
        <f t="shared" si="17"/>
        <v>0</v>
      </c>
      <c r="CN732" s="1485"/>
      <c r="CO732" s="3"/>
      <c r="CP732" s="1488">
        <f t="shared" si="18"/>
        <v>0</v>
      </c>
      <c r="CQ732" s="1489"/>
      <c r="CR732" s="1489"/>
      <c r="CS732" s="1489"/>
      <c r="CT732" s="1490"/>
      <c r="CU732" s="1480">
        <f t="shared" si="19"/>
        <v>0</v>
      </c>
      <c r="CV732" s="1480"/>
      <c r="CW732" s="1480"/>
      <c r="CX732" s="1480"/>
      <c r="CY732" s="1480"/>
      <c r="CZ732" s="1480">
        <f t="shared" si="20"/>
        <v>0</v>
      </c>
      <c r="DA732" s="1480"/>
      <c r="DB732" s="1480"/>
      <c r="DC732" s="1480"/>
      <c r="DD732" s="1480"/>
      <c r="DE732" s="1480">
        <f t="shared" si="21"/>
        <v>0</v>
      </c>
      <c r="DF732" s="1480"/>
      <c r="DG732" s="1480"/>
      <c r="DH732" s="1480"/>
      <c r="DI732" s="1480"/>
      <c r="DJ732" s="1480">
        <f t="shared" si="22"/>
        <v>0</v>
      </c>
      <c r="DK732" s="1480"/>
      <c r="DL732" s="1480"/>
      <c r="DM732" s="1480"/>
      <c r="DN732" s="1480"/>
      <c r="DO732" s="1480">
        <f t="shared" si="23"/>
        <v>0</v>
      </c>
      <c r="DP732" s="1480"/>
      <c r="DQ732" s="1480"/>
      <c r="DR732" s="1480"/>
      <c r="DS732" s="1480"/>
      <c r="DT732" s="6"/>
      <c r="DU732" s="1482">
        <f t="shared" si="24"/>
        <v>0</v>
      </c>
      <c r="DV732" s="1482"/>
      <c r="DW732" s="1482"/>
      <c r="DX732" s="1482"/>
      <c r="DY732" s="1482"/>
      <c r="DZ732" s="1482">
        <f t="shared" si="25"/>
        <v>0</v>
      </c>
      <c r="EA732" s="1482"/>
      <c r="EB732" s="1482"/>
      <c r="EC732" s="1482"/>
      <c r="ED732" s="1482"/>
      <c r="EE732" s="1482">
        <f t="shared" si="26"/>
        <v>0</v>
      </c>
      <c r="EF732" s="1482"/>
      <c r="EG732" s="1482"/>
      <c r="EH732" s="1482"/>
      <c r="EI732" s="1482"/>
      <c r="EJ732" s="1482">
        <f t="shared" si="27"/>
        <v>0</v>
      </c>
      <c r="EK732" s="1482"/>
      <c r="EL732" s="1482"/>
      <c r="EM732" s="1482"/>
      <c r="EN732" s="1482"/>
      <c r="EO732" s="1482">
        <f t="shared" si="28"/>
        <v>0</v>
      </c>
      <c r="EP732" s="1482"/>
      <c r="EQ732" s="1482"/>
      <c r="ER732" s="1482"/>
      <c r="ES732" s="1482"/>
      <c r="ET732" s="1482">
        <f t="shared" si="29"/>
        <v>0</v>
      </c>
      <c r="EU732" s="1482"/>
      <c r="EV732" s="1482"/>
      <c r="EW732" s="1482"/>
      <c r="EX732" s="1482"/>
      <c r="EZ732" s="1486" t="str">
        <f t="shared" si="30"/>
        <v/>
      </c>
      <c r="FA732" s="1491"/>
      <c r="FB732" s="1491"/>
      <c r="FC732" s="1491"/>
      <c r="FD732" s="1487"/>
      <c r="FE732" s="1486" t="str">
        <f t="shared" si="31"/>
        <v/>
      </c>
      <c r="FF732" s="1491"/>
      <c r="FG732" s="1491"/>
      <c r="FH732" s="1491"/>
      <c r="FI732" s="1487"/>
      <c r="FJ732" s="1486" t="str">
        <f t="shared" si="32"/>
        <v/>
      </c>
      <c r="FK732" s="1491"/>
      <c r="FL732" s="1491"/>
      <c r="FM732" s="1491"/>
      <c r="FN732" s="1487"/>
      <c r="FO732" s="1486" t="str">
        <f t="shared" si="33"/>
        <v/>
      </c>
      <c r="FP732" s="1491"/>
      <c r="FQ732" s="1491"/>
      <c r="FR732" s="1491"/>
      <c r="FS732" s="1487"/>
      <c r="FT732" s="1486" t="str">
        <f t="shared" si="34"/>
        <v/>
      </c>
      <c r="FU732" s="1491"/>
      <c r="FV732" s="1491"/>
      <c r="FW732" s="1491"/>
      <c r="FX732" s="1487"/>
      <c r="FY732" s="1486" t="str">
        <f t="shared" si="35"/>
        <v/>
      </c>
      <c r="FZ732" s="1491"/>
      <c r="GA732" s="1491"/>
      <c r="GB732" s="1491"/>
      <c r="GC732" s="1487"/>
    </row>
    <row r="733" spans="1:185" ht="12.95" customHeight="1">
      <c r="B733" s="1348"/>
      <c r="C733" s="1349"/>
      <c r="D733" s="1349"/>
      <c r="E733" s="1349"/>
      <c r="F733" s="1350"/>
      <c r="G733" s="1345"/>
      <c r="H733" s="1346"/>
      <c r="I733" s="1346"/>
      <c r="J733" s="1347"/>
      <c r="K733" s="1359"/>
      <c r="L733" s="1360"/>
      <c r="M733" s="1360"/>
      <c r="N733" s="1361"/>
      <c r="O733" s="1342"/>
      <c r="P733" s="1343"/>
      <c r="Q733" s="1343"/>
      <c r="R733" s="1343"/>
      <c r="S733" s="1344"/>
      <c r="T733" s="1342"/>
      <c r="U733" s="1343"/>
      <c r="V733" s="1343"/>
      <c r="W733" s="1344"/>
      <c r="X733" s="1352">
        <f t="shared" si="8"/>
        <v>0</v>
      </c>
      <c r="Y733" s="1353"/>
      <c r="Z733" s="1353"/>
      <c r="AA733" s="1353"/>
      <c r="AB733" s="1354"/>
      <c r="AC733" s="1339"/>
      <c r="AD733" s="1340"/>
      <c r="AE733" s="1340"/>
      <c r="AF733" s="1340"/>
      <c r="AG733" s="1341"/>
      <c r="AH733" s="1355" t="str">
        <f t="shared" si="36"/>
        <v/>
      </c>
      <c r="AI733" s="1356"/>
      <c r="AJ733" s="1357"/>
      <c r="AK733" s="1348" t="s">
        <v>591</v>
      </c>
      <c r="AL733" s="1349"/>
      <c r="AM733" s="1349"/>
      <c r="AN733" s="1349"/>
      <c r="AO733" s="1350"/>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486">
        <f t="shared" si="37"/>
        <v>0</v>
      </c>
      <c r="CH733" s="1487"/>
      <c r="CI733" s="1484">
        <f t="shared" si="38"/>
        <v>0</v>
      </c>
      <c r="CJ733" s="1485"/>
      <c r="CK733" s="1486">
        <f t="shared" si="16"/>
        <v>0</v>
      </c>
      <c r="CL733" s="1487"/>
      <c r="CM733" s="1484">
        <f t="shared" si="17"/>
        <v>0</v>
      </c>
      <c r="CN733" s="1485"/>
      <c r="CO733" s="3"/>
      <c r="CP733" s="1488">
        <f t="shared" si="18"/>
        <v>0</v>
      </c>
      <c r="CQ733" s="1489"/>
      <c r="CR733" s="1489"/>
      <c r="CS733" s="1489"/>
      <c r="CT733" s="1490"/>
      <c r="CU733" s="1480">
        <f t="shared" si="19"/>
        <v>0</v>
      </c>
      <c r="CV733" s="1480"/>
      <c r="CW733" s="1480"/>
      <c r="CX733" s="1480"/>
      <c r="CY733" s="1480"/>
      <c r="CZ733" s="1480">
        <f t="shared" si="20"/>
        <v>0</v>
      </c>
      <c r="DA733" s="1480"/>
      <c r="DB733" s="1480"/>
      <c r="DC733" s="1480"/>
      <c r="DD733" s="1480"/>
      <c r="DE733" s="1480">
        <f t="shared" si="21"/>
        <v>0</v>
      </c>
      <c r="DF733" s="1480"/>
      <c r="DG733" s="1480"/>
      <c r="DH733" s="1480"/>
      <c r="DI733" s="1480"/>
      <c r="DJ733" s="1480">
        <f t="shared" si="22"/>
        <v>0</v>
      </c>
      <c r="DK733" s="1480"/>
      <c r="DL733" s="1480"/>
      <c r="DM733" s="1480"/>
      <c r="DN733" s="1480"/>
      <c r="DO733" s="1480">
        <f t="shared" si="23"/>
        <v>0</v>
      </c>
      <c r="DP733" s="1480"/>
      <c r="DQ733" s="1480"/>
      <c r="DR733" s="1480"/>
      <c r="DS733" s="1480"/>
      <c r="DT733" s="6"/>
      <c r="DU733" s="1482">
        <f t="shared" si="24"/>
        <v>0</v>
      </c>
      <c r="DV733" s="1482"/>
      <c r="DW733" s="1482"/>
      <c r="DX733" s="1482"/>
      <c r="DY733" s="1482"/>
      <c r="DZ733" s="1482">
        <f t="shared" si="25"/>
        <v>0</v>
      </c>
      <c r="EA733" s="1482"/>
      <c r="EB733" s="1482"/>
      <c r="EC733" s="1482"/>
      <c r="ED733" s="1482"/>
      <c r="EE733" s="1482">
        <f t="shared" si="26"/>
        <v>0</v>
      </c>
      <c r="EF733" s="1482"/>
      <c r="EG733" s="1482"/>
      <c r="EH733" s="1482"/>
      <c r="EI733" s="1482"/>
      <c r="EJ733" s="1482">
        <f t="shared" si="27"/>
        <v>0</v>
      </c>
      <c r="EK733" s="1482"/>
      <c r="EL733" s="1482"/>
      <c r="EM733" s="1482"/>
      <c r="EN733" s="1482"/>
      <c r="EO733" s="1482">
        <f t="shared" si="28"/>
        <v>0</v>
      </c>
      <c r="EP733" s="1482"/>
      <c r="EQ733" s="1482"/>
      <c r="ER733" s="1482"/>
      <c r="ES733" s="1482"/>
      <c r="ET733" s="1482">
        <f t="shared" si="29"/>
        <v>0</v>
      </c>
      <c r="EU733" s="1482"/>
      <c r="EV733" s="1482"/>
      <c r="EW733" s="1482"/>
      <c r="EX733" s="1482"/>
      <c r="EZ733" s="1486" t="str">
        <f t="shared" si="30"/>
        <v/>
      </c>
      <c r="FA733" s="1491"/>
      <c r="FB733" s="1491"/>
      <c r="FC733" s="1491"/>
      <c r="FD733" s="1487"/>
      <c r="FE733" s="1486" t="str">
        <f t="shared" si="31"/>
        <v/>
      </c>
      <c r="FF733" s="1491"/>
      <c r="FG733" s="1491"/>
      <c r="FH733" s="1491"/>
      <c r="FI733" s="1487"/>
      <c r="FJ733" s="1486" t="str">
        <f t="shared" si="32"/>
        <v/>
      </c>
      <c r="FK733" s="1491"/>
      <c r="FL733" s="1491"/>
      <c r="FM733" s="1491"/>
      <c r="FN733" s="1487"/>
      <c r="FO733" s="1486" t="str">
        <f t="shared" si="33"/>
        <v/>
      </c>
      <c r="FP733" s="1491"/>
      <c r="FQ733" s="1491"/>
      <c r="FR733" s="1491"/>
      <c r="FS733" s="1487"/>
      <c r="FT733" s="1486" t="str">
        <f t="shared" si="34"/>
        <v/>
      </c>
      <c r="FU733" s="1491"/>
      <c r="FV733" s="1491"/>
      <c r="FW733" s="1491"/>
      <c r="FX733" s="1487"/>
      <c r="FY733" s="1486" t="str">
        <f t="shared" si="35"/>
        <v/>
      </c>
      <c r="FZ733" s="1491"/>
      <c r="GA733" s="1491"/>
      <c r="GB733" s="1491"/>
      <c r="GC733" s="1487"/>
    </row>
    <row r="734" spans="1:185" ht="12.95" customHeight="1">
      <c r="B734" s="1348"/>
      <c r="C734" s="1349"/>
      <c r="D734" s="1349"/>
      <c r="E734" s="1349"/>
      <c r="F734" s="1350"/>
      <c r="G734" s="1345"/>
      <c r="H734" s="1346"/>
      <c r="I734" s="1346"/>
      <c r="J734" s="1347"/>
      <c r="K734" s="1359"/>
      <c r="L734" s="1360"/>
      <c r="M734" s="1360"/>
      <c r="N734" s="1361"/>
      <c r="O734" s="1342"/>
      <c r="P734" s="1343"/>
      <c r="Q734" s="1343"/>
      <c r="R734" s="1343"/>
      <c r="S734" s="1344"/>
      <c r="T734" s="1342"/>
      <c r="U734" s="1343"/>
      <c r="V734" s="1343"/>
      <c r="W734" s="1344"/>
      <c r="X734" s="1352">
        <f t="shared" si="8"/>
        <v>0</v>
      </c>
      <c r="Y734" s="1353"/>
      <c r="Z734" s="1353"/>
      <c r="AA734" s="1353"/>
      <c r="AB734" s="1354"/>
      <c r="AC734" s="1339"/>
      <c r="AD734" s="1340"/>
      <c r="AE734" s="1340"/>
      <c r="AF734" s="1340"/>
      <c r="AG734" s="1341"/>
      <c r="AH734" s="1355" t="str">
        <f t="shared" si="36"/>
        <v/>
      </c>
      <c r="AI734" s="1356"/>
      <c r="AJ734" s="1357"/>
      <c r="AK734" s="1348" t="s">
        <v>591</v>
      </c>
      <c r="AL734" s="1349"/>
      <c r="AM734" s="1349"/>
      <c r="AN734" s="1349"/>
      <c r="AO734" s="1350"/>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486">
        <f t="shared" si="37"/>
        <v>0</v>
      </c>
      <c r="CH734" s="1487"/>
      <c r="CI734" s="1484">
        <f t="shared" si="38"/>
        <v>0</v>
      </c>
      <c r="CJ734" s="1485"/>
      <c r="CK734" s="1486">
        <f t="shared" si="16"/>
        <v>0</v>
      </c>
      <c r="CL734" s="1487"/>
      <c r="CM734" s="1484">
        <f t="shared" si="17"/>
        <v>0</v>
      </c>
      <c r="CN734" s="1485"/>
      <c r="CO734" s="3"/>
      <c r="CP734" s="1488">
        <f t="shared" si="18"/>
        <v>0</v>
      </c>
      <c r="CQ734" s="1489"/>
      <c r="CR734" s="1489"/>
      <c r="CS734" s="1489"/>
      <c r="CT734" s="1490"/>
      <c r="CU734" s="1480">
        <f t="shared" si="19"/>
        <v>0</v>
      </c>
      <c r="CV734" s="1480"/>
      <c r="CW734" s="1480"/>
      <c r="CX734" s="1480"/>
      <c r="CY734" s="1480"/>
      <c r="CZ734" s="1480">
        <f t="shared" si="20"/>
        <v>0</v>
      </c>
      <c r="DA734" s="1480"/>
      <c r="DB734" s="1480"/>
      <c r="DC734" s="1480"/>
      <c r="DD734" s="1480"/>
      <c r="DE734" s="1480">
        <f t="shared" si="21"/>
        <v>0</v>
      </c>
      <c r="DF734" s="1480"/>
      <c r="DG734" s="1480"/>
      <c r="DH734" s="1480"/>
      <c r="DI734" s="1480"/>
      <c r="DJ734" s="1480">
        <f t="shared" si="22"/>
        <v>0</v>
      </c>
      <c r="DK734" s="1480"/>
      <c r="DL734" s="1480"/>
      <c r="DM734" s="1480"/>
      <c r="DN734" s="1480"/>
      <c r="DO734" s="1480">
        <f t="shared" si="23"/>
        <v>0</v>
      </c>
      <c r="DP734" s="1480"/>
      <c r="DQ734" s="1480"/>
      <c r="DR734" s="1480"/>
      <c r="DS734" s="1480"/>
      <c r="DT734" s="6"/>
      <c r="DU734" s="1482">
        <f t="shared" si="24"/>
        <v>0</v>
      </c>
      <c r="DV734" s="1482"/>
      <c r="DW734" s="1482"/>
      <c r="DX734" s="1482"/>
      <c r="DY734" s="1482"/>
      <c r="DZ734" s="1482">
        <f t="shared" si="25"/>
        <v>0</v>
      </c>
      <c r="EA734" s="1482"/>
      <c r="EB734" s="1482"/>
      <c r="EC734" s="1482"/>
      <c r="ED734" s="1482"/>
      <c r="EE734" s="1482">
        <f t="shared" si="26"/>
        <v>0</v>
      </c>
      <c r="EF734" s="1482"/>
      <c r="EG734" s="1482"/>
      <c r="EH734" s="1482"/>
      <c r="EI734" s="1482"/>
      <c r="EJ734" s="1482">
        <f t="shared" si="27"/>
        <v>0</v>
      </c>
      <c r="EK734" s="1482"/>
      <c r="EL734" s="1482"/>
      <c r="EM734" s="1482"/>
      <c r="EN734" s="1482"/>
      <c r="EO734" s="1482">
        <f t="shared" si="28"/>
        <v>0</v>
      </c>
      <c r="EP734" s="1482"/>
      <c r="EQ734" s="1482"/>
      <c r="ER734" s="1482"/>
      <c r="ES734" s="1482"/>
      <c r="ET734" s="1482">
        <f t="shared" si="29"/>
        <v>0</v>
      </c>
      <c r="EU734" s="1482"/>
      <c r="EV734" s="1482"/>
      <c r="EW734" s="1482"/>
      <c r="EX734" s="1482"/>
      <c r="EZ734" s="1486" t="str">
        <f t="shared" si="30"/>
        <v/>
      </c>
      <c r="FA734" s="1491"/>
      <c r="FB734" s="1491"/>
      <c r="FC734" s="1491"/>
      <c r="FD734" s="1487"/>
      <c r="FE734" s="1486" t="str">
        <f t="shared" si="31"/>
        <v/>
      </c>
      <c r="FF734" s="1491"/>
      <c r="FG734" s="1491"/>
      <c r="FH734" s="1491"/>
      <c r="FI734" s="1487"/>
      <c r="FJ734" s="1486" t="str">
        <f t="shared" si="32"/>
        <v/>
      </c>
      <c r="FK734" s="1491"/>
      <c r="FL734" s="1491"/>
      <c r="FM734" s="1491"/>
      <c r="FN734" s="1487"/>
      <c r="FO734" s="1486" t="str">
        <f t="shared" si="33"/>
        <v/>
      </c>
      <c r="FP734" s="1491"/>
      <c r="FQ734" s="1491"/>
      <c r="FR734" s="1491"/>
      <c r="FS734" s="1487"/>
      <c r="FT734" s="1486" t="str">
        <f t="shared" si="34"/>
        <v/>
      </c>
      <c r="FU734" s="1491"/>
      <c r="FV734" s="1491"/>
      <c r="FW734" s="1491"/>
      <c r="FX734" s="1487"/>
      <c r="FY734" s="1486" t="str">
        <f t="shared" si="35"/>
        <v/>
      </c>
      <c r="FZ734" s="1491"/>
      <c r="GA734" s="1491"/>
      <c r="GB734" s="1491"/>
      <c r="GC734" s="1487"/>
    </row>
    <row r="735" spans="1:185" ht="12.95" customHeight="1">
      <c r="B735" s="1348"/>
      <c r="C735" s="1349"/>
      <c r="D735" s="1349"/>
      <c r="E735" s="1349"/>
      <c r="F735" s="1350"/>
      <c r="G735" s="1345"/>
      <c r="H735" s="1346"/>
      <c r="I735" s="1346"/>
      <c r="J735" s="1347"/>
      <c r="K735" s="1359"/>
      <c r="L735" s="1360"/>
      <c r="M735" s="1360"/>
      <c r="N735" s="1361"/>
      <c r="O735" s="1342"/>
      <c r="P735" s="1343"/>
      <c r="Q735" s="1343"/>
      <c r="R735" s="1343"/>
      <c r="S735" s="1344"/>
      <c r="T735" s="1342"/>
      <c r="U735" s="1343"/>
      <c r="V735" s="1343"/>
      <c r="W735" s="1344"/>
      <c r="X735" s="1352">
        <f t="shared" si="8"/>
        <v>0</v>
      </c>
      <c r="Y735" s="1353"/>
      <c r="Z735" s="1353"/>
      <c r="AA735" s="1353"/>
      <c r="AB735" s="1354"/>
      <c r="AC735" s="1339"/>
      <c r="AD735" s="1340"/>
      <c r="AE735" s="1340"/>
      <c r="AF735" s="1340"/>
      <c r="AG735" s="1341"/>
      <c r="AH735" s="1355" t="str">
        <f t="shared" si="36"/>
        <v/>
      </c>
      <c r="AI735" s="1356"/>
      <c r="AJ735" s="1357"/>
      <c r="AK735" s="1348" t="s">
        <v>591</v>
      </c>
      <c r="AL735" s="1349"/>
      <c r="AM735" s="1349"/>
      <c r="AN735" s="1349"/>
      <c r="AO735" s="1350"/>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486">
        <f t="shared" si="37"/>
        <v>0</v>
      </c>
      <c r="CH735" s="1487"/>
      <c r="CI735" s="1484">
        <f t="shared" si="38"/>
        <v>0</v>
      </c>
      <c r="CJ735" s="1485"/>
      <c r="CK735" s="1486">
        <f t="shared" si="16"/>
        <v>0</v>
      </c>
      <c r="CL735" s="1487"/>
      <c r="CM735" s="1484">
        <f t="shared" si="17"/>
        <v>0</v>
      </c>
      <c r="CN735" s="1485"/>
      <c r="CO735" s="3"/>
      <c r="CP735" s="1488">
        <f t="shared" si="18"/>
        <v>0</v>
      </c>
      <c r="CQ735" s="1489"/>
      <c r="CR735" s="1489"/>
      <c r="CS735" s="1489"/>
      <c r="CT735" s="1490"/>
      <c r="CU735" s="1480">
        <f t="shared" si="19"/>
        <v>0</v>
      </c>
      <c r="CV735" s="1480"/>
      <c r="CW735" s="1480"/>
      <c r="CX735" s="1480"/>
      <c r="CY735" s="1480"/>
      <c r="CZ735" s="1480">
        <f t="shared" si="20"/>
        <v>0</v>
      </c>
      <c r="DA735" s="1480"/>
      <c r="DB735" s="1480"/>
      <c r="DC735" s="1480"/>
      <c r="DD735" s="1480"/>
      <c r="DE735" s="1480">
        <f t="shared" si="21"/>
        <v>0</v>
      </c>
      <c r="DF735" s="1480"/>
      <c r="DG735" s="1480"/>
      <c r="DH735" s="1480"/>
      <c r="DI735" s="1480"/>
      <c r="DJ735" s="1480">
        <f t="shared" si="22"/>
        <v>0</v>
      </c>
      <c r="DK735" s="1480"/>
      <c r="DL735" s="1480"/>
      <c r="DM735" s="1480"/>
      <c r="DN735" s="1480"/>
      <c r="DO735" s="1480">
        <f t="shared" si="23"/>
        <v>0</v>
      </c>
      <c r="DP735" s="1480"/>
      <c r="DQ735" s="1480"/>
      <c r="DR735" s="1480"/>
      <c r="DS735" s="1480"/>
      <c r="DT735" s="6"/>
      <c r="DU735" s="1482">
        <f t="shared" si="24"/>
        <v>0</v>
      </c>
      <c r="DV735" s="1482"/>
      <c r="DW735" s="1482"/>
      <c r="DX735" s="1482"/>
      <c r="DY735" s="1482"/>
      <c r="DZ735" s="1482">
        <f t="shared" si="25"/>
        <v>0</v>
      </c>
      <c r="EA735" s="1482"/>
      <c r="EB735" s="1482"/>
      <c r="EC735" s="1482"/>
      <c r="ED735" s="1482"/>
      <c r="EE735" s="1482">
        <f t="shared" si="26"/>
        <v>0</v>
      </c>
      <c r="EF735" s="1482"/>
      <c r="EG735" s="1482"/>
      <c r="EH735" s="1482"/>
      <c r="EI735" s="1482"/>
      <c r="EJ735" s="1482">
        <f t="shared" si="27"/>
        <v>0</v>
      </c>
      <c r="EK735" s="1482"/>
      <c r="EL735" s="1482"/>
      <c r="EM735" s="1482"/>
      <c r="EN735" s="1482"/>
      <c r="EO735" s="1482">
        <f t="shared" si="28"/>
        <v>0</v>
      </c>
      <c r="EP735" s="1482"/>
      <c r="EQ735" s="1482"/>
      <c r="ER735" s="1482"/>
      <c r="ES735" s="1482"/>
      <c r="ET735" s="1482">
        <f t="shared" si="29"/>
        <v>0</v>
      </c>
      <c r="EU735" s="1482"/>
      <c r="EV735" s="1482"/>
      <c r="EW735" s="1482"/>
      <c r="EX735" s="1482"/>
      <c r="EZ735" s="1486" t="str">
        <f t="shared" si="30"/>
        <v/>
      </c>
      <c r="FA735" s="1491"/>
      <c r="FB735" s="1491"/>
      <c r="FC735" s="1491"/>
      <c r="FD735" s="1487"/>
      <c r="FE735" s="1486" t="str">
        <f t="shared" si="31"/>
        <v/>
      </c>
      <c r="FF735" s="1491"/>
      <c r="FG735" s="1491"/>
      <c r="FH735" s="1491"/>
      <c r="FI735" s="1487"/>
      <c r="FJ735" s="1486" t="str">
        <f t="shared" si="32"/>
        <v/>
      </c>
      <c r="FK735" s="1491"/>
      <c r="FL735" s="1491"/>
      <c r="FM735" s="1491"/>
      <c r="FN735" s="1487"/>
      <c r="FO735" s="1486" t="str">
        <f t="shared" si="33"/>
        <v/>
      </c>
      <c r="FP735" s="1491"/>
      <c r="FQ735" s="1491"/>
      <c r="FR735" s="1491"/>
      <c r="FS735" s="1487"/>
      <c r="FT735" s="1486" t="str">
        <f t="shared" si="34"/>
        <v/>
      </c>
      <c r="FU735" s="1491"/>
      <c r="FV735" s="1491"/>
      <c r="FW735" s="1491"/>
      <c r="FX735" s="1487"/>
      <c r="FY735" s="1486" t="str">
        <f t="shared" si="35"/>
        <v/>
      </c>
      <c r="FZ735" s="1491"/>
      <c r="GA735" s="1491"/>
      <c r="GB735" s="1491"/>
      <c r="GC735" s="1487"/>
    </row>
    <row r="736" spans="1:185" ht="12.95" customHeight="1">
      <c r="B736" s="1348"/>
      <c r="C736" s="1349"/>
      <c r="D736" s="1349"/>
      <c r="E736" s="1349"/>
      <c r="F736" s="1350"/>
      <c r="G736" s="1345"/>
      <c r="H736" s="1346"/>
      <c r="I736" s="1346"/>
      <c r="J736" s="1347"/>
      <c r="K736" s="1359"/>
      <c r="L736" s="1360"/>
      <c r="M736" s="1360"/>
      <c r="N736" s="1361"/>
      <c r="O736" s="1342"/>
      <c r="P736" s="1343"/>
      <c r="Q736" s="1343"/>
      <c r="R736" s="1343"/>
      <c r="S736" s="1344"/>
      <c r="T736" s="1342"/>
      <c r="U736" s="1343"/>
      <c r="V736" s="1343"/>
      <c r="W736" s="1344"/>
      <c r="X736" s="1352">
        <f t="shared" si="8"/>
        <v>0</v>
      </c>
      <c r="Y736" s="1353"/>
      <c r="Z736" s="1353"/>
      <c r="AA736" s="1353"/>
      <c r="AB736" s="1354"/>
      <c r="AC736" s="1339"/>
      <c r="AD736" s="1340"/>
      <c r="AE736" s="1340"/>
      <c r="AF736" s="1340"/>
      <c r="AG736" s="1341"/>
      <c r="AH736" s="1355" t="str">
        <f t="shared" si="36"/>
        <v/>
      </c>
      <c r="AI736" s="1356"/>
      <c r="AJ736" s="1357"/>
      <c r="AK736" s="1348" t="s">
        <v>591</v>
      </c>
      <c r="AL736" s="1349"/>
      <c r="AM736" s="1349"/>
      <c r="AN736" s="1349"/>
      <c r="AO736" s="1350"/>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486">
        <f t="shared" si="37"/>
        <v>0</v>
      </c>
      <c r="CH736" s="1487"/>
      <c r="CI736" s="1484">
        <f t="shared" si="38"/>
        <v>0</v>
      </c>
      <c r="CJ736" s="1485"/>
      <c r="CK736" s="1486">
        <f t="shared" si="16"/>
        <v>0</v>
      </c>
      <c r="CL736" s="1487"/>
      <c r="CM736" s="1484">
        <f t="shared" si="17"/>
        <v>0</v>
      </c>
      <c r="CN736" s="1485"/>
      <c r="CO736" s="3"/>
      <c r="CP736" s="1488">
        <f t="shared" si="18"/>
        <v>0</v>
      </c>
      <c r="CQ736" s="1489"/>
      <c r="CR736" s="1489"/>
      <c r="CS736" s="1489"/>
      <c r="CT736" s="1490"/>
      <c r="CU736" s="1480">
        <f t="shared" si="19"/>
        <v>0</v>
      </c>
      <c r="CV736" s="1480"/>
      <c r="CW736" s="1480"/>
      <c r="CX736" s="1480"/>
      <c r="CY736" s="1480"/>
      <c r="CZ736" s="1480">
        <f t="shared" si="20"/>
        <v>0</v>
      </c>
      <c r="DA736" s="1480"/>
      <c r="DB736" s="1480"/>
      <c r="DC736" s="1480"/>
      <c r="DD736" s="1480"/>
      <c r="DE736" s="1480">
        <f t="shared" si="21"/>
        <v>0</v>
      </c>
      <c r="DF736" s="1480"/>
      <c r="DG736" s="1480"/>
      <c r="DH736" s="1480"/>
      <c r="DI736" s="1480"/>
      <c r="DJ736" s="1480">
        <f t="shared" si="22"/>
        <v>0</v>
      </c>
      <c r="DK736" s="1480"/>
      <c r="DL736" s="1480"/>
      <c r="DM736" s="1480"/>
      <c r="DN736" s="1480"/>
      <c r="DO736" s="1480">
        <f t="shared" si="23"/>
        <v>0</v>
      </c>
      <c r="DP736" s="1480"/>
      <c r="DQ736" s="1480"/>
      <c r="DR736" s="1480"/>
      <c r="DS736" s="1480"/>
      <c r="DT736" s="6"/>
      <c r="DU736" s="1482">
        <f t="shared" si="24"/>
        <v>0</v>
      </c>
      <c r="DV736" s="1482"/>
      <c r="DW736" s="1482"/>
      <c r="DX736" s="1482"/>
      <c r="DY736" s="1482"/>
      <c r="DZ736" s="1482">
        <f t="shared" si="25"/>
        <v>0</v>
      </c>
      <c r="EA736" s="1482"/>
      <c r="EB736" s="1482"/>
      <c r="EC736" s="1482"/>
      <c r="ED736" s="1482"/>
      <c r="EE736" s="1482">
        <f t="shared" si="26"/>
        <v>0</v>
      </c>
      <c r="EF736" s="1482"/>
      <c r="EG736" s="1482"/>
      <c r="EH736" s="1482"/>
      <c r="EI736" s="1482"/>
      <c r="EJ736" s="1482">
        <f t="shared" si="27"/>
        <v>0</v>
      </c>
      <c r="EK736" s="1482"/>
      <c r="EL736" s="1482"/>
      <c r="EM736" s="1482"/>
      <c r="EN736" s="1482"/>
      <c r="EO736" s="1482">
        <f t="shared" si="28"/>
        <v>0</v>
      </c>
      <c r="EP736" s="1482"/>
      <c r="EQ736" s="1482"/>
      <c r="ER736" s="1482"/>
      <c r="ES736" s="1482"/>
      <c r="ET736" s="1482">
        <f t="shared" si="29"/>
        <v>0</v>
      </c>
      <c r="EU736" s="1482"/>
      <c r="EV736" s="1482"/>
      <c r="EW736" s="1482"/>
      <c r="EX736" s="1482"/>
      <c r="EZ736" s="1486" t="str">
        <f t="shared" si="30"/>
        <v/>
      </c>
      <c r="FA736" s="1491"/>
      <c r="FB736" s="1491"/>
      <c r="FC736" s="1491"/>
      <c r="FD736" s="1487"/>
      <c r="FE736" s="1486" t="str">
        <f t="shared" si="31"/>
        <v/>
      </c>
      <c r="FF736" s="1491"/>
      <c r="FG736" s="1491"/>
      <c r="FH736" s="1491"/>
      <c r="FI736" s="1487"/>
      <c r="FJ736" s="1486" t="str">
        <f t="shared" si="32"/>
        <v/>
      </c>
      <c r="FK736" s="1491"/>
      <c r="FL736" s="1491"/>
      <c r="FM736" s="1491"/>
      <c r="FN736" s="1487"/>
      <c r="FO736" s="1486" t="str">
        <f t="shared" si="33"/>
        <v/>
      </c>
      <c r="FP736" s="1491"/>
      <c r="FQ736" s="1491"/>
      <c r="FR736" s="1491"/>
      <c r="FS736" s="1487"/>
      <c r="FT736" s="1486" t="str">
        <f t="shared" si="34"/>
        <v/>
      </c>
      <c r="FU736" s="1491"/>
      <c r="FV736" s="1491"/>
      <c r="FW736" s="1491"/>
      <c r="FX736" s="1487"/>
      <c r="FY736" s="1486" t="str">
        <f t="shared" si="35"/>
        <v/>
      </c>
      <c r="FZ736" s="1491"/>
      <c r="GA736" s="1491"/>
      <c r="GB736" s="1491"/>
      <c r="GC736" s="1487"/>
    </row>
    <row r="737" spans="1:185" ht="12.95" customHeight="1">
      <c r="B737" s="1348"/>
      <c r="C737" s="1349"/>
      <c r="D737" s="1349"/>
      <c r="E737" s="1349"/>
      <c r="F737" s="1350"/>
      <c r="G737" s="1345"/>
      <c r="H737" s="1346"/>
      <c r="I737" s="1346"/>
      <c r="J737" s="1347"/>
      <c r="K737" s="1359"/>
      <c r="L737" s="1360"/>
      <c r="M737" s="1360"/>
      <c r="N737" s="1361"/>
      <c r="O737" s="1342"/>
      <c r="P737" s="1343"/>
      <c r="Q737" s="1343"/>
      <c r="R737" s="1343"/>
      <c r="S737" s="1344"/>
      <c r="T737" s="1342"/>
      <c r="U737" s="1343"/>
      <c r="V737" s="1343"/>
      <c r="W737" s="1344"/>
      <c r="X737" s="1352">
        <f t="shared" si="8"/>
        <v>0</v>
      </c>
      <c r="Y737" s="1353"/>
      <c r="Z737" s="1353"/>
      <c r="AA737" s="1353"/>
      <c r="AB737" s="1354"/>
      <c r="AC737" s="1339"/>
      <c r="AD737" s="1340"/>
      <c r="AE737" s="1340"/>
      <c r="AF737" s="1340"/>
      <c r="AG737" s="1341"/>
      <c r="AH737" s="1355" t="str">
        <f t="shared" si="36"/>
        <v/>
      </c>
      <c r="AI737" s="1356"/>
      <c r="AJ737" s="1357"/>
      <c r="AK737" s="1348" t="s">
        <v>591</v>
      </c>
      <c r="AL737" s="1349"/>
      <c r="AM737" s="1349"/>
      <c r="AN737" s="1349"/>
      <c r="AO737" s="1350"/>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486">
        <f t="shared" si="37"/>
        <v>0</v>
      </c>
      <c r="CH737" s="1487"/>
      <c r="CI737" s="1484">
        <f t="shared" si="38"/>
        <v>0</v>
      </c>
      <c r="CJ737" s="1485"/>
      <c r="CK737" s="1486">
        <f t="shared" si="16"/>
        <v>0</v>
      </c>
      <c r="CL737" s="1487"/>
      <c r="CM737" s="1484">
        <f t="shared" si="17"/>
        <v>0</v>
      </c>
      <c r="CN737" s="1485"/>
      <c r="CO737" s="3"/>
      <c r="CP737" s="1488">
        <f t="shared" si="18"/>
        <v>0</v>
      </c>
      <c r="CQ737" s="1489"/>
      <c r="CR737" s="1489"/>
      <c r="CS737" s="1489"/>
      <c r="CT737" s="1490"/>
      <c r="CU737" s="1480">
        <f t="shared" si="19"/>
        <v>0</v>
      </c>
      <c r="CV737" s="1480"/>
      <c r="CW737" s="1480"/>
      <c r="CX737" s="1480"/>
      <c r="CY737" s="1480"/>
      <c r="CZ737" s="1480">
        <f t="shared" si="20"/>
        <v>0</v>
      </c>
      <c r="DA737" s="1480"/>
      <c r="DB737" s="1480"/>
      <c r="DC737" s="1480"/>
      <c r="DD737" s="1480"/>
      <c r="DE737" s="1480">
        <f t="shared" si="21"/>
        <v>0</v>
      </c>
      <c r="DF737" s="1480"/>
      <c r="DG737" s="1480"/>
      <c r="DH737" s="1480"/>
      <c r="DI737" s="1480"/>
      <c r="DJ737" s="1480">
        <f t="shared" si="22"/>
        <v>0</v>
      </c>
      <c r="DK737" s="1480"/>
      <c r="DL737" s="1480"/>
      <c r="DM737" s="1480"/>
      <c r="DN737" s="1480"/>
      <c r="DO737" s="1480">
        <f t="shared" si="23"/>
        <v>0</v>
      </c>
      <c r="DP737" s="1480"/>
      <c r="DQ737" s="1480"/>
      <c r="DR737" s="1480"/>
      <c r="DS737" s="1480"/>
      <c r="DT737" s="6"/>
      <c r="DU737" s="1482">
        <f t="shared" si="24"/>
        <v>0</v>
      </c>
      <c r="DV737" s="1482"/>
      <c r="DW737" s="1482"/>
      <c r="DX737" s="1482"/>
      <c r="DY737" s="1482"/>
      <c r="DZ737" s="1482">
        <f t="shared" si="25"/>
        <v>0</v>
      </c>
      <c r="EA737" s="1482"/>
      <c r="EB737" s="1482"/>
      <c r="EC737" s="1482"/>
      <c r="ED737" s="1482"/>
      <c r="EE737" s="1482">
        <f t="shared" si="26"/>
        <v>0</v>
      </c>
      <c r="EF737" s="1482"/>
      <c r="EG737" s="1482"/>
      <c r="EH737" s="1482"/>
      <c r="EI737" s="1482"/>
      <c r="EJ737" s="1482">
        <f t="shared" si="27"/>
        <v>0</v>
      </c>
      <c r="EK737" s="1482"/>
      <c r="EL737" s="1482"/>
      <c r="EM737" s="1482"/>
      <c r="EN737" s="1482"/>
      <c r="EO737" s="1482">
        <f t="shared" si="28"/>
        <v>0</v>
      </c>
      <c r="EP737" s="1482"/>
      <c r="EQ737" s="1482"/>
      <c r="ER737" s="1482"/>
      <c r="ES737" s="1482"/>
      <c r="ET737" s="1482">
        <f t="shared" si="29"/>
        <v>0</v>
      </c>
      <c r="EU737" s="1482"/>
      <c r="EV737" s="1482"/>
      <c r="EW737" s="1482"/>
      <c r="EX737" s="1482"/>
      <c r="EZ737" s="1486" t="str">
        <f t="shared" si="30"/>
        <v/>
      </c>
      <c r="FA737" s="1491"/>
      <c r="FB737" s="1491"/>
      <c r="FC737" s="1491"/>
      <c r="FD737" s="1487"/>
      <c r="FE737" s="1486" t="str">
        <f t="shared" si="31"/>
        <v/>
      </c>
      <c r="FF737" s="1491"/>
      <c r="FG737" s="1491"/>
      <c r="FH737" s="1491"/>
      <c r="FI737" s="1487"/>
      <c r="FJ737" s="1486" t="str">
        <f t="shared" si="32"/>
        <v/>
      </c>
      <c r="FK737" s="1491"/>
      <c r="FL737" s="1491"/>
      <c r="FM737" s="1491"/>
      <c r="FN737" s="1487"/>
      <c r="FO737" s="1486" t="str">
        <f t="shared" si="33"/>
        <v/>
      </c>
      <c r="FP737" s="1491"/>
      <c r="FQ737" s="1491"/>
      <c r="FR737" s="1491"/>
      <c r="FS737" s="1487"/>
      <c r="FT737" s="1486" t="str">
        <f t="shared" si="34"/>
        <v/>
      </c>
      <c r="FU737" s="1491"/>
      <c r="FV737" s="1491"/>
      <c r="FW737" s="1491"/>
      <c r="FX737" s="1487"/>
      <c r="FY737" s="1486" t="str">
        <f t="shared" si="35"/>
        <v/>
      </c>
      <c r="FZ737" s="1491"/>
      <c r="GA737" s="1491"/>
      <c r="GB737" s="1491"/>
      <c r="GC737" s="1487"/>
    </row>
    <row r="738" spans="1:185" ht="12.95" customHeight="1">
      <c r="B738" s="1348"/>
      <c r="C738" s="1349"/>
      <c r="D738" s="1349"/>
      <c r="E738" s="1349"/>
      <c r="F738" s="1350"/>
      <c r="G738" s="1345"/>
      <c r="H738" s="1346"/>
      <c r="I738" s="1346"/>
      <c r="J738" s="1347"/>
      <c r="K738" s="1359"/>
      <c r="L738" s="1360"/>
      <c r="M738" s="1360"/>
      <c r="N738" s="1361"/>
      <c r="O738" s="1342"/>
      <c r="P738" s="1343"/>
      <c r="Q738" s="1343"/>
      <c r="R738" s="1343"/>
      <c r="S738" s="1344"/>
      <c r="T738" s="1342"/>
      <c r="U738" s="1343"/>
      <c r="V738" s="1343"/>
      <c r="W738" s="1344"/>
      <c r="X738" s="1352">
        <f t="shared" si="8"/>
        <v>0</v>
      </c>
      <c r="Y738" s="1353"/>
      <c r="Z738" s="1353"/>
      <c r="AA738" s="1353"/>
      <c r="AB738" s="1354"/>
      <c r="AC738" s="1339"/>
      <c r="AD738" s="1340"/>
      <c r="AE738" s="1340"/>
      <c r="AF738" s="1340"/>
      <c r="AG738" s="1341"/>
      <c r="AH738" s="1355" t="str">
        <f t="shared" si="36"/>
        <v/>
      </c>
      <c r="AI738" s="1356"/>
      <c r="AJ738" s="1357"/>
      <c r="AK738" s="1348" t="s">
        <v>591</v>
      </c>
      <c r="AL738" s="1349"/>
      <c r="AM738" s="1349"/>
      <c r="AN738" s="1349"/>
      <c r="AO738" s="1350"/>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486">
        <f t="shared" si="37"/>
        <v>0</v>
      </c>
      <c r="CH738" s="1487"/>
      <c r="CI738" s="1484">
        <f t="shared" si="38"/>
        <v>0</v>
      </c>
      <c r="CJ738" s="1485"/>
      <c r="CK738" s="1486">
        <f t="shared" si="16"/>
        <v>0</v>
      </c>
      <c r="CL738" s="1487"/>
      <c r="CM738" s="1484">
        <f t="shared" si="17"/>
        <v>0</v>
      </c>
      <c r="CN738" s="1485"/>
      <c r="CO738" s="3"/>
      <c r="CP738" s="1488">
        <f t="shared" si="18"/>
        <v>0</v>
      </c>
      <c r="CQ738" s="1489"/>
      <c r="CR738" s="1489"/>
      <c r="CS738" s="1489"/>
      <c r="CT738" s="1490"/>
      <c r="CU738" s="1480">
        <f t="shared" si="19"/>
        <v>0</v>
      </c>
      <c r="CV738" s="1480"/>
      <c r="CW738" s="1480"/>
      <c r="CX738" s="1480"/>
      <c r="CY738" s="1480"/>
      <c r="CZ738" s="1480">
        <f t="shared" si="20"/>
        <v>0</v>
      </c>
      <c r="DA738" s="1480"/>
      <c r="DB738" s="1480"/>
      <c r="DC738" s="1480"/>
      <c r="DD738" s="1480"/>
      <c r="DE738" s="1480">
        <f t="shared" si="21"/>
        <v>0</v>
      </c>
      <c r="DF738" s="1480"/>
      <c r="DG738" s="1480"/>
      <c r="DH738" s="1480"/>
      <c r="DI738" s="1480"/>
      <c r="DJ738" s="1480">
        <f t="shared" si="22"/>
        <v>0</v>
      </c>
      <c r="DK738" s="1480"/>
      <c r="DL738" s="1480"/>
      <c r="DM738" s="1480"/>
      <c r="DN738" s="1480"/>
      <c r="DO738" s="1480">
        <f t="shared" si="23"/>
        <v>0</v>
      </c>
      <c r="DP738" s="1480"/>
      <c r="DQ738" s="1480"/>
      <c r="DR738" s="1480"/>
      <c r="DS738" s="1480"/>
      <c r="DT738" s="6"/>
      <c r="DU738" s="1482">
        <f t="shared" si="24"/>
        <v>0</v>
      </c>
      <c r="DV738" s="1482"/>
      <c r="DW738" s="1482"/>
      <c r="DX738" s="1482"/>
      <c r="DY738" s="1482"/>
      <c r="DZ738" s="1482">
        <f t="shared" si="25"/>
        <v>0</v>
      </c>
      <c r="EA738" s="1482"/>
      <c r="EB738" s="1482"/>
      <c r="EC738" s="1482"/>
      <c r="ED738" s="1482"/>
      <c r="EE738" s="1482">
        <f t="shared" si="26"/>
        <v>0</v>
      </c>
      <c r="EF738" s="1482"/>
      <c r="EG738" s="1482"/>
      <c r="EH738" s="1482"/>
      <c r="EI738" s="1482"/>
      <c r="EJ738" s="1482">
        <f t="shared" si="27"/>
        <v>0</v>
      </c>
      <c r="EK738" s="1482"/>
      <c r="EL738" s="1482"/>
      <c r="EM738" s="1482"/>
      <c r="EN738" s="1482"/>
      <c r="EO738" s="1482">
        <f t="shared" si="28"/>
        <v>0</v>
      </c>
      <c r="EP738" s="1482"/>
      <c r="EQ738" s="1482"/>
      <c r="ER738" s="1482"/>
      <c r="ES738" s="1482"/>
      <c r="ET738" s="1482">
        <f t="shared" si="29"/>
        <v>0</v>
      </c>
      <c r="EU738" s="1482"/>
      <c r="EV738" s="1482"/>
      <c r="EW738" s="1482"/>
      <c r="EX738" s="1482"/>
      <c r="EZ738" s="1486" t="str">
        <f t="shared" si="30"/>
        <v/>
      </c>
      <c r="FA738" s="1491"/>
      <c r="FB738" s="1491"/>
      <c r="FC738" s="1491"/>
      <c r="FD738" s="1487"/>
      <c r="FE738" s="1486" t="str">
        <f t="shared" si="31"/>
        <v/>
      </c>
      <c r="FF738" s="1491"/>
      <c r="FG738" s="1491"/>
      <c r="FH738" s="1491"/>
      <c r="FI738" s="1487"/>
      <c r="FJ738" s="1486" t="str">
        <f t="shared" si="32"/>
        <v/>
      </c>
      <c r="FK738" s="1491"/>
      <c r="FL738" s="1491"/>
      <c r="FM738" s="1491"/>
      <c r="FN738" s="1487"/>
      <c r="FO738" s="1486" t="str">
        <f t="shared" si="33"/>
        <v/>
      </c>
      <c r="FP738" s="1491"/>
      <c r="FQ738" s="1491"/>
      <c r="FR738" s="1491"/>
      <c r="FS738" s="1487"/>
      <c r="FT738" s="1486" t="str">
        <f t="shared" si="34"/>
        <v/>
      </c>
      <c r="FU738" s="1491"/>
      <c r="FV738" s="1491"/>
      <c r="FW738" s="1491"/>
      <c r="FX738" s="1487"/>
      <c r="FY738" s="1486" t="str">
        <f t="shared" si="35"/>
        <v/>
      </c>
      <c r="FZ738" s="1491"/>
      <c r="GA738" s="1491"/>
      <c r="GB738" s="1491"/>
      <c r="GC738" s="1487"/>
    </row>
    <row r="739" spans="1:185" ht="12.95" customHeight="1">
      <c r="B739" s="1348"/>
      <c r="C739" s="1349"/>
      <c r="D739" s="1349"/>
      <c r="E739" s="1349"/>
      <c r="F739" s="1350"/>
      <c r="G739" s="1345"/>
      <c r="H739" s="1346"/>
      <c r="I739" s="1346"/>
      <c r="J739" s="1347"/>
      <c r="K739" s="1359"/>
      <c r="L739" s="1360"/>
      <c r="M739" s="1360"/>
      <c r="N739" s="1361"/>
      <c r="O739" s="1342"/>
      <c r="P739" s="1343"/>
      <c r="Q739" s="1343"/>
      <c r="R739" s="1343"/>
      <c r="S739" s="1344"/>
      <c r="T739" s="1342"/>
      <c r="U739" s="1343"/>
      <c r="V739" s="1343"/>
      <c r="W739" s="1344"/>
      <c r="X739" s="1352">
        <f t="shared" si="8"/>
        <v>0</v>
      </c>
      <c r="Y739" s="1353"/>
      <c r="Z739" s="1353"/>
      <c r="AA739" s="1353"/>
      <c r="AB739" s="1354"/>
      <c r="AC739" s="1339"/>
      <c r="AD739" s="1340"/>
      <c r="AE739" s="1340"/>
      <c r="AF739" s="1340"/>
      <c r="AG739" s="1341"/>
      <c r="AH739" s="1355" t="str">
        <f t="shared" si="36"/>
        <v/>
      </c>
      <c r="AI739" s="1356"/>
      <c r="AJ739" s="1357"/>
      <c r="AK739" s="1348" t="s">
        <v>591</v>
      </c>
      <c r="AL739" s="1349"/>
      <c r="AM739" s="1349"/>
      <c r="AN739" s="1349"/>
      <c r="AO739" s="1350"/>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486">
        <f t="shared" si="37"/>
        <v>0</v>
      </c>
      <c r="CH739" s="1487"/>
      <c r="CI739" s="1484">
        <f t="shared" si="38"/>
        <v>0</v>
      </c>
      <c r="CJ739" s="1485"/>
      <c r="CK739" s="1486">
        <f t="shared" si="16"/>
        <v>0</v>
      </c>
      <c r="CL739" s="1487"/>
      <c r="CM739" s="1484">
        <f t="shared" si="17"/>
        <v>0</v>
      </c>
      <c r="CN739" s="1485"/>
      <c r="CO739" s="3"/>
      <c r="CP739" s="1488">
        <f t="shared" si="18"/>
        <v>0</v>
      </c>
      <c r="CQ739" s="1489"/>
      <c r="CR739" s="1489"/>
      <c r="CS739" s="1489"/>
      <c r="CT739" s="1490"/>
      <c r="CU739" s="1480">
        <f t="shared" si="19"/>
        <v>0</v>
      </c>
      <c r="CV739" s="1480"/>
      <c r="CW739" s="1480"/>
      <c r="CX739" s="1480"/>
      <c r="CY739" s="1480"/>
      <c r="CZ739" s="1480">
        <f t="shared" si="20"/>
        <v>0</v>
      </c>
      <c r="DA739" s="1480"/>
      <c r="DB739" s="1480"/>
      <c r="DC739" s="1480"/>
      <c r="DD739" s="1480"/>
      <c r="DE739" s="1480">
        <f t="shared" si="21"/>
        <v>0</v>
      </c>
      <c r="DF739" s="1480"/>
      <c r="DG739" s="1480"/>
      <c r="DH739" s="1480"/>
      <c r="DI739" s="1480"/>
      <c r="DJ739" s="1480">
        <f t="shared" si="22"/>
        <v>0</v>
      </c>
      <c r="DK739" s="1480"/>
      <c r="DL739" s="1480"/>
      <c r="DM739" s="1480"/>
      <c r="DN739" s="1480"/>
      <c r="DO739" s="1480">
        <f t="shared" si="23"/>
        <v>0</v>
      </c>
      <c r="DP739" s="1480"/>
      <c r="DQ739" s="1480"/>
      <c r="DR739" s="1480"/>
      <c r="DS739" s="1480"/>
      <c r="DT739" s="6"/>
      <c r="DU739" s="1482">
        <f t="shared" si="24"/>
        <v>0</v>
      </c>
      <c r="DV739" s="1482"/>
      <c r="DW739" s="1482"/>
      <c r="DX739" s="1482"/>
      <c r="DY739" s="1482"/>
      <c r="DZ739" s="1482">
        <f t="shared" si="25"/>
        <v>0</v>
      </c>
      <c r="EA739" s="1482"/>
      <c r="EB739" s="1482"/>
      <c r="EC739" s="1482"/>
      <c r="ED739" s="1482"/>
      <c r="EE739" s="1482">
        <f t="shared" si="26"/>
        <v>0</v>
      </c>
      <c r="EF739" s="1482"/>
      <c r="EG739" s="1482"/>
      <c r="EH739" s="1482"/>
      <c r="EI739" s="1482"/>
      <c r="EJ739" s="1482">
        <f t="shared" si="27"/>
        <v>0</v>
      </c>
      <c r="EK739" s="1482"/>
      <c r="EL739" s="1482"/>
      <c r="EM739" s="1482"/>
      <c r="EN739" s="1482"/>
      <c r="EO739" s="1482">
        <f t="shared" si="28"/>
        <v>0</v>
      </c>
      <c r="EP739" s="1482"/>
      <c r="EQ739" s="1482"/>
      <c r="ER739" s="1482"/>
      <c r="ES739" s="1482"/>
      <c r="ET739" s="1482">
        <f t="shared" si="29"/>
        <v>0</v>
      </c>
      <c r="EU739" s="1482"/>
      <c r="EV739" s="1482"/>
      <c r="EW739" s="1482"/>
      <c r="EX739" s="1482"/>
      <c r="EZ739" s="1486" t="str">
        <f t="shared" si="30"/>
        <v/>
      </c>
      <c r="FA739" s="1491"/>
      <c r="FB739" s="1491"/>
      <c r="FC739" s="1491"/>
      <c r="FD739" s="1487"/>
      <c r="FE739" s="1486" t="str">
        <f t="shared" si="31"/>
        <v/>
      </c>
      <c r="FF739" s="1491"/>
      <c r="FG739" s="1491"/>
      <c r="FH739" s="1491"/>
      <c r="FI739" s="1487"/>
      <c r="FJ739" s="1486" t="str">
        <f t="shared" si="32"/>
        <v/>
      </c>
      <c r="FK739" s="1491"/>
      <c r="FL739" s="1491"/>
      <c r="FM739" s="1491"/>
      <c r="FN739" s="1487"/>
      <c r="FO739" s="1486" t="str">
        <f t="shared" si="33"/>
        <v/>
      </c>
      <c r="FP739" s="1491"/>
      <c r="FQ739" s="1491"/>
      <c r="FR739" s="1491"/>
      <c r="FS739" s="1487"/>
      <c r="FT739" s="1486" t="str">
        <f t="shared" si="34"/>
        <v/>
      </c>
      <c r="FU739" s="1491"/>
      <c r="FV739" s="1491"/>
      <c r="FW739" s="1491"/>
      <c r="FX739" s="1487"/>
      <c r="FY739" s="1486" t="str">
        <f t="shared" si="35"/>
        <v/>
      </c>
      <c r="FZ739" s="1491"/>
      <c r="GA739" s="1491"/>
      <c r="GB739" s="1491"/>
      <c r="GC739" s="1487"/>
    </row>
    <row r="740" spans="1:185" ht="12.95" customHeight="1">
      <c r="B740" s="1348"/>
      <c r="C740" s="1349"/>
      <c r="D740" s="1349"/>
      <c r="E740" s="1349"/>
      <c r="F740" s="1350"/>
      <c r="G740" s="1345"/>
      <c r="H740" s="1346"/>
      <c r="I740" s="1346"/>
      <c r="J740" s="1347"/>
      <c r="K740" s="1359"/>
      <c r="L740" s="1360"/>
      <c r="M740" s="1360"/>
      <c r="N740" s="1361"/>
      <c r="O740" s="1342"/>
      <c r="P740" s="1343"/>
      <c r="Q740" s="1343"/>
      <c r="R740" s="1343"/>
      <c r="S740" s="1344"/>
      <c r="T740" s="1342"/>
      <c r="U740" s="1343"/>
      <c r="V740" s="1343"/>
      <c r="W740" s="1344"/>
      <c r="X740" s="1352">
        <f t="shared" si="8"/>
        <v>0</v>
      </c>
      <c r="Y740" s="1353"/>
      <c r="Z740" s="1353"/>
      <c r="AA740" s="1353"/>
      <c r="AB740" s="1354"/>
      <c r="AC740" s="1339"/>
      <c r="AD740" s="1340"/>
      <c r="AE740" s="1340"/>
      <c r="AF740" s="1340"/>
      <c r="AG740" s="1341"/>
      <c r="AH740" s="1355" t="str">
        <f t="shared" si="36"/>
        <v/>
      </c>
      <c r="AI740" s="1356"/>
      <c r="AJ740" s="1357"/>
      <c r="AK740" s="1348" t="s">
        <v>591</v>
      </c>
      <c r="AL740" s="1349"/>
      <c r="AM740" s="1349"/>
      <c r="AN740" s="1349"/>
      <c r="AO740" s="1350"/>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486">
        <f t="shared" si="37"/>
        <v>0</v>
      </c>
      <c r="CH740" s="1487"/>
      <c r="CI740" s="1484">
        <f t="shared" si="38"/>
        <v>0</v>
      </c>
      <c r="CJ740" s="1485"/>
      <c r="CK740" s="1486">
        <f t="shared" si="16"/>
        <v>0</v>
      </c>
      <c r="CL740" s="1487"/>
      <c r="CM740" s="1484">
        <f t="shared" si="17"/>
        <v>0</v>
      </c>
      <c r="CN740" s="1485"/>
      <c r="CO740" s="3"/>
      <c r="CP740" s="1488">
        <f t="shared" si="18"/>
        <v>0</v>
      </c>
      <c r="CQ740" s="1489"/>
      <c r="CR740" s="1489"/>
      <c r="CS740" s="1489"/>
      <c r="CT740" s="1490"/>
      <c r="CU740" s="1480">
        <f t="shared" si="19"/>
        <v>0</v>
      </c>
      <c r="CV740" s="1480"/>
      <c r="CW740" s="1480"/>
      <c r="CX740" s="1480"/>
      <c r="CY740" s="1480"/>
      <c r="CZ740" s="1480">
        <f t="shared" si="20"/>
        <v>0</v>
      </c>
      <c r="DA740" s="1480"/>
      <c r="DB740" s="1480"/>
      <c r="DC740" s="1480"/>
      <c r="DD740" s="1480"/>
      <c r="DE740" s="1480">
        <f t="shared" si="21"/>
        <v>0</v>
      </c>
      <c r="DF740" s="1480"/>
      <c r="DG740" s="1480"/>
      <c r="DH740" s="1480"/>
      <c r="DI740" s="1480"/>
      <c r="DJ740" s="1480">
        <f t="shared" si="22"/>
        <v>0</v>
      </c>
      <c r="DK740" s="1480"/>
      <c r="DL740" s="1480"/>
      <c r="DM740" s="1480"/>
      <c r="DN740" s="1480"/>
      <c r="DO740" s="1480">
        <f t="shared" si="23"/>
        <v>0</v>
      </c>
      <c r="DP740" s="1480"/>
      <c r="DQ740" s="1480"/>
      <c r="DR740" s="1480"/>
      <c r="DS740" s="1480"/>
      <c r="DT740" s="6"/>
      <c r="DU740" s="1482">
        <f t="shared" si="24"/>
        <v>0</v>
      </c>
      <c r="DV740" s="1482"/>
      <c r="DW740" s="1482"/>
      <c r="DX740" s="1482"/>
      <c r="DY740" s="1482"/>
      <c r="DZ740" s="1482">
        <f t="shared" si="25"/>
        <v>0</v>
      </c>
      <c r="EA740" s="1482"/>
      <c r="EB740" s="1482"/>
      <c r="EC740" s="1482"/>
      <c r="ED740" s="1482"/>
      <c r="EE740" s="1482">
        <f t="shared" si="26"/>
        <v>0</v>
      </c>
      <c r="EF740" s="1482"/>
      <c r="EG740" s="1482"/>
      <c r="EH740" s="1482"/>
      <c r="EI740" s="1482"/>
      <c r="EJ740" s="1482">
        <f t="shared" si="27"/>
        <v>0</v>
      </c>
      <c r="EK740" s="1482"/>
      <c r="EL740" s="1482"/>
      <c r="EM740" s="1482"/>
      <c r="EN740" s="1482"/>
      <c r="EO740" s="1482">
        <f t="shared" si="28"/>
        <v>0</v>
      </c>
      <c r="EP740" s="1482"/>
      <c r="EQ740" s="1482"/>
      <c r="ER740" s="1482"/>
      <c r="ES740" s="1482"/>
      <c r="ET740" s="1482">
        <f t="shared" si="29"/>
        <v>0</v>
      </c>
      <c r="EU740" s="1482"/>
      <c r="EV740" s="1482"/>
      <c r="EW740" s="1482"/>
      <c r="EX740" s="1482"/>
      <c r="EZ740" s="1486" t="str">
        <f t="shared" si="30"/>
        <v/>
      </c>
      <c r="FA740" s="1491"/>
      <c r="FB740" s="1491"/>
      <c r="FC740" s="1491"/>
      <c r="FD740" s="1487"/>
      <c r="FE740" s="1486" t="str">
        <f t="shared" si="31"/>
        <v/>
      </c>
      <c r="FF740" s="1491"/>
      <c r="FG740" s="1491"/>
      <c r="FH740" s="1491"/>
      <c r="FI740" s="1487"/>
      <c r="FJ740" s="1486" t="str">
        <f t="shared" si="32"/>
        <v/>
      </c>
      <c r="FK740" s="1491"/>
      <c r="FL740" s="1491"/>
      <c r="FM740" s="1491"/>
      <c r="FN740" s="1487"/>
      <c r="FO740" s="1486" t="str">
        <f t="shared" si="33"/>
        <v/>
      </c>
      <c r="FP740" s="1491"/>
      <c r="FQ740" s="1491"/>
      <c r="FR740" s="1491"/>
      <c r="FS740" s="1487"/>
      <c r="FT740" s="1486" t="str">
        <f t="shared" si="34"/>
        <v/>
      </c>
      <c r="FU740" s="1491"/>
      <c r="FV740" s="1491"/>
      <c r="FW740" s="1491"/>
      <c r="FX740" s="1487"/>
      <c r="FY740" s="1486" t="str">
        <f t="shared" si="35"/>
        <v/>
      </c>
      <c r="FZ740" s="1491"/>
      <c r="GA740" s="1491"/>
      <c r="GB740" s="1491"/>
      <c r="GC740" s="1487"/>
    </row>
    <row r="741" spans="1:185" ht="12.95" customHeight="1">
      <c r="B741" s="1348"/>
      <c r="C741" s="1349"/>
      <c r="D741" s="1349"/>
      <c r="E741" s="1349"/>
      <c r="F741" s="1350"/>
      <c r="G741" s="1345"/>
      <c r="H741" s="1346"/>
      <c r="I741" s="1346"/>
      <c r="J741" s="1347"/>
      <c r="K741" s="1359"/>
      <c r="L741" s="1360"/>
      <c r="M741" s="1360"/>
      <c r="N741" s="1361"/>
      <c r="O741" s="1342"/>
      <c r="P741" s="1343"/>
      <c r="Q741" s="1343"/>
      <c r="R741" s="1343"/>
      <c r="S741" s="1344"/>
      <c r="T741" s="1342"/>
      <c r="U741" s="1343"/>
      <c r="V741" s="1343"/>
      <c r="W741" s="1344"/>
      <c r="X741" s="1352">
        <f t="shared" si="8"/>
        <v>0</v>
      </c>
      <c r="Y741" s="1353"/>
      <c r="Z741" s="1353"/>
      <c r="AA741" s="1353"/>
      <c r="AB741" s="1354"/>
      <c r="AC741" s="1339"/>
      <c r="AD741" s="1340"/>
      <c r="AE741" s="1340"/>
      <c r="AF741" s="1340"/>
      <c r="AG741" s="1341"/>
      <c r="AH741" s="1355" t="str">
        <f t="shared" si="36"/>
        <v/>
      </c>
      <c r="AI741" s="1356"/>
      <c r="AJ741" s="1357"/>
      <c r="AK741" s="1348" t="s">
        <v>591</v>
      </c>
      <c r="AL741" s="1349"/>
      <c r="AM741" s="1349"/>
      <c r="AN741" s="1349"/>
      <c r="AO741" s="1350"/>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486">
        <f t="shared" si="37"/>
        <v>0</v>
      </c>
      <c r="CH741" s="1487"/>
      <c r="CI741" s="1484">
        <f t="shared" si="38"/>
        <v>0</v>
      </c>
      <c r="CJ741" s="1485"/>
      <c r="CK741" s="1486">
        <f t="shared" si="16"/>
        <v>0</v>
      </c>
      <c r="CL741" s="1487"/>
      <c r="CM741" s="1484">
        <f t="shared" si="17"/>
        <v>0</v>
      </c>
      <c r="CN741" s="1485"/>
      <c r="CO741" s="3"/>
      <c r="CP741" s="1488">
        <f t="shared" si="18"/>
        <v>0</v>
      </c>
      <c r="CQ741" s="1489"/>
      <c r="CR741" s="1489"/>
      <c r="CS741" s="1489"/>
      <c r="CT741" s="1490"/>
      <c r="CU741" s="1480">
        <f t="shared" si="19"/>
        <v>0</v>
      </c>
      <c r="CV741" s="1480"/>
      <c r="CW741" s="1480"/>
      <c r="CX741" s="1480"/>
      <c r="CY741" s="1480"/>
      <c r="CZ741" s="1480">
        <f t="shared" si="20"/>
        <v>0</v>
      </c>
      <c r="DA741" s="1480"/>
      <c r="DB741" s="1480"/>
      <c r="DC741" s="1480"/>
      <c r="DD741" s="1480"/>
      <c r="DE741" s="1480">
        <f t="shared" si="21"/>
        <v>0</v>
      </c>
      <c r="DF741" s="1480"/>
      <c r="DG741" s="1480"/>
      <c r="DH741" s="1480"/>
      <c r="DI741" s="1480"/>
      <c r="DJ741" s="1480">
        <f t="shared" si="22"/>
        <v>0</v>
      </c>
      <c r="DK741" s="1480"/>
      <c r="DL741" s="1480"/>
      <c r="DM741" s="1480"/>
      <c r="DN741" s="1480"/>
      <c r="DO741" s="1480">
        <f t="shared" si="23"/>
        <v>0</v>
      </c>
      <c r="DP741" s="1480"/>
      <c r="DQ741" s="1480"/>
      <c r="DR741" s="1480"/>
      <c r="DS741" s="1480"/>
      <c r="DT741" s="6"/>
      <c r="DU741" s="1482">
        <f t="shared" si="24"/>
        <v>0</v>
      </c>
      <c r="DV741" s="1482"/>
      <c r="DW741" s="1482"/>
      <c r="DX741" s="1482"/>
      <c r="DY741" s="1482"/>
      <c r="DZ741" s="1482">
        <f t="shared" si="25"/>
        <v>0</v>
      </c>
      <c r="EA741" s="1482"/>
      <c r="EB741" s="1482"/>
      <c r="EC741" s="1482"/>
      <c r="ED741" s="1482"/>
      <c r="EE741" s="1482">
        <f t="shared" si="26"/>
        <v>0</v>
      </c>
      <c r="EF741" s="1482"/>
      <c r="EG741" s="1482"/>
      <c r="EH741" s="1482"/>
      <c r="EI741" s="1482"/>
      <c r="EJ741" s="1482">
        <f t="shared" si="27"/>
        <v>0</v>
      </c>
      <c r="EK741" s="1482"/>
      <c r="EL741" s="1482"/>
      <c r="EM741" s="1482"/>
      <c r="EN741" s="1482"/>
      <c r="EO741" s="1482">
        <f t="shared" si="28"/>
        <v>0</v>
      </c>
      <c r="EP741" s="1482"/>
      <c r="EQ741" s="1482"/>
      <c r="ER741" s="1482"/>
      <c r="ES741" s="1482"/>
      <c r="ET741" s="1482">
        <f t="shared" si="29"/>
        <v>0</v>
      </c>
      <c r="EU741" s="1482"/>
      <c r="EV741" s="1482"/>
      <c r="EW741" s="1482"/>
      <c r="EX741" s="1482"/>
      <c r="EZ741" s="1486" t="str">
        <f t="shared" si="30"/>
        <v/>
      </c>
      <c r="FA741" s="1491"/>
      <c r="FB741" s="1491"/>
      <c r="FC741" s="1491"/>
      <c r="FD741" s="1487"/>
      <c r="FE741" s="1486" t="str">
        <f t="shared" si="31"/>
        <v/>
      </c>
      <c r="FF741" s="1491"/>
      <c r="FG741" s="1491"/>
      <c r="FH741" s="1491"/>
      <c r="FI741" s="1487"/>
      <c r="FJ741" s="1486" t="str">
        <f t="shared" si="32"/>
        <v/>
      </c>
      <c r="FK741" s="1491"/>
      <c r="FL741" s="1491"/>
      <c r="FM741" s="1491"/>
      <c r="FN741" s="1487"/>
      <c r="FO741" s="1486" t="str">
        <f t="shared" si="33"/>
        <v/>
      </c>
      <c r="FP741" s="1491"/>
      <c r="FQ741" s="1491"/>
      <c r="FR741" s="1491"/>
      <c r="FS741" s="1487"/>
      <c r="FT741" s="1486" t="str">
        <f t="shared" si="34"/>
        <v/>
      </c>
      <c r="FU741" s="1491"/>
      <c r="FV741" s="1491"/>
      <c r="FW741" s="1491"/>
      <c r="FX741" s="1487"/>
      <c r="FY741" s="1486" t="str">
        <f t="shared" si="35"/>
        <v/>
      </c>
      <c r="FZ741" s="1491"/>
      <c r="GA741" s="1491"/>
      <c r="GB741" s="1491"/>
      <c r="GC741" s="1487"/>
    </row>
    <row r="742" spans="1:185" ht="12.95" customHeight="1">
      <c r="B742" s="1348"/>
      <c r="C742" s="1349"/>
      <c r="D742" s="1349"/>
      <c r="E742" s="1349"/>
      <c r="F742" s="1350"/>
      <c r="G742" s="1345"/>
      <c r="H742" s="1346"/>
      <c r="I742" s="1346"/>
      <c r="J742" s="1347"/>
      <c r="K742" s="1359"/>
      <c r="L742" s="1360"/>
      <c r="M742" s="1360"/>
      <c r="N742" s="1361"/>
      <c r="O742" s="1342"/>
      <c r="P742" s="1343"/>
      <c r="Q742" s="1343"/>
      <c r="R742" s="1343"/>
      <c r="S742" s="1344"/>
      <c r="T742" s="1342"/>
      <c r="U742" s="1343"/>
      <c r="V742" s="1343"/>
      <c r="W742" s="1344"/>
      <c r="X742" s="1352">
        <f t="shared" ref="X742:X751" si="39">O742+T742</f>
        <v>0</v>
      </c>
      <c r="Y742" s="1353"/>
      <c r="Z742" s="1353"/>
      <c r="AA742" s="1353"/>
      <c r="AB742" s="1354"/>
      <c r="AC742" s="1339"/>
      <c r="AD742" s="1340"/>
      <c r="AE742" s="1340"/>
      <c r="AF742" s="1340"/>
      <c r="AG742" s="1341"/>
      <c r="AH742" s="1355" t="str">
        <f t="shared" si="36"/>
        <v/>
      </c>
      <c r="AI742" s="1356"/>
      <c r="AJ742" s="1357"/>
      <c r="AK742" s="1348" t="s">
        <v>591</v>
      </c>
      <c r="AL742" s="1349"/>
      <c r="AM742" s="1349"/>
      <c r="AN742" s="1349"/>
      <c r="AO742" s="1350"/>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486">
        <f t="shared" si="37"/>
        <v>0</v>
      </c>
      <c r="CH742" s="1487"/>
      <c r="CI742" s="1484">
        <f t="shared" si="38"/>
        <v>0</v>
      </c>
      <c r="CJ742" s="1485"/>
      <c r="CK742" s="1486">
        <f t="shared" si="16"/>
        <v>0</v>
      </c>
      <c r="CL742" s="1487"/>
      <c r="CM742" s="1484">
        <f t="shared" si="17"/>
        <v>0</v>
      </c>
      <c r="CN742" s="1485"/>
      <c r="CO742" s="3"/>
      <c r="CP742" s="1488">
        <f t="shared" si="18"/>
        <v>0</v>
      </c>
      <c r="CQ742" s="1489"/>
      <c r="CR742" s="1489"/>
      <c r="CS742" s="1489"/>
      <c r="CT742" s="1490"/>
      <c r="CU742" s="1480">
        <f t="shared" si="19"/>
        <v>0</v>
      </c>
      <c r="CV742" s="1480"/>
      <c r="CW742" s="1480"/>
      <c r="CX742" s="1480"/>
      <c r="CY742" s="1480"/>
      <c r="CZ742" s="1480">
        <f t="shared" si="20"/>
        <v>0</v>
      </c>
      <c r="DA742" s="1480"/>
      <c r="DB742" s="1480"/>
      <c r="DC742" s="1480"/>
      <c r="DD742" s="1480"/>
      <c r="DE742" s="1480">
        <f t="shared" si="21"/>
        <v>0</v>
      </c>
      <c r="DF742" s="1480"/>
      <c r="DG742" s="1480"/>
      <c r="DH742" s="1480"/>
      <c r="DI742" s="1480"/>
      <c r="DJ742" s="1480">
        <f t="shared" si="22"/>
        <v>0</v>
      </c>
      <c r="DK742" s="1480"/>
      <c r="DL742" s="1480"/>
      <c r="DM742" s="1480"/>
      <c r="DN742" s="1480"/>
      <c r="DO742" s="1480">
        <f t="shared" si="23"/>
        <v>0</v>
      </c>
      <c r="DP742" s="1480"/>
      <c r="DQ742" s="1480"/>
      <c r="DR742" s="1480"/>
      <c r="DS742" s="1480"/>
      <c r="DT742" s="6"/>
      <c r="DU742" s="1482">
        <f t="shared" si="24"/>
        <v>0</v>
      </c>
      <c r="DV742" s="1482"/>
      <c r="DW742" s="1482"/>
      <c r="DX742" s="1482"/>
      <c r="DY742" s="1482"/>
      <c r="DZ742" s="1482">
        <f t="shared" si="25"/>
        <v>0</v>
      </c>
      <c r="EA742" s="1482"/>
      <c r="EB742" s="1482"/>
      <c r="EC742" s="1482"/>
      <c r="ED742" s="1482"/>
      <c r="EE742" s="1482">
        <f t="shared" si="26"/>
        <v>0</v>
      </c>
      <c r="EF742" s="1482"/>
      <c r="EG742" s="1482"/>
      <c r="EH742" s="1482"/>
      <c r="EI742" s="1482"/>
      <c r="EJ742" s="1482">
        <f t="shared" si="27"/>
        <v>0</v>
      </c>
      <c r="EK742" s="1482"/>
      <c r="EL742" s="1482"/>
      <c r="EM742" s="1482"/>
      <c r="EN742" s="1482"/>
      <c r="EO742" s="1482">
        <f t="shared" si="28"/>
        <v>0</v>
      </c>
      <c r="EP742" s="1482"/>
      <c r="EQ742" s="1482"/>
      <c r="ER742" s="1482"/>
      <c r="ES742" s="1482"/>
      <c r="ET742" s="1482">
        <f t="shared" si="29"/>
        <v>0</v>
      </c>
      <c r="EU742" s="1482"/>
      <c r="EV742" s="1482"/>
      <c r="EW742" s="1482"/>
      <c r="EX742" s="1482"/>
      <c r="EZ742" s="1486" t="str">
        <f t="shared" si="30"/>
        <v/>
      </c>
      <c r="FA742" s="1491"/>
      <c r="FB742" s="1491"/>
      <c r="FC742" s="1491"/>
      <c r="FD742" s="1487"/>
      <c r="FE742" s="1486" t="str">
        <f t="shared" si="31"/>
        <v/>
      </c>
      <c r="FF742" s="1491"/>
      <c r="FG742" s="1491"/>
      <c r="FH742" s="1491"/>
      <c r="FI742" s="1487"/>
      <c r="FJ742" s="1486" t="str">
        <f t="shared" si="32"/>
        <v/>
      </c>
      <c r="FK742" s="1491"/>
      <c r="FL742" s="1491"/>
      <c r="FM742" s="1491"/>
      <c r="FN742" s="1487"/>
      <c r="FO742" s="1486" t="str">
        <f t="shared" si="33"/>
        <v/>
      </c>
      <c r="FP742" s="1491"/>
      <c r="FQ742" s="1491"/>
      <c r="FR742" s="1491"/>
      <c r="FS742" s="1487"/>
      <c r="FT742" s="1486" t="str">
        <f t="shared" si="34"/>
        <v/>
      </c>
      <c r="FU742" s="1491"/>
      <c r="FV742" s="1491"/>
      <c r="FW742" s="1491"/>
      <c r="FX742" s="1487"/>
      <c r="FY742" s="1486" t="str">
        <f t="shared" si="35"/>
        <v/>
      </c>
      <c r="FZ742" s="1491"/>
      <c r="GA742" s="1491"/>
      <c r="GB742" s="1491"/>
      <c r="GC742" s="1487"/>
    </row>
    <row r="743" spans="1:185" s="3" customFormat="1" ht="12.95" customHeight="1">
      <c r="A743"/>
      <c r="B743" s="1348"/>
      <c r="C743" s="1349"/>
      <c r="D743" s="1349"/>
      <c r="E743" s="1349"/>
      <c r="F743" s="1350"/>
      <c r="G743" s="1345"/>
      <c r="H743" s="1346"/>
      <c r="I743" s="1346"/>
      <c r="J743" s="1347"/>
      <c r="K743" s="1359"/>
      <c r="L743" s="1360"/>
      <c r="M743" s="1360"/>
      <c r="N743" s="1361"/>
      <c r="O743" s="1342"/>
      <c r="P743" s="1343"/>
      <c r="Q743" s="1343"/>
      <c r="R743" s="1343"/>
      <c r="S743" s="1344"/>
      <c r="T743" s="1342"/>
      <c r="U743" s="1343"/>
      <c r="V743" s="1343"/>
      <c r="W743" s="1344"/>
      <c r="X743" s="1352">
        <f t="shared" si="39"/>
        <v>0</v>
      </c>
      <c r="Y743" s="1353"/>
      <c r="Z743" s="1353"/>
      <c r="AA743" s="1353"/>
      <c r="AB743" s="1354"/>
      <c r="AC743" s="1339"/>
      <c r="AD743" s="1340"/>
      <c r="AE743" s="1340"/>
      <c r="AF743" s="1340"/>
      <c r="AG743" s="1341"/>
      <c r="AH743" s="1355" t="str">
        <f t="shared" si="36"/>
        <v/>
      </c>
      <c r="AI743" s="1356"/>
      <c r="AJ743" s="1357"/>
      <c r="AK743" s="1348" t="s">
        <v>591</v>
      </c>
      <c r="AL743" s="1349"/>
      <c r="AM743" s="1349"/>
      <c r="AN743" s="1349"/>
      <c r="AO743" s="1350"/>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486">
        <f t="shared" si="37"/>
        <v>0</v>
      </c>
      <c r="CH743" s="1487"/>
      <c r="CI743" s="1484">
        <f t="shared" si="38"/>
        <v>0</v>
      </c>
      <c r="CJ743" s="1485"/>
      <c r="CK743" s="1486">
        <f t="shared" si="16"/>
        <v>0</v>
      </c>
      <c r="CL743" s="1487"/>
      <c r="CM743" s="1484">
        <f t="shared" si="17"/>
        <v>0</v>
      </c>
      <c r="CN743" s="1485"/>
      <c r="CP743" s="1488">
        <f t="shared" si="18"/>
        <v>0</v>
      </c>
      <c r="CQ743" s="1489"/>
      <c r="CR743" s="1489"/>
      <c r="CS743" s="1489"/>
      <c r="CT743" s="1490"/>
      <c r="CU743" s="1480">
        <f t="shared" si="19"/>
        <v>0</v>
      </c>
      <c r="CV743" s="1480"/>
      <c r="CW743" s="1480"/>
      <c r="CX743" s="1480"/>
      <c r="CY743" s="1480"/>
      <c r="CZ743" s="1480">
        <f t="shared" si="20"/>
        <v>0</v>
      </c>
      <c r="DA743" s="1480"/>
      <c r="DB743" s="1480"/>
      <c r="DC743" s="1480"/>
      <c r="DD743" s="1480"/>
      <c r="DE743" s="1480">
        <f t="shared" si="21"/>
        <v>0</v>
      </c>
      <c r="DF743" s="1480"/>
      <c r="DG743" s="1480"/>
      <c r="DH743" s="1480"/>
      <c r="DI743" s="1480"/>
      <c r="DJ743" s="1480">
        <f t="shared" si="22"/>
        <v>0</v>
      </c>
      <c r="DK743" s="1480"/>
      <c r="DL743" s="1480"/>
      <c r="DM743" s="1480"/>
      <c r="DN743" s="1480"/>
      <c r="DO743" s="1480">
        <f t="shared" si="23"/>
        <v>0</v>
      </c>
      <c r="DP743" s="1480"/>
      <c r="DQ743" s="1480"/>
      <c r="DR743" s="1480"/>
      <c r="DS743" s="1480"/>
      <c r="DT743" s="6"/>
      <c r="DU743" s="1482">
        <f t="shared" si="24"/>
        <v>0</v>
      </c>
      <c r="DV743" s="1482"/>
      <c r="DW743" s="1482"/>
      <c r="DX743" s="1482"/>
      <c r="DY743" s="1482"/>
      <c r="DZ743" s="1482">
        <f t="shared" si="25"/>
        <v>0</v>
      </c>
      <c r="EA743" s="1482"/>
      <c r="EB743" s="1482"/>
      <c r="EC743" s="1482"/>
      <c r="ED743" s="1482"/>
      <c r="EE743" s="1482">
        <f t="shared" si="26"/>
        <v>0</v>
      </c>
      <c r="EF743" s="1482"/>
      <c r="EG743" s="1482"/>
      <c r="EH743" s="1482"/>
      <c r="EI743" s="1482"/>
      <c r="EJ743" s="1482">
        <f t="shared" si="27"/>
        <v>0</v>
      </c>
      <c r="EK743" s="1482"/>
      <c r="EL743" s="1482"/>
      <c r="EM743" s="1482"/>
      <c r="EN743" s="1482"/>
      <c r="EO743" s="1482">
        <f t="shared" si="28"/>
        <v>0</v>
      </c>
      <c r="EP743" s="1482"/>
      <c r="EQ743" s="1482"/>
      <c r="ER743" s="1482"/>
      <c r="ES743" s="1482"/>
      <c r="ET743" s="1482">
        <f t="shared" si="29"/>
        <v>0</v>
      </c>
      <c r="EU743" s="1482"/>
      <c r="EV743" s="1482"/>
      <c r="EW743" s="1482"/>
      <c r="EX743" s="1482"/>
      <c r="EY743"/>
      <c r="EZ743" s="1486" t="str">
        <f t="shared" si="30"/>
        <v/>
      </c>
      <c r="FA743" s="1491"/>
      <c r="FB743" s="1491"/>
      <c r="FC743" s="1491"/>
      <c r="FD743" s="1487"/>
      <c r="FE743" s="1486" t="str">
        <f t="shared" si="31"/>
        <v/>
      </c>
      <c r="FF743" s="1491"/>
      <c r="FG743" s="1491"/>
      <c r="FH743" s="1491"/>
      <c r="FI743" s="1487"/>
      <c r="FJ743" s="1486" t="str">
        <f t="shared" si="32"/>
        <v/>
      </c>
      <c r="FK743" s="1491"/>
      <c r="FL743" s="1491"/>
      <c r="FM743" s="1491"/>
      <c r="FN743" s="1487"/>
      <c r="FO743" s="1486" t="str">
        <f t="shared" si="33"/>
        <v/>
      </c>
      <c r="FP743" s="1491"/>
      <c r="FQ743" s="1491"/>
      <c r="FR743" s="1491"/>
      <c r="FS743" s="1487"/>
      <c r="FT743" s="1486" t="str">
        <f t="shared" si="34"/>
        <v/>
      </c>
      <c r="FU743" s="1491"/>
      <c r="FV743" s="1491"/>
      <c r="FW743" s="1491"/>
      <c r="FX743" s="1487"/>
      <c r="FY743" s="1486" t="str">
        <f t="shared" si="35"/>
        <v/>
      </c>
      <c r="FZ743" s="1491"/>
      <c r="GA743" s="1491"/>
      <c r="GB743" s="1491"/>
      <c r="GC743" s="1487"/>
    </row>
    <row r="744" spans="1:185" ht="12.95" customHeight="1">
      <c r="B744" s="1348"/>
      <c r="C744" s="1349"/>
      <c r="D744" s="1349"/>
      <c r="E744" s="1349"/>
      <c r="F744" s="1350"/>
      <c r="G744" s="1345"/>
      <c r="H744" s="1346"/>
      <c r="I744" s="1346"/>
      <c r="J744" s="1347"/>
      <c r="K744" s="1359"/>
      <c r="L744" s="1360"/>
      <c r="M744" s="1360"/>
      <c r="N744" s="1361"/>
      <c r="O744" s="1342"/>
      <c r="P744" s="1343"/>
      <c r="Q744" s="1343"/>
      <c r="R744" s="1343"/>
      <c r="S744" s="1344"/>
      <c r="T744" s="1342"/>
      <c r="U744" s="1343"/>
      <c r="V744" s="1343"/>
      <c r="W744" s="1344"/>
      <c r="X744" s="1352">
        <f t="shared" si="39"/>
        <v>0</v>
      </c>
      <c r="Y744" s="1353"/>
      <c r="Z744" s="1353"/>
      <c r="AA744" s="1353"/>
      <c r="AB744" s="1354"/>
      <c r="AC744" s="1339"/>
      <c r="AD744" s="1340"/>
      <c r="AE744" s="1340"/>
      <c r="AF744" s="1340"/>
      <c r="AG744" s="1341"/>
      <c r="AH744" s="1355" t="str">
        <f t="shared" si="36"/>
        <v/>
      </c>
      <c r="AI744" s="1356"/>
      <c r="AJ744" s="1357"/>
      <c r="AK744" s="1348" t="s">
        <v>591</v>
      </c>
      <c r="AL744" s="1349"/>
      <c r="AM744" s="1349"/>
      <c r="AN744" s="1349"/>
      <c r="AO744" s="1350"/>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486">
        <f t="shared" si="37"/>
        <v>0</v>
      </c>
      <c r="CH744" s="1487"/>
      <c r="CI744" s="1484">
        <f t="shared" si="38"/>
        <v>0</v>
      </c>
      <c r="CJ744" s="1485"/>
      <c r="CK744" s="1486">
        <f t="shared" si="16"/>
        <v>0</v>
      </c>
      <c r="CL744" s="1487"/>
      <c r="CM744" s="1484">
        <f t="shared" si="17"/>
        <v>0</v>
      </c>
      <c r="CN744" s="1485"/>
      <c r="CO744" s="3"/>
      <c r="CP744" s="1488">
        <f t="shared" si="18"/>
        <v>0</v>
      </c>
      <c r="CQ744" s="1489"/>
      <c r="CR744" s="1489"/>
      <c r="CS744" s="1489"/>
      <c r="CT744" s="1490"/>
      <c r="CU744" s="1480">
        <f t="shared" si="19"/>
        <v>0</v>
      </c>
      <c r="CV744" s="1480"/>
      <c r="CW744" s="1480"/>
      <c r="CX744" s="1480"/>
      <c r="CY744" s="1480"/>
      <c r="CZ744" s="1480">
        <f t="shared" si="20"/>
        <v>0</v>
      </c>
      <c r="DA744" s="1480"/>
      <c r="DB744" s="1480"/>
      <c r="DC744" s="1480"/>
      <c r="DD744" s="1480"/>
      <c r="DE744" s="1480">
        <f t="shared" si="21"/>
        <v>0</v>
      </c>
      <c r="DF744" s="1480"/>
      <c r="DG744" s="1480"/>
      <c r="DH744" s="1480"/>
      <c r="DI744" s="1480"/>
      <c r="DJ744" s="1480">
        <f t="shared" si="22"/>
        <v>0</v>
      </c>
      <c r="DK744" s="1480"/>
      <c r="DL744" s="1480"/>
      <c r="DM744" s="1480"/>
      <c r="DN744" s="1480"/>
      <c r="DO744" s="1480">
        <f t="shared" si="23"/>
        <v>0</v>
      </c>
      <c r="DP744" s="1480"/>
      <c r="DQ744" s="1480"/>
      <c r="DR744" s="1480"/>
      <c r="DS744" s="1480"/>
      <c r="DT744" s="6"/>
      <c r="DU744" s="1482">
        <f t="shared" si="24"/>
        <v>0</v>
      </c>
      <c r="DV744" s="1482"/>
      <c r="DW744" s="1482"/>
      <c r="DX744" s="1482"/>
      <c r="DY744" s="1482"/>
      <c r="DZ744" s="1482">
        <f t="shared" si="25"/>
        <v>0</v>
      </c>
      <c r="EA744" s="1482"/>
      <c r="EB744" s="1482"/>
      <c r="EC744" s="1482"/>
      <c r="ED744" s="1482"/>
      <c r="EE744" s="1482">
        <f t="shared" si="26"/>
        <v>0</v>
      </c>
      <c r="EF744" s="1482"/>
      <c r="EG744" s="1482"/>
      <c r="EH744" s="1482"/>
      <c r="EI744" s="1482"/>
      <c r="EJ744" s="1482">
        <f t="shared" si="27"/>
        <v>0</v>
      </c>
      <c r="EK744" s="1482"/>
      <c r="EL744" s="1482"/>
      <c r="EM744" s="1482"/>
      <c r="EN744" s="1482"/>
      <c r="EO744" s="1482">
        <f t="shared" si="28"/>
        <v>0</v>
      </c>
      <c r="EP744" s="1482"/>
      <c r="EQ744" s="1482"/>
      <c r="ER744" s="1482"/>
      <c r="ES744" s="1482"/>
      <c r="ET744" s="1482">
        <f t="shared" si="29"/>
        <v>0</v>
      </c>
      <c r="EU744" s="1482"/>
      <c r="EV744" s="1482"/>
      <c r="EW744" s="1482"/>
      <c r="EX744" s="1482"/>
      <c r="EZ744" s="1486" t="str">
        <f t="shared" si="30"/>
        <v/>
      </c>
      <c r="FA744" s="1491"/>
      <c r="FB744" s="1491"/>
      <c r="FC744" s="1491"/>
      <c r="FD744" s="1487"/>
      <c r="FE744" s="1486" t="str">
        <f t="shared" si="31"/>
        <v/>
      </c>
      <c r="FF744" s="1491"/>
      <c r="FG744" s="1491"/>
      <c r="FH744" s="1491"/>
      <c r="FI744" s="1487"/>
      <c r="FJ744" s="1486" t="str">
        <f t="shared" si="32"/>
        <v/>
      </c>
      <c r="FK744" s="1491"/>
      <c r="FL744" s="1491"/>
      <c r="FM744" s="1491"/>
      <c r="FN744" s="1487"/>
      <c r="FO744" s="1486" t="str">
        <f t="shared" si="33"/>
        <v/>
      </c>
      <c r="FP744" s="1491"/>
      <c r="FQ744" s="1491"/>
      <c r="FR744" s="1491"/>
      <c r="FS744" s="1487"/>
      <c r="FT744" s="1486" t="str">
        <f t="shared" si="34"/>
        <v/>
      </c>
      <c r="FU744" s="1491"/>
      <c r="FV744" s="1491"/>
      <c r="FW744" s="1491"/>
      <c r="FX744" s="1487"/>
      <c r="FY744" s="1486" t="str">
        <f t="shared" si="35"/>
        <v/>
      </c>
      <c r="FZ744" s="1491"/>
      <c r="GA744" s="1491"/>
      <c r="GB744" s="1491"/>
      <c r="GC744" s="1487"/>
    </row>
    <row r="745" spans="1:185" ht="12.95" customHeight="1">
      <c r="B745" s="1348"/>
      <c r="C745" s="1349"/>
      <c r="D745" s="1349"/>
      <c r="E745" s="1349"/>
      <c r="F745" s="1350"/>
      <c r="G745" s="1345"/>
      <c r="H745" s="1346"/>
      <c r="I745" s="1346"/>
      <c r="J745" s="1347"/>
      <c r="K745" s="1359"/>
      <c r="L745" s="1360"/>
      <c r="M745" s="1360"/>
      <c r="N745" s="1361"/>
      <c r="O745" s="1342"/>
      <c r="P745" s="1343"/>
      <c r="Q745" s="1343"/>
      <c r="R745" s="1343"/>
      <c r="S745" s="1344"/>
      <c r="T745" s="1342"/>
      <c r="U745" s="1343"/>
      <c r="V745" s="1343"/>
      <c r="W745" s="1344"/>
      <c r="X745" s="1352">
        <f t="shared" si="39"/>
        <v>0</v>
      </c>
      <c r="Y745" s="1353"/>
      <c r="Z745" s="1353"/>
      <c r="AA745" s="1353"/>
      <c r="AB745" s="1354"/>
      <c r="AC745" s="1339"/>
      <c r="AD745" s="1340"/>
      <c r="AE745" s="1340"/>
      <c r="AF745" s="1340"/>
      <c r="AG745" s="1341"/>
      <c r="AH745" s="1355" t="str">
        <f t="shared" si="36"/>
        <v/>
      </c>
      <c r="AI745" s="1356"/>
      <c r="AJ745" s="1357"/>
      <c r="AK745" s="1348" t="s">
        <v>591</v>
      </c>
      <c r="AL745" s="1349"/>
      <c r="AM745" s="1349"/>
      <c r="AN745" s="1349"/>
      <c r="AO745" s="1350"/>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486">
        <f t="shared" si="37"/>
        <v>0</v>
      </c>
      <c r="CH745" s="1487"/>
      <c r="CI745" s="1484">
        <f t="shared" si="38"/>
        <v>0</v>
      </c>
      <c r="CJ745" s="1485"/>
      <c r="CK745" s="1486">
        <f t="shared" si="16"/>
        <v>0</v>
      </c>
      <c r="CL745" s="1487"/>
      <c r="CM745" s="1484">
        <f t="shared" si="17"/>
        <v>0</v>
      </c>
      <c r="CN745" s="1485"/>
      <c r="CO745" s="3"/>
      <c r="CP745" s="1488">
        <f t="shared" si="18"/>
        <v>0</v>
      </c>
      <c r="CQ745" s="1489"/>
      <c r="CR745" s="1489"/>
      <c r="CS745" s="1489"/>
      <c r="CT745" s="1490"/>
      <c r="CU745" s="1480">
        <f t="shared" si="19"/>
        <v>0</v>
      </c>
      <c r="CV745" s="1480"/>
      <c r="CW745" s="1480"/>
      <c r="CX745" s="1480"/>
      <c r="CY745" s="1480"/>
      <c r="CZ745" s="1480">
        <f t="shared" si="20"/>
        <v>0</v>
      </c>
      <c r="DA745" s="1480"/>
      <c r="DB745" s="1480"/>
      <c r="DC745" s="1480"/>
      <c r="DD745" s="1480"/>
      <c r="DE745" s="1480">
        <f t="shared" si="21"/>
        <v>0</v>
      </c>
      <c r="DF745" s="1480"/>
      <c r="DG745" s="1480"/>
      <c r="DH745" s="1480"/>
      <c r="DI745" s="1480"/>
      <c r="DJ745" s="1480">
        <f t="shared" si="22"/>
        <v>0</v>
      </c>
      <c r="DK745" s="1480"/>
      <c r="DL745" s="1480"/>
      <c r="DM745" s="1480"/>
      <c r="DN745" s="1480"/>
      <c r="DO745" s="1480">
        <f t="shared" si="23"/>
        <v>0</v>
      </c>
      <c r="DP745" s="1480"/>
      <c r="DQ745" s="1480"/>
      <c r="DR745" s="1480"/>
      <c r="DS745" s="1480"/>
      <c r="DT745" s="6"/>
      <c r="DU745" s="1482">
        <f t="shared" si="24"/>
        <v>0</v>
      </c>
      <c r="DV745" s="1482"/>
      <c r="DW745" s="1482"/>
      <c r="DX745" s="1482"/>
      <c r="DY745" s="1482"/>
      <c r="DZ745" s="1482">
        <f t="shared" si="25"/>
        <v>0</v>
      </c>
      <c r="EA745" s="1482"/>
      <c r="EB745" s="1482"/>
      <c r="EC745" s="1482"/>
      <c r="ED745" s="1482"/>
      <c r="EE745" s="1482">
        <f t="shared" si="26"/>
        <v>0</v>
      </c>
      <c r="EF745" s="1482"/>
      <c r="EG745" s="1482"/>
      <c r="EH745" s="1482"/>
      <c r="EI745" s="1482"/>
      <c r="EJ745" s="1482">
        <f t="shared" si="27"/>
        <v>0</v>
      </c>
      <c r="EK745" s="1482"/>
      <c r="EL745" s="1482"/>
      <c r="EM745" s="1482"/>
      <c r="EN745" s="1482"/>
      <c r="EO745" s="1482">
        <f t="shared" si="28"/>
        <v>0</v>
      </c>
      <c r="EP745" s="1482"/>
      <c r="EQ745" s="1482"/>
      <c r="ER745" s="1482"/>
      <c r="ES745" s="1482"/>
      <c r="ET745" s="1482">
        <f t="shared" si="29"/>
        <v>0</v>
      </c>
      <c r="EU745" s="1482"/>
      <c r="EV745" s="1482"/>
      <c r="EW745" s="1482"/>
      <c r="EX745" s="1482"/>
      <c r="EZ745" s="1486" t="str">
        <f t="shared" si="30"/>
        <v/>
      </c>
      <c r="FA745" s="1491"/>
      <c r="FB745" s="1491"/>
      <c r="FC745" s="1491"/>
      <c r="FD745" s="1487"/>
      <c r="FE745" s="1486" t="str">
        <f t="shared" si="31"/>
        <v/>
      </c>
      <c r="FF745" s="1491"/>
      <c r="FG745" s="1491"/>
      <c r="FH745" s="1491"/>
      <c r="FI745" s="1487"/>
      <c r="FJ745" s="1486" t="str">
        <f t="shared" si="32"/>
        <v/>
      </c>
      <c r="FK745" s="1491"/>
      <c r="FL745" s="1491"/>
      <c r="FM745" s="1491"/>
      <c r="FN745" s="1487"/>
      <c r="FO745" s="1486" t="str">
        <f t="shared" si="33"/>
        <v/>
      </c>
      <c r="FP745" s="1491"/>
      <c r="FQ745" s="1491"/>
      <c r="FR745" s="1491"/>
      <c r="FS745" s="1487"/>
      <c r="FT745" s="1486" t="str">
        <f t="shared" si="34"/>
        <v/>
      </c>
      <c r="FU745" s="1491"/>
      <c r="FV745" s="1491"/>
      <c r="FW745" s="1491"/>
      <c r="FX745" s="1487"/>
      <c r="FY745" s="1486" t="str">
        <f t="shared" si="35"/>
        <v/>
      </c>
      <c r="FZ745" s="1491"/>
      <c r="GA745" s="1491"/>
      <c r="GB745" s="1491"/>
      <c r="GC745" s="1487"/>
    </row>
    <row r="746" spans="1:185" ht="12.95" customHeight="1">
      <c r="B746" s="1348"/>
      <c r="C746" s="1349"/>
      <c r="D746" s="1349"/>
      <c r="E746" s="1349"/>
      <c r="F746" s="1350"/>
      <c r="G746" s="1345"/>
      <c r="H746" s="1346"/>
      <c r="I746" s="1346"/>
      <c r="J746" s="1347"/>
      <c r="K746" s="1359"/>
      <c r="L746" s="1360"/>
      <c r="M746" s="1360"/>
      <c r="N746" s="1361"/>
      <c r="O746" s="1342"/>
      <c r="P746" s="1343"/>
      <c r="Q746" s="1343"/>
      <c r="R746" s="1343"/>
      <c r="S746" s="1344"/>
      <c r="T746" s="1342"/>
      <c r="U746" s="1343"/>
      <c r="V746" s="1343"/>
      <c r="W746" s="1344"/>
      <c r="X746" s="1352">
        <f t="shared" si="39"/>
        <v>0</v>
      </c>
      <c r="Y746" s="1353"/>
      <c r="Z746" s="1353"/>
      <c r="AA746" s="1353"/>
      <c r="AB746" s="1354"/>
      <c r="AC746" s="1339"/>
      <c r="AD746" s="1340"/>
      <c r="AE746" s="1340"/>
      <c r="AF746" s="1340"/>
      <c r="AG746" s="1341"/>
      <c r="AH746" s="1355" t="str">
        <f t="shared" si="36"/>
        <v/>
      </c>
      <c r="AI746" s="1356"/>
      <c r="AJ746" s="1357"/>
      <c r="AK746" s="1348" t="s">
        <v>591</v>
      </c>
      <c r="AL746" s="1349"/>
      <c r="AM746" s="1349"/>
      <c r="AN746" s="1349"/>
      <c r="AO746" s="1350"/>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486">
        <f t="shared" si="37"/>
        <v>0</v>
      </c>
      <c r="CH746" s="1487"/>
      <c r="CI746" s="1484">
        <f t="shared" si="38"/>
        <v>0</v>
      </c>
      <c r="CJ746" s="1485"/>
      <c r="CK746" s="1486">
        <f t="shared" si="16"/>
        <v>0</v>
      </c>
      <c r="CL746" s="1487"/>
      <c r="CM746" s="1484">
        <f t="shared" si="17"/>
        <v>0</v>
      </c>
      <c r="CN746" s="1485"/>
      <c r="CO746" s="3"/>
      <c r="CP746" s="1488">
        <f t="shared" si="18"/>
        <v>0</v>
      </c>
      <c r="CQ746" s="1489"/>
      <c r="CR746" s="1489"/>
      <c r="CS746" s="1489"/>
      <c r="CT746" s="1490"/>
      <c r="CU746" s="1480">
        <f t="shared" si="19"/>
        <v>0</v>
      </c>
      <c r="CV746" s="1480"/>
      <c r="CW746" s="1480"/>
      <c r="CX746" s="1480"/>
      <c r="CY746" s="1480"/>
      <c r="CZ746" s="1480">
        <f t="shared" si="20"/>
        <v>0</v>
      </c>
      <c r="DA746" s="1480"/>
      <c r="DB746" s="1480"/>
      <c r="DC746" s="1480"/>
      <c r="DD746" s="1480"/>
      <c r="DE746" s="1480">
        <f t="shared" si="21"/>
        <v>0</v>
      </c>
      <c r="DF746" s="1480"/>
      <c r="DG746" s="1480"/>
      <c r="DH746" s="1480"/>
      <c r="DI746" s="1480"/>
      <c r="DJ746" s="1480">
        <f t="shared" si="22"/>
        <v>0</v>
      </c>
      <c r="DK746" s="1480"/>
      <c r="DL746" s="1480"/>
      <c r="DM746" s="1480"/>
      <c r="DN746" s="1480"/>
      <c r="DO746" s="1480">
        <f t="shared" si="23"/>
        <v>0</v>
      </c>
      <c r="DP746" s="1480"/>
      <c r="DQ746" s="1480"/>
      <c r="DR746" s="1480"/>
      <c r="DS746" s="1480"/>
      <c r="DT746" s="6"/>
      <c r="DU746" s="1482">
        <f t="shared" si="24"/>
        <v>0</v>
      </c>
      <c r="DV746" s="1482"/>
      <c r="DW746" s="1482"/>
      <c r="DX746" s="1482"/>
      <c r="DY746" s="1482"/>
      <c r="DZ746" s="1482">
        <f t="shared" si="25"/>
        <v>0</v>
      </c>
      <c r="EA746" s="1482"/>
      <c r="EB746" s="1482"/>
      <c r="EC746" s="1482"/>
      <c r="ED746" s="1482"/>
      <c r="EE746" s="1482">
        <f t="shared" si="26"/>
        <v>0</v>
      </c>
      <c r="EF746" s="1482"/>
      <c r="EG746" s="1482"/>
      <c r="EH746" s="1482"/>
      <c r="EI746" s="1482"/>
      <c r="EJ746" s="1482">
        <f t="shared" si="27"/>
        <v>0</v>
      </c>
      <c r="EK746" s="1482"/>
      <c r="EL746" s="1482"/>
      <c r="EM746" s="1482"/>
      <c r="EN746" s="1482"/>
      <c r="EO746" s="1482">
        <f t="shared" si="28"/>
        <v>0</v>
      </c>
      <c r="EP746" s="1482"/>
      <c r="EQ746" s="1482"/>
      <c r="ER746" s="1482"/>
      <c r="ES746" s="1482"/>
      <c r="ET746" s="1482">
        <f t="shared" si="29"/>
        <v>0</v>
      </c>
      <c r="EU746" s="1482"/>
      <c r="EV746" s="1482"/>
      <c r="EW746" s="1482"/>
      <c r="EX746" s="1482"/>
      <c r="EZ746" s="1486" t="str">
        <f t="shared" si="30"/>
        <v/>
      </c>
      <c r="FA746" s="1491"/>
      <c r="FB746" s="1491"/>
      <c r="FC746" s="1491"/>
      <c r="FD746" s="1487"/>
      <c r="FE746" s="1486" t="str">
        <f t="shared" si="31"/>
        <v/>
      </c>
      <c r="FF746" s="1491"/>
      <c r="FG746" s="1491"/>
      <c r="FH746" s="1491"/>
      <c r="FI746" s="1487"/>
      <c r="FJ746" s="1486" t="str">
        <f t="shared" si="32"/>
        <v/>
      </c>
      <c r="FK746" s="1491"/>
      <c r="FL746" s="1491"/>
      <c r="FM746" s="1491"/>
      <c r="FN746" s="1487"/>
      <c r="FO746" s="1486" t="str">
        <f t="shared" si="33"/>
        <v/>
      </c>
      <c r="FP746" s="1491"/>
      <c r="FQ746" s="1491"/>
      <c r="FR746" s="1491"/>
      <c r="FS746" s="1487"/>
      <c r="FT746" s="1486" t="str">
        <f t="shared" si="34"/>
        <v/>
      </c>
      <c r="FU746" s="1491"/>
      <c r="FV746" s="1491"/>
      <c r="FW746" s="1491"/>
      <c r="FX746" s="1487"/>
      <c r="FY746" s="1486" t="str">
        <f t="shared" si="35"/>
        <v/>
      </c>
      <c r="FZ746" s="1491"/>
      <c r="GA746" s="1491"/>
      <c r="GB746" s="1491"/>
      <c r="GC746" s="1487"/>
    </row>
    <row r="747" spans="1:185" ht="12.95" customHeight="1">
      <c r="B747" s="1348"/>
      <c r="C747" s="1349"/>
      <c r="D747" s="1349"/>
      <c r="E747" s="1349"/>
      <c r="F747" s="1350"/>
      <c r="G747" s="1345"/>
      <c r="H747" s="1346"/>
      <c r="I747" s="1346"/>
      <c r="J747" s="1347"/>
      <c r="K747" s="1359"/>
      <c r="L747" s="1360"/>
      <c r="M747" s="1360"/>
      <c r="N747" s="1361"/>
      <c r="O747" s="1342"/>
      <c r="P747" s="1343"/>
      <c r="Q747" s="1343"/>
      <c r="R747" s="1343"/>
      <c r="S747" s="1344"/>
      <c r="T747" s="1342"/>
      <c r="U747" s="1343"/>
      <c r="V747" s="1343"/>
      <c r="W747" s="1344"/>
      <c r="X747" s="1352">
        <f t="shared" si="39"/>
        <v>0</v>
      </c>
      <c r="Y747" s="1353"/>
      <c r="Z747" s="1353"/>
      <c r="AA747" s="1353"/>
      <c r="AB747" s="1354"/>
      <c r="AC747" s="1339"/>
      <c r="AD747" s="1340"/>
      <c r="AE747" s="1340"/>
      <c r="AF747" s="1340"/>
      <c r="AG747" s="1341"/>
      <c r="AH747" s="1355" t="str">
        <f t="shared" si="36"/>
        <v/>
      </c>
      <c r="AI747" s="1356"/>
      <c r="AJ747" s="1357"/>
      <c r="AK747" s="1348" t="s">
        <v>591</v>
      </c>
      <c r="AL747" s="1349"/>
      <c r="AM747" s="1349"/>
      <c r="AN747" s="1349"/>
      <c r="AO747" s="1350"/>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486">
        <f t="shared" si="37"/>
        <v>0</v>
      </c>
      <c r="CH747" s="1487"/>
      <c r="CI747" s="1484">
        <f t="shared" si="38"/>
        <v>0</v>
      </c>
      <c r="CJ747" s="1485"/>
      <c r="CK747" s="1486">
        <f t="shared" si="16"/>
        <v>0</v>
      </c>
      <c r="CL747" s="1487"/>
      <c r="CM747" s="1484">
        <f t="shared" si="17"/>
        <v>0</v>
      </c>
      <c r="CN747" s="1485"/>
      <c r="CO747" s="3"/>
      <c r="CP747" s="1488">
        <f t="shared" si="18"/>
        <v>0</v>
      </c>
      <c r="CQ747" s="1489"/>
      <c r="CR747" s="1489"/>
      <c r="CS747" s="1489"/>
      <c r="CT747" s="1490"/>
      <c r="CU747" s="1480">
        <f t="shared" si="19"/>
        <v>0</v>
      </c>
      <c r="CV747" s="1480"/>
      <c r="CW747" s="1480"/>
      <c r="CX747" s="1480"/>
      <c r="CY747" s="1480"/>
      <c r="CZ747" s="1480">
        <f t="shared" si="20"/>
        <v>0</v>
      </c>
      <c r="DA747" s="1480"/>
      <c r="DB747" s="1480"/>
      <c r="DC747" s="1480"/>
      <c r="DD747" s="1480"/>
      <c r="DE747" s="1480">
        <f t="shared" si="21"/>
        <v>0</v>
      </c>
      <c r="DF747" s="1480"/>
      <c r="DG747" s="1480"/>
      <c r="DH747" s="1480"/>
      <c r="DI747" s="1480"/>
      <c r="DJ747" s="1480">
        <f t="shared" si="22"/>
        <v>0</v>
      </c>
      <c r="DK747" s="1480"/>
      <c r="DL747" s="1480"/>
      <c r="DM747" s="1480"/>
      <c r="DN747" s="1480"/>
      <c r="DO747" s="1480">
        <f t="shared" si="23"/>
        <v>0</v>
      </c>
      <c r="DP747" s="1480"/>
      <c r="DQ747" s="1480"/>
      <c r="DR747" s="1480"/>
      <c r="DS747" s="1480"/>
      <c r="DT747" s="6"/>
      <c r="DU747" s="1482">
        <f t="shared" si="24"/>
        <v>0</v>
      </c>
      <c r="DV747" s="1482"/>
      <c r="DW747" s="1482"/>
      <c r="DX747" s="1482"/>
      <c r="DY747" s="1482"/>
      <c r="DZ747" s="1482">
        <f t="shared" si="25"/>
        <v>0</v>
      </c>
      <c r="EA747" s="1482"/>
      <c r="EB747" s="1482"/>
      <c r="EC747" s="1482"/>
      <c r="ED747" s="1482"/>
      <c r="EE747" s="1482">
        <f t="shared" si="26"/>
        <v>0</v>
      </c>
      <c r="EF747" s="1482"/>
      <c r="EG747" s="1482"/>
      <c r="EH747" s="1482"/>
      <c r="EI747" s="1482"/>
      <c r="EJ747" s="1482">
        <f t="shared" si="27"/>
        <v>0</v>
      </c>
      <c r="EK747" s="1482"/>
      <c r="EL747" s="1482"/>
      <c r="EM747" s="1482"/>
      <c r="EN747" s="1482"/>
      <c r="EO747" s="1482">
        <f t="shared" si="28"/>
        <v>0</v>
      </c>
      <c r="EP747" s="1482"/>
      <c r="EQ747" s="1482"/>
      <c r="ER747" s="1482"/>
      <c r="ES747" s="1482"/>
      <c r="ET747" s="1482">
        <f t="shared" si="29"/>
        <v>0</v>
      </c>
      <c r="EU747" s="1482"/>
      <c r="EV747" s="1482"/>
      <c r="EW747" s="1482"/>
      <c r="EX747" s="1482"/>
      <c r="EZ747" s="1486" t="str">
        <f t="shared" si="30"/>
        <v/>
      </c>
      <c r="FA747" s="1491"/>
      <c r="FB747" s="1491"/>
      <c r="FC747" s="1491"/>
      <c r="FD747" s="1487"/>
      <c r="FE747" s="1486" t="str">
        <f t="shared" si="31"/>
        <v/>
      </c>
      <c r="FF747" s="1491"/>
      <c r="FG747" s="1491"/>
      <c r="FH747" s="1491"/>
      <c r="FI747" s="1487"/>
      <c r="FJ747" s="1486" t="str">
        <f t="shared" si="32"/>
        <v/>
      </c>
      <c r="FK747" s="1491"/>
      <c r="FL747" s="1491"/>
      <c r="FM747" s="1491"/>
      <c r="FN747" s="1487"/>
      <c r="FO747" s="1486" t="str">
        <f t="shared" si="33"/>
        <v/>
      </c>
      <c r="FP747" s="1491"/>
      <c r="FQ747" s="1491"/>
      <c r="FR747" s="1491"/>
      <c r="FS747" s="1487"/>
      <c r="FT747" s="1486" t="str">
        <f t="shared" si="34"/>
        <v/>
      </c>
      <c r="FU747" s="1491"/>
      <c r="FV747" s="1491"/>
      <c r="FW747" s="1491"/>
      <c r="FX747" s="1487"/>
      <c r="FY747" s="1486" t="str">
        <f t="shared" si="35"/>
        <v/>
      </c>
      <c r="FZ747" s="1491"/>
      <c r="GA747" s="1491"/>
      <c r="GB747" s="1491"/>
      <c r="GC747" s="1487"/>
    </row>
    <row r="748" spans="1:185" s="3" customFormat="1" ht="12.95" customHeight="1">
      <c r="A748"/>
      <c r="B748" s="1348"/>
      <c r="C748" s="1349"/>
      <c r="D748" s="1349"/>
      <c r="E748" s="1349"/>
      <c r="F748" s="1350"/>
      <c r="G748" s="1345"/>
      <c r="H748" s="1346"/>
      <c r="I748" s="1346"/>
      <c r="J748" s="1347"/>
      <c r="K748" s="1359"/>
      <c r="L748" s="1360"/>
      <c r="M748" s="1360"/>
      <c r="N748" s="1361"/>
      <c r="O748" s="1342"/>
      <c r="P748" s="1343"/>
      <c r="Q748" s="1343"/>
      <c r="R748" s="1343"/>
      <c r="S748" s="1344"/>
      <c r="T748" s="1342"/>
      <c r="U748" s="1343"/>
      <c r="V748" s="1343"/>
      <c r="W748" s="1344"/>
      <c r="X748" s="1352">
        <f t="shared" si="39"/>
        <v>0</v>
      </c>
      <c r="Y748" s="1353"/>
      <c r="Z748" s="1353"/>
      <c r="AA748" s="1353"/>
      <c r="AB748" s="1354"/>
      <c r="AC748" s="1339"/>
      <c r="AD748" s="1340"/>
      <c r="AE748" s="1340"/>
      <c r="AF748" s="1340"/>
      <c r="AG748" s="1341"/>
      <c r="AH748" s="1355" t="str">
        <f t="shared" si="36"/>
        <v/>
      </c>
      <c r="AI748" s="1356"/>
      <c r="AJ748" s="1357"/>
      <c r="AK748" s="1348" t="s">
        <v>591</v>
      </c>
      <c r="AL748" s="1349"/>
      <c r="AM748" s="1349"/>
      <c r="AN748" s="1349"/>
      <c r="AO748" s="1350"/>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486">
        <f t="shared" si="37"/>
        <v>0</v>
      </c>
      <c r="CH748" s="1487"/>
      <c r="CI748" s="1484">
        <f t="shared" si="38"/>
        <v>0</v>
      </c>
      <c r="CJ748" s="1485"/>
      <c r="CK748" s="1486">
        <f t="shared" si="16"/>
        <v>0</v>
      </c>
      <c r="CL748" s="1487"/>
      <c r="CM748" s="1484">
        <f t="shared" si="17"/>
        <v>0</v>
      </c>
      <c r="CN748" s="1485"/>
      <c r="CP748" s="1488">
        <f t="shared" si="18"/>
        <v>0</v>
      </c>
      <c r="CQ748" s="1489"/>
      <c r="CR748" s="1489"/>
      <c r="CS748" s="1489"/>
      <c r="CT748" s="1490"/>
      <c r="CU748" s="1480">
        <f t="shared" si="19"/>
        <v>0</v>
      </c>
      <c r="CV748" s="1480"/>
      <c r="CW748" s="1480"/>
      <c r="CX748" s="1480"/>
      <c r="CY748" s="1480"/>
      <c r="CZ748" s="1480">
        <f t="shared" si="20"/>
        <v>0</v>
      </c>
      <c r="DA748" s="1480"/>
      <c r="DB748" s="1480"/>
      <c r="DC748" s="1480"/>
      <c r="DD748" s="1480"/>
      <c r="DE748" s="1480">
        <f t="shared" si="21"/>
        <v>0</v>
      </c>
      <c r="DF748" s="1480"/>
      <c r="DG748" s="1480"/>
      <c r="DH748" s="1480"/>
      <c r="DI748" s="1480"/>
      <c r="DJ748" s="1480">
        <f t="shared" si="22"/>
        <v>0</v>
      </c>
      <c r="DK748" s="1480"/>
      <c r="DL748" s="1480"/>
      <c r="DM748" s="1480"/>
      <c r="DN748" s="1480"/>
      <c r="DO748" s="1480">
        <f t="shared" si="23"/>
        <v>0</v>
      </c>
      <c r="DP748" s="1480"/>
      <c r="DQ748" s="1480"/>
      <c r="DR748" s="1480"/>
      <c r="DS748" s="1480"/>
      <c r="DT748" s="6"/>
      <c r="DU748" s="1482">
        <f t="shared" si="24"/>
        <v>0</v>
      </c>
      <c r="DV748" s="1482"/>
      <c r="DW748" s="1482"/>
      <c r="DX748" s="1482"/>
      <c r="DY748" s="1482"/>
      <c r="DZ748" s="1482">
        <f t="shared" si="25"/>
        <v>0</v>
      </c>
      <c r="EA748" s="1482"/>
      <c r="EB748" s="1482"/>
      <c r="EC748" s="1482"/>
      <c r="ED748" s="1482"/>
      <c r="EE748" s="1482">
        <f t="shared" si="26"/>
        <v>0</v>
      </c>
      <c r="EF748" s="1482"/>
      <c r="EG748" s="1482"/>
      <c r="EH748" s="1482"/>
      <c r="EI748" s="1482"/>
      <c r="EJ748" s="1482">
        <f t="shared" si="27"/>
        <v>0</v>
      </c>
      <c r="EK748" s="1482"/>
      <c r="EL748" s="1482"/>
      <c r="EM748" s="1482"/>
      <c r="EN748" s="1482"/>
      <c r="EO748" s="1482">
        <f t="shared" si="28"/>
        <v>0</v>
      </c>
      <c r="EP748" s="1482"/>
      <c r="EQ748" s="1482"/>
      <c r="ER748" s="1482"/>
      <c r="ES748" s="1482"/>
      <c r="ET748" s="1482">
        <f t="shared" si="29"/>
        <v>0</v>
      </c>
      <c r="EU748" s="1482"/>
      <c r="EV748" s="1482"/>
      <c r="EW748" s="1482"/>
      <c r="EX748" s="1482"/>
      <c r="EY748"/>
      <c r="EZ748" s="1486" t="str">
        <f t="shared" si="30"/>
        <v/>
      </c>
      <c r="FA748" s="1491"/>
      <c r="FB748" s="1491"/>
      <c r="FC748" s="1491"/>
      <c r="FD748" s="1487"/>
      <c r="FE748" s="1486" t="str">
        <f t="shared" si="31"/>
        <v/>
      </c>
      <c r="FF748" s="1491"/>
      <c r="FG748" s="1491"/>
      <c r="FH748" s="1491"/>
      <c r="FI748" s="1487"/>
      <c r="FJ748" s="1486" t="str">
        <f t="shared" si="32"/>
        <v/>
      </c>
      <c r="FK748" s="1491"/>
      <c r="FL748" s="1491"/>
      <c r="FM748" s="1491"/>
      <c r="FN748" s="1487"/>
      <c r="FO748" s="1486" t="str">
        <f t="shared" si="33"/>
        <v/>
      </c>
      <c r="FP748" s="1491"/>
      <c r="FQ748" s="1491"/>
      <c r="FR748" s="1491"/>
      <c r="FS748" s="1487"/>
      <c r="FT748" s="1486" t="str">
        <f t="shared" si="34"/>
        <v/>
      </c>
      <c r="FU748" s="1491"/>
      <c r="FV748" s="1491"/>
      <c r="FW748" s="1491"/>
      <c r="FX748" s="1487"/>
      <c r="FY748" s="1486" t="str">
        <f t="shared" si="35"/>
        <v/>
      </c>
      <c r="FZ748" s="1491"/>
      <c r="GA748" s="1491"/>
      <c r="GB748" s="1491"/>
      <c r="GC748" s="1487"/>
    </row>
    <row r="749" spans="1:185" s="3" customFormat="1" ht="12.95" customHeight="1">
      <c r="A749"/>
      <c r="B749" s="1348"/>
      <c r="C749" s="1349"/>
      <c r="D749" s="1349"/>
      <c r="E749" s="1349"/>
      <c r="F749" s="1350"/>
      <c r="G749" s="1345"/>
      <c r="H749" s="1346"/>
      <c r="I749" s="1346"/>
      <c r="J749" s="1347"/>
      <c r="K749" s="1359"/>
      <c r="L749" s="1360"/>
      <c r="M749" s="1360"/>
      <c r="N749" s="1361"/>
      <c r="O749" s="1342"/>
      <c r="P749" s="1343"/>
      <c r="Q749" s="1343"/>
      <c r="R749" s="1343"/>
      <c r="S749" s="1344"/>
      <c r="T749" s="1342"/>
      <c r="U749" s="1343"/>
      <c r="V749" s="1343"/>
      <c r="W749" s="1344"/>
      <c r="X749" s="1352">
        <f t="shared" si="39"/>
        <v>0</v>
      </c>
      <c r="Y749" s="1353"/>
      <c r="Z749" s="1353"/>
      <c r="AA749" s="1353"/>
      <c r="AB749" s="1354"/>
      <c r="AC749" s="1339"/>
      <c r="AD749" s="1340"/>
      <c r="AE749" s="1340"/>
      <c r="AF749" s="1340"/>
      <c r="AG749" s="1341"/>
      <c r="AH749" s="1355" t="str">
        <f t="shared" si="36"/>
        <v/>
      </c>
      <c r="AI749" s="1356"/>
      <c r="AJ749" s="1357"/>
      <c r="AK749" s="1348" t="s">
        <v>591</v>
      </c>
      <c r="AL749" s="1349"/>
      <c r="AM749" s="1349"/>
      <c r="AN749" s="1349"/>
      <c r="AO749" s="1350"/>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486">
        <f t="shared" si="37"/>
        <v>0</v>
      </c>
      <c r="CH749" s="1487"/>
      <c r="CI749" s="1484">
        <f t="shared" si="38"/>
        <v>0</v>
      </c>
      <c r="CJ749" s="1485"/>
      <c r="CK749" s="1486">
        <f t="shared" si="16"/>
        <v>0</v>
      </c>
      <c r="CL749" s="1487"/>
      <c r="CM749" s="1484">
        <f t="shared" si="17"/>
        <v>0</v>
      </c>
      <c r="CN749" s="1485"/>
      <c r="CP749" s="1488">
        <f t="shared" si="18"/>
        <v>0</v>
      </c>
      <c r="CQ749" s="1489"/>
      <c r="CR749" s="1489"/>
      <c r="CS749" s="1489"/>
      <c r="CT749" s="1490"/>
      <c r="CU749" s="1480">
        <f t="shared" si="19"/>
        <v>0</v>
      </c>
      <c r="CV749" s="1480"/>
      <c r="CW749" s="1480"/>
      <c r="CX749" s="1480"/>
      <c r="CY749" s="1480"/>
      <c r="CZ749" s="1480">
        <f t="shared" si="20"/>
        <v>0</v>
      </c>
      <c r="DA749" s="1480"/>
      <c r="DB749" s="1480"/>
      <c r="DC749" s="1480"/>
      <c r="DD749" s="1480"/>
      <c r="DE749" s="1480">
        <f t="shared" si="21"/>
        <v>0</v>
      </c>
      <c r="DF749" s="1480"/>
      <c r="DG749" s="1480"/>
      <c r="DH749" s="1480"/>
      <c r="DI749" s="1480"/>
      <c r="DJ749" s="1480">
        <f t="shared" si="22"/>
        <v>0</v>
      </c>
      <c r="DK749" s="1480"/>
      <c r="DL749" s="1480"/>
      <c r="DM749" s="1480"/>
      <c r="DN749" s="1480"/>
      <c r="DO749" s="1480">
        <f t="shared" si="23"/>
        <v>0</v>
      </c>
      <c r="DP749" s="1480"/>
      <c r="DQ749" s="1480"/>
      <c r="DR749" s="1480"/>
      <c r="DS749" s="1480"/>
      <c r="DT749" s="6"/>
      <c r="DU749" s="1482">
        <f t="shared" si="24"/>
        <v>0</v>
      </c>
      <c r="DV749" s="1482"/>
      <c r="DW749" s="1482"/>
      <c r="DX749" s="1482"/>
      <c r="DY749" s="1482"/>
      <c r="DZ749" s="1482">
        <f t="shared" si="25"/>
        <v>0</v>
      </c>
      <c r="EA749" s="1482"/>
      <c r="EB749" s="1482"/>
      <c r="EC749" s="1482"/>
      <c r="ED749" s="1482"/>
      <c r="EE749" s="1482">
        <f t="shared" si="26"/>
        <v>0</v>
      </c>
      <c r="EF749" s="1482"/>
      <c r="EG749" s="1482"/>
      <c r="EH749" s="1482"/>
      <c r="EI749" s="1482"/>
      <c r="EJ749" s="1482">
        <f t="shared" si="27"/>
        <v>0</v>
      </c>
      <c r="EK749" s="1482"/>
      <c r="EL749" s="1482"/>
      <c r="EM749" s="1482"/>
      <c r="EN749" s="1482"/>
      <c r="EO749" s="1482">
        <f t="shared" si="28"/>
        <v>0</v>
      </c>
      <c r="EP749" s="1482"/>
      <c r="EQ749" s="1482"/>
      <c r="ER749" s="1482"/>
      <c r="ES749" s="1482"/>
      <c r="ET749" s="1482">
        <f t="shared" si="29"/>
        <v>0</v>
      </c>
      <c r="EU749" s="1482"/>
      <c r="EV749" s="1482"/>
      <c r="EW749" s="1482"/>
      <c r="EX749" s="1482"/>
      <c r="EY749"/>
      <c r="EZ749" s="1486" t="str">
        <f t="shared" si="30"/>
        <v/>
      </c>
      <c r="FA749" s="1491"/>
      <c r="FB749" s="1491"/>
      <c r="FC749" s="1491"/>
      <c r="FD749" s="1487"/>
      <c r="FE749" s="1486" t="str">
        <f t="shared" si="31"/>
        <v/>
      </c>
      <c r="FF749" s="1491"/>
      <c r="FG749" s="1491"/>
      <c r="FH749" s="1491"/>
      <c r="FI749" s="1487"/>
      <c r="FJ749" s="1486" t="str">
        <f t="shared" si="32"/>
        <v/>
      </c>
      <c r="FK749" s="1491"/>
      <c r="FL749" s="1491"/>
      <c r="FM749" s="1491"/>
      <c r="FN749" s="1487"/>
      <c r="FO749" s="1486" t="str">
        <f t="shared" si="33"/>
        <v/>
      </c>
      <c r="FP749" s="1491"/>
      <c r="FQ749" s="1491"/>
      <c r="FR749" s="1491"/>
      <c r="FS749" s="1487"/>
      <c r="FT749" s="1486" t="str">
        <f t="shared" si="34"/>
        <v/>
      </c>
      <c r="FU749" s="1491"/>
      <c r="FV749" s="1491"/>
      <c r="FW749" s="1491"/>
      <c r="FX749" s="1487"/>
      <c r="FY749" s="1486" t="str">
        <f t="shared" si="35"/>
        <v/>
      </c>
      <c r="FZ749" s="1491"/>
      <c r="GA749" s="1491"/>
      <c r="GB749" s="1491"/>
      <c r="GC749" s="1487"/>
    </row>
    <row r="750" spans="1:185" s="3" customFormat="1" ht="12.95" customHeight="1">
      <c r="A750"/>
      <c r="B750" s="1348"/>
      <c r="C750" s="1349"/>
      <c r="D750" s="1349"/>
      <c r="E750" s="1349"/>
      <c r="F750" s="1350"/>
      <c r="G750" s="1345"/>
      <c r="H750" s="1346"/>
      <c r="I750" s="1346"/>
      <c r="J750" s="1347"/>
      <c r="K750" s="1359"/>
      <c r="L750" s="1360"/>
      <c r="M750" s="1360"/>
      <c r="N750" s="1361"/>
      <c r="O750" s="1342"/>
      <c r="P750" s="1343"/>
      <c r="Q750" s="1343"/>
      <c r="R750" s="1343"/>
      <c r="S750" s="1344"/>
      <c r="T750" s="1342"/>
      <c r="U750" s="1343"/>
      <c r="V750" s="1343"/>
      <c r="W750" s="1344"/>
      <c r="X750" s="1352">
        <f t="shared" si="39"/>
        <v>0</v>
      </c>
      <c r="Y750" s="1353"/>
      <c r="Z750" s="1353"/>
      <c r="AA750" s="1353"/>
      <c r="AB750" s="1354"/>
      <c r="AC750" s="1339"/>
      <c r="AD750" s="1340"/>
      <c r="AE750" s="1340"/>
      <c r="AF750" s="1340"/>
      <c r="AG750" s="1341"/>
      <c r="AH750" s="1355" t="str">
        <f t="shared" si="36"/>
        <v/>
      </c>
      <c r="AI750" s="1356"/>
      <c r="AJ750" s="1357"/>
      <c r="AK750" s="1348" t="s">
        <v>591</v>
      </c>
      <c r="AL750" s="1349"/>
      <c r="AM750" s="1349"/>
      <c r="AN750" s="1349"/>
      <c r="AO750" s="1350"/>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486">
        <f t="shared" si="37"/>
        <v>0</v>
      </c>
      <c r="CH750" s="1487"/>
      <c r="CI750" s="1484">
        <f t="shared" si="38"/>
        <v>0</v>
      </c>
      <c r="CJ750" s="1485"/>
      <c r="CK750" s="1486">
        <f t="shared" si="16"/>
        <v>0</v>
      </c>
      <c r="CL750" s="1487"/>
      <c r="CM750" s="1484">
        <f t="shared" si="17"/>
        <v>0</v>
      </c>
      <c r="CN750" s="1485"/>
      <c r="CP750" s="1488">
        <f t="shared" si="18"/>
        <v>0</v>
      </c>
      <c r="CQ750" s="1489"/>
      <c r="CR750" s="1489"/>
      <c r="CS750" s="1489"/>
      <c r="CT750" s="1490"/>
      <c r="CU750" s="1480">
        <f t="shared" si="19"/>
        <v>0</v>
      </c>
      <c r="CV750" s="1480"/>
      <c r="CW750" s="1480"/>
      <c r="CX750" s="1480"/>
      <c r="CY750" s="1480"/>
      <c r="CZ750" s="1480">
        <f t="shared" si="20"/>
        <v>0</v>
      </c>
      <c r="DA750" s="1480"/>
      <c r="DB750" s="1480"/>
      <c r="DC750" s="1480"/>
      <c r="DD750" s="1480"/>
      <c r="DE750" s="1480">
        <f t="shared" si="21"/>
        <v>0</v>
      </c>
      <c r="DF750" s="1480"/>
      <c r="DG750" s="1480"/>
      <c r="DH750" s="1480"/>
      <c r="DI750" s="1480"/>
      <c r="DJ750" s="1480">
        <f t="shared" si="22"/>
        <v>0</v>
      </c>
      <c r="DK750" s="1480"/>
      <c r="DL750" s="1480"/>
      <c r="DM750" s="1480"/>
      <c r="DN750" s="1480"/>
      <c r="DO750" s="1480">
        <f t="shared" si="23"/>
        <v>0</v>
      </c>
      <c r="DP750" s="1480"/>
      <c r="DQ750" s="1480"/>
      <c r="DR750" s="1480"/>
      <c r="DS750" s="1480"/>
      <c r="DT750" s="6"/>
      <c r="DU750" s="1482">
        <f t="shared" si="24"/>
        <v>0</v>
      </c>
      <c r="DV750" s="1482"/>
      <c r="DW750" s="1482"/>
      <c r="DX750" s="1482"/>
      <c r="DY750" s="1482"/>
      <c r="DZ750" s="1482">
        <f t="shared" si="25"/>
        <v>0</v>
      </c>
      <c r="EA750" s="1482"/>
      <c r="EB750" s="1482"/>
      <c r="EC750" s="1482"/>
      <c r="ED750" s="1482"/>
      <c r="EE750" s="1482">
        <f t="shared" si="26"/>
        <v>0</v>
      </c>
      <c r="EF750" s="1482"/>
      <c r="EG750" s="1482"/>
      <c r="EH750" s="1482"/>
      <c r="EI750" s="1482"/>
      <c r="EJ750" s="1482">
        <f t="shared" si="27"/>
        <v>0</v>
      </c>
      <c r="EK750" s="1482"/>
      <c r="EL750" s="1482"/>
      <c r="EM750" s="1482"/>
      <c r="EN750" s="1482"/>
      <c r="EO750" s="1482">
        <f t="shared" si="28"/>
        <v>0</v>
      </c>
      <c r="EP750" s="1482"/>
      <c r="EQ750" s="1482"/>
      <c r="ER750" s="1482"/>
      <c r="ES750" s="1482"/>
      <c r="ET750" s="1482">
        <f t="shared" si="29"/>
        <v>0</v>
      </c>
      <c r="EU750" s="1482"/>
      <c r="EV750" s="1482"/>
      <c r="EW750" s="1482"/>
      <c r="EX750" s="1482"/>
      <c r="EY750"/>
      <c r="EZ750" s="1486" t="str">
        <f t="shared" si="30"/>
        <v/>
      </c>
      <c r="FA750" s="1491"/>
      <c r="FB750" s="1491"/>
      <c r="FC750" s="1491"/>
      <c r="FD750" s="1487"/>
      <c r="FE750" s="1486" t="str">
        <f t="shared" si="31"/>
        <v/>
      </c>
      <c r="FF750" s="1491"/>
      <c r="FG750" s="1491"/>
      <c r="FH750" s="1491"/>
      <c r="FI750" s="1487"/>
      <c r="FJ750" s="1486" t="str">
        <f t="shared" si="32"/>
        <v/>
      </c>
      <c r="FK750" s="1491"/>
      <c r="FL750" s="1491"/>
      <c r="FM750" s="1491"/>
      <c r="FN750" s="1487"/>
      <c r="FO750" s="1486" t="str">
        <f t="shared" si="33"/>
        <v/>
      </c>
      <c r="FP750" s="1491"/>
      <c r="FQ750" s="1491"/>
      <c r="FR750" s="1491"/>
      <c r="FS750" s="1487"/>
      <c r="FT750" s="1486" t="str">
        <f t="shared" si="34"/>
        <v/>
      </c>
      <c r="FU750" s="1491"/>
      <c r="FV750" s="1491"/>
      <c r="FW750" s="1491"/>
      <c r="FX750" s="1487"/>
      <c r="FY750" s="1486" t="str">
        <f t="shared" si="35"/>
        <v/>
      </c>
      <c r="FZ750" s="1491"/>
      <c r="GA750" s="1491"/>
      <c r="GB750" s="1491"/>
      <c r="GC750" s="1487"/>
    </row>
    <row r="751" spans="1:185" s="3" customFormat="1" ht="12.95" customHeight="1">
      <c r="A751"/>
      <c r="B751" s="1348"/>
      <c r="C751" s="1349"/>
      <c r="D751" s="1349"/>
      <c r="E751" s="1349"/>
      <c r="F751" s="1350"/>
      <c r="G751" s="1345"/>
      <c r="H751" s="1346"/>
      <c r="I751" s="1346"/>
      <c r="J751" s="1347"/>
      <c r="K751" s="1359"/>
      <c r="L751" s="1360"/>
      <c r="M751" s="1360"/>
      <c r="N751" s="1361"/>
      <c r="O751" s="1342"/>
      <c r="P751" s="1343"/>
      <c r="Q751" s="1343"/>
      <c r="R751" s="1343"/>
      <c r="S751" s="1344"/>
      <c r="T751" s="1342"/>
      <c r="U751" s="1343"/>
      <c r="V751" s="1343"/>
      <c r="W751" s="1344"/>
      <c r="X751" s="1352">
        <f t="shared" si="39"/>
        <v>0</v>
      </c>
      <c r="Y751" s="1353"/>
      <c r="Z751" s="1353"/>
      <c r="AA751" s="1353"/>
      <c r="AB751" s="1354"/>
      <c r="AC751" s="1339"/>
      <c r="AD751" s="1340"/>
      <c r="AE751" s="1340"/>
      <c r="AF751" s="1340"/>
      <c r="AG751" s="1341"/>
      <c r="AH751" s="1355" t="str">
        <f t="shared" si="36"/>
        <v/>
      </c>
      <c r="AI751" s="1356"/>
      <c r="AJ751" s="1357"/>
      <c r="AK751" s="1348" t="s">
        <v>591</v>
      </c>
      <c r="AL751" s="1349"/>
      <c r="AM751" s="1349"/>
      <c r="AN751" s="1349"/>
      <c r="AO751" s="1350"/>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486">
        <f t="shared" si="37"/>
        <v>0</v>
      </c>
      <c r="CH751" s="1487"/>
      <c r="CI751" s="1484">
        <f t="shared" si="38"/>
        <v>0</v>
      </c>
      <c r="CJ751" s="1485"/>
      <c r="CK751" s="1486">
        <f t="shared" si="16"/>
        <v>0</v>
      </c>
      <c r="CL751" s="1487"/>
      <c r="CM751" s="1484">
        <f t="shared" si="17"/>
        <v>0</v>
      </c>
      <c r="CN751" s="1485"/>
      <c r="CP751" s="1488">
        <f t="shared" si="18"/>
        <v>0</v>
      </c>
      <c r="CQ751" s="1489"/>
      <c r="CR751" s="1489"/>
      <c r="CS751" s="1489"/>
      <c r="CT751" s="1490"/>
      <c r="CU751" s="1480">
        <f t="shared" si="19"/>
        <v>0</v>
      </c>
      <c r="CV751" s="1480"/>
      <c r="CW751" s="1480"/>
      <c r="CX751" s="1480"/>
      <c r="CY751" s="1480"/>
      <c r="CZ751" s="1480">
        <f t="shared" si="20"/>
        <v>0</v>
      </c>
      <c r="DA751" s="1480"/>
      <c r="DB751" s="1480"/>
      <c r="DC751" s="1480"/>
      <c r="DD751" s="1480"/>
      <c r="DE751" s="1480">
        <f t="shared" si="21"/>
        <v>0</v>
      </c>
      <c r="DF751" s="1480"/>
      <c r="DG751" s="1480"/>
      <c r="DH751" s="1480"/>
      <c r="DI751" s="1480"/>
      <c r="DJ751" s="1480">
        <f t="shared" si="22"/>
        <v>0</v>
      </c>
      <c r="DK751" s="1480"/>
      <c r="DL751" s="1480"/>
      <c r="DM751" s="1480"/>
      <c r="DN751" s="1480"/>
      <c r="DO751" s="1480">
        <f t="shared" si="23"/>
        <v>0</v>
      </c>
      <c r="DP751" s="1480"/>
      <c r="DQ751" s="1480"/>
      <c r="DR751" s="1480"/>
      <c r="DS751" s="1480"/>
      <c r="DT751" s="6"/>
      <c r="DU751" s="1482">
        <f t="shared" si="24"/>
        <v>0</v>
      </c>
      <c r="DV751" s="1482"/>
      <c r="DW751" s="1482"/>
      <c r="DX751" s="1482"/>
      <c r="DY751" s="1482"/>
      <c r="DZ751" s="1482">
        <f t="shared" si="25"/>
        <v>0</v>
      </c>
      <c r="EA751" s="1482"/>
      <c r="EB751" s="1482"/>
      <c r="EC751" s="1482"/>
      <c r="ED751" s="1482"/>
      <c r="EE751" s="1482">
        <f t="shared" si="26"/>
        <v>0</v>
      </c>
      <c r="EF751" s="1482"/>
      <c r="EG751" s="1482"/>
      <c r="EH751" s="1482"/>
      <c r="EI751" s="1482"/>
      <c r="EJ751" s="1482">
        <f t="shared" si="27"/>
        <v>0</v>
      </c>
      <c r="EK751" s="1482"/>
      <c r="EL751" s="1482"/>
      <c r="EM751" s="1482"/>
      <c r="EN751" s="1482"/>
      <c r="EO751" s="1482">
        <f t="shared" si="28"/>
        <v>0</v>
      </c>
      <c r="EP751" s="1482"/>
      <c r="EQ751" s="1482"/>
      <c r="ER751" s="1482"/>
      <c r="ES751" s="1482"/>
      <c r="ET751" s="1482">
        <f t="shared" si="29"/>
        <v>0</v>
      </c>
      <c r="EU751" s="1482"/>
      <c r="EV751" s="1482"/>
      <c r="EW751" s="1482"/>
      <c r="EX751" s="1482"/>
      <c r="EY751"/>
      <c r="EZ751" s="1486" t="str">
        <f t="shared" si="30"/>
        <v/>
      </c>
      <c r="FA751" s="1491"/>
      <c r="FB751" s="1491"/>
      <c r="FC751" s="1491"/>
      <c r="FD751" s="1487"/>
      <c r="FE751" s="1486" t="str">
        <f t="shared" si="31"/>
        <v/>
      </c>
      <c r="FF751" s="1491"/>
      <c r="FG751" s="1491"/>
      <c r="FH751" s="1491"/>
      <c r="FI751" s="1487"/>
      <c r="FJ751" s="1486" t="str">
        <f t="shared" si="32"/>
        <v/>
      </c>
      <c r="FK751" s="1491"/>
      <c r="FL751" s="1491"/>
      <c r="FM751" s="1491"/>
      <c r="FN751" s="1487"/>
      <c r="FO751" s="1486" t="str">
        <f t="shared" si="33"/>
        <v/>
      </c>
      <c r="FP751" s="1491"/>
      <c r="FQ751" s="1491"/>
      <c r="FR751" s="1491"/>
      <c r="FS751" s="1487"/>
      <c r="FT751" s="1486" t="str">
        <f t="shared" si="34"/>
        <v/>
      </c>
      <c r="FU751" s="1491"/>
      <c r="FV751" s="1491"/>
      <c r="FW751" s="1491"/>
      <c r="FX751" s="1487"/>
      <c r="FY751" s="1486" t="str">
        <f t="shared" si="35"/>
        <v/>
      </c>
      <c r="FZ751" s="1491"/>
      <c r="GA751" s="1491"/>
      <c r="GB751" s="1491"/>
      <c r="GC751" s="1487"/>
    </row>
    <row r="752" spans="1:185" s="3" customFormat="1" ht="12.95" customHeight="1">
      <c r="A752"/>
      <c r="B752" s="1348"/>
      <c r="C752" s="1349"/>
      <c r="D752" s="1349"/>
      <c r="E752" s="1349"/>
      <c r="F752" s="1350"/>
      <c r="G752" s="1345"/>
      <c r="H752" s="1346"/>
      <c r="I752" s="1346"/>
      <c r="J752" s="1347"/>
      <c r="K752" s="1359"/>
      <c r="L752" s="1360"/>
      <c r="M752" s="1360"/>
      <c r="N752" s="1361"/>
      <c r="O752" s="1342"/>
      <c r="P752" s="1343"/>
      <c r="Q752" s="1343"/>
      <c r="R752" s="1343"/>
      <c r="S752" s="1344"/>
      <c r="T752" s="1342"/>
      <c r="U752" s="1343"/>
      <c r="V752" s="1343"/>
      <c r="W752" s="1344"/>
      <c r="X752" s="1352">
        <f>O752+T752</f>
        <v>0</v>
      </c>
      <c r="Y752" s="1353"/>
      <c r="Z752" s="1353"/>
      <c r="AA752" s="1353"/>
      <c r="AB752" s="1354"/>
      <c r="AC752" s="1339"/>
      <c r="AD752" s="1340"/>
      <c r="AE752" s="1340"/>
      <c r="AF752" s="1340"/>
      <c r="AG752" s="1341"/>
      <c r="AH752" s="1355" t="str">
        <f t="shared" si="36"/>
        <v/>
      </c>
      <c r="AI752" s="1356"/>
      <c r="AJ752" s="1357"/>
      <c r="AK752" s="1348" t="s">
        <v>591</v>
      </c>
      <c r="AL752" s="1349"/>
      <c r="AM752" s="1349"/>
      <c r="AN752" s="1349"/>
      <c r="AO752" s="1350"/>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486">
        <f t="shared" si="37"/>
        <v>0</v>
      </c>
      <c r="CH752" s="1487"/>
      <c r="CI752" s="1484">
        <f t="shared" si="38"/>
        <v>0</v>
      </c>
      <c r="CJ752" s="1485"/>
      <c r="CK752" s="1486">
        <f t="shared" si="16"/>
        <v>0</v>
      </c>
      <c r="CL752" s="1487"/>
      <c r="CM752" s="1484">
        <f t="shared" si="17"/>
        <v>0</v>
      </c>
      <c r="CN752" s="1485"/>
      <c r="CP752" s="1488">
        <f t="shared" si="18"/>
        <v>0</v>
      </c>
      <c r="CQ752" s="1489"/>
      <c r="CR752" s="1489"/>
      <c r="CS752" s="1489"/>
      <c r="CT752" s="1490"/>
      <c r="CU752" s="1480">
        <f t="shared" si="19"/>
        <v>0</v>
      </c>
      <c r="CV752" s="1480"/>
      <c r="CW752" s="1480"/>
      <c r="CX752" s="1480"/>
      <c r="CY752" s="1480"/>
      <c r="CZ752" s="1480">
        <f t="shared" si="20"/>
        <v>0</v>
      </c>
      <c r="DA752" s="1480"/>
      <c r="DB752" s="1480"/>
      <c r="DC752" s="1480"/>
      <c r="DD752" s="1480"/>
      <c r="DE752" s="1480">
        <f t="shared" si="21"/>
        <v>0</v>
      </c>
      <c r="DF752" s="1480"/>
      <c r="DG752" s="1480"/>
      <c r="DH752" s="1480"/>
      <c r="DI752" s="1480"/>
      <c r="DJ752" s="1480">
        <f t="shared" si="22"/>
        <v>0</v>
      </c>
      <c r="DK752" s="1480"/>
      <c r="DL752" s="1480"/>
      <c r="DM752" s="1480"/>
      <c r="DN752" s="1480"/>
      <c r="DO752" s="1480">
        <f t="shared" si="23"/>
        <v>0</v>
      </c>
      <c r="DP752" s="1480"/>
      <c r="DQ752" s="1480"/>
      <c r="DR752" s="1480"/>
      <c r="DS752" s="1480"/>
      <c r="DT752" s="6"/>
      <c r="DU752" s="1482">
        <f t="shared" si="24"/>
        <v>0</v>
      </c>
      <c r="DV752" s="1482"/>
      <c r="DW752" s="1482"/>
      <c r="DX752" s="1482"/>
      <c r="DY752" s="1482"/>
      <c r="DZ752" s="1482">
        <f t="shared" si="25"/>
        <v>0</v>
      </c>
      <c r="EA752" s="1482"/>
      <c r="EB752" s="1482"/>
      <c r="EC752" s="1482"/>
      <c r="ED752" s="1482"/>
      <c r="EE752" s="1482">
        <f t="shared" si="26"/>
        <v>0</v>
      </c>
      <c r="EF752" s="1482"/>
      <c r="EG752" s="1482"/>
      <c r="EH752" s="1482"/>
      <c r="EI752" s="1482"/>
      <c r="EJ752" s="1482">
        <f t="shared" si="27"/>
        <v>0</v>
      </c>
      <c r="EK752" s="1482"/>
      <c r="EL752" s="1482"/>
      <c r="EM752" s="1482"/>
      <c r="EN752" s="1482"/>
      <c r="EO752" s="1482">
        <f t="shared" si="28"/>
        <v>0</v>
      </c>
      <c r="EP752" s="1482"/>
      <c r="EQ752" s="1482"/>
      <c r="ER752" s="1482"/>
      <c r="ES752" s="1482"/>
      <c r="ET752" s="1482">
        <f t="shared" si="29"/>
        <v>0</v>
      </c>
      <c r="EU752" s="1482"/>
      <c r="EV752" s="1482"/>
      <c r="EW752" s="1482"/>
      <c r="EX752" s="1482"/>
      <c r="EY752"/>
      <c r="EZ752" s="1486" t="str">
        <f t="shared" si="30"/>
        <v/>
      </c>
      <c r="FA752" s="1491"/>
      <c r="FB752" s="1491"/>
      <c r="FC752" s="1491"/>
      <c r="FD752" s="1487"/>
      <c r="FE752" s="1486" t="str">
        <f t="shared" si="31"/>
        <v/>
      </c>
      <c r="FF752" s="1491"/>
      <c r="FG752" s="1491"/>
      <c r="FH752" s="1491"/>
      <c r="FI752" s="1487"/>
      <c r="FJ752" s="1486" t="str">
        <f t="shared" si="32"/>
        <v/>
      </c>
      <c r="FK752" s="1491"/>
      <c r="FL752" s="1491"/>
      <c r="FM752" s="1491"/>
      <c r="FN752" s="1487"/>
      <c r="FO752" s="1486" t="str">
        <f t="shared" si="33"/>
        <v/>
      </c>
      <c r="FP752" s="1491"/>
      <c r="FQ752" s="1491"/>
      <c r="FR752" s="1491"/>
      <c r="FS752" s="1487"/>
      <c r="FT752" s="1486" t="str">
        <f t="shared" si="34"/>
        <v/>
      </c>
      <c r="FU752" s="1491"/>
      <c r="FV752" s="1491"/>
      <c r="FW752" s="1491"/>
      <c r="FX752" s="1487"/>
      <c r="FY752" s="1486" t="str">
        <f t="shared" si="35"/>
        <v/>
      </c>
      <c r="FZ752" s="1491"/>
      <c r="GA752" s="1491"/>
      <c r="GB752" s="1491"/>
      <c r="GC752" s="1487"/>
    </row>
    <row r="753" spans="1:185" s="3" customFormat="1" ht="12.95" customHeight="1">
      <c r="A753"/>
      <c r="B753" s="1642" t="s">
        <v>125</v>
      </c>
      <c r="C753" s="1643"/>
      <c r="D753" s="1643"/>
      <c r="E753" s="1643"/>
      <c r="F753" s="1644"/>
      <c r="G753" s="1703">
        <f>SUM(G718:G752)</f>
        <v>59</v>
      </c>
      <c r="H753" s="1704"/>
      <c r="I753" s="1704"/>
      <c r="J753" s="1705"/>
      <c r="K753" s="902" t="s">
        <v>124</v>
      </c>
      <c r="L753" s="5"/>
      <c r="M753" s="5"/>
      <c r="N753" s="46"/>
      <c r="O753" s="1352">
        <f>SUMPRODUCT(G718:G752,O718:O752)</f>
        <v>91095.62000000001</v>
      </c>
      <c r="P753" s="1353"/>
      <c r="Q753" s="1353"/>
      <c r="R753" s="1353"/>
      <c r="S753" s="1354"/>
      <c r="T753"/>
      <c r="U753"/>
      <c r="V753"/>
      <c r="W753"/>
      <c r="X753" s="904" t="s">
        <v>900</v>
      </c>
      <c r="Y753" s="903"/>
      <c r="Z753" s="903"/>
      <c r="AA753" s="903"/>
      <c r="AB753" s="905"/>
      <c r="AC753" s="1607">
        <f>BH753</f>
        <v>0.45169491525423727</v>
      </c>
      <c r="AD753" s="1608"/>
      <c r="AE753" s="1608"/>
      <c r="AF753" s="1608"/>
      <c r="AG753" s="1609"/>
      <c r="AH753" s="1607">
        <f>IFERROR(BU753,"")</f>
        <v>0.45167249218752786</v>
      </c>
      <c r="AI753" s="1608"/>
      <c r="AJ753" s="1609"/>
      <c r="AK753"/>
      <c r="AL753"/>
      <c r="AM753"/>
      <c r="AN753"/>
      <c r="AO753"/>
      <c r="AP753" s="205"/>
      <c r="AQ753" s="205"/>
      <c r="AR753" s="205"/>
      <c r="AS753" s="205"/>
      <c r="AT753"/>
      <c r="AU753"/>
      <c r="AV753"/>
      <c r="AW753"/>
      <c r="AX753"/>
      <c r="AY753"/>
      <c r="AZ753" s="34"/>
      <c r="BA753" s="34"/>
      <c r="BB753" s="34"/>
      <c r="BC753" s="34"/>
      <c r="BE753" s="290" t="s">
        <v>899</v>
      </c>
      <c r="BF753" s="299">
        <f>SUM(BF718:BF752)</f>
        <v>59</v>
      </c>
      <c r="BG753" s="300">
        <f>SUM(BG718:BG752)</f>
        <v>0.99999999999999989</v>
      </c>
      <c r="BH753" s="300">
        <f>SUM(BH718:BH752)</f>
        <v>0.45169491525423727</v>
      </c>
      <c r="BI753"/>
      <c r="BJ753"/>
      <c r="BK753"/>
      <c r="BL753"/>
      <c r="BO753"/>
      <c r="BP753"/>
      <c r="BQ753"/>
      <c r="BR753"/>
      <c r="BS753" s="859">
        <f>SUM(BS718:BS752)</f>
        <v>59</v>
      </c>
      <c r="BT753" s="300">
        <f>SUM(BT718:BT752)</f>
        <v>0.99999999999999989</v>
      </c>
      <c r="BU753" s="300">
        <f>SUM(BU718:BU752)</f>
        <v>0.45167249218752786</v>
      </c>
      <c r="CI753" s="1486">
        <f>SUM(CI718:CJ752)</f>
        <v>35</v>
      </c>
      <c r="CJ753" s="1487"/>
      <c r="CM753" s="1486">
        <f>SUM(CM718:CN752)</f>
        <v>11</v>
      </c>
      <c r="CN753" s="1487"/>
      <c r="CP753" s="1486">
        <f>SUM(CP718:CT752)</f>
        <v>0</v>
      </c>
      <c r="CQ753" s="1491"/>
      <c r="CR753" s="1491"/>
      <c r="CS753" s="1491"/>
      <c r="CT753" s="1487"/>
      <c r="CU753" s="1481">
        <f>SUM(CU718:CY752)</f>
        <v>12</v>
      </c>
      <c r="CV753" s="1481"/>
      <c r="CW753" s="1481"/>
      <c r="CX753" s="1481"/>
      <c r="CY753" s="1481"/>
      <c r="CZ753" s="1481">
        <f>SUM(CZ718:DD752)</f>
        <v>27</v>
      </c>
      <c r="DA753" s="1481"/>
      <c r="DB753" s="1481"/>
      <c r="DC753" s="1481"/>
      <c r="DD753" s="1481"/>
      <c r="DE753" s="1481">
        <f>SUM(DE718:DI752)</f>
        <v>20</v>
      </c>
      <c r="DF753" s="1481"/>
      <c r="DG753" s="1481"/>
      <c r="DH753" s="1481"/>
      <c r="DI753" s="1481"/>
      <c r="DJ753" s="1481">
        <f>SUM(DJ718:DN752)</f>
        <v>0</v>
      </c>
      <c r="DK753" s="1481"/>
      <c r="DL753" s="1481"/>
      <c r="DM753" s="1481"/>
      <c r="DN753" s="1481"/>
      <c r="DO753" s="1481">
        <f>SUM(DO718:DS752)</f>
        <v>0</v>
      </c>
      <c r="DP753" s="1481"/>
      <c r="DQ753" s="1481"/>
      <c r="DR753" s="1481"/>
      <c r="DS753" s="1481"/>
      <c r="DT753" s="354"/>
      <c r="DU753" s="1481">
        <f>SUM(DU718:DY752)</f>
        <v>0</v>
      </c>
      <c r="DV753" s="1481"/>
      <c r="DW753" s="1481"/>
      <c r="DX753" s="1481"/>
      <c r="DY753" s="1481"/>
      <c r="DZ753" s="1481">
        <f>SUM(DZ718:ED752)</f>
        <v>6</v>
      </c>
      <c r="EA753" s="1481"/>
      <c r="EB753" s="1481"/>
      <c r="EC753" s="1481"/>
      <c r="ED753" s="1481"/>
      <c r="EE753" s="1481">
        <f>SUM(EE718:EI752)</f>
        <v>3</v>
      </c>
      <c r="EF753" s="1481"/>
      <c r="EG753" s="1481"/>
      <c r="EH753" s="1481"/>
      <c r="EI753" s="1481"/>
      <c r="EJ753" s="1481">
        <f>SUM(EJ718:EN752)</f>
        <v>2</v>
      </c>
      <c r="EK753" s="1481"/>
      <c r="EL753" s="1481"/>
      <c r="EM753" s="1481"/>
      <c r="EN753" s="1481"/>
      <c r="EO753" s="1481">
        <f>SUM(EO718:ES752)</f>
        <v>0</v>
      </c>
      <c r="EP753" s="1481"/>
      <c r="EQ753" s="1481"/>
      <c r="ER753" s="1481"/>
      <c r="ES753" s="1481"/>
      <c r="ET753" s="1481">
        <f>SUM(ET718:EX752)</f>
        <v>0</v>
      </c>
      <c r="EU753" s="1481"/>
      <c r="EV753" s="1481"/>
      <c r="EW753" s="1481"/>
      <c r="EX753" s="1481"/>
      <c r="EY753"/>
      <c r="EZ753" s="1481">
        <f>SUM(EZ718:FD752)</f>
        <v>0</v>
      </c>
      <c r="FA753" s="1481"/>
      <c r="FB753" s="1481"/>
      <c r="FC753" s="1481"/>
      <c r="FD753" s="1481"/>
      <c r="FE753" s="1481">
        <f>SUM(FE718:FI752)</f>
        <v>3163.32</v>
      </c>
      <c r="FF753" s="1481"/>
      <c r="FG753" s="1481"/>
      <c r="FH753" s="1481"/>
      <c r="FI753" s="1481"/>
      <c r="FJ753" s="1481">
        <f>SUM(FJ718:FN752)</f>
        <v>7301.0999999999995</v>
      </c>
      <c r="FK753" s="1481"/>
      <c r="FL753" s="1481"/>
      <c r="FM753" s="1481"/>
      <c r="FN753" s="1481"/>
      <c r="FO753" s="1481">
        <f>SUM(FO718:FS752)</f>
        <v>10727.280000000002</v>
      </c>
      <c r="FP753" s="1481"/>
      <c r="FQ753" s="1481"/>
      <c r="FR753" s="1481"/>
      <c r="FS753" s="1481"/>
      <c r="FT753" s="1481">
        <f>SUM(FT718:FX752)</f>
        <v>0</v>
      </c>
      <c r="FU753" s="1481"/>
      <c r="FV753" s="1481"/>
      <c r="FW753" s="1481"/>
      <c r="FX753" s="1481"/>
      <c r="FY753" s="1481">
        <f>SUM(FY718:GC752)</f>
        <v>0</v>
      </c>
      <c r="FZ753" s="1481"/>
      <c r="GA753" s="1481"/>
      <c r="GB753" s="1481"/>
      <c r="GC753" s="1481"/>
    </row>
    <row r="754" spans="1:185" s="3" customFormat="1" ht="12.95" customHeight="1">
      <c r="A754"/>
      <c r="B754" s="1617" t="s">
        <v>1893</v>
      </c>
      <c r="C754" s="1617"/>
      <c r="D754" s="1617"/>
      <c r="E754" s="1617"/>
      <c r="F754" s="1617"/>
      <c r="G754" s="1617"/>
      <c r="H754" s="1617"/>
      <c r="I754" s="1617"/>
      <c r="J754" s="1617"/>
      <c r="K754" s="1617"/>
      <c r="L754" s="1617"/>
      <c r="M754" s="1617"/>
      <c r="N754" s="1617"/>
      <c r="O754" s="1617"/>
      <c r="P754" s="1617"/>
      <c r="Q754" s="1617"/>
      <c r="R754" s="1617"/>
      <c r="S754" s="1617"/>
      <c r="T754" s="1617"/>
      <c r="U754" s="1617"/>
      <c r="V754" s="1617"/>
      <c r="W754" s="1617"/>
      <c r="X754" s="1617"/>
      <c r="Y754" s="1617"/>
      <c r="Z754" s="1617"/>
      <c r="AA754" s="1617"/>
      <c r="AB754" s="1617"/>
      <c r="AC754" s="1617"/>
      <c r="AD754" s="1617"/>
      <c r="AE754" s="1617"/>
      <c r="AF754" s="1617"/>
      <c r="AG754" s="1617"/>
      <c r="AH754" s="1617"/>
      <c r="AI754"/>
      <c r="AJ754"/>
      <c r="AK754"/>
      <c r="AT754"/>
      <c r="AU754"/>
      <c r="AV754"/>
      <c r="AW754"/>
      <c r="AX754"/>
      <c r="AY754"/>
      <c r="CD754"/>
      <c r="DN754" s="56" t="s">
        <v>1860</v>
      </c>
      <c r="DO754" s="1486">
        <f>CP753+CU753+CZ753+DE753+DJ753+DO753</f>
        <v>59</v>
      </c>
      <c r="DP754" s="1491"/>
      <c r="DQ754" s="1491"/>
      <c r="DR754" s="1491"/>
      <c r="DS754" s="1487"/>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17"/>
      <c r="C755" s="1617"/>
      <c r="D755" s="1617"/>
      <c r="E755" s="1617"/>
      <c r="F755" s="1617"/>
      <c r="G755" s="1617"/>
      <c r="H755" s="1617"/>
      <c r="I755" s="1617"/>
      <c r="J755" s="1617"/>
      <c r="K755" s="1617"/>
      <c r="L755" s="1617"/>
      <c r="M755" s="1617"/>
      <c r="N755" s="1617"/>
      <c r="O755" s="1617"/>
      <c r="P755" s="1617"/>
      <c r="Q755" s="1617"/>
      <c r="R755" s="1617"/>
      <c r="S755" s="1617"/>
      <c r="T755" s="1617"/>
      <c r="U755" s="1617"/>
      <c r="V755" s="1617"/>
      <c r="W755" s="1617"/>
      <c r="X755" s="1617"/>
      <c r="Y755" s="1617"/>
      <c r="Z755" s="1617"/>
      <c r="AA755" s="1617"/>
      <c r="AB755" s="1617"/>
      <c r="AC755" s="1617"/>
      <c r="AD755" s="1617"/>
      <c r="AE755" s="1617"/>
      <c r="AF755" s="1617"/>
      <c r="AG755" s="1617"/>
      <c r="AH755" s="1617"/>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12</v>
      </c>
      <c r="CZ755" s="3"/>
      <c r="DA755" s="3"/>
      <c r="DB755" s="3"/>
      <c r="DC755" s="3"/>
      <c r="DD755" s="861">
        <f>CZ753*2</f>
        <v>54</v>
      </c>
      <c r="DE755" s="3"/>
      <c r="DF755" s="3"/>
      <c r="DG755" s="3"/>
      <c r="DH755" s="3"/>
      <c r="DI755" s="861">
        <f>DE753*3</f>
        <v>60</v>
      </c>
      <c r="DJ755" s="3"/>
      <c r="DK755" s="3"/>
      <c r="DL755" s="3"/>
      <c r="DM755" s="3"/>
      <c r="DN755" s="861">
        <f>DJ753*4</f>
        <v>0</v>
      </c>
      <c r="DO755" s="3"/>
      <c r="DP755" s="3"/>
      <c r="DQ755" s="3"/>
      <c r="DR755" s="3"/>
      <c r="DS755" s="861">
        <f>DO753*5</f>
        <v>0</v>
      </c>
      <c r="DU755" s="861">
        <f>CT755+CY755+DD755+DI755+DN755+DS755</f>
        <v>126</v>
      </c>
      <c r="DV755" s="57" t="s">
        <v>1862</v>
      </c>
      <c r="DW755" s="3"/>
      <c r="DX755" s="3"/>
      <c r="DY755" s="3"/>
      <c r="DZ755" s="3"/>
      <c r="EA755" s="3"/>
      <c r="EB755" s="3"/>
      <c r="EC755" s="3"/>
      <c r="ED755" s="3"/>
      <c r="EE755" s="3"/>
      <c r="EF755" s="3"/>
      <c r="EG755" s="3"/>
      <c r="EH755" s="3"/>
    </row>
    <row r="756" spans="1:185" ht="12.95" customHeight="1">
      <c r="A756" s="3"/>
      <c r="B756" s="3"/>
      <c r="C756" s="118" t="s">
        <v>1891</v>
      </c>
      <c r="D756" s="1032"/>
      <c r="E756" s="1032"/>
      <c r="F756" s="1032"/>
      <c r="G756" s="1033"/>
      <c r="H756" s="1033"/>
      <c r="I756" s="1033"/>
      <c r="J756" s="1033"/>
      <c r="K756" s="1032"/>
      <c r="L756" s="1032"/>
      <c r="M756" s="1032"/>
      <c r="N756" s="1032"/>
      <c r="O756" s="1481">
        <f>DU755</f>
        <v>126</v>
      </c>
      <c r="P756" s="1481"/>
      <c r="Q756" s="1481"/>
      <c r="R756" s="1481"/>
      <c r="S756" s="969"/>
      <c r="T756" s="969"/>
      <c r="U756" s="118" t="s">
        <v>1892</v>
      </c>
      <c r="V756" s="1032"/>
      <c r="W756" s="1032"/>
      <c r="X756" s="1032"/>
      <c r="Y756" s="1033"/>
      <c r="Z756" s="1033"/>
      <c r="AA756" s="1033"/>
      <c r="AB756" s="1033"/>
      <c r="AC756" s="1032"/>
      <c r="AD756" s="1032"/>
      <c r="AE756" s="1032"/>
      <c r="AF756" s="1032"/>
      <c r="AG756" s="1620"/>
      <c r="AH756" s="1620"/>
      <c r="AI756" s="1620"/>
      <c r="AJ756" s="1620"/>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384" t="str">
        <f>IF(G753&lt;&gt;AG440,"! Total Low-Income Units in the Unit Mix Table above does not match the number of Total Low-Income Units on row #"&amp;TEXT(ROW(D440),"#"),"")</f>
        <v/>
      </c>
      <c r="D757" s="1384"/>
      <c r="E757" s="1384"/>
      <c r="F757" s="1384"/>
      <c r="G757" s="1384"/>
      <c r="H757" s="1384"/>
      <c r="I757" s="1384"/>
      <c r="J757" s="1384"/>
      <c r="K757" s="1384"/>
      <c r="L757" s="1384"/>
      <c r="M757" s="1384"/>
      <c r="N757" s="1384"/>
      <c r="O757" s="1384"/>
      <c r="P757" s="1384"/>
      <c r="Q757" s="1384"/>
      <c r="R757" s="1384"/>
      <c r="S757" s="1384"/>
      <c r="T757" s="1384"/>
      <c r="U757" s="1384"/>
      <c r="V757" s="1384"/>
      <c r="W757" s="1384"/>
      <c r="X757" s="1384"/>
      <c r="Y757" s="1384"/>
      <c r="Z757" s="1384"/>
      <c r="AA757" s="1384"/>
      <c r="AB757" s="1384"/>
      <c r="AC757" s="1384"/>
      <c r="AD757" s="1384"/>
      <c r="AE757" s="1384"/>
      <c r="AF757" s="1384"/>
      <c r="AG757" s="1384"/>
      <c r="AH757" s="1384"/>
      <c r="AI757" s="1384"/>
      <c r="AJ757" s="1384"/>
      <c r="AK757" s="1384"/>
      <c r="AL757" s="1384"/>
      <c r="AM757" s="1384"/>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84"/>
      <c r="D758" s="1384"/>
      <c r="E758" s="1384"/>
      <c r="F758" s="1384"/>
      <c r="G758" s="1384"/>
      <c r="H758" s="1384"/>
      <c r="I758" s="1384"/>
      <c r="J758" s="1384"/>
      <c r="K758" s="1384"/>
      <c r="L758" s="1384"/>
      <c r="M758" s="1384"/>
      <c r="N758" s="1384"/>
      <c r="O758" s="1384"/>
      <c r="P758" s="1384"/>
      <c r="Q758" s="1384"/>
      <c r="R758" s="1384"/>
      <c r="S758" s="1384"/>
      <c r="T758" s="1384"/>
      <c r="U758" s="1384"/>
      <c r="V758" s="1384"/>
      <c r="W758" s="1384"/>
      <c r="X758" s="1384"/>
      <c r="Y758" s="1384"/>
      <c r="Z758" s="1384"/>
      <c r="AA758" s="1384"/>
      <c r="AB758" s="1384"/>
      <c r="AC758" s="1384"/>
      <c r="AD758" s="1384"/>
      <c r="AE758" s="1384"/>
      <c r="AF758" s="1384"/>
      <c r="AG758" s="1384"/>
      <c r="AH758" s="1384"/>
      <c r="AI758" s="1384"/>
      <c r="AJ758" s="1384"/>
      <c r="AK758" s="1384"/>
      <c r="AL758" s="1384"/>
      <c r="AM758" s="1384"/>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1890</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11" t="s">
        <v>591</v>
      </c>
      <c r="AE759" s="1611"/>
      <c r="AF759" s="1611"/>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2088</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576</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176</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7" t="s">
        <v>2089</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7" t="s">
        <v>2090</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62" t="s">
        <v>388</v>
      </c>
      <c r="K769" s="1363"/>
      <c r="L769" s="1363"/>
      <c r="M769" s="1363"/>
      <c r="N769" s="1364"/>
      <c r="O769" s="1616" t="s">
        <v>284</v>
      </c>
      <c r="P769" s="1616"/>
      <c r="Q769" s="1616"/>
      <c r="R769" s="1616"/>
      <c r="S769" s="1616"/>
      <c r="T769" s="1729" t="s">
        <v>1679</v>
      </c>
      <c r="U769" s="1730"/>
      <c r="V769" s="1730"/>
      <c r="W769" s="1731"/>
      <c r="X769" s="1362" t="s">
        <v>447</v>
      </c>
      <c r="Y769" s="1363"/>
      <c r="Z769" s="1363"/>
      <c r="AA769" s="1363"/>
      <c r="AB769" s="1364"/>
      <c r="AC769" s="1362" t="s">
        <v>285</v>
      </c>
      <c r="AD769" s="1363"/>
      <c r="AE769" s="1363"/>
      <c r="AF769" s="1363"/>
      <c r="AG769" s="1364"/>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65"/>
      <c r="K770" s="1366"/>
      <c r="L770" s="1366"/>
      <c r="M770" s="1366"/>
      <c r="N770" s="1367"/>
      <c r="O770" s="1616"/>
      <c r="P770" s="1616"/>
      <c r="Q770" s="1616"/>
      <c r="R770" s="1616"/>
      <c r="S770" s="1616"/>
      <c r="T770" s="1732"/>
      <c r="U770" s="1733"/>
      <c r="V770" s="1733"/>
      <c r="W770" s="1734"/>
      <c r="X770" s="1365"/>
      <c r="Y770" s="1366"/>
      <c r="Z770" s="1366"/>
      <c r="AA770" s="1366"/>
      <c r="AB770" s="1367"/>
      <c r="AC770" s="1365"/>
      <c r="AD770" s="1366"/>
      <c r="AE770" s="1366"/>
      <c r="AF770" s="1366"/>
      <c r="AG770" s="1367"/>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65"/>
      <c r="K771" s="1366"/>
      <c r="L771" s="1366"/>
      <c r="M771" s="1366"/>
      <c r="N771" s="1367"/>
      <c r="O771" s="1616"/>
      <c r="P771" s="1616"/>
      <c r="Q771" s="1616"/>
      <c r="R771" s="1616"/>
      <c r="S771" s="1616"/>
      <c r="T771" s="1732"/>
      <c r="U771" s="1733"/>
      <c r="V771" s="1733"/>
      <c r="W771" s="1734"/>
      <c r="X771" s="1365"/>
      <c r="Y771" s="1366"/>
      <c r="Z771" s="1366"/>
      <c r="AA771" s="1366"/>
      <c r="AB771" s="1367"/>
      <c r="AC771" s="1365"/>
      <c r="AD771" s="1366"/>
      <c r="AE771" s="1366"/>
      <c r="AF771" s="1366"/>
      <c r="AG771" s="1367"/>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68"/>
      <c r="K772" s="1369"/>
      <c r="L772" s="1369"/>
      <c r="M772" s="1369"/>
      <c r="N772" s="1370"/>
      <c r="O772" s="1616"/>
      <c r="P772" s="1616"/>
      <c r="Q772" s="1616"/>
      <c r="R772" s="1616"/>
      <c r="S772" s="1616"/>
      <c r="T772" s="1735"/>
      <c r="U772" s="1736"/>
      <c r="V772" s="1736"/>
      <c r="W772" s="1737"/>
      <c r="X772" s="1368"/>
      <c r="Y772" s="1369"/>
      <c r="Z772" s="1369"/>
      <c r="AA772" s="1369"/>
      <c r="AB772" s="1370"/>
      <c r="AC772" s="1368"/>
      <c r="AD772" s="1369"/>
      <c r="AE772" s="1369"/>
      <c r="AF772" s="1369"/>
      <c r="AG772" s="1370"/>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48" t="s">
        <v>164</v>
      </c>
      <c r="K773" s="1349"/>
      <c r="L773" s="1349"/>
      <c r="M773" s="1349"/>
      <c r="N773" s="1350"/>
      <c r="O773" s="1610">
        <v>1</v>
      </c>
      <c r="P773" s="1610"/>
      <c r="Q773" s="1610"/>
      <c r="R773" s="1610"/>
      <c r="S773" s="1610"/>
      <c r="T773" s="1359">
        <v>1012</v>
      </c>
      <c r="U773" s="1360"/>
      <c r="V773" s="1360"/>
      <c r="W773" s="1361"/>
      <c r="X773" s="1342">
        <v>0</v>
      </c>
      <c r="Y773" s="1343"/>
      <c r="Z773" s="1343"/>
      <c r="AA773" s="1343"/>
      <c r="AB773" s="1344"/>
      <c r="AC773" s="1352">
        <f>X773*O773</f>
        <v>0</v>
      </c>
      <c r="AD773" s="1353"/>
      <c r="AE773" s="1353"/>
      <c r="AF773" s="1353"/>
      <c r="AG773" s="1354"/>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88">
        <f>IF(J773="SRO/Studio",O773,0)</f>
        <v>0</v>
      </c>
      <c r="CQ773" s="1489"/>
      <c r="CR773" s="1489"/>
      <c r="CS773" s="1489"/>
      <c r="CT773" s="1490"/>
      <c r="CU773" s="1480">
        <f>IF(J773="1 Bedroom",O773,0)</f>
        <v>0</v>
      </c>
      <c r="CV773" s="1480"/>
      <c r="CW773" s="1480"/>
      <c r="CX773" s="1480"/>
      <c r="CY773" s="1480"/>
      <c r="CZ773" s="1480">
        <f>IF(J773="2 Bedrooms",O773,0)</f>
        <v>0</v>
      </c>
      <c r="DA773" s="1480"/>
      <c r="DB773" s="1480"/>
      <c r="DC773" s="1480"/>
      <c r="DD773" s="1480"/>
      <c r="DE773" s="1480">
        <f>IF(J773="3 Bedrooms",O773,0)</f>
        <v>1</v>
      </c>
      <c r="DF773" s="1480"/>
      <c r="DG773" s="1480"/>
      <c r="DH773" s="1480"/>
      <c r="DI773" s="1480"/>
      <c r="DJ773" s="1480">
        <f>IF(J773="4 Bedrooms",O773,0)</f>
        <v>0</v>
      </c>
      <c r="DK773" s="1480"/>
      <c r="DL773" s="1480"/>
      <c r="DM773" s="1480"/>
      <c r="DN773" s="1480"/>
      <c r="DO773" s="1480">
        <f>IF(J773="5 Bedrooms",O773,0)</f>
        <v>0</v>
      </c>
      <c r="DP773" s="1480"/>
      <c r="DQ773" s="1480"/>
      <c r="DR773" s="1480"/>
      <c r="DS773" s="1480"/>
      <c r="DT773" s="6"/>
      <c r="DU773" s="3"/>
      <c r="DV773" s="3"/>
    </row>
    <row r="774" spans="1:126" ht="12.95" customHeight="1">
      <c r="J774" s="1348"/>
      <c r="K774" s="1349"/>
      <c r="L774" s="1349"/>
      <c r="M774" s="1349"/>
      <c r="N774" s="1350"/>
      <c r="O774" s="1610"/>
      <c r="P774" s="1610"/>
      <c r="Q774" s="1610"/>
      <c r="R774" s="1610"/>
      <c r="S774" s="1610"/>
      <c r="T774" s="1359"/>
      <c r="U774" s="1360"/>
      <c r="V774" s="1360"/>
      <c r="W774" s="1361"/>
      <c r="X774" s="1342"/>
      <c r="Y774" s="1343"/>
      <c r="Z774" s="1343"/>
      <c r="AA774" s="1343"/>
      <c r="AB774" s="1344"/>
      <c r="AC774" s="1352">
        <f>X774*O774</f>
        <v>0</v>
      </c>
      <c r="AD774" s="1353"/>
      <c r="AE774" s="1353"/>
      <c r="AF774" s="1353"/>
      <c r="AG774" s="1354"/>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88">
        <f>IF(J774="SRO/Studio",O774,0)</f>
        <v>0</v>
      </c>
      <c r="CQ774" s="1489"/>
      <c r="CR774" s="1489"/>
      <c r="CS774" s="1489"/>
      <c r="CT774" s="1490"/>
      <c r="CU774" s="1480">
        <f>IF(J774="1 Bedroom",O774,0)</f>
        <v>0</v>
      </c>
      <c r="CV774" s="1480"/>
      <c r="CW774" s="1480"/>
      <c r="CX774" s="1480"/>
      <c r="CY774" s="1480"/>
      <c r="CZ774" s="1480">
        <f>IF(J774="2 Bedrooms",O774,0)</f>
        <v>0</v>
      </c>
      <c r="DA774" s="1480"/>
      <c r="DB774" s="1480"/>
      <c r="DC774" s="1480"/>
      <c r="DD774" s="1480"/>
      <c r="DE774" s="1480">
        <f>IF(J774="3 Bedrooms",O774,0)</f>
        <v>0</v>
      </c>
      <c r="DF774" s="1480"/>
      <c r="DG774" s="1480"/>
      <c r="DH774" s="1480"/>
      <c r="DI774" s="1480"/>
      <c r="DJ774" s="1480">
        <f>IF(J774="4 Bedrooms",O774,0)</f>
        <v>0</v>
      </c>
      <c r="DK774" s="1480"/>
      <c r="DL774" s="1480"/>
      <c r="DM774" s="1480"/>
      <c r="DN774" s="1480"/>
      <c r="DO774" s="1480">
        <f>IF(J774="5 Bedrooms",O774,0)</f>
        <v>0</v>
      </c>
      <c r="DP774" s="1480"/>
      <c r="DQ774" s="1480"/>
      <c r="DR774" s="1480"/>
      <c r="DS774" s="1480"/>
      <c r="DT774" s="6"/>
      <c r="DU774" s="3"/>
      <c r="DV774" s="3"/>
    </row>
    <row r="775" spans="1:126" ht="12.95" customHeight="1">
      <c r="J775" s="1348"/>
      <c r="K775" s="1349"/>
      <c r="L775" s="1349"/>
      <c r="M775" s="1349"/>
      <c r="N775" s="1350"/>
      <c r="O775" s="1610"/>
      <c r="P775" s="1610"/>
      <c r="Q775" s="1610"/>
      <c r="R775" s="1610"/>
      <c r="S775" s="1610"/>
      <c r="T775" s="1359"/>
      <c r="U775" s="1360"/>
      <c r="V775" s="1360"/>
      <c r="W775" s="1361"/>
      <c r="X775" s="1342"/>
      <c r="Y775" s="1343"/>
      <c r="Z775" s="1343"/>
      <c r="AA775" s="1343"/>
      <c r="AB775" s="1344"/>
      <c r="AC775" s="1352">
        <f>X775*O775</f>
        <v>0</v>
      </c>
      <c r="AD775" s="1353"/>
      <c r="AE775" s="1353"/>
      <c r="AF775" s="1353"/>
      <c r="AG775" s="1354"/>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88">
        <f>IF(J775="SRO/Studio",O775,0)</f>
        <v>0</v>
      </c>
      <c r="CQ775" s="1489"/>
      <c r="CR775" s="1489"/>
      <c r="CS775" s="1489"/>
      <c r="CT775" s="1490"/>
      <c r="CU775" s="1480">
        <f>IF(J775="1 Bedroom",O775,0)</f>
        <v>0</v>
      </c>
      <c r="CV775" s="1480"/>
      <c r="CW775" s="1480"/>
      <c r="CX775" s="1480"/>
      <c r="CY775" s="1480"/>
      <c r="CZ775" s="1480">
        <f>IF(J775="2 Bedrooms",O775,0)</f>
        <v>0</v>
      </c>
      <c r="DA775" s="1480"/>
      <c r="DB775" s="1480"/>
      <c r="DC775" s="1480"/>
      <c r="DD775" s="1480"/>
      <c r="DE775" s="1480">
        <f>IF(J775="3 Bedrooms",O775,0)</f>
        <v>0</v>
      </c>
      <c r="DF775" s="1480"/>
      <c r="DG775" s="1480"/>
      <c r="DH775" s="1480"/>
      <c r="DI775" s="1480"/>
      <c r="DJ775" s="1480">
        <f>IF(J775="4 Bedrooms",O775,0)</f>
        <v>0</v>
      </c>
      <c r="DK775" s="1480"/>
      <c r="DL775" s="1480"/>
      <c r="DM775" s="1480"/>
      <c r="DN775" s="1480"/>
      <c r="DO775" s="1480">
        <f>IF(J775="5 Bedrooms",O775,0)</f>
        <v>0</v>
      </c>
      <c r="DP775" s="1480"/>
      <c r="DQ775" s="1480"/>
      <c r="DR775" s="1480"/>
      <c r="DS775" s="1480"/>
      <c r="DT775" s="1012"/>
    </row>
    <row r="776" spans="1:126" ht="12.95" customHeight="1">
      <c r="J776" s="1348"/>
      <c r="K776" s="1349"/>
      <c r="L776" s="1349"/>
      <c r="M776" s="1349"/>
      <c r="N776" s="1350"/>
      <c r="O776" s="1610"/>
      <c r="P776" s="1610"/>
      <c r="Q776" s="1610"/>
      <c r="R776" s="1610"/>
      <c r="S776" s="1610"/>
      <c r="T776" s="1359"/>
      <c r="U776" s="1360"/>
      <c r="V776" s="1360"/>
      <c r="W776" s="1361"/>
      <c r="X776" s="1342"/>
      <c r="Y776" s="1343"/>
      <c r="Z776" s="1343"/>
      <c r="AA776" s="1343"/>
      <c r="AB776" s="1344"/>
      <c r="AC776" s="1352">
        <f>X776*O776</f>
        <v>0</v>
      </c>
      <c r="AD776" s="1353"/>
      <c r="AE776" s="1353"/>
      <c r="AF776" s="1353"/>
      <c r="AG776" s="1354"/>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88">
        <f>IF(J776="SRO/Studio",O776,0)</f>
        <v>0</v>
      </c>
      <c r="CQ776" s="1489"/>
      <c r="CR776" s="1489"/>
      <c r="CS776" s="1489"/>
      <c r="CT776" s="1490"/>
      <c r="CU776" s="1480">
        <f>IF(J776="1 Bedroom",O776,0)</f>
        <v>0</v>
      </c>
      <c r="CV776" s="1480"/>
      <c r="CW776" s="1480"/>
      <c r="CX776" s="1480"/>
      <c r="CY776" s="1480"/>
      <c r="CZ776" s="1480">
        <f>IF(J776="2 Bedrooms",O776,0)</f>
        <v>0</v>
      </c>
      <c r="DA776" s="1480"/>
      <c r="DB776" s="1480"/>
      <c r="DC776" s="1480"/>
      <c r="DD776" s="1480"/>
      <c r="DE776" s="1480">
        <f>IF(J776="3 Bedrooms",O776,0)</f>
        <v>0</v>
      </c>
      <c r="DF776" s="1480"/>
      <c r="DG776" s="1480"/>
      <c r="DH776" s="1480"/>
      <c r="DI776" s="1480"/>
      <c r="DJ776" s="1480">
        <f>IF(J776="4 Bedrooms",O776,0)</f>
        <v>0</v>
      </c>
      <c r="DK776" s="1480"/>
      <c r="DL776" s="1480"/>
      <c r="DM776" s="1480"/>
      <c r="DN776" s="1480"/>
      <c r="DO776" s="1480">
        <f>IF(J776="5 Bedrooms",O776,0)</f>
        <v>0</v>
      </c>
      <c r="DP776" s="1480"/>
      <c r="DQ776" s="1480"/>
      <c r="DR776" s="1480"/>
      <c r="DS776" s="1480"/>
    </row>
    <row r="777" spans="1:126" ht="12.95" customHeight="1">
      <c r="J777" s="1642" t="s">
        <v>125</v>
      </c>
      <c r="K777" s="1643"/>
      <c r="L777" s="1643"/>
      <c r="M777" s="1643"/>
      <c r="N777" s="1644"/>
      <c r="O777" s="1484">
        <f>SUM(O773:S776)</f>
        <v>1</v>
      </c>
      <c r="P777" s="1724"/>
      <c r="Q777" s="1724"/>
      <c r="R777" s="1724"/>
      <c r="S777" s="1485"/>
      <c r="X777" s="1642" t="s">
        <v>124</v>
      </c>
      <c r="Y777" s="1643"/>
      <c r="Z777" s="1643"/>
      <c r="AA777" s="1643"/>
      <c r="AB777" s="1644"/>
      <c r="AC777" s="1352">
        <f>SUM(AC773:AG776)</f>
        <v>0</v>
      </c>
      <c r="AD777" s="1353"/>
      <c r="AE777" s="1353"/>
      <c r="AF777" s="1353"/>
      <c r="AG777" s="1354"/>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84">
        <f>SUM(CP773:CT776)</f>
        <v>0</v>
      </c>
      <c r="CQ777" s="1724"/>
      <c r="CR777" s="1724"/>
      <c r="CS777" s="1724"/>
      <c r="CT777" s="1485"/>
      <c r="CU777" s="1492">
        <f>SUM(CU773:CY776)</f>
        <v>0</v>
      </c>
      <c r="CV777" s="1493"/>
      <c r="CW777" s="1493"/>
      <c r="CX777" s="1493"/>
      <c r="CY777" s="1494"/>
      <c r="CZ777" s="1492">
        <f>SUM(CZ773:DD776)</f>
        <v>0</v>
      </c>
      <c r="DA777" s="1493"/>
      <c r="DB777" s="1493"/>
      <c r="DC777" s="1493"/>
      <c r="DD777" s="1494"/>
      <c r="DE777" s="1492">
        <f>SUM(DE773:DI776)</f>
        <v>1</v>
      </c>
      <c r="DF777" s="1493"/>
      <c r="DG777" s="1493"/>
      <c r="DH777" s="1493"/>
      <c r="DI777" s="1494"/>
      <c r="DJ777" s="1492">
        <f>SUM(DJ773:DN776)</f>
        <v>0</v>
      </c>
      <c r="DK777" s="1493"/>
      <c r="DL777" s="1493"/>
      <c r="DM777" s="1493"/>
      <c r="DN777" s="1494"/>
      <c r="DO777" s="1492">
        <f>SUM(DO773:DS776)</f>
        <v>0</v>
      </c>
      <c r="DP777" s="1493"/>
      <c r="DQ777" s="1493"/>
      <c r="DR777" s="1493"/>
      <c r="DS777" s="1494"/>
      <c r="DU777" s="861">
        <f>CP777+CU777+CZ777+DE777+DJ777+DO777</f>
        <v>1</v>
      </c>
      <c r="DV777" s="57" t="s">
        <v>1859</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0</v>
      </c>
      <c r="DE778" s="3"/>
      <c r="DF778" s="3"/>
      <c r="DG778" s="3"/>
      <c r="DH778" s="3"/>
      <c r="DI778" s="861">
        <f>DE777*3</f>
        <v>3</v>
      </c>
      <c r="DJ778" s="3"/>
      <c r="DK778" s="3"/>
      <c r="DL778" s="3"/>
      <c r="DM778" s="3"/>
      <c r="DN778" s="861">
        <f>DJ777*4</f>
        <v>0</v>
      </c>
      <c r="DO778" s="3"/>
      <c r="DP778" s="3"/>
      <c r="DQ778" s="3"/>
      <c r="DR778" s="3"/>
      <c r="DS778" s="861">
        <f>DO777*5</f>
        <v>0</v>
      </c>
      <c r="DU778" s="861">
        <f>CT778+CY778+DD778+DI778+DN778+DS778</f>
        <v>3</v>
      </c>
      <c r="DV778" s="57" t="s">
        <v>1861</v>
      </c>
    </row>
    <row r="779" spans="1:126" ht="12.95" customHeight="1">
      <c r="B779" s="56"/>
      <c r="C779" s="56"/>
      <c r="D779" s="56"/>
      <c r="E779" s="56"/>
      <c r="F779" s="56"/>
      <c r="G779" s="6"/>
      <c r="H779" s="6"/>
      <c r="I779" s="6"/>
      <c r="J779" s="1687" t="s">
        <v>669</v>
      </c>
      <c r="K779" s="1687"/>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2091</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586</v>
      </c>
      <c r="B781" s="57"/>
      <c r="C781" s="57" t="s">
        <v>286</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62" t="s">
        <v>388</v>
      </c>
      <c r="K783" s="1363"/>
      <c r="L783" s="1363"/>
      <c r="M783" s="1363"/>
      <c r="N783" s="1364"/>
      <c r="O783" s="1616" t="s">
        <v>284</v>
      </c>
      <c r="P783" s="1616"/>
      <c r="Q783" s="1616"/>
      <c r="R783" s="1616"/>
      <c r="S783" s="1616"/>
      <c r="T783" s="1729" t="s">
        <v>1679</v>
      </c>
      <c r="U783" s="1730"/>
      <c r="V783" s="1730"/>
      <c r="W783" s="1731"/>
      <c r="X783" s="1362" t="s">
        <v>447</v>
      </c>
      <c r="Y783" s="1363"/>
      <c r="Z783" s="1363"/>
      <c r="AA783" s="1363"/>
      <c r="AB783" s="1364"/>
      <c r="AC783" s="1362" t="s">
        <v>285</v>
      </c>
      <c r="AD783" s="1363"/>
      <c r="AE783" s="1363"/>
      <c r="AF783" s="1363"/>
      <c r="AG783" s="1364"/>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65"/>
      <c r="K784" s="1366"/>
      <c r="L784" s="1366"/>
      <c r="M784" s="1366"/>
      <c r="N784" s="1367"/>
      <c r="O784" s="1616"/>
      <c r="P784" s="1616"/>
      <c r="Q784" s="1616"/>
      <c r="R784" s="1616"/>
      <c r="S784" s="1616"/>
      <c r="T784" s="1732"/>
      <c r="U784" s="1733"/>
      <c r="V784" s="1733"/>
      <c r="W784" s="1734"/>
      <c r="X784" s="1365"/>
      <c r="Y784" s="1366"/>
      <c r="Z784" s="1366"/>
      <c r="AA784" s="1366"/>
      <c r="AB784" s="1367"/>
      <c r="AC784" s="1365"/>
      <c r="AD784" s="1366"/>
      <c r="AE784" s="1366"/>
      <c r="AF784" s="1366"/>
      <c r="AG784" s="1367"/>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65"/>
      <c r="K785" s="1366"/>
      <c r="L785" s="1366"/>
      <c r="M785" s="1366"/>
      <c r="N785" s="1367"/>
      <c r="O785" s="1616"/>
      <c r="P785" s="1616"/>
      <c r="Q785" s="1616"/>
      <c r="R785" s="1616"/>
      <c r="S785" s="1616"/>
      <c r="T785" s="1732"/>
      <c r="U785" s="1733"/>
      <c r="V785" s="1733"/>
      <c r="W785" s="1734"/>
      <c r="X785" s="1365"/>
      <c r="Y785" s="1366"/>
      <c r="Z785" s="1366"/>
      <c r="AA785" s="1366"/>
      <c r="AB785" s="1367"/>
      <c r="AC785" s="1365"/>
      <c r="AD785" s="1366"/>
      <c r="AE785" s="1366"/>
      <c r="AF785" s="1366"/>
      <c r="AG785" s="1367"/>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68"/>
      <c r="K786" s="1369"/>
      <c r="L786" s="1369"/>
      <c r="M786" s="1369"/>
      <c r="N786" s="1370"/>
      <c r="O786" s="1616"/>
      <c r="P786" s="1616"/>
      <c r="Q786" s="1616"/>
      <c r="R786" s="1616"/>
      <c r="S786" s="1616"/>
      <c r="T786" s="1735"/>
      <c r="U786" s="1736"/>
      <c r="V786" s="1736"/>
      <c r="W786" s="1737"/>
      <c r="X786" s="1368"/>
      <c r="Y786" s="1369"/>
      <c r="Z786" s="1369"/>
      <c r="AA786" s="1369"/>
      <c r="AB786" s="1370"/>
      <c r="AC786" s="1368"/>
      <c r="AD786" s="1369"/>
      <c r="AE786" s="1369"/>
      <c r="AF786" s="1369"/>
      <c r="AG786" s="1370"/>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1866</v>
      </c>
      <c r="DV786" s="3"/>
      <c r="DW786" s="3"/>
      <c r="DX786" s="3"/>
      <c r="DY786" s="3"/>
      <c r="DZ786" s="3"/>
      <c r="EA786" s="3"/>
      <c r="EB786" s="3"/>
      <c r="EC786" s="3"/>
      <c r="ED786" s="3"/>
      <c r="EE786" s="3"/>
      <c r="EF786" s="3"/>
      <c r="EG786" s="3"/>
      <c r="EH786" s="3"/>
    </row>
    <row r="787" spans="1:154" ht="12.95" customHeight="1">
      <c r="J787" s="1348"/>
      <c r="K787" s="1349"/>
      <c r="L787" s="1349"/>
      <c r="M787" s="1349"/>
      <c r="N787" s="1350"/>
      <c r="O787" s="1610"/>
      <c r="P787" s="1610"/>
      <c r="Q787" s="1610"/>
      <c r="R787" s="1610"/>
      <c r="S787" s="1610"/>
      <c r="T787" s="1359"/>
      <c r="U787" s="1360"/>
      <c r="V787" s="1360"/>
      <c r="W787" s="1361"/>
      <c r="X787" s="1342"/>
      <c r="Y787" s="1343"/>
      <c r="Z787" s="1343"/>
      <c r="AA787" s="1343"/>
      <c r="AB787" s="1344"/>
      <c r="AC787" s="1352">
        <f t="shared" ref="AC787:AC796" si="40">X787*O787</f>
        <v>0</v>
      </c>
      <c r="AD787" s="1353"/>
      <c r="AE787" s="1353"/>
      <c r="AF787" s="1353"/>
      <c r="AG787" s="135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88">
        <f t="shared" ref="CP787:CP796" si="41">IF(J787="SRO/Studio",O787,0)</f>
        <v>0</v>
      </c>
      <c r="CQ787" s="1489"/>
      <c r="CR787" s="1489"/>
      <c r="CS787" s="1489"/>
      <c r="CT787" s="1490"/>
      <c r="CU787" s="1488">
        <f t="shared" ref="CU787:CU796" si="42">IF(J787="1 Bedroom",O787,0)</f>
        <v>0</v>
      </c>
      <c r="CV787" s="1489"/>
      <c r="CW787" s="1489"/>
      <c r="CX787" s="1489"/>
      <c r="CY787" s="1490"/>
      <c r="CZ787" s="1488">
        <f t="shared" ref="CZ787:CZ796" si="43">IF(J787="2 Bedrooms",O787,0)</f>
        <v>0</v>
      </c>
      <c r="DA787" s="1489"/>
      <c r="DB787" s="1489"/>
      <c r="DC787" s="1489"/>
      <c r="DD787" s="1490"/>
      <c r="DE787" s="1488">
        <f t="shared" ref="DE787:DE796" si="44">IF(J787="3 Bedrooms",O787,0)</f>
        <v>0</v>
      </c>
      <c r="DF787" s="1489"/>
      <c r="DG787" s="1489"/>
      <c r="DH787" s="1489"/>
      <c r="DI787" s="1490"/>
      <c r="DJ787" s="1488">
        <f t="shared" ref="DJ787:DJ796" si="45">IF(J787="4 Bedrooms",O787,0)</f>
        <v>0</v>
      </c>
      <c r="DK787" s="1489"/>
      <c r="DL787" s="1489"/>
      <c r="DM787" s="1489"/>
      <c r="DN787" s="1490"/>
      <c r="DO787" s="1488">
        <f t="shared" ref="DO787:DO796" si="46">IF(J787="5 Bedrooms",O787,0)</f>
        <v>0</v>
      </c>
      <c r="DP787" s="1489"/>
      <c r="DQ787" s="1489"/>
      <c r="DR787" s="1489"/>
      <c r="DS787" s="1490"/>
      <c r="DT787" s="6"/>
      <c r="DU787" s="1488">
        <f t="shared" ref="DU787:DU796" si="47">IF(AND(CP787&gt;=1,AH787&gt;=0.1,AH787&lt;=1),O787,0)</f>
        <v>0</v>
      </c>
      <c r="DV787" s="1489"/>
      <c r="DW787" s="1489"/>
      <c r="DX787" s="1489"/>
      <c r="DY787" s="1490"/>
      <c r="DZ787" s="1488">
        <f t="shared" ref="DZ787:DZ796" si="48">IF(AND(CU787&gt;=1,AH787&gt;=0.1,AH787&lt;=1),O787,0)</f>
        <v>0</v>
      </c>
      <c r="EA787" s="1489"/>
      <c r="EB787" s="1489"/>
      <c r="EC787" s="1489"/>
      <c r="ED787" s="1490"/>
      <c r="EE787" s="1488">
        <f t="shared" ref="EE787:EE796" si="49">IF(AND(CZ787&gt;=1,AH787&gt;=0.1,AH787&lt;=1),O787,0)</f>
        <v>0</v>
      </c>
      <c r="EF787" s="1489"/>
      <c r="EG787" s="1489"/>
      <c r="EH787" s="1489"/>
      <c r="EI787" s="1490"/>
      <c r="EJ787" s="1488">
        <f t="shared" ref="EJ787:EJ796" si="50">IF(AND(DE787&gt;=1,AH787&gt;=0.1,AH787&lt;=1),O787,0)</f>
        <v>0</v>
      </c>
      <c r="EK787" s="1489"/>
      <c r="EL787" s="1489"/>
      <c r="EM787" s="1489"/>
      <c r="EN787" s="1490"/>
      <c r="EO787" s="1488">
        <f t="shared" ref="EO787:EO796" si="51">IF(AND(DJ787&gt;=1,AH787&gt;=0.1,AH787&lt;=1),O787,0)</f>
        <v>0</v>
      </c>
      <c r="EP787" s="1489"/>
      <c r="EQ787" s="1489"/>
      <c r="ER787" s="1489"/>
      <c r="ES787" s="1490"/>
      <c r="ET787" s="1488">
        <f t="shared" ref="ET787:ET796" si="52">IF(AND(DO787&gt;=1,AH787&gt;=0.1,AH787&lt;=1),O787,0)</f>
        <v>0</v>
      </c>
      <c r="EU787" s="1489"/>
      <c r="EV787" s="1489"/>
      <c r="EW787" s="1489"/>
      <c r="EX787" s="1490"/>
    </row>
    <row r="788" spans="1:154" s="14" customFormat="1" ht="12.95" customHeight="1">
      <c r="A788"/>
      <c r="B788"/>
      <c r="C788"/>
      <c r="D788"/>
      <c r="E788"/>
      <c r="F788"/>
      <c r="G788"/>
      <c r="H788"/>
      <c r="I788"/>
      <c r="J788" s="1348"/>
      <c r="K788" s="1349"/>
      <c r="L788" s="1349"/>
      <c r="M788" s="1349"/>
      <c r="N788" s="1350"/>
      <c r="O788" s="1610"/>
      <c r="P788" s="1610"/>
      <c r="Q788" s="1610"/>
      <c r="R788" s="1610"/>
      <c r="S788" s="1610"/>
      <c r="T788" s="1359"/>
      <c r="U788" s="1360"/>
      <c r="V788" s="1360"/>
      <c r="W788" s="1361"/>
      <c r="X788" s="1342"/>
      <c r="Y788" s="1343"/>
      <c r="Z788" s="1343"/>
      <c r="AA788" s="1343"/>
      <c r="AB788" s="1344"/>
      <c r="AC788" s="1352">
        <f t="shared" si="40"/>
        <v>0</v>
      </c>
      <c r="AD788" s="1353"/>
      <c r="AE788" s="1353"/>
      <c r="AF788" s="1353"/>
      <c r="AG788" s="135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88">
        <f t="shared" si="41"/>
        <v>0</v>
      </c>
      <c r="CQ788" s="1489"/>
      <c r="CR788" s="1489"/>
      <c r="CS788" s="1489"/>
      <c r="CT788" s="1490"/>
      <c r="CU788" s="1488">
        <f t="shared" si="42"/>
        <v>0</v>
      </c>
      <c r="CV788" s="1489"/>
      <c r="CW788" s="1489"/>
      <c r="CX788" s="1489"/>
      <c r="CY788" s="1490"/>
      <c r="CZ788" s="1488">
        <f t="shared" si="43"/>
        <v>0</v>
      </c>
      <c r="DA788" s="1489"/>
      <c r="DB788" s="1489"/>
      <c r="DC788" s="1489"/>
      <c r="DD788" s="1490"/>
      <c r="DE788" s="1488">
        <f t="shared" si="44"/>
        <v>0</v>
      </c>
      <c r="DF788" s="1489"/>
      <c r="DG788" s="1489"/>
      <c r="DH788" s="1489"/>
      <c r="DI788" s="1490"/>
      <c r="DJ788" s="1488">
        <f t="shared" si="45"/>
        <v>0</v>
      </c>
      <c r="DK788" s="1489"/>
      <c r="DL788" s="1489"/>
      <c r="DM788" s="1489"/>
      <c r="DN788" s="1490"/>
      <c r="DO788" s="1488">
        <f t="shared" si="46"/>
        <v>0</v>
      </c>
      <c r="DP788" s="1489"/>
      <c r="DQ788" s="1489"/>
      <c r="DR788" s="1489"/>
      <c r="DS788" s="1490"/>
      <c r="DT788" s="6"/>
      <c r="DU788" s="1488">
        <f t="shared" si="47"/>
        <v>0</v>
      </c>
      <c r="DV788" s="1489"/>
      <c r="DW788" s="1489"/>
      <c r="DX788" s="1489"/>
      <c r="DY788" s="1490"/>
      <c r="DZ788" s="1488">
        <f t="shared" si="48"/>
        <v>0</v>
      </c>
      <c r="EA788" s="1489"/>
      <c r="EB788" s="1489"/>
      <c r="EC788" s="1489"/>
      <c r="ED788" s="1490"/>
      <c r="EE788" s="1488">
        <f t="shared" si="49"/>
        <v>0</v>
      </c>
      <c r="EF788" s="1489"/>
      <c r="EG788" s="1489"/>
      <c r="EH788" s="1489"/>
      <c r="EI788" s="1490"/>
      <c r="EJ788" s="1488">
        <f t="shared" si="50"/>
        <v>0</v>
      </c>
      <c r="EK788" s="1489"/>
      <c r="EL788" s="1489"/>
      <c r="EM788" s="1489"/>
      <c r="EN788" s="1490"/>
      <c r="EO788" s="1488">
        <f t="shared" si="51"/>
        <v>0</v>
      </c>
      <c r="EP788" s="1489"/>
      <c r="EQ788" s="1489"/>
      <c r="ER788" s="1489"/>
      <c r="ES788" s="1490"/>
      <c r="ET788" s="1488">
        <f t="shared" si="52"/>
        <v>0</v>
      </c>
      <c r="EU788" s="1489"/>
      <c r="EV788" s="1489"/>
      <c r="EW788" s="1489"/>
      <c r="EX788" s="1490"/>
    </row>
    <row r="789" spans="1:154" s="14" customFormat="1" ht="12.95" customHeight="1">
      <c r="A789"/>
      <c r="B789"/>
      <c r="C789"/>
      <c r="D789"/>
      <c r="E789"/>
      <c r="F789"/>
      <c r="G789"/>
      <c r="H789"/>
      <c r="I789"/>
      <c r="J789" s="1348"/>
      <c r="K789" s="1349"/>
      <c r="L789" s="1349"/>
      <c r="M789" s="1349"/>
      <c r="N789" s="1350"/>
      <c r="O789" s="1610"/>
      <c r="P789" s="1610"/>
      <c r="Q789" s="1610"/>
      <c r="R789" s="1610"/>
      <c r="S789" s="1610"/>
      <c r="T789" s="1359"/>
      <c r="U789" s="1360"/>
      <c r="V789" s="1360"/>
      <c r="W789" s="1361"/>
      <c r="X789" s="1342"/>
      <c r="Y789" s="1343"/>
      <c r="Z789" s="1343"/>
      <c r="AA789" s="1343"/>
      <c r="AB789" s="1344"/>
      <c r="AC789" s="1352">
        <f t="shared" si="40"/>
        <v>0</v>
      </c>
      <c r="AD789" s="1353"/>
      <c r="AE789" s="1353"/>
      <c r="AF789" s="1353"/>
      <c r="AG789" s="135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88">
        <f t="shared" si="41"/>
        <v>0</v>
      </c>
      <c r="CQ789" s="1489"/>
      <c r="CR789" s="1489"/>
      <c r="CS789" s="1489"/>
      <c r="CT789" s="1490"/>
      <c r="CU789" s="1488">
        <f t="shared" si="42"/>
        <v>0</v>
      </c>
      <c r="CV789" s="1489"/>
      <c r="CW789" s="1489"/>
      <c r="CX789" s="1489"/>
      <c r="CY789" s="1490"/>
      <c r="CZ789" s="1488">
        <f t="shared" si="43"/>
        <v>0</v>
      </c>
      <c r="DA789" s="1489"/>
      <c r="DB789" s="1489"/>
      <c r="DC789" s="1489"/>
      <c r="DD789" s="1490"/>
      <c r="DE789" s="1488">
        <f t="shared" si="44"/>
        <v>0</v>
      </c>
      <c r="DF789" s="1489"/>
      <c r="DG789" s="1489"/>
      <c r="DH789" s="1489"/>
      <c r="DI789" s="1490"/>
      <c r="DJ789" s="1488">
        <f t="shared" si="45"/>
        <v>0</v>
      </c>
      <c r="DK789" s="1489"/>
      <c r="DL789" s="1489"/>
      <c r="DM789" s="1489"/>
      <c r="DN789" s="1490"/>
      <c r="DO789" s="1488">
        <f t="shared" si="46"/>
        <v>0</v>
      </c>
      <c r="DP789" s="1489"/>
      <c r="DQ789" s="1489"/>
      <c r="DR789" s="1489"/>
      <c r="DS789" s="1490"/>
      <c r="DT789" s="6"/>
      <c r="DU789" s="1488">
        <f t="shared" si="47"/>
        <v>0</v>
      </c>
      <c r="DV789" s="1489"/>
      <c r="DW789" s="1489"/>
      <c r="DX789" s="1489"/>
      <c r="DY789" s="1490"/>
      <c r="DZ789" s="1488">
        <f t="shared" si="48"/>
        <v>0</v>
      </c>
      <c r="EA789" s="1489"/>
      <c r="EB789" s="1489"/>
      <c r="EC789" s="1489"/>
      <c r="ED789" s="1490"/>
      <c r="EE789" s="1488">
        <f t="shared" si="49"/>
        <v>0</v>
      </c>
      <c r="EF789" s="1489"/>
      <c r="EG789" s="1489"/>
      <c r="EH789" s="1489"/>
      <c r="EI789" s="1490"/>
      <c r="EJ789" s="1488">
        <f t="shared" si="50"/>
        <v>0</v>
      </c>
      <c r="EK789" s="1489"/>
      <c r="EL789" s="1489"/>
      <c r="EM789" s="1489"/>
      <c r="EN789" s="1490"/>
      <c r="EO789" s="1488">
        <f t="shared" si="51"/>
        <v>0</v>
      </c>
      <c r="EP789" s="1489"/>
      <c r="EQ789" s="1489"/>
      <c r="ER789" s="1489"/>
      <c r="ES789" s="1490"/>
      <c r="ET789" s="1488">
        <f t="shared" si="52"/>
        <v>0</v>
      </c>
      <c r="EU789" s="1489"/>
      <c r="EV789" s="1489"/>
      <c r="EW789" s="1489"/>
      <c r="EX789" s="1490"/>
    </row>
    <row r="790" spans="1:154" s="14" customFormat="1" ht="12.95" customHeight="1">
      <c r="A790"/>
      <c r="B790"/>
      <c r="C790"/>
      <c r="D790"/>
      <c r="E790"/>
      <c r="F790"/>
      <c r="G790"/>
      <c r="H790"/>
      <c r="I790"/>
      <c r="J790" s="1348"/>
      <c r="K790" s="1349"/>
      <c r="L790" s="1349"/>
      <c r="M790" s="1349"/>
      <c r="N790" s="1350"/>
      <c r="O790" s="1610"/>
      <c r="P790" s="1610"/>
      <c r="Q790" s="1610"/>
      <c r="R790" s="1610"/>
      <c r="S790" s="1610"/>
      <c r="T790" s="1359"/>
      <c r="U790" s="1360"/>
      <c r="V790" s="1360"/>
      <c r="W790" s="1361"/>
      <c r="X790" s="1342"/>
      <c r="Y790" s="1343"/>
      <c r="Z790" s="1343"/>
      <c r="AA790" s="1343"/>
      <c r="AB790" s="1344"/>
      <c r="AC790" s="1352">
        <f t="shared" si="40"/>
        <v>0</v>
      </c>
      <c r="AD790" s="1353"/>
      <c r="AE790" s="1353"/>
      <c r="AF790" s="1353"/>
      <c r="AG790" s="135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88">
        <f t="shared" si="41"/>
        <v>0</v>
      </c>
      <c r="CQ790" s="1489"/>
      <c r="CR790" s="1489"/>
      <c r="CS790" s="1489"/>
      <c r="CT790" s="1490"/>
      <c r="CU790" s="1488">
        <f t="shared" si="42"/>
        <v>0</v>
      </c>
      <c r="CV790" s="1489"/>
      <c r="CW790" s="1489"/>
      <c r="CX790" s="1489"/>
      <c r="CY790" s="1490"/>
      <c r="CZ790" s="1488">
        <f t="shared" si="43"/>
        <v>0</v>
      </c>
      <c r="DA790" s="1489"/>
      <c r="DB790" s="1489"/>
      <c r="DC790" s="1489"/>
      <c r="DD790" s="1490"/>
      <c r="DE790" s="1488">
        <f t="shared" si="44"/>
        <v>0</v>
      </c>
      <c r="DF790" s="1489"/>
      <c r="DG790" s="1489"/>
      <c r="DH790" s="1489"/>
      <c r="DI790" s="1490"/>
      <c r="DJ790" s="1488">
        <f t="shared" si="45"/>
        <v>0</v>
      </c>
      <c r="DK790" s="1489"/>
      <c r="DL790" s="1489"/>
      <c r="DM790" s="1489"/>
      <c r="DN790" s="1490"/>
      <c r="DO790" s="1488">
        <f t="shared" si="46"/>
        <v>0</v>
      </c>
      <c r="DP790" s="1489"/>
      <c r="DQ790" s="1489"/>
      <c r="DR790" s="1489"/>
      <c r="DS790" s="1490"/>
      <c r="DT790" s="6"/>
      <c r="DU790" s="1488">
        <f t="shared" si="47"/>
        <v>0</v>
      </c>
      <c r="DV790" s="1489"/>
      <c r="DW790" s="1489"/>
      <c r="DX790" s="1489"/>
      <c r="DY790" s="1490"/>
      <c r="DZ790" s="1488">
        <f t="shared" si="48"/>
        <v>0</v>
      </c>
      <c r="EA790" s="1489"/>
      <c r="EB790" s="1489"/>
      <c r="EC790" s="1489"/>
      <c r="ED790" s="1490"/>
      <c r="EE790" s="1488">
        <f t="shared" si="49"/>
        <v>0</v>
      </c>
      <c r="EF790" s="1489"/>
      <c r="EG790" s="1489"/>
      <c r="EH790" s="1489"/>
      <c r="EI790" s="1490"/>
      <c r="EJ790" s="1488">
        <f t="shared" si="50"/>
        <v>0</v>
      </c>
      <c r="EK790" s="1489"/>
      <c r="EL790" s="1489"/>
      <c r="EM790" s="1489"/>
      <c r="EN790" s="1490"/>
      <c r="EO790" s="1488">
        <f t="shared" si="51"/>
        <v>0</v>
      </c>
      <c r="EP790" s="1489"/>
      <c r="EQ790" s="1489"/>
      <c r="ER790" s="1489"/>
      <c r="ES790" s="1490"/>
      <c r="ET790" s="1488">
        <f t="shared" si="52"/>
        <v>0</v>
      </c>
      <c r="EU790" s="1489"/>
      <c r="EV790" s="1489"/>
      <c r="EW790" s="1489"/>
      <c r="EX790" s="1490"/>
    </row>
    <row r="791" spans="1:154" s="14" customFormat="1" ht="12.95" customHeight="1">
      <c r="A791"/>
      <c r="B791"/>
      <c r="C791"/>
      <c r="D791"/>
      <c r="E791"/>
      <c r="F791"/>
      <c r="G791"/>
      <c r="H791"/>
      <c r="I791"/>
      <c r="J791" s="1348"/>
      <c r="K791" s="1349"/>
      <c r="L791" s="1349"/>
      <c r="M791" s="1349"/>
      <c r="N791" s="1350"/>
      <c r="O791" s="1610"/>
      <c r="P791" s="1610"/>
      <c r="Q791" s="1610"/>
      <c r="R791" s="1610"/>
      <c r="S791" s="1610"/>
      <c r="T791" s="1359"/>
      <c r="U791" s="1360"/>
      <c r="V791" s="1360"/>
      <c r="W791" s="1361"/>
      <c r="X791" s="1342"/>
      <c r="Y791" s="1343"/>
      <c r="Z791" s="1343"/>
      <c r="AA791" s="1343"/>
      <c r="AB791" s="1344"/>
      <c r="AC791" s="1352">
        <f t="shared" si="40"/>
        <v>0</v>
      </c>
      <c r="AD791" s="1353"/>
      <c r="AE791" s="1353"/>
      <c r="AF791" s="1353"/>
      <c r="AG791" s="135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88">
        <f t="shared" si="41"/>
        <v>0</v>
      </c>
      <c r="CQ791" s="1489"/>
      <c r="CR791" s="1489"/>
      <c r="CS791" s="1489"/>
      <c r="CT791" s="1490"/>
      <c r="CU791" s="1488">
        <f t="shared" si="42"/>
        <v>0</v>
      </c>
      <c r="CV791" s="1489"/>
      <c r="CW791" s="1489"/>
      <c r="CX791" s="1489"/>
      <c r="CY791" s="1490"/>
      <c r="CZ791" s="1488">
        <f t="shared" si="43"/>
        <v>0</v>
      </c>
      <c r="DA791" s="1489"/>
      <c r="DB791" s="1489"/>
      <c r="DC791" s="1489"/>
      <c r="DD791" s="1490"/>
      <c r="DE791" s="1488">
        <f t="shared" si="44"/>
        <v>0</v>
      </c>
      <c r="DF791" s="1489"/>
      <c r="DG791" s="1489"/>
      <c r="DH791" s="1489"/>
      <c r="DI791" s="1490"/>
      <c r="DJ791" s="1488">
        <f t="shared" si="45"/>
        <v>0</v>
      </c>
      <c r="DK791" s="1489"/>
      <c r="DL791" s="1489"/>
      <c r="DM791" s="1489"/>
      <c r="DN791" s="1490"/>
      <c r="DO791" s="1488">
        <f t="shared" si="46"/>
        <v>0</v>
      </c>
      <c r="DP791" s="1489"/>
      <c r="DQ791" s="1489"/>
      <c r="DR791" s="1489"/>
      <c r="DS791" s="1490"/>
      <c r="DT791" s="6"/>
      <c r="DU791" s="1488">
        <f t="shared" si="47"/>
        <v>0</v>
      </c>
      <c r="DV791" s="1489"/>
      <c r="DW791" s="1489"/>
      <c r="DX791" s="1489"/>
      <c r="DY791" s="1490"/>
      <c r="DZ791" s="1488">
        <f t="shared" si="48"/>
        <v>0</v>
      </c>
      <c r="EA791" s="1489"/>
      <c r="EB791" s="1489"/>
      <c r="EC791" s="1489"/>
      <c r="ED791" s="1490"/>
      <c r="EE791" s="1488">
        <f t="shared" si="49"/>
        <v>0</v>
      </c>
      <c r="EF791" s="1489"/>
      <c r="EG791" s="1489"/>
      <c r="EH791" s="1489"/>
      <c r="EI791" s="1490"/>
      <c r="EJ791" s="1488">
        <f t="shared" si="50"/>
        <v>0</v>
      </c>
      <c r="EK791" s="1489"/>
      <c r="EL791" s="1489"/>
      <c r="EM791" s="1489"/>
      <c r="EN791" s="1490"/>
      <c r="EO791" s="1488">
        <f t="shared" si="51"/>
        <v>0</v>
      </c>
      <c r="EP791" s="1489"/>
      <c r="EQ791" s="1489"/>
      <c r="ER791" s="1489"/>
      <c r="ES791" s="1490"/>
      <c r="ET791" s="1488">
        <f t="shared" si="52"/>
        <v>0</v>
      </c>
      <c r="EU791" s="1489"/>
      <c r="EV791" s="1489"/>
      <c r="EW791" s="1489"/>
      <c r="EX791" s="1490"/>
    </row>
    <row r="792" spans="1:154" s="14" customFormat="1" ht="12.95" customHeight="1">
      <c r="A792"/>
      <c r="B792"/>
      <c r="C792"/>
      <c r="D792"/>
      <c r="E792"/>
      <c r="F792"/>
      <c r="G792"/>
      <c r="H792"/>
      <c r="I792"/>
      <c r="J792" s="1348"/>
      <c r="K792" s="1349"/>
      <c r="L792" s="1349"/>
      <c r="M792" s="1349"/>
      <c r="N792" s="1350"/>
      <c r="O792" s="1610"/>
      <c r="P792" s="1610"/>
      <c r="Q792" s="1610"/>
      <c r="R792" s="1610"/>
      <c r="S792" s="1610"/>
      <c r="T792" s="1359"/>
      <c r="U792" s="1360"/>
      <c r="V792" s="1360"/>
      <c r="W792" s="1361"/>
      <c r="X792" s="1342"/>
      <c r="Y792" s="1343"/>
      <c r="Z792" s="1343"/>
      <c r="AA792" s="1343"/>
      <c r="AB792" s="1344"/>
      <c r="AC792" s="1352">
        <f t="shared" si="40"/>
        <v>0</v>
      </c>
      <c r="AD792" s="1353"/>
      <c r="AE792" s="1353"/>
      <c r="AF792" s="1353"/>
      <c r="AG792" s="135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88">
        <f t="shared" si="41"/>
        <v>0</v>
      </c>
      <c r="CQ792" s="1489"/>
      <c r="CR792" s="1489"/>
      <c r="CS792" s="1489"/>
      <c r="CT792" s="1490"/>
      <c r="CU792" s="1488">
        <f t="shared" si="42"/>
        <v>0</v>
      </c>
      <c r="CV792" s="1489"/>
      <c r="CW792" s="1489"/>
      <c r="CX792" s="1489"/>
      <c r="CY792" s="1490"/>
      <c r="CZ792" s="1488">
        <f t="shared" si="43"/>
        <v>0</v>
      </c>
      <c r="DA792" s="1489"/>
      <c r="DB792" s="1489"/>
      <c r="DC792" s="1489"/>
      <c r="DD792" s="1490"/>
      <c r="DE792" s="1488">
        <f t="shared" si="44"/>
        <v>0</v>
      </c>
      <c r="DF792" s="1489"/>
      <c r="DG792" s="1489"/>
      <c r="DH792" s="1489"/>
      <c r="DI792" s="1490"/>
      <c r="DJ792" s="1488">
        <f t="shared" si="45"/>
        <v>0</v>
      </c>
      <c r="DK792" s="1489"/>
      <c r="DL792" s="1489"/>
      <c r="DM792" s="1489"/>
      <c r="DN792" s="1490"/>
      <c r="DO792" s="1488">
        <f t="shared" si="46"/>
        <v>0</v>
      </c>
      <c r="DP792" s="1489"/>
      <c r="DQ792" s="1489"/>
      <c r="DR792" s="1489"/>
      <c r="DS792" s="1490"/>
      <c r="DT792" s="6"/>
      <c r="DU792" s="1488">
        <f t="shared" si="47"/>
        <v>0</v>
      </c>
      <c r="DV792" s="1489"/>
      <c r="DW792" s="1489"/>
      <c r="DX792" s="1489"/>
      <c r="DY792" s="1490"/>
      <c r="DZ792" s="1488">
        <f t="shared" si="48"/>
        <v>0</v>
      </c>
      <c r="EA792" s="1489"/>
      <c r="EB792" s="1489"/>
      <c r="EC792" s="1489"/>
      <c r="ED792" s="1490"/>
      <c r="EE792" s="1488">
        <f t="shared" si="49"/>
        <v>0</v>
      </c>
      <c r="EF792" s="1489"/>
      <c r="EG792" s="1489"/>
      <c r="EH792" s="1489"/>
      <c r="EI792" s="1490"/>
      <c r="EJ792" s="1488">
        <f t="shared" si="50"/>
        <v>0</v>
      </c>
      <c r="EK792" s="1489"/>
      <c r="EL792" s="1489"/>
      <c r="EM792" s="1489"/>
      <c r="EN792" s="1490"/>
      <c r="EO792" s="1488">
        <f t="shared" si="51"/>
        <v>0</v>
      </c>
      <c r="EP792" s="1489"/>
      <c r="EQ792" s="1489"/>
      <c r="ER792" s="1489"/>
      <c r="ES792" s="1490"/>
      <c r="ET792" s="1488">
        <f t="shared" si="52"/>
        <v>0</v>
      </c>
      <c r="EU792" s="1489"/>
      <c r="EV792" s="1489"/>
      <c r="EW792" s="1489"/>
      <c r="EX792" s="1490"/>
    </row>
    <row r="793" spans="1:154" s="14" customFormat="1" ht="12.95" customHeight="1">
      <c r="A793"/>
      <c r="B793"/>
      <c r="C793"/>
      <c r="D793"/>
      <c r="E793"/>
      <c r="F793"/>
      <c r="G793"/>
      <c r="H793"/>
      <c r="I793"/>
      <c r="J793" s="1348"/>
      <c r="K793" s="1349"/>
      <c r="L793" s="1349"/>
      <c r="M793" s="1349"/>
      <c r="N793" s="1350"/>
      <c r="O793" s="1610"/>
      <c r="P793" s="1610"/>
      <c r="Q793" s="1610"/>
      <c r="R793" s="1610"/>
      <c r="S793" s="1610"/>
      <c r="T793" s="1359"/>
      <c r="U793" s="1360"/>
      <c r="V793" s="1360"/>
      <c r="W793" s="1361"/>
      <c r="X793" s="1342"/>
      <c r="Y793" s="1343"/>
      <c r="Z793" s="1343"/>
      <c r="AA793" s="1343"/>
      <c r="AB793" s="1344"/>
      <c r="AC793" s="1352">
        <f t="shared" si="40"/>
        <v>0</v>
      </c>
      <c r="AD793" s="1353"/>
      <c r="AE793" s="1353"/>
      <c r="AF793" s="1353"/>
      <c r="AG793" s="135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88">
        <f t="shared" si="41"/>
        <v>0</v>
      </c>
      <c r="CQ793" s="1489"/>
      <c r="CR793" s="1489"/>
      <c r="CS793" s="1489"/>
      <c r="CT793" s="1490"/>
      <c r="CU793" s="1488">
        <f t="shared" si="42"/>
        <v>0</v>
      </c>
      <c r="CV793" s="1489"/>
      <c r="CW793" s="1489"/>
      <c r="CX793" s="1489"/>
      <c r="CY793" s="1490"/>
      <c r="CZ793" s="1488">
        <f t="shared" si="43"/>
        <v>0</v>
      </c>
      <c r="DA793" s="1489"/>
      <c r="DB793" s="1489"/>
      <c r="DC793" s="1489"/>
      <c r="DD793" s="1490"/>
      <c r="DE793" s="1488">
        <f t="shared" si="44"/>
        <v>0</v>
      </c>
      <c r="DF793" s="1489"/>
      <c r="DG793" s="1489"/>
      <c r="DH793" s="1489"/>
      <c r="DI793" s="1490"/>
      <c r="DJ793" s="1488">
        <f t="shared" si="45"/>
        <v>0</v>
      </c>
      <c r="DK793" s="1489"/>
      <c r="DL793" s="1489"/>
      <c r="DM793" s="1489"/>
      <c r="DN793" s="1490"/>
      <c r="DO793" s="1488">
        <f t="shared" si="46"/>
        <v>0</v>
      </c>
      <c r="DP793" s="1489"/>
      <c r="DQ793" s="1489"/>
      <c r="DR793" s="1489"/>
      <c r="DS793" s="1490"/>
      <c r="DT793" s="6"/>
      <c r="DU793" s="1488">
        <f t="shared" si="47"/>
        <v>0</v>
      </c>
      <c r="DV793" s="1489"/>
      <c r="DW793" s="1489"/>
      <c r="DX793" s="1489"/>
      <c r="DY793" s="1490"/>
      <c r="DZ793" s="1488">
        <f t="shared" si="48"/>
        <v>0</v>
      </c>
      <c r="EA793" s="1489"/>
      <c r="EB793" s="1489"/>
      <c r="EC793" s="1489"/>
      <c r="ED793" s="1490"/>
      <c r="EE793" s="1488">
        <f t="shared" si="49"/>
        <v>0</v>
      </c>
      <c r="EF793" s="1489"/>
      <c r="EG793" s="1489"/>
      <c r="EH793" s="1489"/>
      <c r="EI793" s="1490"/>
      <c r="EJ793" s="1488">
        <f t="shared" si="50"/>
        <v>0</v>
      </c>
      <c r="EK793" s="1489"/>
      <c r="EL793" s="1489"/>
      <c r="EM793" s="1489"/>
      <c r="EN793" s="1490"/>
      <c r="EO793" s="1488">
        <f t="shared" si="51"/>
        <v>0</v>
      </c>
      <c r="EP793" s="1489"/>
      <c r="EQ793" s="1489"/>
      <c r="ER793" s="1489"/>
      <c r="ES793" s="1490"/>
      <c r="ET793" s="1488">
        <f t="shared" si="52"/>
        <v>0</v>
      </c>
      <c r="EU793" s="1489"/>
      <c r="EV793" s="1489"/>
      <c r="EW793" s="1489"/>
      <c r="EX793" s="1490"/>
    </row>
    <row r="794" spans="1:154" s="14" customFormat="1" ht="12.95" customHeight="1">
      <c r="A794"/>
      <c r="B794"/>
      <c r="C794"/>
      <c r="D794"/>
      <c r="E794"/>
      <c r="F794"/>
      <c r="G794"/>
      <c r="H794"/>
      <c r="I794"/>
      <c r="J794" s="1348"/>
      <c r="K794" s="1349"/>
      <c r="L794" s="1349"/>
      <c r="M794" s="1349"/>
      <c r="N794" s="1350"/>
      <c r="O794" s="1610"/>
      <c r="P794" s="1610"/>
      <c r="Q794" s="1610"/>
      <c r="R794" s="1610"/>
      <c r="S794" s="1610"/>
      <c r="T794" s="1359"/>
      <c r="U794" s="1360"/>
      <c r="V794" s="1360"/>
      <c r="W794" s="1361"/>
      <c r="X794" s="1342"/>
      <c r="Y794" s="1343"/>
      <c r="Z794" s="1343"/>
      <c r="AA794" s="1343"/>
      <c r="AB794" s="1344"/>
      <c r="AC794" s="1352">
        <f t="shared" si="40"/>
        <v>0</v>
      </c>
      <c r="AD794" s="1353"/>
      <c r="AE794" s="1353"/>
      <c r="AF794" s="1353"/>
      <c r="AG794" s="135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88">
        <f t="shared" si="41"/>
        <v>0</v>
      </c>
      <c r="CQ794" s="1489"/>
      <c r="CR794" s="1489"/>
      <c r="CS794" s="1489"/>
      <c r="CT794" s="1490"/>
      <c r="CU794" s="1488">
        <f t="shared" si="42"/>
        <v>0</v>
      </c>
      <c r="CV794" s="1489"/>
      <c r="CW794" s="1489"/>
      <c r="CX794" s="1489"/>
      <c r="CY794" s="1490"/>
      <c r="CZ794" s="1488">
        <f t="shared" si="43"/>
        <v>0</v>
      </c>
      <c r="DA794" s="1489"/>
      <c r="DB794" s="1489"/>
      <c r="DC794" s="1489"/>
      <c r="DD794" s="1490"/>
      <c r="DE794" s="1488">
        <f t="shared" si="44"/>
        <v>0</v>
      </c>
      <c r="DF794" s="1489"/>
      <c r="DG794" s="1489"/>
      <c r="DH794" s="1489"/>
      <c r="DI794" s="1490"/>
      <c r="DJ794" s="1488">
        <f t="shared" si="45"/>
        <v>0</v>
      </c>
      <c r="DK794" s="1489"/>
      <c r="DL794" s="1489"/>
      <c r="DM794" s="1489"/>
      <c r="DN794" s="1490"/>
      <c r="DO794" s="1488">
        <f t="shared" si="46"/>
        <v>0</v>
      </c>
      <c r="DP794" s="1489"/>
      <c r="DQ794" s="1489"/>
      <c r="DR794" s="1489"/>
      <c r="DS794" s="1490"/>
      <c r="DT794" s="6"/>
      <c r="DU794" s="1488">
        <f t="shared" si="47"/>
        <v>0</v>
      </c>
      <c r="DV794" s="1489"/>
      <c r="DW794" s="1489"/>
      <c r="DX794" s="1489"/>
      <c r="DY794" s="1490"/>
      <c r="DZ794" s="1488">
        <f t="shared" si="48"/>
        <v>0</v>
      </c>
      <c r="EA794" s="1489"/>
      <c r="EB794" s="1489"/>
      <c r="EC794" s="1489"/>
      <c r="ED794" s="1490"/>
      <c r="EE794" s="1488">
        <f t="shared" si="49"/>
        <v>0</v>
      </c>
      <c r="EF794" s="1489"/>
      <c r="EG794" s="1489"/>
      <c r="EH794" s="1489"/>
      <c r="EI794" s="1490"/>
      <c r="EJ794" s="1488">
        <f t="shared" si="50"/>
        <v>0</v>
      </c>
      <c r="EK794" s="1489"/>
      <c r="EL794" s="1489"/>
      <c r="EM794" s="1489"/>
      <c r="EN794" s="1490"/>
      <c r="EO794" s="1488">
        <f t="shared" si="51"/>
        <v>0</v>
      </c>
      <c r="EP794" s="1489"/>
      <c r="EQ794" s="1489"/>
      <c r="ER794" s="1489"/>
      <c r="ES794" s="1490"/>
      <c r="ET794" s="1488">
        <f t="shared" si="52"/>
        <v>0</v>
      </c>
      <c r="EU794" s="1489"/>
      <c r="EV794" s="1489"/>
      <c r="EW794" s="1489"/>
      <c r="EX794" s="1490"/>
    </row>
    <row r="795" spans="1:154" s="14" customFormat="1" ht="12.95" customHeight="1">
      <c r="A795"/>
      <c r="B795"/>
      <c r="C795"/>
      <c r="D795"/>
      <c r="E795"/>
      <c r="F795"/>
      <c r="G795"/>
      <c r="H795"/>
      <c r="I795"/>
      <c r="J795" s="1348"/>
      <c r="K795" s="1349"/>
      <c r="L795" s="1349"/>
      <c r="M795" s="1349"/>
      <c r="N795" s="1350"/>
      <c r="O795" s="1610"/>
      <c r="P795" s="1610"/>
      <c r="Q795" s="1610"/>
      <c r="R795" s="1610"/>
      <c r="S795" s="1610"/>
      <c r="T795" s="1359"/>
      <c r="U795" s="1360"/>
      <c r="V795" s="1360"/>
      <c r="W795" s="1361"/>
      <c r="X795" s="1342"/>
      <c r="Y795" s="1343"/>
      <c r="Z795" s="1343"/>
      <c r="AA795" s="1343"/>
      <c r="AB795" s="1344"/>
      <c r="AC795" s="1352">
        <f t="shared" si="40"/>
        <v>0</v>
      </c>
      <c r="AD795" s="1353"/>
      <c r="AE795" s="1353"/>
      <c r="AF795" s="1353"/>
      <c r="AG795" s="135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88">
        <f t="shared" si="41"/>
        <v>0</v>
      </c>
      <c r="CQ795" s="1489"/>
      <c r="CR795" s="1489"/>
      <c r="CS795" s="1489"/>
      <c r="CT795" s="1490"/>
      <c r="CU795" s="1488">
        <f t="shared" si="42"/>
        <v>0</v>
      </c>
      <c r="CV795" s="1489"/>
      <c r="CW795" s="1489"/>
      <c r="CX795" s="1489"/>
      <c r="CY795" s="1490"/>
      <c r="CZ795" s="1488">
        <f t="shared" si="43"/>
        <v>0</v>
      </c>
      <c r="DA795" s="1489"/>
      <c r="DB795" s="1489"/>
      <c r="DC795" s="1489"/>
      <c r="DD795" s="1490"/>
      <c r="DE795" s="1488">
        <f t="shared" si="44"/>
        <v>0</v>
      </c>
      <c r="DF795" s="1489"/>
      <c r="DG795" s="1489"/>
      <c r="DH795" s="1489"/>
      <c r="DI795" s="1490"/>
      <c r="DJ795" s="1488">
        <f t="shared" si="45"/>
        <v>0</v>
      </c>
      <c r="DK795" s="1489"/>
      <c r="DL795" s="1489"/>
      <c r="DM795" s="1489"/>
      <c r="DN795" s="1490"/>
      <c r="DO795" s="1488">
        <f t="shared" si="46"/>
        <v>0</v>
      </c>
      <c r="DP795" s="1489"/>
      <c r="DQ795" s="1489"/>
      <c r="DR795" s="1489"/>
      <c r="DS795" s="1490"/>
      <c r="DT795" s="6"/>
      <c r="DU795" s="1488">
        <f t="shared" si="47"/>
        <v>0</v>
      </c>
      <c r="DV795" s="1489"/>
      <c r="DW795" s="1489"/>
      <c r="DX795" s="1489"/>
      <c r="DY795" s="1490"/>
      <c r="DZ795" s="1488">
        <f t="shared" si="48"/>
        <v>0</v>
      </c>
      <c r="EA795" s="1489"/>
      <c r="EB795" s="1489"/>
      <c r="EC795" s="1489"/>
      <c r="ED795" s="1490"/>
      <c r="EE795" s="1488">
        <f t="shared" si="49"/>
        <v>0</v>
      </c>
      <c r="EF795" s="1489"/>
      <c r="EG795" s="1489"/>
      <c r="EH795" s="1489"/>
      <c r="EI795" s="1490"/>
      <c r="EJ795" s="1488">
        <f t="shared" si="50"/>
        <v>0</v>
      </c>
      <c r="EK795" s="1489"/>
      <c r="EL795" s="1489"/>
      <c r="EM795" s="1489"/>
      <c r="EN795" s="1490"/>
      <c r="EO795" s="1488">
        <f t="shared" si="51"/>
        <v>0</v>
      </c>
      <c r="EP795" s="1489"/>
      <c r="EQ795" s="1489"/>
      <c r="ER795" s="1489"/>
      <c r="ES795" s="1490"/>
      <c r="ET795" s="1488">
        <f t="shared" si="52"/>
        <v>0</v>
      </c>
      <c r="EU795" s="1489"/>
      <c r="EV795" s="1489"/>
      <c r="EW795" s="1489"/>
      <c r="EX795" s="1490"/>
    </row>
    <row r="796" spans="1:154" s="4" customFormat="1" ht="12.95" customHeight="1">
      <c r="A796"/>
      <c r="B796"/>
      <c r="C796"/>
      <c r="D796"/>
      <c r="E796"/>
      <c r="F796"/>
      <c r="G796"/>
      <c r="H796"/>
      <c r="I796"/>
      <c r="J796" s="1348"/>
      <c r="K796" s="1349"/>
      <c r="L796" s="1349"/>
      <c r="M796" s="1349"/>
      <c r="N796" s="1350"/>
      <c r="O796" s="1610"/>
      <c r="P796" s="1610"/>
      <c r="Q796" s="1610"/>
      <c r="R796" s="1610"/>
      <c r="S796" s="1610"/>
      <c r="T796" s="1359"/>
      <c r="U796" s="1360"/>
      <c r="V796" s="1360"/>
      <c r="W796" s="1361"/>
      <c r="X796" s="1342"/>
      <c r="Y796" s="1343"/>
      <c r="Z796" s="1343"/>
      <c r="AA796" s="1343"/>
      <c r="AB796" s="1344"/>
      <c r="AC796" s="1352">
        <f t="shared" si="40"/>
        <v>0</v>
      </c>
      <c r="AD796" s="1353"/>
      <c r="AE796" s="1353"/>
      <c r="AF796" s="1353"/>
      <c r="AG796" s="1354"/>
      <c r="AH796"/>
      <c r="AI796"/>
      <c r="AJ796"/>
      <c r="AK796"/>
      <c r="AL796"/>
      <c r="AM796"/>
      <c r="AN796"/>
      <c r="AO796"/>
      <c r="AP796"/>
      <c r="AQ796"/>
      <c r="AR796"/>
      <c r="AS796"/>
      <c r="AT796"/>
      <c r="AU796"/>
      <c r="AV796"/>
      <c r="AW796"/>
      <c r="AX796"/>
      <c r="AY796"/>
      <c r="AZ796" s="3"/>
      <c r="CP796" s="1488">
        <f t="shared" si="41"/>
        <v>0</v>
      </c>
      <c r="CQ796" s="1489"/>
      <c r="CR796" s="1489"/>
      <c r="CS796" s="1489"/>
      <c r="CT796" s="1490"/>
      <c r="CU796" s="1488">
        <f t="shared" si="42"/>
        <v>0</v>
      </c>
      <c r="CV796" s="1489"/>
      <c r="CW796" s="1489"/>
      <c r="CX796" s="1489"/>
      <c r="CY796" s="1490"/>
      <c r="CZ796" s="1488">
        <f t="shared" si="43"/>
        <v>0</v>
      </c>
      <c r="DA796" s="1489"/>
      <c r="DB796" s="1489"/>
      <c r="DC796" s="1489"/>
      <c r="DD796" s="1490"/>
      <c r="DE796" s="1488">
        <f t="shared" si="44"/>
        <v>0</v>
      </c>
      <c r="DF796" s="1489"/>
      <c r="DG796" s="1489"/>
      <c r="DH796" s="1489"/>
      <c r="DI796" s="1490"/>
      <c r="DJ796" s="1488">
        <f t="shared" si="45"/>
        <v>0</v>
      </c>
      <c r="DK796" s="1489"/>
      <c r="DL796" s="1489"/>
      <c r="DM796" s="1489"/>
      <c r="DN796" s="1490"/>
      <c r="DO796" s="1488">
        <f t="shared" si="46"/>
        <v>0</v>
      </c>
      <c r="DP796" s="1489"/>
      <c r="DQ796" s="1489"/>
      <c r="DR796" s="1489"/>
      <c r="DS796" s="1490"/>
      <c r="DT796" s="6"/>
      <c r="DU796" s="1488">
        <f t="shared" si="47"/>
        <v>0</v>
      </c>
      <c r="DV796" s="1489"/>
      <c r="DW796" s="1489"/>
      <c r="DX796" s="1489"/>
      <c r="DY796" s="1490"/>
      <c r="DZ796" s="1488">
        <f t="shared" si="48"/>
        <v>0</v>
      </c>
      <c r="EA796" s="1489"/>
      <c r="EB796" s="1489"/>
      <c r="EC796" s="1489"/>
      <c r="ED796" s="1490"/>
      <c r="EE796" s="1488">
        <f t="shared" si="49"/>
        <v>0</v>
      </c>
      <c r="EF796" s="1489"/>
      <c r="EG796" s="1489"/>
      <c r="EH796" s="1489"/>
      <c r="EI796" s="1490"/>
      <c r="EJ796" s="1488">
        <f t="shared" si="50"/>
        <v>0</v>
      </c>
      <c r="EK796" s="1489"/>
      <c r="EL796" s="1489"/>
      <c r="EM796" s="1489"/>
      <c r="EN796" s="1490"/>
      <c r="EO796" s="1488">
        <f t="shared" si="51"/>
        <v>0</v>
      </c>
      <c r="EP796" s="1489"/>
      <c r="EQ796" s="1489"/>
      <c r="ER796" s="1489"/>
      <c r="ES796" s="1490"/>
      <c r="ET796" s="1488">
        <f t="shared" si="52"/>
        <v>0</v>
      </c>
      <c r="EU796" s="1489"/>
      <c r="EV796" s="1489"/>
      <c r="EW796" s="1489"/>
      <c r="EX796" s="1490"/>
    </row>
    <row r="797" spans="1:154" s="4" customFormat="1" ht="12.95" customHeight="1">
      <c r="A797"/>
      <c r="B797"/>
      <c r="C797"/>
      <c r="D797"/>
      <c r="E797"/>
      <c r="F797"/>
      <c r="G797"/>
      <c r="H797"/>
      <c r="I797"/>
      <c r="J797" s="1642" t="s">
        <v>125</v>
      </c>
      <c r="K797" s="1643"/>
      <c r="L797" s="1643"/>
      <c r="M797" s="1643"/>
      <c r="N797" s="1644"/>
      <c r="O797" s="1725">
        <f>SUM(O787:S796)</f>
        <v>0</v>
      </c>
      <c r="P797" s="1725"/>
      <c r="Q797" s="1725"/>
      <c r="R797" s="1725"/>
      <c r="S797" s="1725"/>
      <c r="T797"/>
      <c r="U797"/>
      <c r="V797"/>
      <c r="W797"/>
      <c r="X797" s="902" t="s">
        <v>124</v>
      </c>
      <c r="Y797" s="11"/>
      <c r="Z797" s="11"/>
      <c r="AA797" s="11"/>
      <c r="AB797" s="909"/>
      <c r="AC797" s="1352">
        <f>SUM(AC787:AG796)</f>
        <v>0</v>
      </c>
      <c r="AD797" s="1353"/>
      <c r="AE797" s="1353"/>
      <c r="AF797" s="1353"/>
      <c r="AG797" s="1354"/>
      <c r="AH797"/>
      <c r="AI797"/>
      <c r="AJ797"/>
      <c r="AK797"/>
      <c r="AL797"/>
      <c r="AM797"/>
      <c r="AN797"/>
      <c r="AO797"/>
      <c r="AP797"/>
      <c r="AQ797"/>
      <c r="AR797"/>
      <c r="AS797"/>
      <c r="AT797"/>
      <c r="AU797"/>
      <c r="AV797"/>
      <c r="AW797"/>
      <c r="AX797"/>
      <c r="AY797"/>
      <c r="AZ797" s="3"/>
      <c r="BA797"/>
      <c r="CP797" s="1484">
        <f>SUM(CP787:CT796)</f>
        <v>0</v>
      </c>
      <c r="CQ797" s="1724"/>
      <c r="CR797" s="1724"/>
      <c r="CS797" s="1724"/>
      <c r="CT797" s="1485"/>
      <c r="CU797" s="1492">
        <f>SUM(CU787:CY796)</f>
        <v>0</v>
      </c>
      <c r="CV797" s="1493"/>
      <c r="CW797" s="1493"/>
      <c r="CX797" s="1493"/>
      <c r="CY797" s="1494"/>
      <c r="CZ797" s="1492">
        <f>SUM(CZ787:DD796)</f>
        <v>0</v>
      </c>
      <c r="DA797" s="1493"/>
      <c r="DB797" s="1493"/>
      <c r="DC797" s="1493"/>
      <c r="DD797" s="1494"/>
      <c r="DE797" s="1492">
        <f>SUM(DE787:DI796)</f>
        <v>0</v>
      </c>
      <c r="DF797" s="1493"/>
      <c r="DG797" s="1493"/>
      <c r="DH797" s="1493"/>
      <c r="DI797" s="1494"/>
      <c r="DJ797" s="1492">
        <f>SUM(DJ787:DN796)</f>
        <v>0</v>
      </c>
      <c r="DK797" s="1493"/>
      <c r="DL797" s="1493"/>
      <c r="DM797" s="1493"/>
      <c r="DN797" s="1494"/>
      <c r="DO797" s="1492">
        <f>SUM(DO787:DS796)</f>
        <v>0</v>
      </c>
      <c r="DP797" s="1493"/>
      <c r="DQ797" s="1493"/>
      <c r="DR797" s="1493"/>
      <c r="DS797" s="1494"/>
      <c r="DT797" s="1012"/>
      <c r="DU797" s="1484">
        <f>SUM(DU787:DY796)</f>
        <v>0</v>
      </c>
      <c r="DV797" s="1724"/>
      <c r="DW797" s="1724"/>
      <c r="DX797" s="1724"/>
      <c r="DY797" s="1485"/>
      <c r="DZ797" s="1484">
        <f>SUM(DZ787:ED796)</f>
        <v>0</v>
      </c>
      <c r="EA797" s="1724"/>
      <c r="EB797" s="1724"/>
      <c r="EC797" s="1724"/>
      <c r="ED797" s="1485"/>
      <c r="EE797" s="1484">
        <f>SUM(EE787:EI796)</f>
        <v>0</v>
      </c>
      <c r="EF797" s="1724"/>
      <c r="EG797" s="1724"/>
      <c r="EH797" s="1724"/>
      <c r="EI797" s="1485"/>
      <c r="EJ797" s="1484">
        <f>SUM(EJ787:EN796)</f>
        <v>0</v>
      </c>
      <c r="EK797" s="1724"/>
      <c r="EL797" s="1724"/>
      <c r="EM797" s="1724"/>
      <c r="EN797" s="1485"/>
      <c r="EO797" s="1484">
        <f>SUM(EO787:ES796)</f>
        <v>0</v>
      </c>
      <c r="EP797" s="1724"/>
      <c r="EQ797" s="1724"/>
      <c r="ER797" s="1724"/>
      <c r="ES797" s="1485"/>
      <c r="ET797" s="1484">
        <f>SUM(ET787:EX796)</f>
        <v>0</v>
      </c>
      <c r="EU797" s="1724"/>
      <c r="EV797" s="1724"/>
      <c r="EW797" s="1724"/>
      <c r="EX797" s="1485"/>
    </row>
    <row r="798" spans="1:154" s="4" customFormat="1" ht="12.95" customHeight="1">
      <c r="A798"/>
      <c r="B798"/>
      <c r="C798" s="1741" t="str">
        <f>IF(O797&lt;&gt;AG438,"! Total market rate units in the Unit Mix Table above does not match the number of  market rate units on row #"&amp;TEXT(ROW(D438),"#"),"")</f>
        <v/>
      </c>
      <c r="D798" s="1741"/>
      <c r="E798" s="1741"/>
      <c r="F798" s="1741"/>
      <c r="G798" s="1741"/>
      <c r="H798" s="1741"/>
      <c r="I798" s="1741"/>
      <c r="J798" s="1741"/>
      <c r="K798" s="1741"/>
      <c r="L798" s="1741"/>
      <c r="M798" s="1741"/>
      <c r="N798" s="1741"/>
      <c r="O798" s="1741"/>
      <c r="P798" s="1741"/>
      <c r="Q798" s="1741"/>
      <c r="R798" s="1741"/>
      <c r="S798" s="1741"/>
      <c r="T798" s="1741"/>
      <c r="U798" s="1741"/>
      <c r="V798" s="1741"/>
      <c r="W798" s="1741"/>
      <c r="X798" s="1741"/>
      <c r="Y798" s="1741"/>
      <c r="Z798" s="1741"/>
      <c r="AA798" s="1741"/>
      <c r="AB798" s="1741"/>
      <c r="AC798" s="1741"/>
      <c r="AD798" s="1741"/>
      <c r="AE798" s="1741"/>
      <c r="AF798" s="1741"/>
      <c r="AG798" s="1741"/>
      <c r="AH798" s="1741"/>
      <c r="AI798" s="1741"/>
      <c r="AJ798" s="1741"/>
      <c r="AK798" s="1741"/>
      <c r="AL798" s="1741"/>
      <c r="AM798" s="1741"/>
      <c r="AN798" s="1741"/>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41"/>
      <c r="D799" s="1741"/>
      <c r="E799" s="1741"/>
      <c r="F799" s="1741"/>
      <c r="G799" s="1741"/>
      <c r="H799" s="1741"/>
      <c r="I799" s="1741"/>
      <c r="J799" s="1741"/>
      <c r="K799" s="1741"/>
      <c r="L799" s="1741"/>
      <c r="M799" s="1741"/>
      <c r="N799" s="1741"/>
      <c r="O799" s="1741"/>
      <c r="P799" s="1741"/>
      <c r="Q799" s="1741"/>
      <c r="R799" s="1741"/>
      <c r="S799" s="1741"/>
      <c r="T799" s="1741"/>
      <c r="U799" s="1741"/>
      <c r="V799" s="1741"/>
      <c r="W799" s="1741"/>
      <c r="X799" s="1741"/>
      <c r="Y799" s="1741"/>
      <c r="Z799" s="1741"/>
      <c r="AA799" s="1741"/>
      <c r="AB799" s="1741"/>
      <c r="AC799" s="1741"/>
      <c r="AD799" s="1741"/>
      <c r="AE799" s="1741"/>
      <c r="AF799" s="1741"/>
      <c r="AG799" s="1741"/>
      <c r="AH799" s="1741"/>
      <c r="AI799" s="1741"/>
      <c r="AJ799" s="1741"/>
      <c r="AK799" s="1741"/>
      <c r="AL799" s="1741"/>
      <c r="AM799" s="1741"/>
      <c r="AN799" s="1741"/>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1858</v>
      </c>
      <c r="DW799" s="3"/>
      <c r="DX799" s="3"/>
      <c r="DY799" s="3"/>
      <c r="DZ799" s="3"/>
      <c r="EA799" s="3"/>
      <c r="EB799" s="3"/>
      <c r="EC799" s="3"/>
      <c r="ED799" s="3"/>
      <c r="EE799" s="3"/>
      <c r="EF799" s="3"/>
      <c r="EG799" s="3"/>
      <c r="EH799" s="3"/>
      <c r="EI799"/>
      <c r="EJ799"/>
      <c r="EK799"/>
      <c r="EL799"/>
      <c r="EM799"/>
      <c r="EN799"/>
      <c r="EO799"/>
      <c r="EP799"/>
      <c r="EQ799"/>
      <c r="ER799"/>
      <c r="ES799" s="56" t="s">
        <v>1867</v>
      </c>
      <c r="ET799" s="1859">
        <f>SUM(DU797:EX797)</f>
        <v>0</v>
      </c>
      <c r="EU799" s="1860"/>
      <c r="EV799" s="1860"/>
      <c r="EW799" s="1860"/>
      <c r="EX799" s="1861"/>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39">
        <f>O753+AC777+AC797</f>
        <v>91095.62000000001</v>
      </c>
      <c r="Z800" s="1639"/>
      <c r="AA800" s="1639"/>
      <c r="AB800" s="1639"/>
      <c r="AC800" s="1639"/>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39">
        <f>(O753+AC777+AC797)*12</f>
        <v>1093147.4400000002</v>
      </c>
      <c r="Z801" s="1639"/>
      <c r="AA801" s="1639"/>
      <c r="AB801" s="1639"/>
      <c r="AC801" s="1639"/>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92">
        <f>CP753+CP777+CP797</f>
        <v>0</v>
      </c>
      <c r="CQ802" s="1493"/>
      <c r="CR802" s="1493"/>
      <c r="CS802" s="1493"/>
      <c r="CT802" s="1494"/>
      <c r="CU802" s="1492">
        <f>CU753+CU777+CU797</f>
        <v>12</v>
      </c>
      <c r="CV802" s="1493"/>
      <c r="CW802" s="1493"/>
      <c r="CX802" s="1493"/>
      <c r="CY802" s="1494"/>
      <c r="CZ802" s="1492">
        <f>CZ753+CZ777+CZ797</f>
        <v>27</v>
      </c>
      <c r="DA802" s="1493"/>
      <c r="DB802" s="1493"/>
      <c r="DC802" s="1493"/>
      <c r="DD802" s="1494"/>
      <c r="DE802" s="1492">
        <f>DE753+DE777+DE797</f>
        <v>21</v>
      </c>
      <c r="DF802" s="1493"/>
      <c r="DG802" s="1493"/>
      <c r="DH802" s="1493"/>
      <c r="DI802" s="1494"/>
      <c r="DJ802" s="1492">
        <f>DJ753+DJ777+DJ797</f>
        <v>0</v>
      </c>
      <c r="DK802" s="1493"/>
      <c r="DL802" s="1493"/>
      <c r="DM802" s="1493"/>
      <c r="DN802" s="1494"/>
      <c r="DO802" s="1486">
        <f>DO797+DO777+DO753</f>
        <v>0</v>
      </c>
      <c r="DP802" s="1491"/>
      <c r="DQ802" s="1491"/>
      <c r="DR802" s="1491"/>
      <c r="DS802" s="1487"/>
      <c r="DT802" s="3"/>
      <c r="DU802" s="861">
        <f>DU755+DU800</f>
        <v>126</v>
      </c>
      <c r="DV802" s="57" t="s">
        <v>1863</v>
      </c>
    </row>
    <row r="803" spans="1:126" s="4" customFormat="1" ht="12.95"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356</v>
      </c>
      <c r="I806" s="5"/>
      <c r="J806" s="5"/>
      <c r="K806" s="5"/>
      <c r="L806" s="5"/>
      <c r="M806" s="5"/>
      <c r="N806" s="5"/>
      <c r="O806" s="5"/>
      <c r="P806" s="5"/>
      <c r="Q806" s="5"/>
      <c r="R806" s="5"/>
      <c r="S806" s="5"/>
      <c r="T806" s="5"/>
      <c r="U806" s="5"/>
      <c r="V806" s="5"/>
      <c r="W806" s="5"/>
      <c r="X806" s="5"/>
      <c r="Y806" s="5"/>
      <c r="Z806" s="1558"/>
      <c r="AA806" s="1559"/>
      <c r="AB806" s="1559"/>
      <c r="AC806" s="1559"/>
      <c r="AD806" s="1559"/>
      <c r="AE806" s="1560"/>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357</v>
      </c>
      <c r="I807" s="5"/>
      <c r="J807" s="5"/>
      <c r="K807" s="5"/>
      <c r="L807" s="5"/>
      <c r="M807" s="5"/>
      <c r="N807" s="5"/>
      <c r="O807" s="5"/>
      <c r="P807" s="5"/>
      <c r="Q807" s="5"/>
      <c r="R807" s="5"/>
      <c r="S807" s="5"/>
      <c r="T807" s="5"/>
      <c r="U807" s="5"/>
      <c r="V807" s="5"/>
      <c r="W807" s="5"/>
      <c r="X807" s="5"/>
      <c r="Y807" s="5"/>
      <c r="Z807" s="1723"/>
      <c r="AA807" s="1559"/>
      <c r="AB807" s="1559"/>
      <c r="AC807" s="1559"/>
      <c r="AD807" s="1559"/>
      <c r="AE807" s="1560"/>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39">
        <v>0</v>
      </c>
      <c r="AA808" s="1541"/>
      <c r="AB808" s="1541"/>
      <c r="AC808" s="1541"/>
      <c r="AD808" s="1541"/>
      <c r="AE808" s="1542"/>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3">
        <f>'Subsidy Contract Calculation'!J40</f>
        <v>0</v>
      </c>
      <c r="AA809" s="1614"/>
      <c r="AB809" s="1614"/>
      <c r="AC809" s="1614"/>
      <c r="AD809" s="1614"/>
      <c r="AE809" s="1615"/>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590</v>
      </c>
      <c r="B811" s="2"/>
      <c r="C811" s="2" t="s">
        <v>287</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7">
        <v>4680</v>
      </c>
      <c r="AA813" s="1478"/>
      <c r="AB813" s="1478"/>
      <c r="AC813" s="1478"/>
      <c r="AD813" s="1478"/>
      <c r="AE813" s="147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7"/>
      <c r="AA814" s="1478"/>
      <c r="AB814" s="1478"/>
      <c r="AC814" s="1478"/>
      <c r="AD814" s="1478"/>
      <c r="AE814" s="147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7"/>
      <c r="AA815" s="1478"/>
      <c r="AB815" s="1478"/>
      <c r="AC815" s="1478"/>
      <c r="AD815" s="1478"/>
      <c r="AE815" s="147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43" t="s">
        <v>333</v>
      </c>
      <c r="Q816" s="1582"/>
      <c r="R816" s="1582"/>
      <c r="S816" s="1582"/>
      <c r="T816" s="1582"/>
      <c r="U816" s="1582"/>
      <c r="V816" s="1582"/>
      <c r="W816" s="1582"/>
      <c r="X816" s="1582"/>
      <c r="Y816" s="1583"/>
      <c r="Z816" s="1477"/>
      <c r="AA816" s="1478"/>
      <c r="AB816" s="1478"/>
      <c r="AC816" s="1478"/>
      <c r="AD816" s="1478"/>
      <c r="AE816" s="147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3">
        <f>SUM(Z813:AE816)</f>
        <v>4680</v>
      </c>
      <c r="AA817" s="1614"/>
      <c r="AB817" s="1614"/>
      <c r="AC817" s="1614"/>
      <c r="AD817" s="1614"/>
      <c r="AE817" s="1615"/>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613">
        <f>Z817+Y801+Z809</f>
        <v>1097827.4400000002</v>
      </c>
      <c r="AA818" s="1614"/>
      <c r="AB818" s="1614"/>
      <c r="AC818" s="1614"/>
      <c r="AD818" s="1614"/>
      <c r="AE818" s="1615"/>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592</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717" t="s">
        <v>126</v>
      </c>
      <c r="N823" s="1717"/>
      <c r="O823" s="1717"/>
      <c r="P823" s="1742"/>
      <c r="Q823" s="1612" t="s">
        <v>289</v>
      </c>
      <c r="R823" s="1612"/>
      <c r="S823" s="1612"/>
      <c r="T823" s="1612"/>
      <c r="U823" s="1612" t="s">
        <v>290</v>
      </c>
      <c r="V823" s="1612"/>
      <c r="W823" s="1612"/>
      <c r="X823" s="1612"/>
      <c r="Y823" s="1612" t="s">
        <v>291</v>
      </c>
      <c r="Z823" s="1612"/>
      <c r="AA823" s="1612"/>
      <c r="AB823" s="1612"/>
      <c r="AC823" s="1612" t="s">
        <v>360</v>
      </c>
      <c r="AD823" s="1612"/>
      <c r="AE823" s="1612"/>
      <c r="AF823" s="1612"/>
      <c r="AG823" s="1740" t="s">
        <v>334</v>
      </c>
      <c r="AH823" s="1740"/>
      <c r="AI823" s="1740"/>
      <c r="AJ823" s="1740"/>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91"/>
      <c r="N824" s="1591"/>
      <c r="O824" s="1591"/>
      <c r="P824" s="1592"/>
      <c r="Q824" s="1612"/>
      <c r="R824" s="1612"/>
      <c r="S824" s="1612"/>
      <c r="T824" s="1612"/>
      <c r="U824" s="1612"/>
      <c r="V824" s="1612"/>
      <c r="W824" s="1612"/>
      <c r="X824" s="1612"/>
      <c r="Y824" s="1612"/>
      <c r="Z824" s="1612"/>
      <c r="AA824" s="1612"/>
      <c r="AB824" s="1612"/>
      <c r="AC824" s="1612"/>
      <c r="AD824" s="1612"/>
      <c r="AE824" s="1612"/>
      <c r="AF824" s="1612"/>
      <c r="AG824" s="1740"/>
      <c r="AH824" s="1740"/>
      <c r="AI824" s="1740"/>
      <c r="AJ824" s="1740"/>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96" t="s">
        <v>40</v>
      </c>
      <c r="D825" s="1358"/>
      <c r="E825" s="1358"/>
      <c r="F825" s="1358"/>
      <c r="G825" s="1358"/>
      <c r="H825" s="1358"/>
      <c r="I825" s="48"/>
      <c r="J825" s="48"/>
      <c r="K825" s="48"/>
      <c r="L825" s="49"/>
      <c r="M825" s="1630"/>
      <c r="N825" s="1630"/>
      <c r="O825" s="1630"/>
      <c r="P825" s="1630"/>
      <c r="Q825" s="1630">
        <v>1.1599999999999999</v>
      </c>
      <c r="R825" s="1630"/>
      <c r="S825" s="1630"/>
      <c r="T825" s="1630"/>
      <c r="U825" s="1630">
        <v>0.82</v>
      </c>
      <c r="V825" s="1630"/>
      <c r="W825" s="1630"/>
      <c r="X825" s="1630"/>
      <c r="Y825" s="1630">
        <v>1.53</v>
      </c>
      <c r="Z825" s="1630"/>
      <c r="AA825" s="1630"/>
      <c r="AB825" s="1630"/>
      <c r="AC825" s="1469"/>
      <c r="AD825" s="1470"/>
      <c r="AE825" s="1470"/>
      <c r="AF825" s="1471"/>
      <c r="AG825" s="1469"/>
      <c r="AH825" s="1470"/>
      <c r="AI825" s="1470"/>
      <c r="AJ825" s="1471"/>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18" t="s">
        <v>41</v>
      </c>
      <c r="D826" s="1619"/>
      <c r="E826" s="1619"/>
      <c r="F826" s="1619"/>
      <c r="G826" s="1619"/>
      <c r="H826" s="1619"/>
      <c r="I826" s="5"/>
      <c r="J826" s="5"/>
      <c r="K826" s="5"/>
      <c r="L826" s="46"/>
      <c r="M826" s="1630"/>
      <c r="N826" s="1630"/>
      <c r="O826" s="1630"/>
      <c r="P826" s="1630"/>
      <c r="Q826" s="1630">
        <v>3.77</v>
      </c>
      <c r="R826" s="1630"/>
      <c r="S826" s="1630"/>
      <c r="T826" s="1630"/>
      <c r="U826" s="1630">
        <v>4.0199999999999996</v>
      </c>
      <c r="V826" s="1630"/>
      <c r="W826" s="1630"/>
      <c r="X826" s="1630"/>
      <c r="Y826" s="1630">
        <v>4.82</v>
      </c>
      <c r="Z826" s="1630"/>
      <c r="AA826" s="1630"/>
      <c r="AB826" s="1630"/>
      <c r="AC826" s="1469"/>
      <c r="AD826" s="1470"/>
      <c r="AE826" s="1470"/>
      <c r="AF826" s="1471"/>
      <c r="AG826" s="1469"/>
      <c r="AH826" s="1470"/>
      <c r="AI826" s="1470"/>
      <c r="AJ826" s="1471"/>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18" t="s">
        <v>42</v>
      </c>
      <c r="D827" s="1619"/>
      <c r="E827" s="1619"/>
      <c r="F827" s="1619"/>
      <c r="G827" s="1619"/>
      <c r="H827" s="1619"/>
      <c r="I827" s="60"/>
      <c r="J827" s="60"/>
      <c r="K827" s="60"/>
      <c r="L827" s="61"/>
      <c r="M827" s="1630"/>
      <c r="N827" s="1630"/>
      <c r="O827" s="1630"/>
      <c r="P827" s="1630"/>
      <c r="Q827" s="1630">
        <v>3.84</v>
      </c>
      <c r="R827" s="1630"/>
      <c r="S827" s="1630"/>
      <c r="T827" s="1630"/>
      <c r="U827" s="1630">
        <v>4.07</v>
      </c>
      <c r="V827" s="1630"/>
      <c r="W827" s="1630"/>
      <c r="X827" s="1630"/>
      <c r="Y827" s="1630">
        <v>4.9400000000000004</v>
      </c>
      <c r="Z827" s="1630"/>
      <c r="AA827" s="1630"/>
      <c r="AB827" s="1630"/>
      <c r="AC827" s="1469"/>
      <c r="AD827" s="1470"/>
      <c r="AE827" s="1470"/>
      <c r="AF827" s="1471"/>
      <c r="AG827" s="1469"/>
      <c r="AH827" s="1470"/>
      <c r="AI827" s="1470"/>
      <c r="AJ827" s="1471"/>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18" t="s">
        <v>762</v>
      </c>
      <c r="D828" s="1619"/>
      <c r="E828" s="1619"/>
      <c r="F828" s="1619"/>
      <c r="G828" s="1619"/>
      <c r="H828" s="1619"/>
      <c r="I828" s="60"/>
      <c r="J828" s="60"/>
      <c r="K828" s="60"/>
      <c r="L828" s="61"/>
      <c r="M828" s="1630"/>
      <c r="N828" s="1630"/>
      <c r="O828" s="1630"/>
      <c r="P828" s="1630"/>
      <c r="Q828" s="1630">
        <v>2.64</v>
      </c>
      <c r="R828" s="1630"/>
      <c r="S828" s="1630"/>
      <c r="T828" s="1630"/>
      <c r="U828" s="1630">
        <v>2.68</v>
      </c>
      <c r="V828" s="1630"/>
      <c r="W828" s="1630"/>
      <c r="X828" s="1630"/>
      <c r="Y828" s="1630">
        <v>3.56</v>
      </c>
      <c r="Z828" s="1630"/>
      <c r="AA828" s="1630"/>
      <c r="AB828" s="1630"/>
      <c r="AC828" s="1469"/>
      <c r="AD828" s="1470"/>
      <c r="AE828" s="1470"/>
      <c r="AF828" s="1471"/>
      <c r="AG828" s="1469"/>
      <c r="AH828" s="1470"/>
      <c r="AI828" s="1470"/>
      <c r="AJ828" s="1471"/>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18" t="s">
        <v>459</v>
      </c>
      <c r="D829" s="1619"/>
      <c r="E829" s="1619"/>
      <c r="F829" s="1619"/>
      <c r="G829" s="1619"/>
      <c r="H829" s="1619"/>
      <c r="I829" s="60"/>
      <c r="J829" s="60"/>
      <c r="K829" s="60"/>
      <c r="L829" s="61"/>
      <c r="M829" s="1630"/>
      <c r="N829" s="1630"/>
      <c r="O829" s="1630"/>
      <c r="P829" s="1630"/>
      <c r="Q829" s="1630">
        <v>9.82</v>
      </c>
      <c r="R829" s="1630"/>
      <c r="S829" s="1630"/>
      <c r="T829" s="1630"/>
      <c r="U829" s="1630">
        <v>10.45</v>
      </c>
      <c r="V829" s="1630"/>
      <c r="W829" s="1630"/>
      <c r="X829" s="1630"/>
      <c r="Y829" s="1630">
        <v>12.95</v>
      </c>
      <c r="Z829" s="1630"/>
      <c r="AA829" s="1630"/>
      <c r="AB829" s="1630"/>
      <c r="AC829" s="1469"/>
      <c r="AD829" s="1470"/>
      <c r="AE829" s="1470"/>
      <c r="AF829" s="1471"/>
      <c r="AG829" s="1469"/>
      <c r="AH829" s="1470"/>
      <c r="AI829" s="1470"/>
      <c r="AJ829" s="1471"/>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41" t="s">
        <v>783</v>
      </c>
      <c r="D830" s="1619"/>
      <c r="E830" s="1619"/>
      <c r="F830" s="1619"/>
      <c r="G830" s="1619"/>
      <c r="H830" s="1619"/>
      <c r="I830" s="60"/>
      <c r="J830" s="60"/>
      <c r="K830" s="60"/>
      <c r="L830" s="61"/>
      <c r="M830" s="1630"/>
      <c r="N830" s="1630"/>
      <c r="O830" s="1630"/>
      <c r="P830" s="1630"/>
      <c r="Q830" s="1630"/>
      <c r="R830" s="1630"/>
      <c r="S830" s="1630"/>
      <c r="T830" s="1630"/>
      <c r="U830" s="1630"/>
      <c r="V830" s="1630"/>
      <c r="W830" s="1630"/>
      <c r="X830" s="1630"/>
      <c r="Y830" s="1630"/>
      <c r="Z830" s="1630"/>
      <c r="AA830" s="1630"/>
      <c r="AB830" s="1630"/>
      <c r="AC830" s="1469"/>
      <c r="AD830" s="1470"/>
      <c r="AE830" s="1470"/>
      <c r="AF830" s="1471"/>
      <c r="AG830" s="1469"/>
      <c r="AH830" s="1470"/>
      <c r="AI830" s="1470"/>
      <c r="AJ830" s="1471"/>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292</v>
      </c>
      <c r="D831" s="60"/>
      <c r="E831" s="60"/>
      <c r="F831" s="1543" t="s">
        <v>2691</v>
      </c>
      <c r="G831" s="1582"/>
      <c r="H831" s="1582"/>
      <c r="I831" s="1582"/>
      <c r="J831" s="1582"/>
      <c r="K831" s="1582"/>
      <c r="L831" s="1582"/>
      <c r="M831" s="1630"/>
      <c r="N831" s="1630"/>
      <c r="O831" s="1630"/>
      <c r="P831" s="1630"/>
      <c r="Q831" s="1630">
        <v>0.34</v>
      </c>
      <c r="R831" s="1630"/>
      <c r="S831" s="1630"/>
      <c r="T831" s="1630"/>
      <c r="U831" s="1630">
        <v>0.33</v>
      </c>
      <c r="V831" s="1630"/>
      <c r="W831" s="1630"/>
      <c r="X831" s="1630"/>
      <c r="Y831" s="1630">
        <v>0.33</v>
      </c>
      <c r="Z831" s="1630"/>
      <c r="AA831" s="1630"/>
      <c r="AB831" s="1630"/>
      <c r="AC831" s="1469"/>
      <c r="AD831" s="1470"/>
      <c r="AE831" s="1470"/>
      <c r="AF831" s="1471"/>
      <c r="AG831" s="1469"/>
      <c r="AH831" s="1470"/>
      <c r="AI831" s="1470"/>
      <c r="AJ831" s="1471"/>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642" t="s">
        <v>124</v>
      </c>
      <c r="D832" s="1643"/>
      <c r="E832" s="1643"/>
      <c r="F832" s="1643"/>
      <c r="G832" s="1643"/>
      <c r="H832" s="1643"/>
      <c r="I832" s="1643"/>
      <c r="J832" s="1643"/>
      <c r="K832" s="1643"/>
      <c r="L832" s="1644"/>
      <c r="M832" s="1629">
        <f>SUM(M825:P831)</f>
        <v>0</v>
      </c>
      <c r="N832" s="1629"/>
      <c r="O832" s="1629"/>
      <c r="P832" s="1629"/>
      <c r="Q832" s="1629">
        <f>SUM(Q825:T831)</f>
        <v>21.57</v>
      </c>
      <c r="R832" s="1629"/>
      <c r="S832" s="1629"/>
      <c r="T832" s="1629"/>
      <c r="U832" s="1629">
        <f>SUM(U825:X831)</f>
        <v>22.369999999999997</v>
      </c>
      <c r="V832" s="1629"/>
      <c r="W832" s="1629"/>
      <c r="X832" s="1629"/>
      <c r="Y832" s="1629">
        <f>SUM(Y825:AB831)</f>
        <v>28.13</v>
      </c>
      <c r="Z832" s="1629"/>
      <c r="AA832" s="1629"/>
      <c r="AB832" s="1629"/>
      <c r="AC832" s="1629">
        <f>SUM(AC825:AF831)</f>
        <v>0</v>
      </c>
      <c r="AD832" s="1629"/>
      <c r="AE832" s="1629"/>
      <c r="AF832" s="1629"/>
      <c r="AG832" s="1629">
        <f>SUM(AG825:AJ831)</f>
        <v>0</v>
      </c>
      <c r="AH832" s="1629"/>
      <c r="AI832" s="1629"/>
      <c r="AJ832" s="1629"/>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09" t="s">
        <v>2747</v>
      </c>
      <c r="D837" s="1710"/>
      <c r="E837" s="1710"/>
      <c r="F837" s="1710"/>
      <c r="G837" s="1710"/>
      <c r="H837" s="1710"/>
      <c r="I837" s="1710"/>
      <c r="J837" s="1710"/>
      <c r="K837" s="1710"/>
      <c r="L837" s="1710"/>
      <c r="M837" s="1710"/>
      <c r="N837" s="1710"/>
      <c r="O837" s="1710"/>
      <c r="P837" s="1710"/>
      <c r="Q837" s="1710"/>
      <c r="R837" s="1710"/>
      <c r="S837" s="1710"/>
      <c r="T837" s="1710"/>
      <c r="U837" s="1710"/>
      <c r="V837" s="1710"/>
      <c r="W837" s="1710"/>
      <c r="X837" s="1710"/>
      <c r="Y837" s="1710"/>
      <c r="Z837" s="1710"/>
      <c r="AA837" s="1710"/>
      <c r="AB837" s="1710"/>
      <c r="AC837" s="1710"/>
      <c r="AD837" s="1710"/>
      <c r="AE837" s="1710"/>
      <c r="AF837" s="1710"/>
      <c r="AG837" s="1710"/>
      <c r="AH837" s="1710"/>
      <c r="AI837" s="1710"/>
      <c r="AJ837" s="1711"/>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51"/>
      <c r="BJ841" s="1651"/>
      <c r="BK841" s="1651"/>
      <c r="BL841" s="1651"/>
    </row>
    <row r="842" spans="1:64" s="14" customFormat="1" ht="12.95" customHeight="1">
      <c r="A842"/>
      <c r="B842"/>
      <c r="C842" s="2" t="s">
        <v>342</v>
      </c>
      <c r="D842"/>
      <c r="E842"/>
      <c r="F842"/>
      <c r="G842"/>
      <c r="H842"/>
      <c r="I842"/>
      <c r="J842" s="45" t="s">
        <v>355</v>
      </c>
      <c r="K842" s="5"/>
      <c r="L842" s="5"/>
      <c r="M842" s="5"/>
      <c r="N842" s="5"/>
      <c r="O842" s="5"/>
      <c r="P842" s="5"/>
      <c r="Q842" s="5"/>
      <c r="R842" s="5"/>
      <c r="S842" s="5"/>
      <c r="T842" s="5"/>
      <c r="U842" s="5"/>
      <c r="V842" s="46"/>
      <c r="W842" s="1462">
        <v>3450</v>
      </c>
      <c r="X842" s="1462"/>
      <c r="Y842" s="1462"/>
      <c r="Z842" s="1462"/>
      <c r="AA842" s="1462"/>
      <c r="AB842" s="1462"/>
      <c r="AC842" s="1462"/>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354</v>
      </c>
      <c r="K843" s="5"/>
      <c r="L843" s="5"/>
      <c r="M843" s="5"/>
      <c r="N843" s="5"/>
      <c r="O843" s="5"/>
      <c r="P843" s="5"/>
      <c r="Q843" s="5"/>
      <c r="R843" s="5"/>
      <c r="S843" s="5"/>
      <c r="T843" s="5"/>
      <c r="U843" s="5"/>
      <c r="V843" s="46"/>
      <c r="W843" s="1462"/>
      <c r="X843" s="1462"/>
      <c r="Y843" s="1462"/>
      <c r="Z843" s="1462"/>
      <c r="AA843" s="1462"/>
      <c r="AB843" s="1462"/>
      <c r="AC843" s="1462"/>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353</v>
      </c>
      <c r="K844" s="5"/>
      <c r="L844" s="5"/>
      <c r="M844" s="5"/>
      <c r="N844" s="5"/>
      <c r="O844" s="5"/>
      <c r="P844" s="5"/>
      <c r="Q844" s="5"/>
      <c r="R844" s="5"/>
      <c r="S844" s="5"/>
      <c r="T844" s="5"/>
      <c r="U844" s="5"/>
      <c r="V844" s="46"/>
      <c r="W844" s="1462">
        <v>10800</v>
      </c>
      <c r="X844" s="1462"/>
      <c r="Y844" s="1462"/>
      <c r="Z844" s="1462"/>
      <c r="AA844" s="1462"/>
      <c r="AB844" s="1462"/>
      <c r="AC844" s="1462"/>
      <c r="AZ844" s="30"/>
      <c r="BA844" s="30"/>
      <c r="BB844" s="14"/>
      <c r="BC844" s="14"/>
      <c r="BD844" s="14"/>
      <c r="BE844" s="14"/>
      <c r="BF844" s="14"/>
      <c r="BG844" s="14"/>
      <c r="BH844" s="14"/>
      <c r="BI844" s="14"/>
      <c r="BJ844" s="14"/>
      <c r="BK844" s="14"/>
      <c r="BL844" s="14"/>
    </row>
    <row r="845" spans="1:64" ht="12.95" customHeight="1">
      <c r="J845" s="45" t="s">
        <v>352</v>
      </c>
      <c r="K845" s="5"/>
      <c r="L845" s="5"/>
      <c r="M845" s="5"/>
      <c r="N845" s="5"/>
      <c r="O845" s="5"/>
      <c r="P845" s="5"/>
      <c r="Q845" s="5"/>
      <c r="R845" s="5"/>
      <c r="S845" s="5"/>
      <c r="T845" s="5"/>
      <c r="U845" s="5"/>
      <c r="V845" s="46"/>
      <c r="W845" s="1462"/>
      <c r="X845" s="1462"/>
      <c r="Y845" s="1462"/>
      <c r="Z845" s="1462"/>
      <c r="AA845" s="1462"/>
      <c r="AB845" s="1462"/>
      <c r="AC845" s="1462"/>
      <c r="AZ845" s="30"/>
      <c r="BA845" s="30"/>
      <c r="BB845" s="14"/>
      <c r="BC845" s="14"/>
      <c r="BD845" s="14"/>
      <c r="BE845" s="14"/>
      <c r="BF845" s="14"/>
      <c r="BG845" s="14"/>
      <c r="BH845" s="14"/>
      <c r="BI845" s="14"/>
      <c r="BJ845" s="14"/>
      <c r="BK845" s="14"/>
      <c r="BL845" s="14"/>
    </row>
    <row r="846" spans="1:64" ht="12.95" customHeight="1">
      <c r="J846" s="45" t="s">
        <v>169</v>
      </c>
      <c r="K846" s="5"/>
      <c r="L846" s="5"/>
      <c r="M846" s="1543" t="s">
        <v>2692</v>
      </c>
      <c r="N846" s="1582"/>
      <c r="O846" s="1582"/>
      <c r="P846" s="1582"/>
      <c r="Q846" s="1582"/>
      <c r="R846" s="1582"/>
      <c r="S846" s="1582"/>
      <c r="T846" s="1582"/>
      <c r="U846" s="1582"/>
      <c r="V846" s="1583"/>
      <c r="W846" s="1462">
        <v>32280</v>
      </c>
      <c r="X846" s="1462"/>
      <c r="Y846" s="1462"/>
      <c r="Z846" s="1462"/>
      <c r="AA846" s="1462"/>
      <c r="AB846" s="1462"/>
      <c r="AC846" s="1462"/>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341</v>
      </c>
      <c r="W847" s="1613">
        <f>SUM(W842:W846)</f>
        <v>46530</v>
      </c>
      <c r="X847" s="1614"/>
      <c r="Y847" s="1614"/>
      <c r="Z847" s="1614"/>
      <c r="AA847" s="1614"/>
      <c r="AB847" s="1614"/>
      <c r="AC847" s="1615"/>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21"/>
      <c r="BH848" s="1621"/>
      <c r="BI848" s="1621"/>
      <c r="BJ848" s="1621"/>
      <c r="BK848" s="1621"/>
      <c r="BL848" s="1621"/>
    </row>
    <row r="849" spans="3:55" ht="12.95" customHeight="1">
      <c r="C849" s="2" t="s">
        <v>343</v>
      </c>
      <c r="J849" s="1642" t="s">
        <v>344</v>
      </c>
      <c r="K849" s="1643"/>
      <c r="L849" s="1643"/>
      <c r="M849" s="1643"/>
      <c r="N849" s="1643"/>
      <c r="O849" s="1643"/>
      <c r="P849" s="1643"/>
      <c r="Q849" s="1643"/>
      <c r="R849" s="1643"/>
      <c r="S849" s="1643"/>
      <c r="T849" s="1643"/>
      <c r="U849" s="1643"/>
      <c r="V849" s="1644"/>
      <c r="W849" s="1477">
        <v>59760</v>
      </c>
      <c r="X849" s="1478"/>
      <c r="Y849" s="1478"/>
      <c r="Z849" s="1478"/>
      <c r="AA849" s="1478"/>
      <c r="AB849" s="1478"/>
      <c r="AC849" s="1479"/>
      <c r="AD849" s="533"/>
      <c r="AZ849" s="30"/>
      <c r="BA849" s="30"/>
      <c r="BB849" s="14"/>
      <c r="BC849" s="14"/>
    </row>
    <row r="850" spans="3:55" ht="12.95" customHeight="1">
      <c r="AD850" s="533"/>
      <c r="AZ850" s="30"/>
      <c r="BA850" s="30"/>
      <c r="BB850" s="14"/>
      <c r="BC850" s="14"/>
    </row>
    <row r="851" spans="3:55" ht="12.95" customHeight="1">
      <c r="C851" s="2" t="s">
        <v>561</v>
      </c>
      <c r="J851" s="45" t="s">
        <v>351</v>
      </c>
      <c r="K851" s="5"/>
      <c r="L851" s="5"/>
      <c r="M851" s="5"/>
      <c r="N851" s="5"/>
      <c r="O851" s="5"/>
      <c r="P851" s="5"/>
      <c r="Q851" s="5"/>
      <c r="R851" s="5"/>
      <c r="S851" s="5"/>
      <c r="T851" s="5"/>
      <c r="U851" s="5"/>
      <c r="V851" s="46"/>
      <c r="W851" s="1640"/>
      <c r="X851" s="1640"/>
      <c r="Y851" s="1640"/>
      <c r="Z851" s="1640"/>
      <c r="AA851" s="1640"/>
      <c r="AB851" s="1640"/>
      <c r="AC851" s="1640"/>
      <c r="AZ851" s="1728"/>
      <c r="BA851" s="1728"/>
      <c r="BB851" s="14"/>
      <c r="BC851" s="14"/>
    </row>
    <row r="852" spans="3:55" ht="12.95" customHeight="1">
      <c r="J852" s="45" t="s">
        <v>350</v>
      </c>
      <c r="K852" s="5"/>
      <c r="L852" s="5"/>
      <c r="M852" s="5"/>
      <c r="N852" s="5"/>
      <c r="O852" s="5"/>
      <c r="P852" s="5"/>
      <c r="Q852" s="5"/>
      <c r="R852" s="5"/>
      <c r="S852" s="5"/>
      <c r="T852" s="5"/>
      <c r="U852" s="5"/>
      <c r="V852" s="46"/>
      <c r="W852" s="1640"/>
      <c r="X852" s="1640"/>
      <c r="Y852" s="1640"/>
      <c r="Z852" s="1640"/>
      <c r="AA852" s="1640"/>
      <c r="AB852" s="1640"/>
      <c r="AC852" s="1640"/>
      <c r="AZ852" s="30"/>
      <c r="BA852" s="30"/>
      <c r="BB852" s="14"/>
      <c r="BC852" s="14"/>
    </row>
    <row r="853" spans="3:55" ht="12.95" customHeight="1">
      <c r="J853" s="45" t="s">
        <v>459</v>
      </c>
      <c r="K853" s="5"/>
      <c r="L853" s="5"/>
      <c r="M853" s="5"/>
      <c r="N853" s="5"/>
      <c r="O853" s="5"/>
      <c r="P853" s="5"/>
      <c r="Q853" s="5"/>
      <c r="R853" s="5"/>
      <c r="S853" s="5"/>
      <c r="T853" s="5"/>
      <c r="U853" s="5"/>
      <c r="V853" s="46"/>
      <c r="W853" s="1640">
        <v>5000</v>
      </c>
      <c r="X853" s="1640"/>
      <c r="Y853" s="1640"/>
      <c r="Z853" s="1640"/>
      <c r="AA853" s="1640"/>
      <c r="AB853" s="1640"/>
      <c r="AC853" s="1640"/>
      <c r="AZ853" s="30"/>
      <c r="BA853" s="30"/>
      <c r="BB853" s="14"/>
      <c r="BC853" s="14"/>
    </row>
    <row r="854" spans="3:55" ht="12.95" customHeight="1">
      <c r="J854" s="62" t="s">
        <v>620</v>
      </c>
      <c r="K854" s="5"/>
      <c r="L854" s="5"/>
      <c r="M854" s="5"/>
      <c r="N854" s="5"/>
      <c r="O854" s="5"/>
      <c r="P854" s="5"/>
      <c r="Q854" s="5"/>
      <c r="R854" s="5"/>
      <c r="S854" s="5"/>
      <c r="T854" s="5"/>
      <c r="U854" s="5"/>
      <c r="V854" s="46"/>
      <c r="W854" s="1640">
        <v>73000</v>
      </c>
      <c r="X854" s="1640"/>
      <c r="Y854" s="1640"/>
      <c r="Z854" s="1640"/>
      <c r="AA854" s="1640"/>
      <c r="AB854" s="1640"/>
      <c r="AC854" s="1640"/>
      <c r="AZ854" s="34"/>
      <c r="BA854" s="34"/>
      <c r="BB854" s="34"/>
      <c r="BC854" s="34"/>
    </row>
    <row r="855" spans="3:55" ht="12.95" customHeight="1">
      <c r="J855" s="63"/>
      <c r="K855" s="48"/>
      <c r="L855" s="48"/>
      <c r="M855" s="48"/>
      <c r="N855" s="48"/>
      <c r="O855" s="48"/>
      <c r="P855" s="48"/>
      <c r="Q855" s="48"/>
      <c r="R855" s="48"/>
      <c r="S855" s="48"/>
      <c r="T855" s="48"/>
      <c r="U855" s="48"/>
      <c r="V855" s="54" t="s">
        <v>271</v>
      </c>
      <c r="W855" s="1738">
        <f>SUM(W851:W854)</f>
        <v>78000</v>
      </c>
      <c r="X855" s="1738"/>
      <c r="Y855" s="1738"/>
      <c r="Z855" s="1738"/>
      <c r="AA855" s="1738"/>
      <c r="AB855" s="1738"/>
      <c r="AC855" s="1738"/>
      <c r="AZ855" s="34"/>
      <c r="BA855" s="34"/>
      <c r="BB855" s="34"/>
      <c r="BC855" s="34"/>
    </row>
    <row r="856" spans="3:55" ht="12.95" customHeight="1">
      <c r="AZ856" s="34"/>
      <c r="BA856" s="34"/>
      <c r="BB856" s="34"/>
      <c r="BC856" s="34"/>
    </row>
    <row r="857" spans="3:55" ht="12.95" customHeight="1">
      <c r="C857" s="2" t="s">
        <v>345</v>
      </c>
      <c r="J857" s="45" t="s">
        <v>619</v>
      </c>
      <c r="K857" s="5"/>
      <c r="L857" s="5"/>
      <c r="M857" s="5"/>
      <c r="N857" s="5"/>
      <c r="O857" s="5"/>
      <c r="P857" s="5"/>
      <c r="Q857" s="5"/>
      <c r="R857" s="5"/>
      <c r="S857" s="5"/>
      <c r="T857" s="5"/>
      <c r="U857" s="5"/>
      <c r="V857" s="46"/>
      <c r="W857" s="1623">
        <v>78000</v>
      </c>
      <c r="X857" s="1624"/>
      <c r="Y857" s="1624"/>
      <c r="Z857" s="1624"/>
      <c r="AA857" s="1624"/>
      <c r="AB857" s="1624"/>
      <c r="AC857" s="1625"/>
      <c r="AD857" s="528"/>
      <c r="AZ857" s="34"/>
      <c r="BA857" s="34"/>
      <c r="BB857" s="34"/>
      <c r="BC857" s="34"/>
    </row>
    <row r="858" spans="3:55" ht="12.95" customHeight="1">
      <c r="C858" s="2" t="s">
        <v>346</v>
      </c>
      <c r="J858" s="121" t="s">
        <v>1655</v>
      </c>
      <c r="K858" s="5"/>
      <c r="L858" s="5"/>
      <c r="M858" s="5"/>
      <c r="N858" s="5"/>
      <c r="O858" s="5"/>
      <c r="P858" s="5"/>
      <c r="Q858" s="5"/>
      <c r="R858" s="5"/>
      <c r="S858" s="5"/>
      <c r="T858" s="1712">
        <v>2</v>
      </c>
      <c r="U858" s="1476"/>
      <c r="V858" s="1713"/>
      <c r="W858" s="874"/>
      <c r="X858" s="875"/>
      <c r="Y858" s="875"/>
      <c r="Z858" s="875"/>
      <c r="AA858" s="875"/>
      <c r="AB858" s="875"/>
      <c r="AC858" s="876"/>
      <c r="AD858" s="528"/>
      <c r="AZ858" s="34"/>
      <c r="BA858" s="34"/>
      <c r="BB858" s="34"/>
      <c r="BC858" s="34"/>
    </row>
    <row r="859" spans="3:55" ht="12.95" customHeight="1">
      <c r="C859" s="2"/>
      <c r="J859" s="45" t="s">
        <v>618</v>
      </c>
      <c r="K859" s="5"/>
      <c r="L859" s="5"/>
      <c r="M859" s="5"/>
      <c r="N859" s="5"/>
      <c r="O859" s="5"/>
      <c r="P859" s="5"/>
      <c r="Q859" s="5"/>
      <c r="R859" s="5"/>
      <c r="S859" s="5"/>
      <c r="T859" s="5"/>
      <c r="U859" s="5"/>
      <c r="V859" s="46"/>
      <c r="W859" s="1623">
        <v>54000</v>
      </c>
      <c r="X859" s="1624"/>
      <c r="Y859" s="1624"/>
      <c r="Z859" s="1624"/>
      <c r="AA859" s="1624"/>
      <c r="AB859" s="1624"/>
      <c r="AC859" s="1625"/>
      <c r="AD859" s="533"/>
      <c r="AZ859" s="34"/>
      <c r="BA859" s="34"/>
      <c r="BB859" s="34"/>
      <c r="BC859" s="34"/>
    </row>
    <row r="860" spans="3:55" ht="12.95" customHeight="1">
      <c r="C860" s="2"/>
      <c r="J860" s="121" t="s">
        <v>1656</v>
      </c>
      <c r="K860" s="5"/>
      <c r="L860" s="5"/>
      <c r="M860" s="5"/>
      <c r="N860" s="5"/>
      <c r="O860" s="5"/>
      <c r="P860" s="5"/>
      <c r="Q860" s="5"/>
      <c r="R860" s="5"/>
      <c r="S860" s="5"/>
      <c r="T860" s="1712">
        <v>1</v>
      </c>
      <c r="U860" s="1476"/>
      <c r="V860" s="1713"/>
      <c r="W860" s="874"/>
      <c r="X860" s="875"/>
      <c r="Y860" s="875"/>
      <c r="Z860" s="875"/>
      <c r="AA860" s="875"/>
      <c r="AB860" s="875"/>
      <c r="AC860" s="876"/>
      <c r="AD860" s="533"/>
      <c r="AZ860" s="34"/>
      <c r="BA860" s="34"/>
      <c r="BB860" s="34"/>
      <c r="BC860" s="34"/>
    </row>
    <row r="861" spans="3:55" ht="12.95" customHeight="1">
      <c r="J861" s="45" t="s">
        <v>169</v>
      </c>
      <c r="K861" s="5"/>
      <c r="L861" s="5"/>
      <c r="M861" s="1543" t="s">
        <v>2693</v>
      </c>
      <c r="N861" s="1582"/>
      <c r="O861" s="1582"/>
      <c r="P861" s="1582"/>
      <c r="Q861" s="1582"/>
      <c r="R861" s="1582"/>
      <c r="S861" s="1582"/>
      <c r="T861" s="1582"/>
      <c r="U861" s="1582"/>
      <c r="V861" s="1583"/>
      <c r="W861" s="1623">
        <v>49608</v>
      </c>
      <c r="X861" s="1624"/>
      <c r="Y861" s="1624"/>
      <c r="Z861" s="1624"/>
      <c r="AA861" s="1624"/>
      <c r="AB861" s="1624"/>
      <c r="AC861" s="1625"/>
      <c r="AD861" s="528"/>
      <c r="AU861" s="14"/>
      <c r="AZ861" s="34"/>
      <c r="BA861" s="34"/>
      <c r="BB861" s="34"/>
      <c r="BC861" s="34"/>
    </row>
    <row r="862" spans="3:55" ht="12.95" customHeight="1">
      <c r="J862" s="45"/>
      <c r="K862" s="5"/>
      <c r="L862" s="5"/>
      <c r="M862" s="5"/>
      <c r="N862" s="5"/>
      <c r="O862" s="5"/>
      <c r="P862" s="5"/>
      <c r="Q862" s="5"/>
      <c r="R862" s="5"/>
      <c r="S862" s="5"/>
      <c r="T862" s="5"/>
      <c r="U862" s="5"/>
      <c r="V862" s="54" t="s">
        <v>272</v>
      </c>
      <c r="W862" s="1718">
        <f>SUM(W857:W861)</f>
        <v>181608</v>
      </c>
      <c r="X862" s="1719"/>
      <c r="Y862" s="1719"/>
      <c r="Z862" s="1719"/>
      <c r="AA862" s="1719"/>
      <c r="AB862" s="1719"/>
      <c r="AC862" s="1720"/>
      <c r="AD862" s="533"/>
      <c r="AU862" s="14"/>
      <c r="AZ862" s="34"/>
      <c r="BA862" s="34"/>
      <c r="BB862" s="34"/>
      <c r="BC862" s="34"/>
    </row>
    <row r="863" spans="3:55" ht="12.95" customHeight="1">
      <c r="J863" s="45"/>
      <c r="K863" s="5"/>
      <c r="L863" s="5"/>
      <c r="M863" s="5"/>
      <c r="N863" s="5"/>
      <c r="O863" s="5"/>
      <c r="P863" s="5"/>
      <c r="Q863" s="5"/>
      <c r="R863" s="5"/>
      <c r="S863" s="5"/>
      <c r="T863" s="5"/>
      <c r="U863" s="5"/>
      <c r="V863" s="54" t="s">
        <v>273</v>
      </c>
      <c r="W863" s="1623">
        <v>48015</v>
      </c>
      <c r="X863" s="1624"/>
      <c r="Y863" s="1624"/>
      <c r="Z863" s="1624"/>
      <c r="AA863" s="1624"/>
      <c r="AB863" s="1624"/>
      <c r="AC863" s="1625"/>
      <c r="AU863" s="14"/>
      <c r="AZ863" s="34"/>
      <c r="BA863" s="34"/>
      <c r="BB863" s="34"/>
      <c r="BC863" s="34"/>
    </row>
    <row r="864" spans="3:55" ht="12.95" customHeight="1">
      <c r="J864" s="512"/>
      <c r="AU864" s="14"/>
      <c r="AZ864" s="34"/>
      <c r="BA864" s="34"/>
      <c r="BB864" s="34"/>
      <c r="BC864" s="34"/>
    </row>
    <row r="865" spans="3:55" ht="12.95" customHeight="1">
      <c r="C865" s="2" t="s">
        <v>389</v>
      </c>
      <c r="J865" s="45" t="s">
        <v>617</v>
      </c>
      <c r="K865" s="5"/>
      <c r="L865" s="5"/>
      <c r="M865" s="5"/>
      <c r="N865" s="5"/>
      <c r="O865" s="5"/>
      <c r="P865" s="5"/>
      <c r="Q865" s="5"/>
      <c r="R865" s="5"/>
      <c r="S865" s="5"/>
      <c r="T865" s="5"/>
      <c r="U865" s="5"/>
      <c r="V865" s="46"/>
      <c r="W865" s="1462">
        <v>400</v>
      </c>
      <c r="X865" s="1462"/>
      <c r="Y865" s="1462"/>
      <c r="Z865" s="1462"/>
      <c r="AA865" s="1462"/>
      <c r="AB865" s="1462"/>
      <c r="AC865" s="1462"/>
      <c r="AU865" s="14"/>
      <c r="AZ865" s="34"/>
      <c r="BA865" s="34"/>
      <c r="BB865" s="34"/>
      <c r="BC865" s="34"/>
    </row>
    <row r="866" spans="3:55" ht="12.95" customHeight="1">
      <c r="J866" s="45" t="s">
        <v>522</v>
      </c>
      <c r="K866" s="5"/>
      <c r="L866" s="5"/>
      <c r="M866" s="5"/>
      <c r="N866" s="5"/>
      <c r="O866" s="5"/>
      <c r="P866" s="5"/>
      <c r="Q866" s="5"/>
      <c r="R866" s="5"/>
      <c r="S866" s="5"/>
      <c r="T866" s="5"/>
      <c r="U866" s="5"/>
      <c r="V866" s="46"/>
      <c r="W866" s="1462">
        <v>15418</v>
      </c>
      <c r="X866" s="1462"/>
      <c r="Y866" s="1462"/>
      <c r="Z866" s="1462"/>
      <c r="AA866" s="1462"/>
      <c r="AB866" s="1462"/>
      <c r="AC866" s="1462"/>
      <c r="AU866" s="4"/>
      <c r="AZ866" s="34"/>
      <c r="BA866" s="34"/>
      <c r="BB866" s="34"/>
      <c r="BC866" s="34"/>
    </row>
    <row r="867" spans="3:55" ht="12.95" customHeight="1">
      <c r="J867" s="45" t="s">
        <v>521</v>
      </c>
      <c r="K867" s="5"/>
      <c r="L867" s="5"/>
      <c r="M867" s="5"/>
      <c r="N867" s="5"/>
      <c r="O867" s="5"/>
      <c r="P867" s="5"/>
      <c r="Q867" s="5"/>
      <c r="R867" s="5"/>
      <c r="S867" s="5"/>
      <c r="T867" s="5"/>
      <c r="U867" s="5"/>
      <c r="V867" s="46"/>
      <c r="W867" s="1462">
        <v>28057</v>
      </c>
      <c r="X867" s="1462"/>
      <c r="Y867" s="1462"/>
      <c r="Z867" s="1462"/>
      <c r="AA867" s="1462"/>
      <c r="AB867" s="1462"/>
      <c r="AC867" s="1462"/>
      <c r="AU867" s="4"/>
      <c r="AZ867" s="34"/>
      <c r="BA867" s="34"/>
      <c r="BB867" s="34"/>
      <c r="BC867" s="34"/>
    </row>
    <row r="868" spans="3:55" ht="12.95" customHeight="1">
      <c r="J868" s="45" t="s">
        <v>520</v>
      </c>
      <c r="K868" s="5"/>
      <c r="L868" s="5"/>
      <c r="M868" s="5"/>
      <c r="N868" s="5"/>
      <c r="O868" s="5"/>
      <c r="P868" s="5"/>
      <c r="Q868" s="5"/>
      <c r="R868" s="5"/>
      <c r="S868" s="5"/>
      <c r="T868" s="5"/>
      <c r="U868" s="5"/>
      <c r="V868" s="46"/>
      <c r="W868" s="1462">
        <v>1042</v>
      </c>
      <c r="X868" s="1462"/>
      <c r="Y868" s="1462"/>
      <c r="Z868" s="1462"/>
      <c r="AA868" s="1462"/>
      <c r="AB868" s="1462"/>
      <c r="AC868" s="1462"/>
      <c r="AU868" s="4"/>
      <c r="AZ868" s="34"/>
      <c r="BA868" s="34"/>
      <c r="BB868" s="34"/>
      <c r="BC868" s="34"/>
    </row>
    <row r="869" spans="3:55" ht="12.95" customHeight="1">
      <c r="J869" s="45" t="s">
        <v>519</v>
      </c>
      <c r="K869" s="5"/>
      <c r="L869" s="5"/>
      <c r="M869" s="5"/>
      <c r="N869" s="5"/>
      <c r="O869" s="5"/>
      <c r="P869" s="5"/>
      <c r="Q869" s="5"/>
      <c r="R869" s="5"/>
      <c r="S869" s="5"/>
      <c r="T869" s="5"/>
      <c r="U869" s="5"/>
      <c r="V869" s="46"/>
      <c r="W869" s="1462">
        <v>9930</v>
      </c>
      <c r="X869" s="1462"/>
      <c r="Y869" s="1462"/>
      <c r="Z869" s="1462"/>
      <c r="AA869" s="1462"/>
      <c r="AB869" s="1462"/>
      <c r="AC869" s="1462"/>
      <c r="AU869" s="4"/>
      <c r="AZ869" s="34"/>
      <c r="BA869" s="34"/>
      <c r="BB869" s="34"/>
      <c r="BC869" s="34"/>
    </row>
    <row r="870" spans="3:55" ht="12.95" customHeight="1">
      <c r="J870" s="45" t="s">
        <v>518</v>
      </c>
      <c r="K870" s="5"/>
      <c r="L870" s="5"/>
      <c r="M870" s="5"/>
      <c r="N870" s="5"/>
      <c r="O870" s="5"/>
      <c r="P870" s="5"/>
      <c r="Q870" s="5"/>
      <c r="R870" s="5"/>
      <c r="S870" s="5"/>
      <c r="T870" s="5"/>
      <c r="U870" s="5"/>
      <c r="V870" s="46"/>
      <c r="W870" s="1462">
        <v>2000</v>
      </c>
      <c r="X870" s="1462"/>
      <c r="Y870" s="1462"/>
      <c r="Z870" s="1462"/>
      <c r="AA870" s="1462"/>
      <c r="AB870" s="1462"/>
      <c r="AC870" s="1462"/>
      <c r="AU870" s="4"/>
      <c r="AZ870" s="34"/>
      <c r="BA870" s="34"/>
      <c r="BB870" s="34"/>
      <c r="BC870" s="34"/>
    </row>
    <row r="871" spans="3:55" ht="12.95" customHeight="1">
      <c r="J871" s="45" t="s">
        <v>169</v>
      </c>
      <c r="K871" s="5"/>
      <c r="L871" s="5"/>
      <c r="M871" s="1543" t="s">
        <v>2694</v>
      </c>
      <c r="N871" s="1582"/>
      <c r="O871" s="1582"/>
      <c r="P871" s="1582"/>
      <c r="Q871" s="1582"/>
      <c r="R871" s="1582"/>
      <c r="S871" s="1582"/>
      <c r="T871" s="1582"/>
      <c r="U871" s="1582"/>
      <c r="V871" s="1583"/>
      <c r="W871" s="1462">
        <v>9850</v>
      </c>
      <c r="X871" s="1462"/>
      <c r="Y871" s="1462"/>
      <c r="Z871" s="1462"/>
      <c r="AA871" s="1462"/>
      <c r="AB871" s="1462"/>
      <c r="AC871" s="1462"/>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274</v>
      </c>
      <c r="W872" s="1639">
        <f>SUM(W865:W871)</f>
        <v>66697</v>
      </c>
      <c r="X872" s="1639"/>
      <c r="Y872" s="1639"/>
      <c r="Z872" s="1639"/>
      <c r="AA872" s="1639"/>
      <c r="AB872" s="1639"/>
      <c r="AC872" s="1639"/>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1243</v>
      </c>
      <c r="J874" s="45" t="s">
        <v>169</v>
      </c>
      <c r="K874" s="5"/>
      <c r="L874" s="5"/>
      <c r="M874" s="1543" t="s">
        <v>2695</v>
      </c>
      <c r="N874" s="1582"/>
      <c r="O874" s="1582"/>
      <c r="P874" s="1582"/>
      <c r="Q874" s="1582"/>
      <c r="R874" s="1582"/>
      <c r="S874" s="1582"/>
      <c r="T874" s="1582"/>
      <c r="U874" s="1582"/>
      <c r="V874" s="1583"/>
      <c r="W874" s="1477">
        <v>4000</v>
      </c>
      <c r="X874" s="1478"/>
      <c r="Y874" s="1478"/>
      <c r="Z874" s="1478"/>
      <c r="AA874" s="1478"/>
      <c r="AB874" s="1478"/>
      <c r="AC874" s="1479"/>
      <c r="AD874" s="533"/>
      <c r="AV874" s="14"/>
      <c r="AW874" s="14"/>
      <c r="AX874" s="14"/>
      <c r="AY874" s="14"/>
      <c r="AZ874" s="34"/>
      <c r="BA874" s="34"/>
      <c r="BB874" s="34"/>
      <c r="BC874" s="34"/>
    </row>
    <row r="875" spans="3:55" ht="12.95" customHeight="1">
      <c r="C875" s="2" t="s">
        <v>1244</v>
      </c>
      <c r="J875" s="45" t="s">
        <v>169</v>
      </c>
      <c r="K875" s="5"/>
      <c r="L875" s="5"/>
      <c r="M875" s="1543" t="s">
        <v>2696</v>
      </c>
      <c r="N875" s="1582"/>
      <c r="O875" s="1582"/>
      <c r="P875" s="1582"/>
      <c r="Q875" s="1582"/>
      <c r="R875" s="1582"/>
      <c r="S875" s="1582"/>
      <c r="T875" s="1582"/>
      <c r="U875" s="1582"/>
      <c r="V875" s="1583"/>
      <c r="W875" s="1477">
        <v>1000</v>
      </c>
      <c r="X875" s="1478"/>
      <c r="Y875" s="1478"/>
      <c r="Z875" s="1478"/>
      <c r="AA875" s="1478"/>
      <c r="AB875" s="1478"/>
      <c r="AC875" s="1479"/>
      <c r="AD875" s="533"/>
      <c r="AV875" s="14"/>
      <c r="AW875" s="14"/>
      <c r="AX875" s="14"/>
      <c r="AY875" s="14"/>
      <c r="AZ875" s="34"/>
      <c r="BA875" s="34"/>
      <c r="BB875" s="34"/>
      <c r="BC875" s="34"/>
    </row>
    <row r="876" spans="3:55" ht="12.95" customHeight="1">
      <c r="J876" s="45" t="s">
        <v>169</v>
      </c>
      <c r="K876" s="5"/>
      <c r="L876" s="5"/>
      <c r="M876" s="1543" t="s">
        <v>333</v>
      </c>
      <c r="N876" s="1582"/>
      <c r="O876" s="1582"/>
      <c r="P876" s="1582"/>
      <c r="Q876" s="1582"/>
      <c r="R876" s="1582"/>
      <c r="S876" s="1582"/>
      <c r="T876" s="1582"/>
      <c r="U876" s="1582"/>
      <c r="V876" s="1583"/>
      <c r="W876" s="1477"/>
      <c r="X876" s="1478"/>
      <c r="Y876" s="1478"/>
      <c r="Z876" s="1478"/>
      <c r="AA876" s="1478"/>
      <c r="AB876" s="1478"/>
      <c r="AC876" s="1479"/>
      <c r="AL876" s="14"/>
      <c r="AM876" s="14"/>
      <c r="AN876" s="14"/>
      <c r="AO876" s="14"/>
      <c r="AP876" s="14"/>
      <c r="AQ876" s="14"/>
      <c r="AR876" s="14"/>
      <c r="AS876" s="14"/>
      <c r="AT876" s="14"/>
      <c r="AV876" s="4"/>
      <c r="AW876" s="4"/>
      <c r="AX876" s="4"/>
      <c r="AY876" s="4"/>
      <c r="AZ876" s="34"/>
      <c r="BA876" s="34"/>
      <c r="BB876" s="34"/>
      <c r="BC876" s="34"/>
    </row>
    <row r="877" spans="3:55" ht="12.95" customHeight="1">
      <c r="J877" s="45" t="s">
        <v>169</v>
      </c>
      <c r="K877" s="5"/>
      <c r="L877" s="5"/>
      <c r="M877" s="1543" t="s">
        <v>333</v>
      </c>
      <c r="N877" s="1582"/>
      <c r="O877" s="1582"/>
      <c r="P877" s="1582"/>
      <c r="Q877" s="1582"/>
      <c r="R877" s="1582"/>
      <c r="S877" s="1582"/>
      <c r="T877" s="1582"/>
      <c r="U877" s="1582"/>
      <c r="V877" s="1583"/>
      <c r="W877" s="1477"/>
      <c r="X877" s="1478"/>
      <c r="Y877" s="1478"/>
      <c r="Z877" s="1478"/>
      <c r="AA877" s="1478"/>
      <c r="AB877" s="1478"/>
      <c r="AC877" s="1479"/>
      <c r="AL877" s="14"/>
      <c r="AM877" s="14"/>
      <c r="AN877" s="14"/>
      <c r="AO877" s="14"/>
      <c r="AP877" s="14"/>
      <c r="AQ877" s="14"/>
      <c r="AR877" s="14"/>
      <c r="AS877" s="14"/>
      <c r="AT877" s="14"/>
      <c r="AV877" s="4"/>
      <c r="AW877" s="4"/>
      <c r="AX877" s="4"/>
      <c r="AY877" s="4"/>
      <c r="AZ877" s="34"/>
      <c r="BA877" s="34"/>
      <c r="BB877" s="34"/>
      <c r="BC877" s="34"/>
    </row>
    <row r="878" spans="3:55" ht="12.95" customHeight="1">
      <c r="J878" s="45" t="s">
        <v>169</v>
      </c>
      <c r="K878" s="5"/>
      <c r="L878" s="5"/>
      <c r="M878" s="1543" t="s">
        <v>333</v>
      </c>
      <c r="N878" s="1582"/>
      <c r="O878" s="1582"/>
      <c r="P878" s="1582"/>
      <c r="Q878" s="1582"/>
      <c r="R878" s="1582"/>
      <c r="S878" s="1582"/>
      <c r="T878" s="1582"/>
      <c r="U878" s="1582"/>
      <c r="V878" s="1583"/>
      <c r="W878" s="1477"/>
      <c r="X878" s="1478"/>
      <c r="Y878" s="1478"/>
      <c r="Z878" s="1478"/>
      <c r="AA878" s="1478"/>
      <c r="AB878" s="1478"/>
      <c r="AC878" s="1479"/>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275</v>
      </c>
      <c r="W879" s="1613">
        <f>SUM(W874:W878)</f>
        <v>5000</v>
      </c>
      <c r="X879" s="1614"/>
      <c r="Y879" s="1614"/>
      <c r="Z879" s="1614"/>
      <c r="AA879" s="1614"/>
      <c r="AB879" s="1614"/>
      <c r="AC879" s="1615"/>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177</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276</v>
      </c>
      <c r="AC883" s="1614">
        <f>W847+W855+W862+W863+W872+W879+W849</f>
        <v>485610</v>
      </c>
      <c r="AD883" s="1614"/>
      <c r="AE883" s="1614"/>
      <c r="AF883" s="1614"/>
      <c r="AG883" s="1614"/>
      <c r="AH883" s="1615"/>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721">
        <f>O797+O777+G753</f>
        <v>60</v>
      </c>
      <c r="AD884" s="1721"/>
      <c r="AE884" s="1721"/>
      <c r="AF884" s="1721"/>
      <c r="AG884" s="1721"/>
      <c r="AH884" s="1722"/>
      <c r="AL884" s="4"/>
      <c r="AM884" s="4"/>
      <c r="AN884" s="4"/>
      <c r="AO884" s="4"/>
      <c r="AP884" s="4"/>
      <c r="AQ884" s="4"/>
      <c r="AR884" s="4"/>
      <c r="AS884" s="4"/>
      <c r="AT884" s="4"/>
      <c r="AZ884" s="34"/>
      <c r="BA884" s="34"/>
      <c r="BB884" s="34"/>
      <c r="BC884" s="34"/>
    </row>
    <row r="885" spans="3:55" ht="12.95" customHeight="1">
      <c r="C885" s="41"/>
      <c r="D885" s="42"/>
      <c r="E885" s="1634" t="s">
        <v>32</v>
      </c>
      <c r="F885" s="1634"/>
      <c r="G885" s="1634"/>
      <c r="H885" s="1634"/>
      <c r="I885" s="1634"/>
      <c r="J885" s="1634"/>
      <c r="K885" s="1634"/>
      <c r="L885" s="1634"/>
      <c r="M885" s="1634"/>
      <c r="N885" s="1634"/>
      <c r="O885" s="1634"/>
      <c r="P885" s="1634"/>
      <c r="Q885" s="1634"/>
      <c r="R885" s="1634"/>
      <c r="S885" s="1634"/>
      <c r="T885" s="1634"/>
      <c r="U885" s="1634"/>
      <c r="V885" s="1634"/>
      <c r="W885" s="1634"/>
      <c r="X885" s="1634"/>
      <c r="Y885" s="1634"/>
      <c r="Z885" s="1634"/>
      <c r="AA885" s="1634"/>
      <c r="AB885" s="1635"/>
      <c r="AC885" s="1639">
        <f>IF(ISERROR((ROUNDDOWN(AC883/AC884,0))),0,(ROUNDDOWN(AC883/AC884,0)))</f>
        <v>8093</v>
      </c>
      <c r="AD885" s="1639"/>
      <c r="AE885" s="1639"/>
      <c r="AF885" s="1639"/>
      <c r="AG885" s="1639"/>
      <c r="AH885" s="1639"/>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726"/>
      <c r="AD886" s="1727"/>
      <c r="AE886" s="1727"/>
      <c r="AF886" s="1727"/>
      <c r="AG886" s="1727"/>
      <c r="AH886" s="1727"/>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479"/>
      <c r="AD887" s="1462"/>
      <c r="AE887" s="1462"/>
      <c r="AF887" s="1462"/>
      <c r="AG887" s="1462"/>
      <c r="AH887" s="1462"/>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478">
        <v>36266</v>
      </c>
      <c r="AD888" s="1478"/>
      <c r="AE888" s="1478"/>
      <c r="AF888" s="1478"/>
      <c r="AG888" s="1478"/>
      <c r="AH888" s="1479"/>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78">
        <v>30000</v>
      </c>
      <c r="AD889" s="1478"/>
      <c r="AE889" s="1478"/>
      <c r="AF889" s="1478"/>
      <c r="AG889" s="1478"/>
      <c r="AH889" s="1479"/>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69"/>
      <c r="AD890" s="1470"/>
      <c r="AE890" s="1470"/>
      <c r="AF890" s="1470"/>
      <c r="AG890" s="1470"/>
      <c r="AH890" s="1471"/>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78">
        <v>9279</v>
      </c>
      <c r="AD891" s="1478"/>
      <c r="AE891" s="1478"/>
      <c r="AF891" s="1478"/>
      <c r="AG891" s="1478"/>
      <c r="AH891" s="1479"/>
      <c r="AZ891" s="34"/>
      <c r="BA891" s="34"/>
      <c r="BB891" s="34"/>
      <c r="BC891" s="34"/>
    </row>
    <row r="892" spans="3:55" ht="12.95" hidden="1" customHeight="1">
      <c r="C892" s="1642" t="s">
        <v>2232</v>
      </c>
      <c r="D892" s="1643"/>
      <c r="E892" s="1643"/>
      <c r="F892" s="1643"/>
      <c r="G892" s="1643"/>
      <c r="H892" s="1643"/>
      <c r="I892" s="1643"/>
      <c r="J892" s="1643"/>
      <c r="K892" s="1643"/>
      <c r="L892" s="1643"/>
      <c r="M892" s="1643"/>
      <c r="N892" s="1643"/>
      <c r="O892" s="1643"/>
      <c r="P892" s="1643"/>
      <c r="Q892" s="1643"/>
      <c r="R892" s="1643"/>
      <c r="S892" s="1643"/>
      <c r="T892" s="1643"/>
      <c r="U892" s="1643"/>
      <c r="V892" s="1643"/>
      <c r="W892" s="1643"/>
      <c r="X892" s="1643"/>
      <c r="Y892" s="1643"/>
      <c r="Z892" s="1643"/>
      <c r="AA892" s="1643"/>
      <c r="AB892" s="1644"/>
      <c r="AC892" s="1478"/>
      <c r="AD892" s="1478"/>
      <c r="AE892" s="1478"/>
      <c r="AF892" s="1478"/>
      <c r="AG892" s="1478"/>
      <c r="AH892" s="1479"/>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478"/>
      <c r="AD893" s="1478"/>
      <c r="AE893" s="1478"/>
      <c r="AF893" s="1478"/>
      <c r="AG893" s="1478"/>
      <c r="AH893" s="1479"/>
      <c r="AZ893" s="34"/>
      <c r="BA893" s="34"/>
      <c r="BB893" s="34"/>
      <c r="BC893" s="34"/>
    </row>
    <row r="894" spans="3:55" ht="12.95" customHeight="1">
      <c r="C894" s="1626" t="s">
        <v>2748</v>
      </c>
      <c r="D894" s="1627"/>
      <c r="E894" s="1627"/>
      <c r="F894" s="1627"/>
      <c r="G894" s="1627"/>
      <c r="H894" s="1627"/>
      <c r="I894" s="1627"/>
      <c r="J894" s="1627"/>
      <c r="K894" s="1627"/>
      <c r="L894" s="1627"/>
      <c r="M894" s="1627"/>
      <c r="N894" s="1627"/>
      <c r="O894" s="1627"/>
      <c r="P894" s="1627"/>
      <c r="Q894" s="1627"/>
      <c r="R894" s="1627"/>
      <c r="S894" s="1627"/>
      <c r="T894" s="1627"/>
      <c r="U894" s="1627"/>
      <c r="V894" s="1627"/>
      <c r="W894" s="1627"/>
      <c r="X894" s="1627"/>
      <c r="Y894" s="1627"/>
      <c r="Z894" s="1627"/>
      <c r="AA894" s="1627"/>
      <c r="AB894" s="1628"/>
      <c r="AC894" s="1462">
        <f>5000+2000</f>
        <v>7000</v>
      </c>
      <c r="AD894" s="1462"/>
      <c r="AE894" s="1462"/>
      <c r="AF894" s="1462"/>
      <c r="AG894" s="1462"/>
      <c r="AH894" s="1462"/>
      <c r="AZ894" s="34"/>
      <c r="BA894" s="34"/>
      <c r="BB894" s="34"/>
      <c r="BC894" s="34"/>
    </row>
    <row r="895" spans="3:55" ht="12.95" customHeight="1">
      <c r="C895" s="1626" t="s">
        <v>956</v>
      </c>
      <c r="D895" s="1627"/>
      <c r="E895" s="1627"/>
      <c r="F895" s="1627"/>
      <c r="G895" s="1627"/>
      <c r="H895" s="1627"/>
      <c r="I895" s="1627"/>
      <c r="J895" s="1627"/>
      <c r="K895" s="1627"/>
      <c r="L895" s="1627"/>
      <c r="M895" s="1627"/>
      <c r="N895" s="1627"/>
      <c r="O895" s="1627"/>
      <c r="P895" s="1627"/>
      <c r="Q895" s="1627"/>
      <c r="R895" s="1627"/>
      <c r="S895" s="1627"/>
      <c r="T895" s="1627"/>
      <c r="U895" s="1627"/>
      <c r="V895" s="1627"/>
      <c r="W895" s="1627"/>
      <c r="X895" s="1627"/>
      <c r="Y895" s="1627"/>
      <c r="Z895" s="1627"/>
      <c r="AA895" s="1627"/>
      <c r="AB895" s="1628"/>
      <c r="AC895" s="1462"/>
      <c r="AD895" s="1462"/>
      <c r="AE895" s="1462"/>
      <c r="AF895" s="1462"/>
      <c r="AG895" s="1462"/>
      <c r="AH895" s="1462"/>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613</v>
      </c>
      <c r="C897" s="2" t="s">
        <v>236</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237</v>
      </c>
      <c r="I899" s="5"/>
      <c r="J899" s="5"/>
      <c r="K899" s="5"/>
      <c r="L899" s="5"/>
      <c r="M899" s="5"/>
      <c r="N899" s="5"/>
      <c r="O899" s="5"/>
      <c r="P899" s="5"/>
      <c r="Q899" s="5"/>
      <c r="R899" s="5"/>
      <c r="S899" s="5"/>
      <c r="T899" s="5"/>
      <c r="U899" s="5"/>
      <c r="V899" s="5"/>
      <c r="W899" s="5"/>
      <c r="X899" s="5"/>
      <c r="Y899" s="46"/>
      <c r="Z899" s="1477"/>
      <c r="AA899" s="1478"/>
      <c r="AB899" s="1478"/>
      <c r="AC899" s="1478"/>
      <c r="AD899" s="1478"/>
      <c r="AE899" s="1479"/>
      <c r="AF899" s="533"/>
      <c r="AZ899" s="34"/>
      <c r="BB899" s="30"/>
      <c r="BC899" s="816"/>
      <c r="BD899" s="1622"/>
      <c r="BE899" s="1622"/>
      <c r="BF899" s="14"/>
    </row>
    <row r="900" spans="1:58" ht="12.95" customHeight="1">
      <c r="H900" s="121" t="s">
        <v>238</v>
      </c>
      <c r="I900" s="5"/>
      <c r="J900" s="5"/>
      <c r="K900" s="5"/>
      <c r="L900" s="5"/>
      <c r="M900" s="5"/>
      <c r="N900" s="5"/>
      <c r="O900" s="5"/>
      <c r="P900" s="5"/>
      <c r="Q900" s="5"/>
      <c r="R900" s="5"/>
      <c r="S900" s="5"/>
      <c r="T900" s="5"/>
      <c r="U900" s="5"/>
      <c r="V900" s="5"/>
      <c r="W900" s="5"/>
      <c r="X900" s="5"/>
      <c r="Y900" s="5"/>
      <c r="Z900" s="1477"/>
      <c r="AA900" s="1478"/>
      <c r="AB900" s="1478"/>
      <c r="AC900" s="1478"/>
      <c r="AD900" s="1478"/>
      <c r="AE900" s="1479"/>
      <c r="AZ900" s="34"/>
      <c r="BB900" s="30"/>
      <c r="BC900" s="816"/>
      <c r="BD900" s="1622"/>
      <c r="BE900" s="1622"/>
      <c r="BF900" s="14"/>
    </row>
    <row r="901" spans="1:58" ht="12.95" customHeight="1">
      <c r="H901" s="121" t="s">
        <v>239</v>
      </c>
      <c r="I901" s="5"/>
      <c r="J901" s="5"/>
      <c r="K901" s="5"/>
      <c r="L901" s="5"/>
      <c r="M901" s="5"/>
      <c r="N901" s="5"/>
      <c r="O901" s="5"/>
      <c r="P901" s="5"/>
      <c r="Q901" s="5"/>
      <c r="R901" s="5"/>
      <c r="S901" s="5"/>
      <c r="T901" s="5"/>
      <c r="U901" s="5"/>
      <c r="V901" s="5"/>
      <c r="W901" s="5"/>
      <c r="X901" s="5"/>
      <c r="Y901" s="5"/>
      <c r="Z901" s="1477"/>
      <c r="AA901" s="1478"/>
      <c r="AB901" s="1478"/>
      <c r="AC901" s="1478"/>
      <c r="AD901" s="1478"/>
      <c r="AE901" s="1479"/>
      <c r="AZ901" s="34"/>
      <c r="BB901" s="30"/>
      <c r="BC901" s="816"/>
      <c r="BD901" s="1621"/>
      <c r="BE901" s="1621"/>
      <c r="BF901" s="14"/>
    </row>
    <row r="902" spans="1:58" ht="12.95" customHeight="1">
      <c r="H902" s="45"/>
      <c r="I902" s="5"/>
      <c r="J902" s="5"/>
      <c r="K902" s="5"/>
      <c r="L902" s="5"/>
      <c r="M902" s="5"/>
      <c r="N902" s="5"/>
      <c r="O902" s="5"/>
      <c r="P902" s="5"/>
      <c r="Q902" s="5"/>
      <c r="R902" s="5"/>
      <c r="S902" s="5"/>
      <c r="T902" s="5"/>
      <c r="U902" s="5"/>
      <c r="V902" s="5"/>
      <c r="W902" s="5"/>
      <c r="X902" s="5"/>
      <c r="Y902" s="181" t="s">
        <v>240</v>
      </c>
      <c r="Z902" s="1613">
        <f>Z899-(Z900+Z901)</f>
        <v>0</v>
      </c>
      <c r="AA902" s="1614"/>
      <c r="AB902" s="1614"/>
      <c r="AC902" s="1614"/>
      <c r="AD902" s="1614"/>
      <c r="AE902" s="1615"/>
      <c r="AZ902" s="34"/>
      <c r="BB902" s="30"/>
      <c r="BC902" s="816"/>
      <c r="BD902" s="1621"/>
      <c r="BE902" s="1621"/>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1"/>
      <c r="BE903" s="1621"/>
      <c r="BF903" s="14"/>
    </row>
    <row r="904" spans="1:58" ht="12.95" customHeight="1">
      <c r="C904" t="s">
        <v>244</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22"/>
      <c r="BE904" s="1621"/>
      <c r="BF904" s="14"/>
    </row>
    <row r="905" spans="1:58" ht="12.95" customHeight="1">
      <c r="C905" s="182" t="s">
        <v>245</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14"/>
      <c r="BE905" s="1714"/>
      <c r="BF905" s="1714"/>
    </row>
    <row r="906" spans="1:58" ht="12.95" customHeight="1">
      <c r="C906" s="182" t="s">
        <v>246</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51"/>
      <c r="BE906" s="1651"/>
      <c r="BF906" s="1651"/>
    </row>
    <row r="907" spans="1:58" ht="12.95" customHeight="1">
      <c r="C907" s="340"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1"/>
      <c r="BE907" s="1621"/>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22"/>
      <c r="BE908" s="1621"/>
      <c r="BF908" s="14"/>
    </row>
    <row r="909" spans="1:58" ht="12.95" customHeight="1">
      <c r="AZ909" s="34"/>
      <c r="BB909" s="30"/>
      <c r="BC909" s="816"/>
    </row>
    <row r="910" spans="1:58" ht="12.95" customHeight="1">
      <c r="A910" s="1435" t="s">
        <v>96</v>
      </c>
      <c r="B910" s="1435"/>
      <c r="C910" s="1435"/>
      <c r="D910" s="1435"/>
      <c r="E910" s="1435"/>
      <c r="F910" s="1435"/>
      <c r="G910" s="1435"/>
      <c r="H910" s="1435"/>
      <c r="I910" s="1435"/>
      <c r="J910" s="1435"/>
      <c r="K910" s="1435"/>
      <c r="L910" s="1435"/>
      <c r="M910" s="1435"/>
      <c r="N910" s="1435"/>
      <c r="O910" s="1435"/>
      <c r="P910" s="1435"/>
      <c r="Q910" s="1435"/>
      <c r="R910" s="1435"/>
      <c r="S910" s="1435"/>
      <c r="T910" s="1435"/>
      <c r="U910" s="1435"/>
      <c r="V910" s="1435"/>
      <c r="W910" s="1435"/>
      <c r="X910" s="1435"/>
      <c r="Y910" s="1435"/>
      <c r="Z910" s="1435"/>
      <c r="AA910" s="1435"/>
      <c r="AB910" s="1435"/>
      <c r="AC910" s="1435"/>
      <c r="AD910" s="1435"/>
      <c r="AE910" s="1435"/>
      <c r="AF910" s="1435"/>
      <c r="AG910" s="1435"/>
      <c r="AH910" s="1435"/>
      <c r="AI910" s="1435"/>
      <c r="AJ910" s="1435"/>
      <c r="AK910" s="1435"/>
      <c r="AL910" s="1435"/>
      <c r="AM910" s="1435"/>
      <c r="AN910" s="1435"/>
      <c r="AO910" s="1435"/>
      <c r="AP910" s="1435"/>
      <c r="AQ910" s="1435"/>
      <c r="AR910" s="1435"/>
      <c r="AS910" s="1435"/>
      <c r="AT910" s="1435"/>
      <c r="AZ910" s="34"/>
      <c r="BA910" s="34"/>
      <c r="BB910" s="30"/>
      <c r="BC910" s="30"/>
      <c r="BD910" s="1622"/>
      <c r="BE910" s="1621"/>
      <c r="BF910" s="911"/>
    </row>
    <row r="911" spans="1:58" ht="12.95" customHeight="1">
      <c r="A911" s="1435"/>
      <c r="B911" s="1435"/>
      <c r="C911" s="1435"/>
      <c r="D911" s="1435"/>
      <c r="E911" s="1435"/>
      <c r="F911" s="1435"/>
      <c r="G911" s="1435"/>
      <c r="H911" s="1435"/>
      <c r="I911" s="1435"/>
      <c r="J911" s="1435"/>
      <c r="K911" s="1435"/>
      <c r="L911" s="1435"/>
      <c r="M911" s="1435"/>
      <c r="N911" s="1435"/>
      <c r="O911" s="1435"/>
      <c r="P911" s="1435"/>
      <c r="Q911" s="1435"/>
      <c r="R911" s="1435"/>
      <c r="S911" s="1435"/>
      <c r="T911" s="1435"/>
      <c r="U911" s="1435"/>
      <c r="V911" s="1435"/>
      <c r="W911" s="1435"/>
      <c r="X911" s="1435"/>
      <c r="Y911" s="1435"/>
      <c r="Z911" s="1435"/>
      <c r="AA911" s="1435"/>
      <c r="AB911" s="1435"/>
      <c r="AC911" s="1435"/>
      <c r="AD911" s="1435"/>
      <c r="AE911" s="1435"/>
      <c r="AF911" s="1435"/>
      <c r="AG911" s="1435"/>
      <c r="AH911" s="1435"/>
      <c r="AI911" s="1435"/>
      <c r="AJ911" s="1435"/>
      <c r="AK911" s="1435"/>
      <c r="AL911" s="1435"/>
      <c r="AM911" s="1435"/>
      <c r="AN911" s="1435"/>
      <c r="AO911" s="1435"/>
      <c r="AP911" s="1435"/>
      <c r="AQ911" s="1435"/>
      <c r="AR911" s="1435"/>
      <c r="AS911" s="1435"/>
      <c r="AT911" s="1435"/>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318</v>
      </c>
      <c r="C913" s="2" t="s">
        <v>263</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36" t="s">
        <v>792</v>
      </c>
      <c r="G915" s="1637"/>
      <c r="H915" s="1637"/>
      <c r="I915" s="1637"/>
      <c r="J915" s="1637"/>
      <c r="K915" s="1637"/>
      <c r="L915" s="1637"/>
      <c r="M915" s="1637"/>
      <c r="N915" s="1637"/>
      <c r="O915" s="1637"/>
      <c r="P915" s="1637"/>
      <c r="Q915" s="1637"/>
      <c r="R915" s="1637"/>
      <c r="S915" s="1637"/>
      <c r="T915" s="1638"/>
      <c r="U915" s="1716" t="s">
        <v>31</v>
      </c>
      <c r="V915" s="1717"/>
      <c r="W915" s="1717"/>
      <c r="X915" s="1717"/>
      <c r="Y915" s="1717"/>
      <c r="Z915" s="1717"/>
      <c r="AA915" s="43"/>
      <c r="AB915" s="105"/>
      <c r="AC915" s="105"/>
      <c r="AD915" s="105"/>
      <c r="AE915" s="105"/>
      <c r="AF915" s="106"/>
      <c r="AZ915" s="34"/>
      <c r="BA915" s="34"/>
      <c r="BB915" s="34"/>
      <c r="BC915" s="34"/>
    </row>
    <row r="916" spans="1:58" ht="12.95" customHeight="1">
      <c r="B916" s="2"/>
      <c r="F916" s="1587" t="s">
        <v>818</v>
      </c>
      <c r="G916" s="1588"/>
      <c r="H916" s="1588"/>
      <c r="I916" s="1588"/>
      <c r="J916" s="1588"/>
      <c r="K916" s="1588"/>
      <c r="L916" s="1588"/>
      <c r="M916" s="1588"/>
      <c r="N916" s="1588"/>
      <c r="O916" s="1588"/>
      <c r="P916" s="1588"/>
      <c r="Q916" s="1588"/>
      <c r="R916" s="1588"/>
      <c r="S916" s="1588"/>
      <c r="T916" s="1589"/>
      <c r="U916" s="1587"/>
      <c r="V916" s="1588"/>
      <c r="W916" s="1588"/>
      <c r="X916" s="1588"/>
      <c r="Y916" s="1588"/>
      <c r="Z916" s="1588"/>
      <c r="AA916" s="44"/>
      <c r="AB916" s="4"/>
      <c r="AC916" s="4"/>
      <c r="AD916" s="4"/>
      <c r="AE916" s="4"/>
      <c r="AF916" s="107"/>
      <c r="AZ916" s="34"/>
      <c r="BA916" s="34"/>
      <c r="BB916" s="34"/>
      <c r="BC916" s="34"/>
    </row>
    <row r="917" spans="1:58" ht="12.95" customHeight="1">
      <c r="B917" s="2"/>
      <c r="F917" s="1590"/>
      <c r="G917" s="1591"/>
      <c r="H917" s="1591"/>
      <c r="I917" s="1591"/>
      <c r="J917" s="1591"/>
      <c r="K917" s="1591"/>
      <c r="L917" s="1591"/>
      <c r="M917" s="1591"/>
      <c r="N917" s="1591"/>
      <c r="O917" s="1591"/>
      <c r="P917" s="1591"/>
      <c r="Q917" s="1591"/>
      <c r="R917" s="1591"/>
      <c r="S917" s="1591"/>
      <c r="T917" s="1592"/>
      <c r="U917" s="1590"/>
      <c r="V917" s="1591"/>
      <c r="W917" s="1591"/>
      <c r="X917" s="1591"/>
      <c r="Y917" s="1591"/>
      <c r="Z917" s="1591"/>
      <c r="AA917" s="108"/>
      <c r="AB917" s="1715" t="s">
        <v>390</v>
      </c>
      <c r="AC917" s="1715"/>
      <c r="AD917" s="1715"/>
      <c r="AE917" s="1715"/>
      <c r="AF917" s="109"/>
      <c r="AZ917" s="34"/>
      <c r="BA917" s="34"/>
      <c r="BB917" s="34"/>
      <c r="BC917" s="34"/>
    </row>
    <row r="918" spans="1:58" ht="12.95" customHeight="1">
      <c r="B918" s="2"/>
      <c r="F918" s="45" t="s">
        <v>758</v>
      </c>
      <c r="G918" s="48"/>
      <c r="H918" s="48"/>
      <c r="I918" s="48"/>
      <c r="J918" s="48"/>
      <c r="K918" s="48"/>
      <c r="L918" s="48"/>
      <c r="M918" s="48"/>
      <c r="N918" s="48"/>
      <c r="O918" s="48"/>
      <c r="P918" s="48"/>
      <c r="Q918" s="48"/>
      <c r="R918" s="48"/>
      <c r="S918" s="48"/>
      <c r="T918" s="49"/>
      <c r="U918" s="1400" t="s">
        <v>545</v>
      </c>
      <c r="V918" s="1401"/>
      <c r="W918" s="1401"/>
      <c r="X918" s="1401"/>
      <c r="Y918" s="1401"/>
      <c r="Z918" s="1402"/>
      <c r="AA918" s="1406">
        <v>11757568</v>
      </c>
      <c r="AB918" s="1407"/>
      <c r="AC918" s="1407"/>
      <c r="AD918" s="1407"/>
      <c r="AE918" s="1407"/>
      <c r="AF918" s="1408"/>
      <c r="AZ918" s="34"/>
      <c r="BA918" s="34"/>
      <c r="BB918" s="34"/>
      <c r="BC918" s="34"/>
    </row>
    <row r="919" spans="1:58" ht="12.95" customHeight="1">
      <c r="B919" s="2"/>
      <c r="F919" s="66" t="s">
        <v>675</v>
      </c>
      <c r="G919" s="48"/>
      <c r="H919" s="48"/>
      <c r="I919" s="48"/>
      <c r="J919" s="48"/>
      <c r="K919" s="48"/>
      <c r="L919" s="48"/>
      <c r="M919" s="48"/>
      <c r="N919" s="48"/>
      <c r="O919" s="48"/>
      <c r="P919" s="48"/>
      <c r="Q919" s="48"/>
      <c r="R919" s="48"/>
      <c r="S919" s="48"/>
      <c r="T919" s="49"/>
      <c r="U919" s="1400" t="s">
        <v>545</v>
      </c>
      <c r="V919" s="1401"/>
      <c r="W919" s="1401"/>
      <c r="X919" s="1401"/>
      <c r="Y919" s="1401"/>
      <c r="Z919" s="1402"/>
      <c r="AA919" s="1406">
        <f>AM555</f>
        <v>7312758</v>
      </c>
      <c r="AB919" s="1407"/>
      <c r="AC919" s="1407"/>
      <c r="AD919" s="1407"/>
      <c r="AE919" s="1407"/>
      <c r="AF919" s="1408"/>
      <c r="AZ919" s="34"/>
      <c r="BA919" s="34"/>
      <c r="BB919" s="34"/>
      <c r="BC919" s="34"/>
    </row>
    <row r="920" spans="1:58" ht="12.95" customHeight="1">
      <c r="F920" s="45" t="s">
        <v>801</v>
      </c>
      <c r="G920" s="5"/>
      <c r="H920" s="5"/>
      <c r="I920" s="5"/>
      <c r="J920" s="5"/>
      <c r="K920" s="5"/>
      <c r="L920" s="5"/>
      <c r="M920" s="5"/>
      <c r="N920" s="5"/>
      <c r="O920" s="5"/>
      <c r="P920" s="5"/>
      <c r="Q920" s="5"/>
      <c r="R920" s="5"/>
      <c r="S920" s="5"/>
      <c r="T920" s="46"/>
      <c r="U920" s="1400" t="s">
        <v>545</v>
      </c>
      <c r="V920" s="1401"/>
      <c r="W920" s="1401"/>
      <c r="X920" s="1401"/>
      <c r="Y920" s="1401"/>
      <c r="Z920" s="1402"/>
      <c r="AA920" s="1406">
        <f>AO630</f>
        <v>1200000</v>
      </c>
      <c r="AB920" s="1407"/>
      <c r="AC920" s="1407"/>
      <c r="AD920" s="1407"/>
      <c r="AE920" s="1407"/>
      <c r="AF920" s="1408"/>
      <c r="AZ920" s="34"/>
      <c r="BA920" s="34"/>
      <c r="BB920" s="34"/>
      <c r="BC920" s="34"/>
    </row>
    <row r="921" spans="1:58" ht="12.95" customHeight="1">
      <c r="F921" s="45" t="s">
        <v>678</v>
      </c>
      <c r="G921" s="5"/>
      <c r="H921" s="5"/>
      <c r="I921" s="5"/>
      <c r="J921" s="5"/>
      <c r="K921" s="5"/>
      <c r="L921" s="5"/>
      <c r="M921" s="5"/>
      <c r="N921" s="5"/>
      <c r="O921" s="5"/>
      <c r="P921" s="5"/>
      <c r="Q921" s="5"/>
      <c r="R921" s="5"/>
      <c r="S921" s="5"/>
      <c r="T921" s="46"/>
      <c r="U921" s="1400" t="s">
        <v>591</v>
      </c>
      <c r="V921" s="1401"/>
      <c r="W921" s="1401"/>
      <c r="X921" s="1401"/>
      <c r="Y921" s="1401"/>
      <c r="Z921" s="1402"/>
      <c r="AA921" s="1406"/>
      <c r="AB921" s="1407"/>
      <c r="AC921" s="1407"/>
      <c r="AD921" s="1407"/>
      <c r="AE921" s="1407"/>
      <c r="AF921" s="1408"/>
      <c r="AZ921" s="34"/>
      <c r="BA921" s="34"/>
      <c r="BB921" s="34"/>
      <c r="BC921" s="34"/>
    </row>
    <row r="922" spans="1:58" ht="12.95" customHeight="1">
      <c r="F922" s="66" t="s">
        <v>786</v>
      </c>
      <c r="G922" s="5"/>
      <c r="H922" s="5"/>
      <c r="I922" s="5"/>
      <c r="J922" s="5"/>
      <c r="K922" s="5"/>
      <c r="L922" s="5"/>
      <c r="M922" s="5"/>
      <c r="N922" s="5"/>
      <c r="O922" s="5"/>
      <c r="P922" s="5"/>
      <c r="Q922" s="5"/>
      <c r="R922" s="5"/>
      <c r="S922" s="5"/>
      <c r="T922" s="46"/>
      <c r="U922" s="1400" t="s">
        <v>591</v>
      </c>
      <c r="V922" s="1401"/>
      <c r="W922" s="1401"/>
      <c r="X922" s="1401"/>
      <c r="Y922" s="1401"/>
      <c r="Z922" s="1402"/>
      <c r="AA922" s="1406"/>
      <c r="AB922" s="1407"/>
      <c r="AC922" s="1407"/>
      <c r="AD922" s="1407"/>
      <c r="AE922" s="1407"/>
      <c r="AF922" s="1408"/>
      <c r="AZ922" s="34"/>
      <c r="BA922" s="34"/>
      <c r="BB922" s="34"/>
      <c r="BC922" s="34"/>
    </row>
    <row r="923" spans="1:58" ht="12.95" customHeight="1">
      <c r="F923" s="66" t="s">
        <v>787</v>
      </c>
      <c r="G923" s="5"/>
      <c r="H923" s="5"/>
      <c r="I923" s="5"/>
      <c r="J923" s="5"/>
      <c r="K923" s="5"/>
      <c r="L923" s="5"/>
      <c r="M923" s="5"/>
      <c r="N923" s="5"/>
      <c r="O923" s="5"/>
      <c r="P923" s="5"/>
      <c r="Q923" s="5"/>
      <c r="R923" s="5"/>
      <c r="S923" s="5"/>
      <c r="T923" s="46"/>
      <c r="U923" s="1400" t="s">
        <v>591</v>
      </c>
      <c r="V923" s="1401"/>
      <c r="W923" s="1401"/>
      <c r="X923" s="1401"/>
      <c r="Y923" s="1401"/>
      <c r="Z923" s="1402"/>
      <c r="AA923" s="1406"/>
      <c r="AB923" s="1407"/>
      <c r="AC923" s="1407"/>
      <c r="AD923" s="1407"/>
      <c r="AE923" s="1407"/>
      <c r="AF923" s="1408"/>
      <c r="AZ923" s="34"/>
      <c r="BA923" s="34"/>
      <c r="BB923" s="34"/>
      <c r="BC923" s="34"/>
    </row>
    <row r="924" spans="1:58" ht="12.95" customHeight="1">
      <c r="F924" s="66" t="s">
        <v>788</v>
      </c>
      <c r="G924" s="5"/>
      <c r="H924" s="5"/>
      <c r="I924" s="5"/>
      <c r="J924" s="5"/>
      <c r="K924" s="5"/>
      <c r="L924" s="5"/>
      <c r="M924" s="5"/>
      <c r="N924" s="5"/>
      <c r="O924" s="5"/>
      <c r="P924" s="5"/>
      <c r="Q924" s="5"/>
      <c r="R924" s="5"/>
      <c r="S924" s="5"/>
      <c r="T924" s="46"/>
      <c r="U924" s="1400" t="s">
        <v>591</v>
      </c>
      <c r="V924" s="1401"/>
      <c r="W924" s="1401"/>
      <c r="X924" s="1401"/>
      <c r="Y924" s="1401"/>
      <c r="Z924" s="1402"/>
      <c r="AA924" s="1406"/>
      <c r="AB924" s="1407"/>
      <c r="AC924" s="1407"/>
      <c r="AD924" s="1407"/>
      <c r="AE924" s="1407"/>
      <c r="AF924" s="1408"/>
      <c r="AZ924" s="34"/>
      <c r="BA924" s="34"/>
      <c r="BB924" s="34"/>
      <c r="BC924" s="34"/>
    </row>
    <row r="925" spans="1:58" ht="12.95" customHeight="1">
      <c r="F925" s="45" t="s">
        <v>677</v>
      </c>
      <c r="G925" s="5"/>
      <c r="H925" s="5"/>
      <c r="I925" s="5"/>
      <c r="J925" s="5"/>
      <c r="K925" s="5"/>
      <c r="L925" s="5"/>
      <c r="M925" s="5"/>
      <c r="N925" s="5"/>
      <c r="O925" s="5"/>
      <c r="P925" s="5"/>
      <c r="Q925" s="5"/>
      <c r="R925" s="5"/>
      <c r="S925" s="5"/>
      <c r="T925" s="46"/>
      <c r="U925" s="1400" t="s">
        <v>591</v>
      </c>
      <c r="V925" s="1401"/>
      <c r="W925" s="1401"/>
      <c r="X925" s="1401"/>
      <c r="Y925" s="1401"/>
      <c r="Z925" s="1402"/>
      <c r="AA925" s="1406"/>
      <c r="AB925" s="1407"/>
      <c r="AC925" s="1407"/>
      <c r="AD925" s="1407"/>
      <c r="AE925" s="1407"/>
      <c r="AF925" s="1408"/>
      <c r="AZ925" s="34"/>
      <c r="BA925" s="34"/>
      <c r="BB925" s="34"/>
      <c r="BC925" s="34"/>
    </row>
    <row r="926" spans="1:58" ht="12.95" customHeight="1">
      <c r="F926" s="1593" t="s">
        <v>2192</v>
      </c>
      <c r="G926" s="1594"/>
      <c r="H926" s="1594"/>
      <c r="I926" s="1594"/>
      <c r="J926" s="1594"/>
      <c r="K926" s="1594"/>
      <c r="L926" s="1594"/>
      <c r="M926" s="1594"/>
      <c r="N926" s="1594"/>
      <c r="O926" s="1594"/>
      <c r="P926" s="1594"/>
      <c r="Q926" s="1594"/>
      <c r="R926" s="1594"/>
      <c r="S926" s="1594"/>
      <c r="T926" s="1595"/>
      <c r="U926" s="1400" t="s">
        <v>591</v>
      </c>
      <c r="V926" s="1401"/>
      <c r="W926" s="1401"/>
      <c r="X926" s="1401"/>
      <c r="Y926" s="1401"/>
      <c r="Z926" s="1402"/>
      <c r="AA926" s="1406"/>
      <c r="AB926" s="1407"/>
      <c r="AC926" s="1407"/>
      <c r="AD926" s="1407"/>
      <c r="AE926" s="1407"/>
      <c r="AF926" s="1408"/>
      <c r="AZ926" s="34"/>
      <c r="BA926" s="34"/>
      <c r="BB926" s="34"/>
      <c r="BC926" s="34"/>
    </row>
    <row r="927" spans="1:58" ht="12.95" customHeight="1">
      <c r="F927" s="1593" t="s">
        <v>679</v>
      </c>
      <c r="G927" s="1594"/>
      <c r="H927" s="1594"/>
      <c r="I927" s="1594"/>
      <c r="J927" s="1594"/>
      <c r="K927" s="1594"/>
      <c r="L927" s="1594"/>
      <c r="M927" s="1594"/>
      <c r="N927" s="1594"/>
      <c r="O927" s="1594"/>
      <c r="P927" s="1594"/>
      <c r="Q927" s="1594"/>
      <c r="R927" s="1594"/>
      <c r="S927" s="1594"/>
      <c r="T927" s="1595"/>
      <c r="U927" s="1400" t="s">
        <v>591</v>
      </c>
      <c r="V927" s="1401"/>
      <c r="W927" s="1401"/>
      <c r="X927" s="1401"/>
      <c r="Y927" s="1401"/>
      <c r="Z927" s="1402"/>
      <c r="AA927" s="1406"/>
      <c r="AB927" s="1407"/>
      <c r="AC927" s="1407"/>
      <c r="AD927" s="1407"/>
      <c r="AE927" s="1407"/>
      <c r="AF927" s="1408"/>
      <c r="AU927" s="2"/>
      <c r="AZ927" s="34"/>
      <c r="BA927" s="34"/>
      <c r="BB927" s="34"/>
      <c r="BC927" s="34"/>
    </row>
    <row r="928" spans="1:58" ht="12.95" customHeight="1">
      <c r="F928" s="1593" t="s">
        <v>2193</v>
      </c>
      <c r="G928" s="1594"/>
      <c r="H928" s="1594"/>
      <c r="I928" s="1594"/>
      <c r="J928" s="1594"/>
      <c r="K928" s="1594"/>
      <c r="L928" s="1594"/>
      <c r="M928" s="1594"/>
      <c r="N928" s="1594"/>
      <c r="O928" s="1594"/>
      <c r="P928" s="1594"/>
      <c r="Q928" s="1594"/>
      <c r="R928" s="1594"/>
      <c r="S928" s="1594"/>
      <c r="T928" s="1595"/>
      <c r="U928" s="1400" t="s">
        <v>591</v>
      </c>
      <c r="V928" s="1401"/>
      <c r="W928" s="1401"/>
      <c r="X928" s="1401"/>
      <c r="Y928" s="1401"/>
      <c r="Z928" s="1402"/>
      <c r="AA928" s="1406"/>
      <c r="AB928" s="1407"/>
      <c r="AC928" s="1407"/>
      <c r="AD928" s="1407"/>
      <c r="AE928" s="1407"/>
      <c r="AF928" s="1408"/>
      <c r="AU928" s="2"/>
      <c r="AZ928" s="34"/>
      <c r="BA928" s="34"/>
      <c r="BB928" s="34"/>
      <c r="BC928" s="34"/>
    </row>
    <row r="929" spans="6:55" ht="12.95" customHeight="1">
      <c r="F929" s="1593" t="s">
        <v>2194</v>
      </c>
      <c r="G929" s="1594"/>
      <c r="H929" s="1594"/>
      <c r="I929" s="1594"/>
      <c r="J929" s="1594"/>
      <c r="K929" s="1594"/>
      <c r="L929" s="1594"/>
      <c r="M929" s="1594"/>
      <c r="N929" s="1594"/>
      <c r="O929" s="1594"/>
      <c r="P929" s="1594"/>
      <c r="Q929" s="1594"/>
      <c r="R929" s="1594"/>
      <c r="S929" s="1594"/>
      <c r="T929" s="1595"/>
      <c r="U929" s="1400" t="s">
        <v>591</v>
      </c>
      <c r="V929" s="1401"/>
      <c r="W929" s="1401"/>
      <c r="X929" s="1401"/>
      <c r="Y929" s="1401"/>
      <c r="Z929" s="1402"/>
      <c r="AA929" s="1406"/>
      <c r="AB929" s="1407"/>
      <c r="AC929" s="1407"/>
      <c r="AD929" s="1407"/>
      <c r="AE929" s="1407"/>
      <c r="AF929" s="1408"/>
      <c r="AU929" s="2"/>
      <c r="AZ929" s="34"/>
      <c r="BA929" s="34"/>
      <c r="BB929" s="34"/>
      <c r="BC929" s="34"/>
    </row>
    <row r="930" spans="6:55" ht="12.95" customHeight="1">
      <c r="F930" s="1593" t="s">
        <v>2195</v>
      </c>
      <c r="G930" s="1594"/>
      <c r="H930" s="1594"/>
      <c r="I930" s="1594"/>
      <c r="J930" s="1594"/>
      <c r="K930" s="1594"/>
      <c r="L930" s="1594"/>
      <c r="M930" s="1594"/>
      <c r="N930" s="1594"/>
      <c r="O930" s="1594"/>
      <c r="P930" s="1594"/>
      <c r="Q930" s="1594"/>
      <c r="R930" s="1594"/>
      <c r="S930" s="1594"/>
      <c r="T930" s="1595"/>
      <c r="U930" s="1400" t="s">
        <v>591</v>
      </c>
      <c r="V930" s="1401"/>
      <c r="W930" s="1401"/>
      <c r="X930" s="1401"/>
      <c r="Y930" s="1401"/>
      <c r="Z930" s="1402"/>
      <c r="AA930" s="1406"/>
      <c r="AB930" s="1407"/>
      <c r="AC930" s="1407"/>
      <c r="AD930" s="1407"/>
      <c r="AE930" s="1407"/>
      <c r="AF930" s="1408"/>
      <c r="AU930" s="2"/>
      <c r="AZ930" s="34"/>
      <c r="BA930" s="34"/>
      <c r="BB930" s="34"/>
      <c r="BC930" s="34"/>
    </row>
    <row r="931" spans="6:55" ht="12.95" customHeight="1">
      <c r="F931" s="1593" t="s">
        <v>2196</v>
      </c>
      <c r="G931" s="1594"/>
      <c r="H931" s="1594"/>
      <c r="I931" s="1594"/>
      <c r="J931" s="1594"/>
      <c r="K931" s="1594"/>
      <c r="L931" s="1594"/>
      <c r="M931" s="1594"/>
      <c r="N931" s="1594"/>
      <c r="O931" s="1594"/>
      <c r="P931" s="1594"/>
      <c r="Q931" s="1594"/>
      <c r="R931" s="1594"/>
      <c r="S931" s="1594"/>
      <c r="T931" s="1595"/>
      <c r="U931" s="1400" t="s">
        <v>591</v>
      </c>
      <c r="V931" s="1401"/>
      <c r="W931" s="1401"/>
      <c r="X931" s="1401"/>
      <c r="Y931" s="1401"/>
      <c r="Z931" s="1402"/>
      <c r="AA931" s="1406"/>
      <c r="AB931" s="1407"/>
      <c r="AC931" s="1407"/>
      <c r="AD931" s="1407"/>
      <c r="AE931" s="1407"/>
      <c r="AF931" s="1408"/>
      <c r="AU931" s="2"/>
      <c r="AZ931" s="34"/>
      <c r="BA931" s="34"/>
      <c r="BB931" s="34"/>
      <c r="BC931" s="34"/>
    </row>
    <row r="932" spans="6:55" ht="12.95" customHeight="1">
      <c r="F932" s="1593" t="s">
        <v>2197</v>
      </c>
      <c r="G932" s="1594"/>
      <c r="H932" s="1594"/>
      <c r="I932" s="1594"/>
      <c r="J932" s="1594"/>
      <c r="K932" s="1594"/>
      <c r="L932" s="1594"/>
      <c r="M932" s="1594"/>
      <c r="N932" s="1594"/>
      <c r="O932" s="1594"/>
      <c r="P932" s="1594"/>
      <c r="Q932" s="1594"/>
      <c r="R932" s="1594"/>
      <c r="S932" s="1594"/>
      <c r="T932" s="1595"/>
      <c r="U932" s="1400" t="s">
        <v>591</v>
      </c>
      <c r="V932" s="1401"/>
      <c r="W932" s="1401"/>
      <c r="X932" s="1401"/>
      <c r="Y932" s="1401"/>
      <c r="Z932" s="1402"/>
      <c r="AA932" s="1406"/>
      <c r="AB932" s="1407"/>
      <c r="AC932" s="1407"/>
      <c r="AD932" s="1407"/>
      <c r="AE932" s="1407"/>
      <c r="AF932" s="1408"/>
      <c r="AZ932" s="30"/>
      <c r="BA932" s="30"/>
    </row>
    <row r="933" spans="6:55" ht="12.95" customHeight="1">
      <c r="F933" s="178" t="s">
        <v>676</v>
      </c>
      <c r="G933" s="5"/>
      <c r="H933" s="5"/>
      <c r="I933" s="5"/>
      <c r="J933" s="5"/>
      <c r="K933" s="5"/>
      <c r="L933" s="5"/>
      <c r="M933" s="5"/>
      <c r="N933" s="5"/>
      <c r="O933" s="5"/>
      <c r="P933" s="5"/>
      <c r="Q933" s="5"/>
      <c r="R933" s="5"/>
      <c r="S933" s="5"/>
      <c r="T933" s="46"/>
      <c r="U933" s="1400" t="s">
        <v>591</v>
      </c>
      <c r="V933" s="1401"/>
      <c r="W933" s="1401"/>
      <c r="X933" s="1401"/>
      <c r="Y933" s="1401"/>
      <c r="Z933" s="1402"/>
      <c r="AA933" s="1406"/>
      <c r="AB933" s="1407"/>
      <c r="AC933" s="1407"/>
      <c r="AD933" s="1407"/>
      <c r="AE933" s="1407"/>
      <c r="AF933" s="1408"/>
    </row>
    <row r="934" spans="6:55" ht="12.95" customHeight="1">
      <c r="F934" s="121" t="s">
        <v>1277</v>
      </c>
      <c r="G934" s="5"/>
      <c r="H934" s="5"/>
      <c r="I934" s="5"/>
      <c r="J934" s="5"/>
      <c r="K934" s="5"/>
      <c r="L934" s="5"/>
      <c r="M934" s="5"/>
      <c r="N934" s="5"/>
      <c r="O934" s="5"/>
      <c r="P934" s="5"/>
      <c r="Q934" s="5"/>
      <c r="R934" s="5"/>
      <c r="S934" s="5"/>
      <c r="T934" s="46"/>
      <c r="U934" s="1400" t="s">
        <v>591</v>
      </c>
      <c r="V934" s="1401"/>
      <c r="W934" s="1401"/>
      <c r="X934" s="1401"/>
      <c r="Y934" s="1401"/>
      <c r="Z934" s="1402"/>
      <c r="AA934" s="1406"/>
      <c r="AB934" s="1407"/>
      <c r="AC934" s="1407"/>
      <c r="AD934" s="1407"/>
      <c r="AE934" s="1407"/>
      <c r="AF934" s="1408"/>
      <c r="AZ934" s="30"/>
      <c r="BA934" s="14"/>
    </row>
    <row r="935" spans="6:55" ht="12.95" customHeight="1">
      <c r="F935" s="66" t="s">
        <v>802</v>
      </c>
      <c r="G935" s="5"/>
      <c r="H935" s="5"/>
      <c r="I935" s="5"/>
      <c r="J935" s="5"/>
      <c r="K935" s="5"/>
      <c r="L935" s="5"/>
      <c r="M935" s="5"/>
      <c r="N935" s="5"/>
      <c r="O935" s="5"/>
      <c r="P935" s="5"/>
      <c r="Q935" s="5"/>
      <c r="R935" s="5"/>
      <c r="S935" s="5"/>
      <c r="T935" s="46"/>
      <c r="U935" s="1400" t="s">
        <v>591</v>
      </c>
      <c r="V935" s="1401"/>
      <c r="W935" s="1401"/>
      <c r="X935" s="1401"/>
      <c r="Y935" s="1401"/>
      <c r="Z935" s="1402"/>
      <c r="AA935" s="1406"/>
      <c r="AB935" s="1407"/>
      <c r="AC935" s="1407"/>
      <c r="AD935" s="1407"/>
      <c r="AE935" s="1407"/>
      <c r="AF935" s="1408"/>
      <c r="AZ935" s="30"/>
      <c r="BA935" s="14"/>
    </row>
    <row r="936" spans="6:55" ht="12.95" customHeight="1">
      <c r="F936" s="1706" t="s">
        <v>2201</v>
      </c>
      <c r="G936" s="1707"/>
      <c r="H936" s="1707"/>
      <c r="I936" s="1707"/>
      <c r="J936" s="1707"/>
      <c r="K936" s="1707"/>
      <c r="L936" s="1707"/>
      <c r="M936" s="1707"/>
      <c r="N936" s="1707"/>
      <c r="O936" s="1707"/>
      <c r="P936" s="1707"/>
      <c r="Q936" s="1707"/>
      <c r="R936" s="1707"/>
      <c r="S936" s="1707"/>
      <c r="T936" s="1708"/>
      <c r="U936" s="1400" t="s">
        <v>591</v>
      </c>
      <c r="V936" s="1401"/>
      <c r="W936" s="1401"/>
      <c r="X936" s="1401"/>
      <c r="Y936" s="1401"/>
      <c r="Z936" s="1402"/>
      <c r="AA936" s="1406"/>
      <c r="AB936" s="1407"/>
      <c r="AC936" s="1407"/>
      <c r="AD936" s="1407"/>
      <c r="AE936" s="1407"/>
      <c r="AF936" s="1408"/>
      <c r="AZ936" s="30"/>
      <c r="BA936" s="14"/>
    </row>
    <row r="937" spans="6:55" ht="12.95" customHeight="1">
      <c r="F937" s="1706" t="s">
        <v>2202</v>
      </c>
      <c r="G937" s="1707"/>
      <c r="H937" s="1707"/>
      <c r="I937" s="1707"/>
      <c r="J937" s="1707"/>
      <c r="K937" s="1707"/>
      <c r="L937" s="1707"/>
      <c r="M937" s="1707"/>
      <c r="N937" s="1707"/>
      <c r="O937" s="1707"/>
      <c r="P937" s="1707"/>
      <c r="Q937" s="1707"/>
      <c r="R937" s="1707"/>
      <c r="S937" s="1707"/>
      <c r="T937" s="1708"/>
      <c r="U937" s="1400" t="s">
        <v>591</v>
      </c>
      <c r="V937" s="1401"/>
      <c r="W937" s="1401"/>
      <c r="X937" s="1401"/>
      <c r="Y937" s="1401"/>
      <c r="Z937" s="1402"/>
      <c r="AA937" s="1406"/>
      <c r="AB937" s="1407"/>
      <c r="AC937" s="1407"/>
      <c r="AD937" s="1407"/>
      <c r="AE937" s="1407"/>
      <c r="AF937" s="1408"/>
      <c r="AZ937" s="30"/>
      <c r="BA937" s="30"/>
    </row>
    <row r="938" spans="6:55" ht="12.95" customHeight="1">
      <c r="F938" s="1593" t="s">
        <v>2198</v>
      </c>
      <c r="G938" s="1594"/>
      <c r="H938" s="1594"/>
      <c r="I938" s="1594"/>
      <c r="J938" s="1594"/>
      <c r="K938" s="1594"/>
      <c r="L938" s="1594"/>
      <c r="M938" s="1594"/>
      <c r="N938" s="1594"/>
      <c r="O938" s="1594"/>
      <c r="P938" s="1594"/>
      <c r="Q938" s="1594"/>
      <c r="R938" s="1594"/>
      <c r="S938" s="1594"/>
      <c r="T938" s="1595"/>
      <c r="U938" s="1400" t="s">
        <v>591</v>
      </c>
      <c r="V938" s="1401"/>
      <c r="W938" s="1401"/>
      <c r="X938" s="1401"/>
      <c r="Y938" s="1401"/>
      <c r="Z938" s="1402"/>
      <c r="AA938" s="1406"/>
      <c r="AB938" s="1407"/>
      <c r="AC938" s="1407"/>
      <c r="AD938" s="1407"/>
      <c r="AE938" s="1407"/>
      <c r="AF938" s="1408"/>
      <c r="AZ938" s="30"/>
      <c r="BA938" s="30"/>
    </row>
    <row r="939" spans="6:55" ht="12.95" customHeight="1">
      <c r="F939" s="1593" t="s">
        <v>2199</v>
      </c>
      <c r="G939" s="1594"/>
      <c r="H939" s="1594"/>
      <c r="I939" s="1594"/>
      <c r="J939" s="1594"/>
      <c r="K939" s="1594"/>
      <c r="L939" s="1594"/>
      <c r="M939" s="1594"/>
      <c r="N939" s="1594"/>
      <c r="O939" s="1594"/>
      <c r="P939" s="1594"/>
      <c r="Q939" s="1594"/>
      <c r="R939" s="1594"/>
      <c r="S939" s="1594"/>
      <c r="T939" s="1595"/>
      <c r="U939" s="1400" t="s">
        <v>591</v>
      </c>
      <c r="V939" s="1401"/>
      <c r="W939" s="1401"/>
      <c r="X939" s="1401"/>
      <c r="Y939" s="1401"/>
      <c r="Z939" s="1402"/>
      <c r="AA939" s="1406"/>
      <c r="AB939" s="1407"/>
      <c r="AC939" s="1407"/>
      <c r="AD939" s="1407"/>
      <c r="AE939" s="1407"/>
      <c r="AF939" s="1408"/>
      <c r="AZ939" s="30"/>
      <c r="BA939" s="30"/>
    </row>
    <row r="940" spans="6:55" ht="12.95" customHeight="1">
      <c r="F940" s="1593" t="s">
        <v>2200</v>
      </c>
      <c r="G940" s="1594"/>
      <c r="H940" s="1594"/>
      <c r="I940" s="1594"/>
      <c r="J940" s="1594"/>
      <c r="K940" s="1594"/>
      <c r="L940" s="1594"/>
      <c r="M940" s="1594"/>
      <c r="N940" s="1594"/>
      <c r="O940" s="1594"/>
      <c r="P940" s="1594"/>
      <c r="Q940" s="1594"/>
      <c r="R940" s="1594"/>
      <c r="S940" s="1594"/>
      <c r="T940" s="1595"/>
      <c r="U940" s="1400" t="s">
        <v>591</v>
      </c>
      <c r="V940" s="1401"/>
      <c r="W940" s="1401"/>
      <c r="X940" s="1401"/>
      <c r="Y940" s="1401"/>
      <c r="Z940" s="1402"/>
      <c r="AA940" s="1406"/>
      <c r="AB940" s="1407"/>
      <c r="AC940" s="1407"/>
      <c r="AD940" s="1407"/>
      <c r="AE940" s="1407"/>
      <c r="AF940" s="1408"/>
      <c r="AZ940" s="34"/>
      <c r="BA940" s="34"/>
      <c r="BB940" s="14"/>
      <c r="BC940" s="14"/>
    </row>
    <row r="941" spans="6:55" ht="12.95" customHeight="1">
      <c r="F941" s="121" t="s">
        <v>1261</v>
      </c>
      <c r="G941" s="5"/>
      <c r="H941" s="5"/>
      <c r="I941" s="5"/>
      <c r="J941" s="5"/>
      <c r="K941" s="5"/>
      <c r="L941" s="5"/>
      <c r="M941" s="5"/>
      <c r="N941" s="5"/>
      <c r="O941" s="5"/>
      <c r="P941" s="5"/>
      <c r="Q941" s="5"/>
      <c r="R941" s="5"/>
      <c r="S941" s="5"/>
      <c r="T941" s="46"/>
      <c r="U941" s="1400" t="s">
        <v>591</v>
      </c>
      <c r="V941" s="1401"/>
      <c r="W941" s="1401"/>
      <c r="X941" s="1401"/>
      <c r="Y941" s="1401"/>
      <c r="Z941" s="1402"/>
      <c r="AA941" s="1406"/>
      <c r="AB941" s="1407"/>
      <c r="AC941" s="1407"/>
      <c r="AD941" s="1407"/>
      <c r="AE941" s="1407"/>
      <c r="AF941" s="1408"/>
      <c r="AZ941" s="34"/>
      <c r="BA941" s="34"/>
      <c r="BB941" s="14"/>
      <c r="BC941" s="14"/>
    </row>
    <row r="942" spans="6:55" ht="12.95" customHeight="1">
      <c r="F942" s="1706" t="s">
        <v>2203</v>
      </c>
      <c r="G942" s="1707"/>
      <c r="H942" s="1707"/>
      <c r="I942" s="1707"/>
      <c r="J942" s="1707"/>
      <c r="K942" s="1707"/>
      <c r="L942" s="1707"/>
      <c r="M942" s="1707"/>
      <c r="N942" s="1707"/>
      <c r="O942" s="1707"/>
      <c r="P942" s="1707"/>
      <c r="Q942" s="1707"/>
      <c r="R942" s="1707"/>
      <c r="S942" s="1707"/>
      <c r="T942" s="1708"/>
      <c r="U942" s="1400" t="s">
        <v>591</v>
      </c>
      <c r="V942" s="1401"/>
      <c r="W942" s="1401"/>
      <c r="X942" s="1401"/>
      <c r="Y942" s="1401"/>
      <c r="Z942" s="1402"/>
      <c r="AA942" s="1406"/>
      <c r="AB942" s="1407"/>
      <c r="AC942" s="1407"/>
      <c r="AD942" s="1407"/>
      <c r="AE942" s="1407"/>
      <c r="AF942" s="1408"/>
      <c r="AZ942" s="34"/>
      <c r="BA942" s="34"/>
      <c r="BB942" s="34"/>
      <c r="BC942" s="34"/>
    </row>
    <row r="943" spans="6:55" ht="12.95" customHeight="1">
      <c r="F943" s="121" t="s">
        <v>1262</v>
      </c>
      <c r="G943" s="5"/>
      <c r="H943" s="5"/>
      <c r="I943" s="5"/>
      <c r="J943" s="5"/>
      <c r="K943" s="5"/>
      <c r="L943" s="5"/>
      <c r="M943" s="5"/>
      <c r="N943" s="5"/>
      <c r="O943" s="5"/>
      <c r="P943" s="5"/>
      <c r="Q943" s="5"/>
      <c r="R943" s="5"/>
      <c r="S943" s="5"/>
      <c r="T943" s="46"/>
      <c r="U943" s="1400" t="s">
        <v>591</v>
      </c>
      <c r="V943" s="1401"/>
      <c r="W943" s="1401"/>
      <c r="X943" s="1401"/>
      <c r="Y943" s="1401"/>
      <c r="Z943" s="1402"/>
      <c r="AA943" s="1406"/>
      <c r="AB943" s="1407"/>
      <c r="AC943" s="1407"/>
      <c r="AD943" s="1407"/>
      <c r="AE943" s="1407"/>
      <c r="AF943" s="1408"/>
      <c r="AZ943" s="34"/>
      <c r="BA943" s="34"/>
      <c r="BB943" s="34"/>
      <c r="BC943" s="34"/>
    </row>
    <row r="944" spans="6:55" ht="12.95" customHeight="1">
      <c r="F944" s="1706" t="s">
        <v>2204</v>
      </c>
      <c r="G944" s="1707"/>
      <c r="H944" s="1707"/>
      <c r="I944" s="1707"/>
      <c r="J944" s="1707"/>
      <c r="K944" s="1707"/>
      <c r="L944" s="1707"/>
      <c r="M944" s="1707"/>
      <c r="N944" s="1707"/>
      <c r="O944" s="1707"/>
      <c r="P944" s="1707"/>
      <c r="Q944" s="1707"/>
      <c r="R944" s="1707"/>
      <c r="S944" s="1707"/>
      <c r="T944" s="1708"/>
      <c r="U944" s="1400" t="s">
        <v>591</v>
      </c>
      <c r="V944" s="1401"/>
      <c r="W944" s="1401"/>
      <c r="X944" s="1401"/>
      <c r="Y944" s="1401"/>
      <c r="Z944" s="1402"/>
      <c r="AA944" s="1406"/>
      <c r="AB944" s="1407"/>
      <c r="AC944" s="1407"/>
      <c r="AD944" s="1407"/>
      <c r="AE944" s="1407"/>
      <c r="AF944" s="1408"/>
      <c r="AZ944" s="34"/>
      <c r="BA944" s="34"/>
      <c r="BB944" s="34"/>
      <c r="BC944" s="34"/>
    </row>
    <row r="945" spans="1:55" ht="12.95" customHeight="1">
      <c r="F945" s="45" t="s">
        <v>806</v>
      </c>
      <c r="G945" s="5"/>
      <c r="H945" s="5"/>
      <c r="I945" s="5"/>
      <c r="J945" s="5"/>
      <c r="K945" s="5"/>
      <c r="L945" s="5"/>
      <c r="M945" s="5"/>
      <c r="N945" s="5"/>
      <c r="O945" s="5"/>
      <c r="P945" s="1400" t="s">
        <v>669</v>
      </c>
      <c r="Q945" s="1401"/>
      <c r="R945" s="1401"/>
      <c r="S945" s="1401"/>
      <c r="T945" s="1402"/>
      <c r="U945" s="1400" t="s">
        <v>591</v>
      </c>
      <c r="V945" s="1401"/>
      <c r="W945" s="1401"/>
      <c r="X945" s="1401"/>
      <c r="Y945" s="1401"/>
      <c r="Z945" s="1402"/>
      <c r="AA945" s="1406"/>
      <c r="AB945" s="1407"/>
      <c r="AC945" s="1407"/>
      <c r="AD945" s="1407"/>
      <c r="AE945" s="1407"/>
      <c r="AF945" s="1408"/>
      <c r="AZ945" s="34"/>
      <c r="BA945" s="34"/>
      <c r="BB945" s="34"/>
      <c r="BC945" s="34"/>
    </row>
    <row r="946" spans="1:55" ht="12.95" customHeight="1">
      <c r="F946" s="1593" t="s">
        <v>2191</v>
      </c>
      <c r="G946" s="1594"/>
      <c r="H946" s="1595"/>
      <c r="I946" s="1543" t="s">
        <v>333</v>
      </c>
      <c r="J946" s="1582"/>
      <c r="K946" s="1582"/>
      <c r="L946" s="1582"/>
      <c r="M946" s="1582"/>
      <c r="N946" s="1582"/>
      <c r="O946" s="1582"/>
      <c r="P946" s="1582"/>
      <c r="Q946" s="1582"/>
      <c r="R946" s="1582"/>
      <c r="S946" s="1582"/>
      <c r="T946" s="1583"/>
      <c r="U946" s="1400" t="s">
        <v>591</v>
      </c>
      <c r="V946" s="1401"/>
      <c r="W946" s="1401"/>
      <c r="X946" s="1401"/>
      <c r="Y946" s="1401"/>
      <c r="Z946" s="1402"/>
      <c r="AA946" s="1406"/>
      <c r="AB946" s="1407"/>
      <c r="AC946" s="1407"/>
      <c r="AD946" s="1407"/>
      <c r="AE946" s="1407"/>
      <c r="AF946" s="1408"/>
      <c r="AZ946" s="34"/>
      <c r="BA946" s="34"/>
      <c r="BB946" s="34"/>
      <c r="BC946" s="34"/>
    </row>
    <row r="947" spans="1:55" ht="12.95" customHeight="1">
      <c r="F947" s="45" t="s">
        <v>86</v>
      </c>
      <c r="G947" s="48"/>
      <c r="H947" s="48"/>
      <c r="I947" s="1543" t="s">
        <v>2699</v>
      </c>
      <c r="J947" s="1582"/>
      <c r="K947" s="1582"/>
      <c r="L947" s="1582"/>
      <c r="M947" s="1582"/>
      <c r="N947" s="1582"/>
      <c r="O947" s="1582"/>
      <c r="P947" s="1582"/>
      <c r="Q947" s="1582"/>
      <c r="R947" s="1582"/>
      <c r="S947" s="1582"/>
      <c r="T947" s="1583"/>
      <c r="U947" s="1400" t="s">
        <v>545</v>
      </c>
      <c r="V947" s="1401"/>
      <c r="W947" s="1401"/>
      <c r="X947" s="1401"/>
      <c r="Y947" s="1401"/>
      <c r="Z947" s="1402"/>
      <c r="AA947" s="1406">
        <f>AO628</f>
        <v>15424666</v>
      </c>
      <c r="AB947" s="1407"/>
      <c r="AC947" s="1407"/>
      <c r="AD947" s="1407"/>
      <c r="AE947" s="1407"/>
      <c r="AF947" s="1408"/>
      <c r="AZ947" s="34"/>
      <c r="BA947" s="34"/>
      <c r="BB947" s="34"/>
      <c r="BC947" s="34"/>
    </row>
    <row r="948" spans="1:55" ht="12.95" customHeight="1">
      <c r="F948" s="45" t="s">
        <v>10</v>
      </c>
      <c r="G948" s="48"/>
      <c r="H948" s="48"/>
      <c r="I948" s="1543" t="s">
        <v>2719</v>
      </c>
      <c r="J948" s="1544"/>
      <c r="K948" s="1544"/>
      <c r="L948" s="1544"/>
      <c r="M948" s="1544"/>
      <c r="N948" s="1544"/>
      <c r="O948" s="1544"/>
      <c r="P948" s="1544"/>
      <c r="Q948" s="1544"/>
      <c r="R948" s="1544"/>
      <c r="S948" s="1544"/>
      <c r="T948" s="1545"/>
      <c r="U948" s="1400" t="s">
        <v>545</v>
      </c>
      <c r="V948" s="1401"/>
      <c r="W948" s="1401"/>
      <c r="X948" s="1401"/>
      <c r="Y948" s="1401"/>
      <c r="Z948" s="1402"/>
      <c r="AA948" s="1406">
        <f>AO629</f>
        <v>1800000</v>
      </c>
      <c r="AB948" s="1407"/>
      <c r="AC948" s="1407"/>
      <c r="AD948" s="1407"/>
      <c r="AE948" s="1407"/>
      <c r="AF948" s="1408"/>
      <c r="AV948" s="2"/>
      <c r="AW948" s="2"/>
      <c r="AX948" s="2"/>
      <c r="AY948" s="2"/>
      <c r="AZ948" s="34"/>
      <c r="BA948" s="34"/>
      <c r="BB948" s="34"/>
      <c r="BC948" s="34"/>
    </row>
    <row r="949" spans="1:55" ht="12.95" customHeight="1">
      <c r="F949" s="47" t="s">
        <v>169</v>
      </c>
      <c r="G949" s="48"/>
      <c r="H949" s="48"/>
      <c r="I949" s="1543" t="s">
        <v>333</v>
      </c>
      <c r="J949" s="1544"/>
      <c r="K949" s="1544"/>
      <c r="L949" s="1544"/>
      <c r="M949" s="1544"/>
      <c r="N949" s="1544"/>
      <c r="O949" s="1544"/>
      <c r="P949" s="1544"/>
      <c r="Q949" s="1544"/>
      <c r="R949" s="1544"/>
      <c r="S949" s="1544"/>
      <c r="T949" s="1545"/>
      <c r="U949" s="1400" t="s">
        <v>591</v>
      </c>
      <c r="V949" s="1401"/>
      <c r="W949" s="1401"/>
      <c r="X949" s="1401"/>
      <c r="Y949" s="1401"/>
      <c r="Z949" s="1402"/>
      <c r="AA949" s="1406"/>
      <c r="AB949" s="1407"/>
      <c r="AC949" s="1407"/>
      <c r="AD949" s="1407"/>
      <c r="AE949" s="1407"/>
      <c r="AF949" s="1408"/>
      <c r="AU949" s="2"/>
      <c r="AZ949" s="34"/>
      <c r="BA949" s="34"/>
      <c r="BB949" s="34"/>
      <c r="BC949" s="34"/>
    </row>
    <row r="950" spans="1:55" ht="12.95" customHeight="1">
      <c r="F950" s="47" t="s">
        <v>169</v>
      </c>
      <c r="G950" s="48"/>
      <c r="H950" s="48"/>
      <c r="I950" s="1543" t="s">
        <v>333</v>
      </c>
      <c r="J950" s="1544"/>
      <c r="K950" s="1544"/>
      <c r="L950" s="1544"/>
      <c r="M950" s="1544"/>
      <c r="N950" s="1544"/>
      <c r="O950" s="1544"/>
      <c r="P950" s="1544"/>
      <c r="Q950" s="1544"/>
      <c r="R950" s="1544"/>
      <c r="S950" s="1544"/>
      <c r="T950" s="1545"/>
      <c r="U950" s="1400" t="s">
        <v>591</v>
      </c>
      <c r="V950" s="1401"/>
      <c r="W950" s="1401"/>
      <c r="X950" s="1401"/>
      <c r="Y950" s="1401"/>
      <c r="Z950" s="1402"/>
      <c r="AA950" s="1406"/>
      <c r="AB950" s="1407"/>
      <c r="AC950" s="1407"/>
      <c r="AD950" s="1407"/>
      <c r="AE950" s="1407"/>
      <c r="AF950" s="1408"/>
      <c r="AU950" s="2"/>
      <c r="AZ950" s="34"/>
      <c r="BA950" s="34"/>
      <c r="BB950" s="34"/>
      <c r="BC950" s="34"/>
    </row>
    <row r="951" spans="1:55" ht="12.95" customHeight="1">
      <c r="AU951" s="2"/>
      <c r="AZ951" s="34"/>
      <c r="BA951" s="34"/>
      <c r="BB951" s="34"/>
      <c r="BC951" s="34"/>
    </row>
    <row r="952" spans="1:55" ht="12.95" customHeight="1">
      <c r="A952" s="2" t="s">
        <v>576</v>
      </c>
      <c r="C952" s="2" t="s">
        <v>751</v>
      </c>
      <c r="AZ952" s="34"/>
      <c r="BA952" s="34"/>
      <c r="BB952" s="34"/>
      <c r="BC952" s="34"/>
    </row>
    <row r="953" spans="1:55" ht="12.95"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40"/>
      <c r="N955" s="1541"/>
      <c r="O955" s="1541"/>
      <c r="P955" s="1541"/>
      <c r="Q955" s="1541"/>
      <c r="R955" s="1541"/>
      <c r="S955" s="1542"/>
      <c r="U955" s="66" t="s">
        <v>11</v>
      </c>
      <c r="V955" s="5"/>
      <c r="W955" s="5"/>
      <c r="X955" s="5"/>
      <c r="Y955" s="5"/>
      <c r="Z955" s="5"/>
      <c r="AA955" s="5"/>
      <c r="AB955" s="5"/>
      <c r="AC955" s="5"/>
      <c r="AD955" s="46"/>
      <c r="AE955" s="1540"/>
      <c r="AF955" s="1541"/>
      <c r="AG955" s="1541"/>
      <c r="AH955" s="1541"/>
      <c r="AI955" s="1541"/>
      <c r="AJ955" s="1541"/>
      <c r="AK955" s="1542"/>
      <c r="AZ955" s="34"/>
      <c r="BA955" s="34"/>
      <c r="BB955" s="34"/>
      <c r="BC955" s="34"/>
    </row>
    <row r="956" spans="1:55" ht="12.95" customHeight="1">
      <c r="C956" s="66" t="s">
        <v>12</v>
      </c>
      <c r="D956" s="5"/>
      <c r="E956" s="5"/>
      <c r="F956" s="5"/>
      <c r="G956" s="5"/>
      <c r="H956" s="5"/>
      <c r="I956" s="5"/>
      <c r="J956" s="5"/>
      <c r="K956" s="5"/>
      <c r="L956" s="46"/>
      <c r="M956" s="1552"/>
      <c r="N956" s="1553"/>
      <c r="O956" s="1553"/>
      <c r="P956" s="1553"/>
      <c r="Q956" s="1553"/>
      <c r="R956" s="1553"/>
      <c r="S956" s="1554"/>
      <c r="U956" s="66" t="s">
        <v>12</v>
      </c>
      <c r="V956" s="5"/>
      <c r="W956" s="5"/>
      <c r="X956" s="5"/>
      <c r="Y956" s="5"/>
      <c r="Z956" s="5"/>
      <c r="AA956" s="5"/>
      <c r="AB956" s="5"/>
      <c r="AC956" s="5"/>
      <c r="AD956" s="46"/>
      <c r="AE956" s="1552"/>
      <c r="AF956" s="1553"/>
      <c r="AG956" s="1553"/>
      <c r="AH956" s="1553"/>
      <c r="AI956" s="1553"/>
      <c r="AJ956" s="1553"/>
      <c r="AK956" s="1554"/>
      <c r="AZ956" s="34"/>
      <c r="BA956" s="34"/>
      <c r="BB956" s="34"/>
      <c r="BC956" s="34"/>
    </row>
    <row r="957" spans="1:55" ht="12.95" customHeight="1">
      <c r="C957" s="66" t="s">
        <v>880</v>
      </c>
      <c r="D957" s="5"/>
      <c r="E957" s="5"/>
      <c r="J957" s="1416" t="s">
        <v>306</v>
      </c>
      <c r="K957" s="1417"/>
      <c r="L957" s="1417"/>
      <c r="M957" s="1417"/>
      <c r="N957" s="1417"/>
      <c r="O957" s="1417"/>
      <c r="P957" s="1417"/>
      <c r="Q957" s="1417"/>
      <c r="R957" s="1417"/>
      <c r="S957" s="1418"/>
      <c r="U957" s="66" t="s">
        <v>880</v>
      </c>
      <c r="V957" s="5"/>
      <c r="W957" s="5"/>
      <c r="AB957" s="1416" t="s">
        <v>306</v>
      </c>
      <c r="AC957" s="1417"/>
      <c r="AD957" s="1417"/>
      <c r="AE957" s="1417"/>
      <c r="AF957" s="1417"/>
      <c r="AG957" s="1417"/>
      <c r="AH957" s="1417"/>
      <c r="AI957" s="1417"/>
      <c r="AJ957" s="1417"/>
      <c r="AK957" s="1418"/>
      <c r="AZ957" s="34"/>
      <c r="BA957" s="34"/>
      <c r="BB957" s="34"/>
      <c r="BC957" s="34"/>
    </row>
    <row r="958" spans="1:55" ht="12.95" customHeight="1">
      <c r="C958" s="66" t="s">
        <v>13</v>
      </c>
      <c r="D958" s="5"/>
      <c r="E958" s="5"/>
      <c r="F958" s="5"/>
      <c r="G958" s="5"/>
      <c r="H958" s="5"/>
      <c r="I958" s="5"/>
      <c r="J958" s="5"/>
      <c r="K958" s="5"/>
      <c r="L958" s="46"/>
      <c r="M958" s="1597"/>
      <c r="N958" s="1585"/>
      <c r="O958" s="1585"/>
      <c r="P958" s="1585"/>
      <c r="Q958" s="1585"/>
      <c r="R958" s="1585"/>
      <c r="S958" s="1586"/>
      <c r="U958" s="66" t="s">
        <v>13</v>
      </c>
      <c r="V958" s="5"/>
      <c r="W958" s="5"/>
      <c r="X958" s="5"/>
      <c r="Y958" s="5"/>
      <c r="Z958" s="5"/>
      <c r="AA958" s="5"/>
      <c r="AB958" s="5"/>
      <c r="AC958" s="5"/>
      <c r="AD958" s="46"/>
      <c r="AE958" s="1584"/>
      <c r="AF958" s="1585"/>
      <c r="AG958" s="1585"/>
      <c r="AH958" s="1585"/>
      <c r="AI958" s="1585"/>
      <c r="AJ958" s="1585"/>
      <c r="AK958" s="1586"/>
      <c r="AZ958" s="34"/>
      <c r="BA958" s="34"/>
      <c r="BB958" s="34"/>
      <c r="BC958" s="34"/>
    </row>
    <row r="959" spans="1:55" ht="12.95" customHeight="1">
      <c r="C959" s="66" t="s">
        <v>14</v>
      </c>
      <c r="D959" s="5"/>
      <c r="E959" s="5"/>
      <c r="F959" s="5"/>
      <c r="G959" s="5"/>
      <c r="H959" s="5"/>
      <c r="I959" s="5"/>
      <c r="J959" s="5"/>
      <c r="K959" s="5"/>
      <c r="L959" s="46"/>
      <c r="M959" s="1558"/>
      <c r="N959" s="1559"/>
      <c r="O959" s="1559"/>
      <c r="P959" s="1559"/>
      <c r="Q959" s="1559"/>
      <c r="R959" s="1559"/>
      <c r="S959" s="1560"/>
      <c r="U959" s="66" t="s">
        <v>14</v>
      </c>
      <c r="V959" s="5"/>
      <c r="W959" s="5"/>
      <c r="X959" s="5"/>
      <c r="Y959" s="5"/>
      <c r="Z959" s="5"/>
      <c r="AA959" s="5"/>
      <c r="AB959" s="5"/>
      <c r="AC959" s="5"/>
      <c r="AD959" s="46"/>
      <c r="AE959" s="1558"/>
      <c r="AF959" s="1559"/>
      <c r="AG959" s="1559"/>
      <c r="AH959" s="1559"/>
      <c r="AI959" s="1559"/>
      <c r="AJ959" s="1559"/>
      <c r="AK959" s="1560"/>
      <c r="AV959" s="2"/>
      <c r="AW959" s="2"/>
      <c r="AX959" s="2"/>
      <c r="AY959" s="2"/>
      <c r="AZ959" s="34"/>
      <c r="BA959" s="34"/>
      <c r="BB959" s="34"/>
      <c r="BC959" s="34"/>
    </row>
    <row r="960" spans="1:55" ht="12.95" customHeight="1">
      <c r="C960" s="66" t="s">
        <v>15</v>
      </c>
      <c r="D960" s="5"/>
      <c r="E960" s="5"/>
      <c r="F960" s="5"/>
      <c r="G960" s="5"/>
      <c r="H960" s="5"/>
      <c r="I960" s="5"/>
      <c r="J960" s="5"/>
      <c r="K960" s="5"/>
      <c r="L960" s="46"/>
      <c r="M960" s="1406"/>
      <c r="N960" s="1407"/>
      <c r="O960" s="1407"/>
      <c r="P960" s="1407"/>
      <c r="Q960" s="1407"/>
      <c r="R960" s="1407"/>
      <c r="S960" s="1408"/>
      <c r="U960" s="66" t="s">
        <v>15</v>
      </c>
      <c r="V960" s="5"/>
      <c r="W960" s="5"/>
      <c r="X960" s="5"/>
      <c r="Y960" s="5"/>
      <c r="Z960" s="5"/>
      <c r="AA960" s="5"/>
      <c r="AB960" s="5"/>
      <c r="AC960" s="5"/>
      <c r="AD960" s="46"/>
      <c r="AE960" s="1406"/>
      <c r="AF960" s="1407"/>
      <c r="AG960" s="1407"/>
      <c r="AH960" s="1407"/>
      <c r="AI960" s="1407"/>
      <c r="AJ960" s="1407"/>
      <c r="AK960" s="1408"/>
      <c r="AV960" s="2"/>
      <c r="AW960" s="2"/>
      <c r="AX960" s="2"/>
      <c r="AY960" s="2"/>
      <c r="AZ960" s="34"/>
      <c r="BA960" s="34"/>
      <c r="BB960" s="34"/>
      <c r="BC960" s="34"/>
    </row>
    <row r="961" spans="1:64" ht="12.95" customHeight="1">
      <c r="C961" s="66" t="s">
        <v>16</v>
      </c>
      <c r="D961" s="5"/>
      <c r="E961" s="5"/>
      <c r="F961" s="5"/>
      <c r="G961" s="5"/>
      <c r="H961" s="5"/>
      <c r="I961" s="5"/>
      <c r="J961" s="5"/>
      <c r="K961" s="5"/>
      <c r="L961" s="46"/>
      <c r="M961" s="1406"/>
      <c r="N961" s="1407"/>
      <c r="O961" s="1407"/>
      <c r="P961" s="1407"/>
      <c r="Q961" s="1407"/>
      <c r="R961" s="1407"/>
      <c r="S961" s="1408"/>
      <c r="U961" s="66" t="s">
        <v>16</v>
      </c>
      <c r="V961" s="5"/>
      <c r="W961" s="5"/>
      <c r="X961" s="5"/>
      <c r="Y961" s="5"/>
      <c r="Z961" s="5"/>
      <c r="AA961" s="5"/>
      <c r="AB961" s="5"/>
      <c r="AC961" s="5"/>
      <c r="AD961" s="46"/>
      <c r="AE961" s="1406"/>
      <c r="AF961" s="1407"/>
      <c r="AG961" s="1407"/>
      <c r="AH961" s="1407"/>
      <c r="AI961" s="1407"/>
      <c r="AJ961" s="1407"/>
      <c r="AK961" s="1408"/>
      <c r="AV961" s="2"/>
      <c r="AW961" s="2"/>
      <c r="AX961" s="2"/>
      <c r="AY961" s="2"/>
      <c r="AZ961" s="34"/>
      <c r="BB961" s="34"/>
      <c r="BC961" s="34"/>
    </row>
    <row r="962" spans="1:64" ht="12.95" customHeight="1">
      <c r="C962" s="121" t="s">
        <v>1661</v>
      </c>
      <c r="D962" s="5"/>
      <c r="E962" s="5"/>
      <c r="F962" s="5"/>
      <c r="G962" s="5"/>
      <c r="H962" s="5"/>
      <c r="I962" s="5"/>
      <c r="J962" s="5"/>
      <c r="K962" s="5"/>
      <c r="L962" s="46"/>
      <c r="M962" s="1403"/>
      <c r="N962" s="1404"/>
      <c r="O962" s="1404"/>
      <c r="P962" s="1404"/>
      <c r="Q962" s="1404"/>
      <c r="R962" s="1404"/>
      <c r="S962" s="1405"/>
      <c r="U962" s="121" t="s">
        <v>1661</v>
      </c>
      <c r="V962" s="5"/>
      <c r="W962" s="5"/>
      <c r="X962" s="5"/>
      <c r="Y962" s="5"/>
      <c r="Z962" s="5"/>
      <c r="AA962" s="5"/>
      <c r="AB962" s="5"/>
      <c r="AC962" s="5"/>
      <c r="AD962" s="46"/>
      <c r="AE962" s="1403"/>
      <c r="AF962" s="1404"/>
      <c r="AG962" s="1404"/>
      <c r="AH962" s="1404"/>
      <c r="AI962" s="1404"/>
      <c r="AJ962" s="1404"/>
      <c r="AK962" s="1405"/>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179</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571</v>
      </c>
      <c r="G967" s="5"/>
      <c r="H967" s="5"/>
      <c r="I967" s="5"/>
      <c r="J967" s="5"/>
      <c r="K967" s="5"/>
      <c r="L967" s="46"/>
      <c r="M967" s="1419"/>
      <c r="N967" s="1420"/>
      <c r="O967" s="1420"/>
      <c r="P967" s="1420"/>
      <c r="Q967" s="1420"/>
      <c r="R967" s="1420"/>
      <c r="S967" s="1421"/>
      <c r="T967" s="66" t="s">
        <v>790</v>
      </c>
      <c r="U967" s="5"/>
      <c r="V967" s="5"/>
      <c r="W967" s="5"/>
      <c r="X967" s="5"/>
      <c r="Y967" s="5"/>
      <c r="Z967" s="46"/>
      <c r="AA967" s="1419"/>
      <c r="AB967" s="1420"/>
      <c r="AC967" s="1420"/>
      <c r="AD967" s="1420"/>
      <c r="AE967" s="1420"/>
      <c r="AF967" s="1420"/>
      <c r="AG967" s="1421"/>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572</v>
      </c>
      <c r="G968" s="5"/>
      <c r="H968" s="5"/>
      <c r="I968" s="5"/>
      <c r="J968" s="5"/>
      <c r="K968" s="5"/>
      <c r="L968" s="46"/>
      <c r="M968" s="1419"/>
      <c r="N968" s="1420"/>
      <c r="O968" s="1420"/>
      <c r="P968" s="1420"/>
      <c r="Q968" s="1420"/>
      <c r="R968" s="1420"/>
      <c r="S968" s="1421"/>
      <c r="T968" s="66" t="s">
        <v>789</v>
      </c>
      <c r="U968" s="5"/>
      <c r="V968" s="5"/>
      <c r="W968" s="5"/>
      <c r="X968" s="5"/>
      <c r="Y968" s="5"/>
      <c r="Z968" s="46"/>
      <c r="AA968" s="1419"/>
      <c r="AB968" s="1420"/>
      <c r="AC968" s="1420"/>
      <c r="AD968" s="1420"/>
      <c r="AE968" s="1420"/>
      <c r="AF968" s="1420"/>
      <c r="AG968" s="1421"/>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901</v>
      </c>
      <c r="G969" s="5"/>
      <c r="H969" s="5"/>
      <c r="I969" s="5"/>
      <c r="J969" s="5"/>
      <c r="K969" s="5"/>
      <c r="L969" s="46"/>
      <c r="M969" s="1631" t="s">
        <v>591</v>
      </c>
      <c r="N969" s="1632"/>
      <c r="O969" s="1632"/>
      <c r="P969" s="1632"/>
      <c r="Q969" s="1632"/>
      <c r="R969" s="1632"/>
      <c r="S969" s="1633"/>
      <c r="T969" s="45" t="s">
        <v>336</v>
      </c>
      <c r="U969" s="5"/>
      <c r="V969" s="5"/>
      <c r="W969" s="5"/>
      <c r="X969" s="5"/>
      <c r="Y969" s="5"/>
      <c r="Z969" s="46"/>
      <c r="AA969" s="1419"/>
      <c r="AB969" s="1420"/>
      <c r="AC969" s="1420"/>
      <c r="AD969" s="1420"/>
      <c r="AE969" s="1420"/>
      <c r="AF969" s="1420"/>
      <c r="AG969" s="1421"/>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573</v>
      </c>
      <c r="G970" s="5"/>
      <c r="H970" s="5"/>
      <c r="I970" s="5"/>
      <c r="J970" s="5"/>
      <c r="K970" s="5"/>
      <c r="L970" s="46"/>
      <c r="M970" s="1419"/>
      <c r="N970" s="1420"/>
      <c r="O970" s="1420"/>
      <c r="P970" s="1420"/>
      <c r="Q970" s="1420"/>
      <c r="R970" s="1420"/>
      <c r="S970" s="1421"/>
      <c r="T970" s="45" t="s">
        <v>337</v>
      </c>
      <c r="U970" s="5"/>
      <c r="V970" s="5"/>
      <c r="W970" s="5"/>
      <c r="X970" s="5"/>
      <c r="Y970" s="5"/>
      <c r="Z970" s="46"/>
      <c r="AA970" s="1419"/>
      <c r="AB970" s="1420"/>
      <c r="AC970" s="1420"/>
      <c r="AD970" s="1420"/>
      <c r="AE970" s="1420"/>
      <c r="AF970" s="1420"/>
      <c r="AG970" s="1421"/>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464</v>
      </c>
      <c r="G971" s="5"/>
      <c r="H971" s="5"/>
      <c r="I971" s="5"/>
      <c r="J971" s="5"/>
      <c r="K971" s="5"/>
      <c r="L971" s="46"/>
      <c r="M971" s="1419"/>
      <c r="N971" s="1420"/>
      <c r="O971" s="1420"/>
      <c r="P971" s="1420"/>
      <c r="Q971" s="1420"/>
      <c r="R971" s="1420"/>
      <c r="S971" s="1421"/>
      <c r="T971" s="45" t="s">
        <v>375</v>
      </c>
      <c r="U971" s="5"/>
      <c r="V971" s="5"/>
      <c r="W971" s="5"/>
      <c r="X971" s="5"/>
      <c r="Y971" s="5"/>
      <c r="Z971" s="46"/>
      <c r="AA971" s="1419"/>
      <c r="AB971" s="1420"/>
      <c r="AC971" s="1420"/>
      <c r="AD971" s="1420"/>
      <c r="AE971" s="1420"/>
      <c r="AF971" s="1420"/>
      <c r="AG971" s="1421"/>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880</v>
      </c>
      <c r="G972" s="42"/>
      <c r="H972" s="42"/>
      <c r="I972" s="42"/>
      <c r="J972" s="42"/>
      <c r="K972" s="42"/>
      <c r="L972" s="58"/>
      <c r="M972" s="1416" t="s">
        <v>306</v>
      </c>
      <c r="N972" s="1417"/>
      <c r="O972" s="1417"/>
      <c r="P972" s="1417"/>
      <c r="Q972" s="1417"/>
      <c r="R972" s="1417"/>
      <c r="S972" s="1418"/>
      <c r="T972" s="1555"/>
      <c r="U972" s="1556"/>
      <c r="V972" s="1556"/>
      <c r="W972" s="1556"/>
      <c r="X972" s="1556"/>
      <c r="Y972" s="1556"/>
      <c r="Z972" s="1557"/>
      <c r="AA972" s="1419"/>
      <c r="AB972" s="1420"/>
      <c r="AC972" s="1420"/>
      <c r="AD972" s="1420"/>
      <c r="AE972" s="1420"/>
      <c r="AF972" s="1420"/>
      <c r="AG972" s="1421"/>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465</v>
      </c>
      <c r="G973" s="42"/>
      <c r="H973" s="42"/>
      <c r="I973" s="42"/>
      <c r="J973" s="42"/>
      <c r="K973" s="42"/>
      <c r="L973" s="58"/>
      <c r="M973" s="1419"/>
      <c r="N973" s="1420"/>
      <c r="O973" s="1420"/>
      <c r="P973" s="1420"/>
      <c r="Q973" s="1420"/>
      <c r="R973" s="1420"/>
      <c r="S973" s="1421"/>
      <c r="T973" s="1555"/>
      <c r="U973" s="1556"/>
      <c r="V973" s="1556"/>
      <c r="W973" s="1556"/>
      <c r="X973" s="1556"/>
      <c r="Y973" s="1556"/>
      <c r="Z973" s="1557"/>
      <c r="AA973" s="1419"/>
      <c r="AB973" s="1420"/>
      <c r="AC973" s="1420"/>
      <c r="AD973" s="1420"/>
      <c r="AE973" s="1420"/>
      <c r="AF973" s="1420"/>
      <c r="AG973" s="1421"/>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335</v>
      </c>
      <c r="G974" s="42"/>
      <c r="H974" s="42"/>
      <c r="I974" s="42"/>
      <c r="J974" s="42"/>
      <c r="K974" s="42"/>
      <c r="L974" s="42"/>
      <c r="M974" s="42"/>
      <c r="N974" s="42"/>
      <c r="O974" s="1572" t="s">
        <v>669</v>
      </c>
      <c r="P974" s="1573"/>
      <c r="Q974" s="92"/>
      <c r="R974" s="92"/>
      <c r="S974" s="93"/>
      <c r="T974" s="41" t="s">
        <v>169</v>
      </c>
      <c r="U974" s="42"/>
      <c r="V974" s="42"/>
      <c r="W974" s="1561" t="s">
        <v>333</v>
      </c>
      <c r="X974" s="1562"/>
      <c r="Y974" s="1562"/>
      <c r="Z974" s="1562"/>
      <c r="AA974" s="1562"/>
      <c r="AB974" s="1562"/>
      <c r="AC974" s="1562"/>
      <c r="AD974" s="1562"/>
      <c r="AE974" s="1562"/>
      <c r="AF974" s="1562"/>
      <c r="AG974" s="1563"/>
      <c r="AU974" s="68"/>
      <c r="AV974" s="95"/>
      <c r="AW974" s="95"/>
      <c r="AX974" s="95"/>
      <c r="AY974" s="95"/>
      <c r="AZ974" s="34"/>
      <c r="BB974" s="34"/>
      <c r="BC974" s="34"/>
      <c r="BD974" s="34"/>
      <c r="BE974" s="34"/>
      <c r="BF974" s="34"/>
      <c r="BG974" s="34"/>
      <c r="BH974" s="34"/>
      <c r="BI974" s="34"/>
      <c r="BJ974" s="34"/>
      <c r="BK974" s="34"/>
      <c r="BL974" s="34"/>
    </row>
    <row r="975" spans="1:64" ht="12.95" customHeight="1">
      <c r="F975" s="1596" t="s">
        <v>33</v>
      </c>
      <c r="G975" s="1358"/>
      <c r="H975" s="1358"/>
      <c r="I975" s="1358"/>
      <c r="J975" s="1358"/>
      <c r="K975" s="1358"/>
      <c r="L975" s="1358"/>
      <c r="M975" s="1419"/>
      <c r="N975" s="1420"/>
      <c r="O975" s="1420"/>
      <c r="P975" s="1420"/>
      <c r="Q975" s="1420"/>
      <c r="R975" s="1420"/>
      <c r="S975" s="1421"/>
      <c r="T975" s="47"/>
      <c r="U975" s="48"/>
      <c r="V975" s="48"/>
      <c r="W975" s="48"/>
      <c r="X975" s="48"/>
      <c r="Y975" s="48"/>
      <c r="Z975" s="124" t="s">
        <v>134</v>
      </c>
      <c r="AA975" s="1579"/>
      <c r="AB975" s="1580"/>
      <c r="AC975" s="1580"/>
      <c r="AD975" s="1580"/>
      <c r="AE975" s="1580"/>
      <c r="AF975" s="1580"/>
      <c r="AG975" s="1581"/>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21"/>
      <c r="BH976" s="1621"/>
      <c r="BI976" s="1621"/>
      <c r="BJ976" s="1621"/>
      <c r="BK976" s="1621"/>
      <c r="BL976" s="1621"/>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435" t="s">
        <v>548</v>
      </c>
      <c r="B979" s="1435"/>
      <c r="C979" s="1435"/>
      <c r="D979" s="1435"/>
      <c r="E979" s="1435"/>
      <c r="F979" s="1435"/>
      <c r="G979" s="1435"/>
      <c r="H979" s="1435"/>
      <c r="I979" s="1435"/>
      <c r="J979" s="1435"/>
      <c r="K979" s="1435"/>
      <c r="L979" s="1435"/>
      <c r="M979" s="1435"/>
      <c r="N979" s="1435"/>
      <c r="O979" s="1435"/>
      <c r="P979" s="1435"/>
      <c r="Q979" s="1435"/>
      <c r="R979" s="1435"/>
      <c r="S979" s="1435"/>
      <c r="T979" s="1435"/>
      <c r="U979" s="1435"/>
      <c r="V979" s="1435"/>
      <c r="W979" s="1435"/>
      <c r="X979" s="1435"/>
      <c r="Y979" s="1435"/>
      <c r="Z979" s="1435"/>
      <c r="AA979" s="1435"/>
      <c r="AB979" s="1435"/>
      <c r="AC979" s="1435"/>
      <c r="AD979" s="1435"/>
      <c r="AE979" s="1435"/>
      <c r="AF979" s="1435"/>
      <c r="AG979" s="1435"/>
      <c r="AH979" s="1435"/>
      <c r="AI979" s="1435"/>
      <c r="AJ979" s="1435"/>
      <c r="AK979" s="1435"/>
      <c r="AL979" s="1435"/>
      <c r="AM979" s="1435"/>
      <c r="AN979" s="1435"/>
      <c r="AO979" s="1435"/>
      <c r="AP979" s="1435"/>
      <c r="AQ979" s="1435"/>
      <c r="AR979" s="1435"/>
      <c r="AS979" s="1435"/>
      <c r="AT979" s="1435"/>
      <c r="AU979" s="68"/>
      <c r="AV979" s="68"/>
      <c r="AW979" s="68"/>
      <c r="AX979" s="68"/>
      <c r="AY979" s="68"/>
      <c r="AZ979" s="14"/>
      <c r="BA979" s="14"/>
      <c r="BB979" s="912"/>
      <c r="BC979" s="912"/>
    </row>
    <row r="980" spans="1:64" ht="12.95" customHeight="1">
      <c r="A980" s="1435"/>
      <c r="B980" s="1435"/>
      <c r="C980" s="1435"/>
      <c r="D980" s="1435"/>
      <c r="E980" s="1435"/>
      <c r="F980" s="1435"/>
      <c r="G980" s="1435"/>
      <c r="H980" s="1435"/>
      <c r="I980" s="1435"/>
      <c r="J980" s="1435"/>
      <c r="K980" s="1435"/>
      <c r="L980" s="1435"/>
      <c r="M980" s="1435"/>
      <c r="N980" s="1435"/>
      <c r="O980" s="1435"/>
      <c r="P980" s="1435"/>
      <c r="Q980" s="1435"/>
      <c r="R980" s="1435"/>
      <c r="S980" s="1435"/>
      <c r="T980" s="1435"/>
      <c r="U980" s="1435"/>
      <c r="V980" s="1435"/>
      <c r="W980" s="1435"/>
      <c r="X980" s="1435"/>
      <c r="Y980" s="1435"/>
      <c r="Z980" s="1435"/>
      <c r="AA980" s="1435"/>
      <c r="AB980" s="1435"/>
      <c r="AC980" s="1435"/>
      <c r="AD980" s="1435"/>
      <c r="AE980" s="1435"/>
      <c r="AF980" s="1435"/>
      <c r="AG980" s="1435"/>
      <c r="AH980" s="1435"/>
      <c r="AI980" s="1435"/>
      <c r="AJ980" s="1435"/>
      <c r="AK980" s="1435"/>
      <c r="AL980" s="1435"/>
      <c r="AM980" s="1435"/>
      <c r="AN980" s="1435"/>
      <c r="AO980" s="1435"/>
      <c r="AP980" s="1435"/>
      <c r="AQ980" s="1435"/>
      <c r="AR980" s="1435"/>
      <c r="AS980" s="1435"/>
      <c r="AT980" s="1435"/>
      <c r="AU980" s="68"/>
      <c r="AV980" s="68"/>
      <c r="AW980" s="68"/>
      <c r="AX980" s="68"/>
      <c r="AY980" s="68"/>
      <c r="AZ980" s="30"/>
      <c r="BA980" s="14"/>
      <c r="BB980" s="14"/>
      <c r="BC980" s="14"/>
    </row>
    <row r="981" spans="1:64" ht="12.95" customHeight="1">
      <c r="A981" s="1435"/>
      <c r="B981" s="1435"/>
      <c r="C981" s="1435"/>
      <c r="D981" s="1435"/>
      <c r="E981" s="1435"/>
      <c r="F981" s="1435"/>
      <c r="G981" s="1435"/>
      <c r="H981" s="1435"/>
      <c r="I981" s="1435"/>
      <c r="J981" s="1435"/>
      <c r="K981" s="1435"/>
      <c r="L981" s="1435"/>
      <c r="M981" s="1435"/>
      <c r="N981" s="1435"/>
      <c r="O981" s="1435"/>
      <c r="P981" s="1435"/>
      <c r="Q981" s="1435"/>
      <c r="R981" s="1435"/>
      <c r="S981" s="1435"/>
      <c r="T981" s="1435"/>
      <c r="U981" s="1435"/>
      <c r="V981" s="1435"/>
      <c r="W981" s="1435"/>
      <c r="X981" s="1435"/>
      <c r="Y981" s="1435"/>
      <c r="Z981" s="1435"/>
      <c r="AA981" s="1435"/>
      <c r="AB981" s="1435"/>
      <c r="AC981" s="1435"/>
      <c r="AD981" s="1435"/>
      <c r="AE981" s="1435"/>
      <c r="AF981" s="1435"/>
      <c r="AG981" s="1435"/>
      <c r="AH981" s="1435"/>
      <c r="AI981" s="1435"/>
      <c r="AJ981" s="1435"/>
      <c r="AK981" s="1435"/>
      <c r="AL981" s="1435"/>
      <c r="AM981" s="1435"/>
      <c r="AN981" s="1435"/>
      <c r="AO981" s="1435"/>
      <c r="AP981" s="1435"/>
      <c r="AQ981" s="1435"/>
      <c r="AR981" s="1435"/>
      <c r="AS981" s="1435"/>
      <c r="AT981" s="1435"/>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318</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409" t="s">
        <v>638</v>
      </c>
      <c r="E985" s="1410"/>
      <c r="F985" s="1410"/>
      <c r="G985" s="1410"/>
      <c r="H985" s="1410"/>
      <c r="I985" s="1410"/>
      <c r="J985" s="1410"/>
      <c r="K985" s="1410"/>
      <c r="L985" s="1410"/>
      <c r="M985" s="1410"/>
      <c r="N985" s="1410"/>
      <c r="O985" s="1410"/>
      <c r="P985" s="1410"/>
      <c r="Q985" s="1411"/>
      <c r="R985" s="1409" t="s">
        <v>639</v>
      </c>
      <c r="S985" s="1410"/>
      <c r="T985" s="1410"/>
      <c r="U985" s="1410"/>
      <c r="V985" s="1410"/>
      <c r="W985" s="1410"/>
      <c r="X985" s="1410"/>
      <c r="Y985" s="1410"/>
      <c r="Z985" s="1410"/>
      <c r="AA985" s="1411"/>
      <c r="AB985" s="1409" t="s">
        <v>640</v>
      </c>
      <c r="AC985" s="1410"/>
      <c r="AD985" s="1410"/>
      <c r="AE985" s="1410"/>
      <c r="AF985" s="1410"/>
      <c r="AG985" s="1410"/>
      <c r="AH985" s="1410"/>
      <c r="AI985" s="1411"/>
      <c r="AJ985" s="1409" t="s">
        <v>641</v>
      </c>
      <c r="AK985" s="1410"/>
      <c r="AL985" s="1410"/>
      <c r="AM985" s="1410"/>
      <c r="AN985" s="1410"/>
      <c r="AO985" s="1410"/>
      <c r="AP985" s="1410"/>
      <c r="AQ985" s="1411"/>
      <c r="AR985" s="68"/>
      <c r="AS985" s="68"/>
      <c r="AT985" s="68"/>
      <c r="AU985" s="68"/>
      <c r="AV985" s="68"/>
      <c r="AW985" s="68"/>
      <c r="AX985" s="68"/>
      <c r="AY985" s="68"/>
      <c r="AZ985" s="30"/>
      <c r="BB985" s="14"/>
      <c r="BC985" s="14"/>
    </row>
    <row r="986" spans="1:64" ht="12.95" customHeight="1">
      <c r="A986" s="14"/>
      <c r="B986" s="73"/>
      <c r="C986" s="929"/>
      <c r="D986" s="1385" t="s">
        <v>633</v>
      </c>
      <c r="E986" s="1386"/>
      <c r="F986" s="1386"/>
      <c r="G986" s="1386"/>
      <c r="H986" s="1386"/>
      <c r="I986" s="1386"/>
      <c r="J986" s="1386"/>
      <c r="K986" s="1386"/>
      <c r="L986" s="1386"/>
      <c r="M986" s="1386"/>
      <c r="N986" s="1386"/>
      <c r="O986" s="1386"/>
      <c r="P986" s="1386"/>
      <c r="Q986" s="1387"/>
      <c r="R986" s="1412">
        <f>IF(ISNA(IF($CU$122="4%",(INDEX($CS$160:$CW$217,MATCH($DG$122,$CR$160:$CR$217,0),MATCH(D986,$CS$159:$CW$159,0))),(INDEX($CZ$160:$DD$217,MATCH($DG$122,$CY$160:$CY$217,0),MATCH(D986,$CZ$159:$DD$159,0))))),0,IF($CU$122="4%",(INDEX($CS$160:$CW$217,MATCH($DG$122,$CR$160:$CR$217,0),MATCH(D986,$CS$159:$CW$159,0))),(INDEX($CZ$160:$DD$217,MATCH($DG$122,$CY$160:$CY$217,0),MATCH(D986,$CZ$159:$DD$159,0)))))</f>
        <v>404366</v>
      </c>
      <c r="S986" s="1412"/>
      <c r="T986" s="1412"/>
      <c r="U986" s="1412"/>
      <c r="V986" s="1412"/>
      <c r="W986" s="1412"/>
      <c r="X986" s="1412"/>
      <c r="Y986" s="1412"/>
      <c r="Z986" s="1412"/>
      <c r="AA986" s="1412"/>
      <c r="AB986" s="1388">
        <f>CP802</f>
        <v>0</v>
      </c>
      <c r="AC986" s="1389"/>
      <c r="AD986" s="1389"/>
      <c r="AE986" s="1389"/>
      <c r="AF986" s="1389"/>
      <c r="AG986" s="1389"/>
      <c r="AH986" s="1389"/>
      <c r="AI986" s="1390"/>
      <c r="AJ986" s="1413">
        <f>IF(ISERROR((R986*AB986)),0,(R986*AB986))</f>
        <v>0</v>
      </c>
      <c r="AK986" s="1414"/>
      <c r="AL986" s="1414"/>
      <c r="AM986" s="1414"/>
      <c r="AN986" s="1414"/>
      <c r="AO986" s="1414"/>
      <c r="AP986" s="1414"/>
      <c r="AQ986" s="1415"/>
      <c r="AR986" s="68"/>
      <c r="AS986" s="68"/>
      <c r="AT986" s="68"/>
      <c r="AU986" s="68"/>
      <c r="AV986" s="68"/>
      <c r="AW986" s="68"/>
      <c r="AX986" s="68"/>
      <c r="AY986" s="68"/>
      <c r="AZ986" s="30"/>
      <c r="BB986" s="14"/>
      <c r="BC986" s="14"/>
    </row>
    <row r="987" spans="1:64" ht="12.95" customHeight="1">
      <c r="A987" s="14"/>
      <c r="B987" s="73"/>
      <c r="C987" s="83"/>
      <c r="D987" s="1385" t="s">
        <v>324</v>
      </c>
      <c r="E987" s="1386"/>
      <c r="F987" s="1386"/>
      <c r="G987" s="1386"/>
      <c r="H987" s="1386"/>
      <c r="I987" s="1386"/>
      <c r="J987" s="1386"/>
      <c r="K987" s="1386"/>
      <c r="L987" s="1386"/>
      <c r="M987" s="1386"/>
      <c r="N987" s="1386"/>
      <c r="O987" s="1386"/>
      <c r="P987" s="1386"/>
      <c r="Q987" s="1387"/>
      <c r="R987" s="1412">
        <f>IF(ISNA(IF($CU$122="4%",(INDEX($CS$160:$CW$217,MATCH($DG$122,$CR$160:$CR$217,0),MATCH(D987,$CS$159:$CW$159,0))),(INDEX($CZ$160:$DD$217,MATCH($DG$122,$CY$160:$CY$217,0),MATCH(D987,$CZ$159:$DD$159,0))))),0,IF($CU$122="4%",(INDEX($CS$160:$CW$217,MATCH($DG$122,$CR$160:$CR$217,0),MATCH(D987,$CS$159:$CW$159,0))),(INDEX($CZ$160:$DD$217,MATCH($DG$122,$CY$160:$CY$217,0),MATCH(D987,$CZ$159:$DD$159,0)))))</f>
        <v>466230</v>
      </c>
      <c r="S987" s="1412"/>
      <c r="T987" s="1412"/>
      <c r="U987" s="1412"/>
      <c r="V987" s="1412"/>
      <c r="W987" s="1412"/>
      <c r="X987" s="1412"/>
      <c r="Y987" s="1412"/>
      <c r="Z987" s="1412"/>
      <c r="AA987" s="1412"/>
      <c r="AB987" s="1388">
        <f>CU802</f>
        <v>12</v>
      </c>
      <c r="AC987" s="1389"/>
      <c r="AD987" s="1389"/>
      <c r="AE987" s="1389"/>
      <c r="AF987" s="1389"/>
      <c r="AG987" s="1389"/>
      <c r="AH987" s="1389"/>
      <c r="AI987" s="1390"/>
      <c r="AJ987" s="1413">
        <f>IF(ISERROR((R987*AB987)),0,(R987*AB987))</f>
        <v>5594760</v>
      </c>
      <c r="AK987" s="1414"/>
      <c r="AL987" s="1414"/>
      <c r="AM987" s="1414"/>
      <c r="AN987" s="1414"/>
      <c r="AO987" s="1414"/>
      <c r="AP987" s="1414"/>
      <c r="AQ987" s="1415"/>
      <c r="AR987" s="68"/>
      <c r="AS987" s="68"/>
      <c r="AT987" s="68"/>
      <c r="AU987" s="68"/>
      <c r="AV987" s="68"/>
      <c r="AW987" s="68"/>
      <c r="AX987" s="68"/>
      <c r="AY987" s="68"/>
      <c r="AZ987" s="30"/>
      <c r="BB987" s="14"/>
      <c r="BC987" s="14"/>
    </row>
    <row r="988" spans="1:64" ht="12.95" customHeight="1">
      <c r="A988" s="14"/>
      <c r="B988" s="73"/>
      <c r="C988" s="83"/>
      <c r="D988" s="1385" t="s">
        <v>163</v>
      </c>
      <c r="E988" s="1386"/>
      <c r="F988" s="1386"/>
      <c r="G988" s="1386"/>
      <c r="H988" s="1386"/>
      <c r="I988" s="1386"/>
      <c r="J988" s="1386"/>
      <c r="K988" s="1386"/>
      <c r="L988" s="1386"/>
      <c r="M988" s="1386"/>
      <c r="N988" s="1386"/>
      <c r="O988" s="1386"/>
      <c r="P988" s="1386"/>
      <c r="Q988" s="1387"/>
      <c r="R988" s="1412">
        <f>IF(ISNA(IF($CU$122="4%",(INDEX($CS$160:$CW$217,MATCH($DG$122,$CR$160:$CR$217,0),MATCH(D988,$CS$159:$CW$159,0))),(INDEX($CZ$160:$DD$217,MATCH($DG$122,$CY$160:$CY$217,0),MATCH(D988,$CZ$159:$DD$159,0))))),0,IF($CU$122="4%",(INDEX($CS$160:$CW$217,MATCH($DG$122,$CR$160:$CR$217,0),MATCH(D988,$CS$159:$CW$159,0))),(INDEX($CZ$160:$DD$217,MATCH($DG$122,$CY$160:$CY$217,0),MATCH(D988,$CZ$159:$DD$159,0)))))</f>
        <v>562400</v>
      </c>
      <c r="S988" s="1412"/>
      <c r="T988" s="1412"/>
      <c r="U988" s="1412"/>
      <c r="V988" s="1412"/>
      <c r="W988" s="1412"/>
      <c r="X988" s="1412"/>
      <c r="Y988" s="1412"/>
      <c r="Z988" s="1412"/>
      <c r="AA988" s="1412"/>
      <c r="AB988" s="1388">
        <f>CZ802</f>
        <v>27</v>
      </c>
      <c r="AC988" s="1389"/>
      <c r="AD988" s="1389"/>
      <c r="AE988" s="1389"/>
      <c r="AF988" s="1389"/>
      <c r="AG988" s="1389"/>
      <c r="AH988" s="1389"/>
      <c r="AI988" s="1390"/>
      <c r="AJ988" s="1413">
        <f>IF(ISERROR((R988*AB988)),0,(R988*AB988))</f>
        <v>15184800</v>
      </c>
      <c r="AK988" s="1414"/>
      <c r="AL988" s="1414"/>
      <c r="AM988" s="1414"/>
      <c r="AN988" s="1414"/>
      <c r="AO988" s="1414"/>
      <c r="AP988" s="1414"/>
      <c r="AQ988" s="1415"/>
      <c r="AR988" s="68"/>
      <c r="AS988" s="68"/>
      <c r="AT988" s="68"/>
      <c r="AU988" s="68"/>
      <c r="AV988" s="68"/>
      <c r="AW988" s="68"/>
      <c r="AX988" s="68"/>
      <c r="AY988" s="68"/>
      <c r="AZ988" s="30"/>
      <c r="BB988" s="14"/>
      <c r="BC988" s="14"/>
    </row>
    <row r="989" spans="1:64" ht="12.95" customHeight="1">
      <c r="A989" s="14"/>
      <c r="B989" s="73"/>
      <c r="C989" s="83"/>
      <c r="D989" s="1385" t="s">
        <v>164</v>
      </c>
      <c r="E989" s="1386"/>
      <c r="F989" s="1386"/>
      <c r="G989" s="1386"/>
      <c r="H989" s="1386"/>
      <c r="I989" s="1386"/>
      <c r="J989" s="1386"/>
      <c r="K989" s="1386"/>
      <c r="L989" s="1386"/>
      <c r="M989" s="1386"/>
      <c r="N989" s="1386"/>
      <c r="O989" s="1386"/>
      <c r="P989" s="1386"/>
      <c r="Q989" s="1387"/>
      <c r="R989" s="1412">
        <f>IF(ISNA(IF($CU$122="4%",(INDEX($CS$160:$CW$217,MATCH($DG$122,$CR$160:$CR$217,0),MATCH(D989,$CS$159:$CW$159,0))),(INDEX($CZ$160:$DD$217,MATCH($DG$122,$CY$160:$CY$217,0),MATCH(D989,$CZ$159:$DD$159,0))))),0,IF($CU$122="4%",(INDEX($CS$160:$CW$217,MATCH($DG$122,$CR$160:$CR$217,0),MATCH(D989,$CS$159:$CW$159,0))),(INDEX($CZ$160:$DD$217,MATCH($DG$122,$CY$160:$CY$217,0),MATCH(D989,$CZ$159:$DD$159,0)))))</f>
        <v>719872</v>
      </c>
      <c r="S989" s="1412"/>
      <c r="T989" s="1412"/>
      <c r="U989" s="1412"/>
      <c r="V989" s="1412"/>
      <c r="W989" s="1412"/>
      <c r="X989" s="1412"/>
      <c r="Y989" s="1412"/>
      <c r="Z989" s="1412"/>
      <c r="AA989" s="1412"/>
      <c r="AB989" s="1388">
        <f>DE802</f>
        <v>21</v>
      </c>
      <c r="AC989" s="1389"/>
      <c r="AD989" s="1389"/>
      <c r="AE989" s="1389"/>
      <c r="AF989" s="1389"/>
      <c r="AG989" s="1389"/>
      <c r="AH989" s="1389"/>
      <c r="AI989" s="1390"/>
      <c r="AJ989" s="1413">
        <f>IF(ISERROR((R989*AB989)),0,(R989*AB989))</f>
        <v>15117312</v>
      </c>
      <c r="AK989" s="1414"/>
      <c r="AL989" s="1414"/>
      <c r="AM989" s="1414"/>
      <c r="AN989" s="1414"/>
      <c r="AO989" s="1414"/>
      <c r="AP989" s="1414"/>
      <c r="AQ989" s="1415"/>
      <c r="AR989" s="68"/>
      <c r="AS989" s="68"/>
      <c r="AT989" s="68"/>
      <c r="AU989" s="68"/>
      <c r="AV989" s="68"/>
      <c r="AW989" s="68"/>
      <c r="AX989" s="68"/>
      <c r="AY989" s="68"/>
      <c r="AZ989" s="30"/>
      <c r="BA989" s="34"/>
      <c r="BB989" s="14"/>
      <c r="BC989" s="14"/>
    </row>
    <row r="990" spans="1:64" ht="12.95" customHeight="1">
      <c r="A990" s="14"/>
      <c r="B990" s="47"/>
      <c r="C990" s="78"/>
      <c r="D990" s="1385" t="s">
        <v>460</v>
      </c>
      <c r="E990" s="1386"/>
      <c r="F990" s="1386"/>
      <c r="G990" s="1386"/>
      <c r="H990" s="1386"/>
      <c r="I990" s="1386"/>
      <c r="J990" s="1386"/>
      <c r="K990" s="1386"/>
      <c r="L990" s="1386"/>
      <c r="M990" s="1386"/>
      <c r="N990" s="1386"/>
      <c r="O990" s="1386"/>
      <c r="P990" s="1386"/>
      <c r="Q990" s="1387"/>
      <c r="R990" s="1412">
        <f>IF(ISNA(IF($CU$122="4%",(INDEX($CS$160:$CW$217,MATCH($DG$122,$CR$160:$CR$217,0),MATCH(D990,$CS$159:$CW$159,0))),(INDEX($CZ$160:$DD$217,MATCH($DG$122,$CY$160:$CY$217,0),MATCH(D990,$CZ$159:$DD$159,0))))),0,IF($CU$122="4%",(INDEX($CS$160:$CW$217,MATCH($DG$122,$CR$160:$CR$217,0),MATCH(D990,$CS$159:$CW$159,0))),(INDEX($CZ$160:$DD$217,MATCH($DG$122,$CY$160:$CY$217,0),MATCH(D990,$CZ$159:$DD$159,0)))))</f>
        <v>801982</v>
      </c>
      <c r="S990" s="1412"/>
      <c r="T990" s="1412"/>
      <c r="U990" s="1412"/>
      <c r="V990" s="1412"/>
      <c r="W990" s="1412"/>
      <c r="X990" s="1412"/>
      <c r="Y990" s="1412"/>
      <c r="Z990" s="1412"/>
      <c r="AA990" s="1412"/>
      <c r="AB990" s="1388">
        <f>DO802+DJ802</f>
        <v>0</v>
      </c>
      <c r="AC990" s="1389"/>
      <c r="AD990" s="1389"/>
      <c r="AE990" s="1389"/>
      <c r="AF990" s="1389"/>
      <c r="AG990" s="1389"/>
      <c r="AH990" s="1389"/>
      <c r="AI990" s="1390"/>
      <c r="AJ990" s="1413">
        <f>IF(ISERROR((R990*AB990)),0,(R990*AB990))</f>
        <v>0</v>
      </c>
      <c r="AK990" s="1414"/>
      <c r="AL990" s="1414"/>
      <c r="AM990" s="1414"/>
      <c r="AN990" s="1414"/>
      <c r="AO990" s="1414"/>
      <c r="AP990" s="1414"/>
      <c r="AQ990" s="1415"/>
      <c r="AR990" s="68"/>
      <c r="AS990" s="68"/>
      <c r="AT990" s="68"/>
      <c r="AU990" s="68"/>
      <c r="AV990" s="68"/>
      <c r="AW990" s="68"/>
      <c r="AX990" s="68"/>
      <c r="AY990" s="68"/>
      <c r="AZ990" s="30"/>
      <c r="BB990" s="14"/>
      <c r="BC990" s="14"/>
    </row>
    <row r="991" spans="1:64" ht="12.95" customHeight="1">
      <c r="A991" s="14"/>
      <c r="B991" s="1598" t="s">
        <v>791</v>
      </c>
      <c r="C991" s="1599"/>
      <c r="D991" s="1599"/>
      <c r="E991" s="1599"/>
      <c r="F991" s="1599"/>
      <c r="G991" s="1599"/>
      <c r="H991" s="1599"/>
      <c r="I991" s="1599"/>
      <c r="J991" s="1599"/>
      <c r="K991" s="1599"/>
      <c r="L991" s="1599"/>
      <c r="M991" s="1599"/>
      <c r="N991" s="1599"/>
      <c r="O991" s="1599"/>
      <c r="P991" s="1599"/>
      <c r="Q991" s="1599"/>
      <c r="R991" s="1599"/>
      <c r="S991" s="1599"/>
      <c r="T991" s="1599"/>
      <c r="U991" s="1599"/>
      <c r="V991" s="1599"/>
      <c r="W991" s="1599"/>
      <c r="X991" s="1599"/>
      <c r="Y991" s="1599"/>
      <c r="Z991" s="1599"/>
      <c r="AA991" s="1600"/>
      <c r="AB991" s="1388">
        <f>SUM(AB986:AI990)</f>
        <v>60</v>
      </c>
      <c r="AC991" s="1389"/>
      <c r="AD991" s="1389"/>
      <c r="AE991" s="1389"/>
      <c r="AF991" s="1389"/>
      <c r="AG991" s="1389"/>
      <c r="AH991" s="1389"/>
      <c r="AI991" s="1390"/>
      <c r="AJ991" s="1413"/>
      <c r="AK991" s="1414"/>
      <c r="AL991" s="1414"/>
      <c r="AM991" s="1414"/>
      <c r="AN991" s="1414"/>
      <c r="AO991" s="1414"/>
      <c r="AP991" s="1414"/>
      <c r="AQ991" s="1415"/>
      <c r="AR991" s="68"/>
      <c r="AS991" s="68"/>
      <c r="AT991" s="68"/>
      <c r="AU991" s="68"/>
      <c r="AV991" s="68"/>
      <c r="AW991" s="68"/>
      <c r="AX991" s="68"/>
      <c r="AY991" s="68"/>
      <c r="AZ991" s="34"/>
      <c r="BA991" s="34"/>
      <c r="BB991" s="14"/>
      <c r="BC991" s="14"/>
    </row>
    <row r="992" spans="1:64" ht="12.95" customHeight="1">
      <c r="A992" s="14"/>
      <c r="B992" s="1604" t="s">
        <v>512</v>
      </c>
      <c r="C992" s="1605"/>
      <c r="D992" s="1605"/>
      <c r="E992" s="1605"/>
      <c r="F992" s="1605"/>
      <c r="G992" s="1605"/>
      <c r="H992" s="1605"/>
      <c r="I992" s="1605"/>
      <c r="J992" s="1605"/>
      <c r="K992" s="1605"/>
      <c r="L992" s="1605"/>
      <c r="M992" s="1605"/>
      <c r="N992" s="1605"/>
      <c r="O992" s="1605"/>
      <c r="P992" s="1605"/>
      <c r="Q992" s="1605"/>
      <c r="R992" s="1605"/>
      <c r="S992" s="1605"/>
      <c r="T992" s="1605"/>
      <c r="U992" s="1605"/>
      <c r="V992" s="1605"/>
      <c r="W992" s="1605"/>
      <c r="X992" s="1605"/>
      <c r="Y992" s="1605"/>
      <c r="Z992" s="1605"/>
      <c r="AA992" s="1605"/>
      <c r="AB992" s="1605"/>
      <c r="AC992" s="1605"/>
      <c r="AD992" s="1605"/>
      <c r="AE992" s="1605"/>
      <c r="AF992" s="1605"/>
      <c r="AG992" s="1605"/>
      <c r="AH992" s="1605"/>
      <c r="AI992" s="1606"/>
      <c r="AJ992" s="1413">
        <f>SUM(AJ986:AQ990)</f>
        <v>35896872</v>
      </c>
      <c r="AK992" s="1414"/>
      <c r="AL992" s="1414"/>
      <c r="AM992" s="1414"/>
      <c r="AN992" s="1414"/>
      <c r="AO992" s="1414"/>
      <c r="AP992" s="1414"/>
      <c r="AQ992" s="1415"/>
      <c r="AR992" s="68"/>
      <c r="AS992" s="68"/>
      <c r="AT992" s="68"/>
      <c r="AU992" s="68"/>
      <c r="AV992" s="68"/>
      <c r="AW992" s="68"/>
      <c r="AX992" s="68"/>
      <c r="AY992" s="68"/>
      <c r="AZ992" s="34"/>
      <c r="BB992" s="34"/>
      <c r="BC992" s="34"/>
    </row>
    <row r="993" spans="1:55" ht="12.95" customHeight="1">
      <c r="A993" s="14"/>
      <c r="B993" s="1501"/>
      <c r="C993" s="1502"/>
      <c r="D993" s="1502"/>
      <c r="E993" s="1502"/>
      <c r="F993" s="1502"/>
      <c r="G993" s="1502"/>
      <c r="H993" s="1502"/>
      <c r="I993" s="1502"/>
      <c r="J993" s="1502"/>
      <c r="K993" s="1502"/>
      <c r="L993" s="1502"/>
      <c r="M993" s="1502"/>
      <c r="N993" s="1502"/>
      <c r="O993" s="1502"/>
      <c r="P993" s="1502"/>
      <c r="Q993" s="1502"/>
      <c r="R993" s="1502"/>
      <c r="S993" s="1502"/>
      <c r="T993" s="1502"/>
      <c r="U993" s="1502"/>
      <c r="V993" s="1502"/>
      <c r="W993" s="1502"/>
      <c r="X993" s="1502"/>
      <c r="Y993" s="1502"/>
      <c r="Z993" s="1502"/>
      <c r="AA993" s="1502"/>
      <c r="AB993" s="1502"/>
      <c r="AC993" s="1502"/>
      <c r="AD993" s="1502"/>
      <c r="AE993" s="1503"/>
      <c r="AF993" s="1507" t="s">
        <v>666</v>
      </c>
      <c r="AG993" s="1508"/>
      <c r="AH993" s="1508"/>
      <c r="AI993" s="1509"/>
      <c r="AJ993" s="1501"/>
      <c r="AK993" s="1502"/>
      <c r="AL993" s="1502"/>
      <c r="AM993" s="1502"/>
      <c r="AN993" s="1502"/>
      <c r="AO993" s="1502"/>
      <c r="AP993" s="1502"/>
      <c r="AQ993" s="1503"/>
      <c r="AR993" s="68"/>
      <c r="AS993" s="68"/>
      <c r="AT993" s="68"/>
      <c r="AU993" s="68"/>
      <c r="AV993" s="68"/>
      <c r="AW993" s="68"/>
      <c r="AX993" s="68"/>
      <c r="AY993" s="68"/>
      <c r="AZ993" s="34"/>
      <c r="BA993" s="34"/>
      <c r="BB993" s="34"/>
      <c r="BC993" s="34"/>
    </row>
    <row r="994" spans="1:55" ht="12.95" customHeight="1">
      <c r="A994" s="14"/>
      <c r="B994" s="73"/>
      <c r="C994" s="927" t="s">
        <v>668</v>
      </c>
      <c r="D994" s="1514" t="s">
        <v>1220</v>
      </c>
      <c r="E994" s="1515"/>
      <c r="F994" s="1515"/>
      <c r="G994" s="1515"/>
      <c r="H994" s="1515"/>
      <c r="I994" s="1515"/>
      <c r="J994" s="1515"/>
      <c r="K994" s="1515"/>
      <c r="L994" s="1515"/>
      <c r="M994" s="1515"/>
      <c r="N994" s="1515"/>
      <c r="O994" s="1515"/>
      <c r="P994" s="1515"/>
      <c r="Q994" s="1515"/>
      <c r="R994" s="1515"/>
      <c r="S994" s="1515"/>
      <c r="T994" s="1515"/>
      <c r="U994" s="1515"/>
      <c r="V994" s="1515"/>
      <c r="W994" s="1515"/>
      <c r="X994" s="1515"/>
      <c r="Y994" s="1515"/>
      <c r="Z994" s="1515"/>
      <c r="AA994" s="1515"/>
      <c r="AB994" s="1515"/>
      <c r="AC994" s="1515"/>
      <c r="AD994" s="1515"/>
      <c r="AE994" s="1516"/>
      <c r="AF994" s="79"/>
      <c r="AG994" s="1510" t="s">
        <v>545</v>
      </c>
      <c r="AH994" s="1511"/>
      <c r="AI994" s="87"/>
      <c r="AJ994" s="1391">
        <f>ROUND(IF(AND(AG994="yes",D1000&gt;0),AJ992*0.2,0),0)</f>
        <v>7179374</v>
      </c>
      <c r="AK994" s="1392"/>
      <c r="AL994" s="1392"/>
      <c r="AM994" s="1392"/>
      <c r="AN994" s="1392"/>
      <c r="AO994" s="1392"/>
      <c r="AP994" s="1392"/>
      <c r="AQ994" s="1393"/>
      <c r="AR994" s="68"/>
      <c r="AS994" s="68"/>
      <c r="AT994" s="68"/>
      <c r="AU994" s="68"/>
      <c r="AV994" s="68"/>
      <c r="AW994" s="68"/>
      <c r="AX994" s="68"/>
      <c r="AY994" s="68"/>
      <c r="AZ994" s="34"/>
      <c r="BA994" s="34"/>
      <c r="BB994" s="34"/>
      <c r="BC994" s="34"/>
    </row>
    <row r="995" spans="1:55" ht="12.95" customHeight="1">
      <c r="A995" s="14"/>
      <c r="B995" s="257"/>
      <c r="C995" s="256"/>
      <c r="D995" s="1546" t="s">
        <v>2234</v>
      </c>
      <c r="E995" s="1547"/>
      <c r="F995" s="1547"/>
      <c r="G995" s="1547"/>
      <c r="H995" s="1547"/>
      <c r="I995" s="1547"/>
      <c r="J995" s="1547"/>
      <c r="K995" s="1547"/>
      <c r="L995" s="1547"/>
      <c r="M995" s="1547"/>
      <c r="N995" s="1547"/>
      <c r="O995" s="1547"/>
      <c r="P995" s="1547"/>
      <c r="Q995" s="1547"/>
      <c r="R995" s="1547"/>
      <c r="S995" s="1547"/>
      <c r="T995" s="1547"/>
      <c r="U995" s="1547"/>
      <c r="V995" s="1547"/>
      <c r="W995" s="1547"/>
      <c r="X995" s="1547"/>
      <c r="Y995" s="1547"/>
      <c r="Z995" s="1547"/>
      <c r="AA995" s="1547"/>
      <c r="AB995" s="1547"/>
      <c r="AC995" s="1547"/>
      <c r="AD995" s="1547"/>
      <c r="AE995" s="1548"/>
      <c r="AF995" s="73"/>
      <c r="AG995" s="14"/>
      <c r="AH995" s="14"/>
      <c r="AI995" s="83"/>
      <c r="AJ995" s="1394"/>
      <c r="AK995" s="1395"/>
      <c r="AL995" s="1395"/>
      <c r="AM995" s="1395"/>
      <c r="AN995" s="1395"/>
      <c r="AO995" s="1395"/>
      <c r="AP995" s="1395"/>
      <c r="AQ995" s="1396"/>
      <c r="AR995" s="68"/>
      <c r="AS995" s="68"/>
      <c r="AT995" s="68"/>
      <c r="AU995" s="68"/>
      <c r="AV995" s="68"/>
      <c r="AW995" s="68"/>
      <c r="AX995" s="68"/>
      <c r="AY995" s="68"/>
      <c r="AZ995" s="34"/>
      <c r="BA995" s="34"/>
      <c r="BB995" s="34"/>
      <c r="BC995" s="34"/>
    </row>
    <row r="996" spans="1:55" ht="12.95" customHeight="1">
      <c r="A996" s="14"/>
      <c r="B996" s="257"/>
      <c r="C996" s="256"/>
      <c r="D996" s="1546"/>
      <c r="E996" s="1547"/>
      <c r="F996" s="1547"/>
      <c r="G996" s="1547"/>
      <c r="H996" s="1547"/>
      <c r="I996" s="1547"/>
      <c r="J996" s="1547"/>
      <c r="K996" s="1547"/>
      <c r="L996" s="1547"/>
      <c r="M996" s="1547"/>
      <c r="N996" s="1547"/>
      <c r="O996" s="1547"/>
      <c r="P996" s="1547"/>
      <c r="Q996" s="1547"/>
      <c r="R996" s="1547"/>
      <c r="S996" s="1547"/>
      <c r="T996" s="1547"/>
      <c r="U996" s="1547"/>
      <c r="V996" s="1547"/>
      <c r="W996" s="1547"/>
      <c r="X996" s="1547"/>
      <c r="Y996" s="1547"/>
      <c r="Z996" s="1547"/>
      <c r="AA996" s="1547"/>
      <c r="AB996" s="1547"/>
      <c r="AC996" s="1547"/>
      <c r="AD996" s="1547"/>
      <c r="AE996" s="1548"/>
      <c r="AF996" s="73"/>
      <c r="AG996" s="14"/>
      <c r="AH996" s="14"/>
      <c r="AI996" s="83"/>
      <c r="AJ996" s="1394"/>
      <c r="AK996" s="1395"/>
      <c r="AL996" s="1395"/>
      <c r="AM996" s="1395"/>
      <c r="AN996" s="1395"/>
      <c r="AO996" s="1395"/>
      <c r="AP996" s="1395"/>
      <c r="AQ996" s="1396"/>
      <c r="AR996" s="68"/>
      <c r="AS996" s="68"/>
      <c r="AT996" s="68"/>
      <c r="AU996" s="68"/>
      <c r="AV996" s="68"/>
      <c r="AW996" s="68"/>
      <c r="AX996" s="68"/>
      <c r="AY996" s="68"/>
      <c r="AZ996" s="34"/>
      <c r="BA996" s="34"/>
      <c r="BB996" s="34"/>
      <c r="BC996" s="34"/>
    </row>
    <row r="997" spans="1:55" ht="12.95" customHeight="1">
      <c r="A997" s="14"/>
      <c r="B997" s="257"/>
      <c r="C997" s="256"/>
      <c r="D997" s="1546"/>
      <c r="E997" s="1547"/>
      <c r="F997" s="1547"/>
      <c r="G997" s="1547"/>
      <c r="H997" s="1547"/>
      <c r="I997" s="1547"/>
      <c r="J997" s="1547"/>
      <c r="K997" s="1547"/>
      <c r="L997" s="1547"/>
      <c r="M997" s="1547"/>
      <c r="N997" s="1547"/>
      <c r="O997" s="1547"/>
      <c r="P997" s="1547"/>
      <c r="Q997" s="1547"/>
      <c r="R997" s="1547"/>
      <c r="S997" s="1547"/>
      <c r="T997" s="1547"/>
      <c r="U997" s="1547"/>
      <c r="V997" s="1547"/>
      <c r="W997" s="1547"/>
      <c r="X997" s="1547"/>
      <c r="Y997" s="1547"/>
      <c r="Z997" s="1547"/>
      <c r="AA997" s="1547"/>
      <c r="AB997" s="1547"/>
      <c r="AC997" s="1547"/>
      <c r="AD997" s="1547"/>
      <c r="AE997" s="1548"/>
      <c r="AF997" s="73"/>
      <c r="AG997" s="14"/>
      <c r="AH997" s="14"/>
      <c r="AI997" s="83"/>
      <c r="AJ997" s="1394"/>
      <c r="AK997" s="1395"/>
      <c r="AL997" s="1395"/>
      <c r="AM997" s="1395"/>
      <c r="AN997" s="1395"/>
      <c r="AO997" s="1395"/>
      <c r="AP997" s="1395"/>
      <c r="AQ997" s="1396"/>
      <c r="AR997" s="68"/>
      <c r="AS997" s="68"/>
      <c r="AT997" s="68"/>
      <c r="AU997" s="68"/>
      <c r="AV997" s="68"/>
      <c r="AW997" s="68"/>
      <c r="AX997" s="68"/>
      <c r="AY997" s="68"/>
      <c r="AZ997" s="34"/>
      <c r="BA997" s="34"/>
      <c r="BB997" s="34"/>
      <c r="BC997" s="34"/>
    </row>
    <row r="998" spans="1:55" ht="12.95" customHeight="1">
      <c r="A998" s="14"/>
      <c r="B998" s="257"/>
      <c r="C998" s="256"/>
      <c r="D998" s="1546"/>
      <c r="E998" s="1547"/>
      <c r="F998" s="1547"/>
      <c r="G998" s="1547"/>
      <c r="H998" s="1547"/>
      <c r="I998" s="1547"/>
      <c r="J998" s="1547"/>
      <c r="K998" s="1547"/>
      <c r="L998" s="1547"/>
      <c r="M998" s="1547"/>
      <c r="N998" s="1547"/>
      <c r="O998" s="1547"/>
      <c r="P998" s="1547"/>
      <c r="Q998" s="1547"/>
      <c r="R998" s="1547"/>
      <c r="S998" s="1547"/>
      <c r="T998" s="1547"/>
      <c r="U998" s="1547"/>
      <c r="V998" s="1547"/>
      <c r="W998" s="1547"/>
      <c r="X998" s="1547"/>
      <c r="Y998" s="1547"/>
      <c r="Z998" s="1547"/>
      <c r="AA998" s="1547"/>
      <c r="AB998" s="1547"/>
      <c r="AC998" s="1547"/>
      <c r="AD998" s="1547"/>
      <c r="AE998" s="1548"/>
      <c r="AF998" s="73"/>
      <c r="AG998" s="14"/>
      <c r="AH998" s="14"/>
      <c r="AI998" s="83"/>
      <c r="AJ998" s="1394"/>
      <c r="AK998" s="1395"/>
      <c r="AL998" s="1395"/>
      <c r="AM998" s="1395"/>
      <c r="AN998" s="1395"/>
      <c r="AO998" s="1395"/>
      <c r="AP998" s="1395"/>
      <c r="AQ998" s="1396"/>
      <c r="AR998" s="68"/>
      <c r="AS998" s="68"/>
      <c r="AT998" s="68"/>
      <c r="AU998" s="68"/>
      <c r="AV998" s="68"/>
      <c r="AW998" s="68"/>
      <c r="AX998" s="68"/>
      <c r="AY998" s="68"/>
      <c r="AZ998" s="34"/>
      <c r="BA998" s="34"/>
      <c r="BB998" s="34"/>
      <c r="BC998" s="34"/>
    </row>
    <row r="999" spans="1:55" ht="12.95" customHeight="1">
      <c r="A999" s="14"/>
      <c r="B999" s="257"/>
      <c r="C999" s="256"/>
      <c r="D999" s="1549" t="s">
        <v>2205</v>
      </c>
      <c r="E999" s="1550"/>
      <c r="F999" s="1550"/>
      <c r="G999" s="1550"/>
      <c r="H999" s="1550"/>
      <c r="I999" s="1550"/>
      <c r="J999" s="1550"/>
      <c r="K999" s="1550"/>
      <c r="L999" s="1550"/>
      <c r="M999" s="1550"/>
      <c r="N999" s="1550"/>
      <c r="O999" s="1550"/>
      <c r="P999" s="1550"/>
      <c r="Q999" s="1550"/>
      <c r="R999" s="1550"/>
      <c r="S999" s="1550"/>
      <c r="T999" s="1550"/>
      <c r="U999" s="1550"/>
      <c r="V999" s="1550"/>
      <c r="W999" s="1550"/>
      <c r="X999" s="1550"/>
      <c r="Y999" s="1550"/>
      <c r="Z999" s="1550"/>
      <c r="AA999" s="1550"/>
      <c r="AB999" s="1550"/>
      <c r="AC999" s="1550"/>
      <c r="AD999" s="1550"/>
      <c r="AE999" s="1551"/>
      <c r="AF999" s="73"/>
      <c r="AG999" s="14"/>
      <c r="AH999" s="14"/>
      <c r="AI999" s="83"/>
      <c r="AJ999" s="1394"/>
      <c r="AK999" s="1395"/>
      <c r="AL999" s="1395"/>
      <c r="AM999" s="1395"/>
      <c r="AN999" s="1395"/>
      <c r="AO999" s="1395"/>
      <c r="AP999" s="1395"/>
      <c r="AQ999" s="1396"/>
      <c r="AR999" s="68"/>
      <c r="AS999" s="68"/>
      <c r="AT999" s="68"/>
      <c r="AU999" s="68"/>
      <c r="AV999" s="68"/>
      <c r="AW999" s="68"/>
      <c r="AX999" s="68"/>
      <c r="AY999" s="68"/>
      <c r="AZ999" s="34"/>
      <c r="BA999" s="34"/>
      <c r="BB999" s="34"/>
      <c r="BC999" s="34"/>
    </row>
    <row r="1000" spans="1:55" ht="12.95" customHeight="1">
      <c r="A1000" s="14"/>
      <c r="B1000" s="257"/>
      <c r="C1000" s="256"/>
      <c r="D1000" s="1601" t="s">
        <v>2697</v>
      </c>
      <c r="E1000" s="1602"/>
      <c r="F1000" s="1602"/>
      <c r="G1000" s="1602"/>
      <c r="H1000" s="1602"/>
      <c r="I1000" s="1602"/>
      <c r="J1000" s="1602"/>
      <c r="K1000" s="1602"/>
      <c r="L1000" s="1602"/>
      <c r="M1000" s="1602"/>
      <c r="N1000" s="1602"/>
      <c r="O1000" s="1602"/>
      <c r="P1000" s="1602"/>
      <c r="Q1000" s="1602"/>
      <c r="R1000" s="1602"/>
      <c r="S1000" s="1602"/>
      <c r="T1000" s="1602"/>
      <c r="U1000" s="1602"/>
      <c r="V1000" s="1602"/>
      <c r="W1000" s="1602"/>
      <c r="X1000" s="1602"/>
      <c r="Y1000" s="1602"/>
      <c r="Z1000" s="1602"/>
      <c r="AA1000" s="1602"/>
      <c r="AB1000" s="1602"/>
      <c r="AC1000" s="1602"/>
      <c r="AD1000" s="1602"/>
      <c r="AE1000" s="1603"/>
      <c r="AF1000" s="77"/>
      <c r="AG1000" s="7"/>
      <c r="AH1000" s="7"/>
      <c r="AI1000" s="78"/>
      <c r="AJ1000" s="1397"/>
      <c r="AK1000" s="1398"/>
      <c r="AL1000" s="1398"/>
      <c r="AM1000" s="1398"/>
      <c r="AN1000" s="1398"/>
      <c r="AO1000" s="1398"/>
      <c r="AP1000" s="1398"/>
      <c r="AQ1000" s="1399"/>
      <c r="AR1000" s="68"/>
      <c r="AS1000" s="68"/>
      <c r="AT1000" s="68"/>
      <c r="AU1000" s="68"/>
      <c r="AV1000" s="68"/>
      <c r="AW1000" s="68"/>
      <c r="AX1000" s="68"/>
      <c r="AY1000" s="68"/>
      <c r="AZ1000" s="34"/>
      <c r="BA1000" s="34"/>
      <c r="BB1000" s="34"/>
      <c r="BC1000" s="34"/>
    </row>
    <row r="1001" spans="1:55" ht="12.95" customHeight="1">
      <c r="A1001" s="14"/>
      <c r="B1001" s="255"/>
      <c r="C1001" s="318"/>
      <c r="D1001" s="1504" t="s">
        <v>1286</v>
      </c>
      <c r="E1001" s="1505"/>
      <c r="F1001" s="1505"/>
      <c r="G1001" s="1505"/>
      <c r="H1001" s="1505"/>
      <c r="I1001" s="1505"/>
      <c r="J1001" s="1505"/>
      <c r="K1001" s="1505"/>
      <c r="L1001" s="1505"/>
      <c r="M1001" s="1505"/>
      <c r="N1001" s="1505"/>
      <c r="O1001" s="1505"/>
      <c r="P1001" s="1505"/>
      <c r="Q1001" s="1505"/>
      <c r="R1001" s="1505"/>
      <c r="S1001" s="1505"/>
      <c r="T1001" s="1505"/>
      <c r="U1001" s="1505"/>
      <c r="V1001" s="1505"/>
      <c r="W1001" s="1505"/>
      <c r="X1001" s="1505"/>
      <c r="Y1001" s="1505"/>
      <c r="Z1001" s="1505"/>
      <c r="AA1001" s="1505"/>
      <c r="AB1001" s="1505"/>
      <c r="AC1001" s="1505"/>
      <c r="AD1001" s="1505"/>
      <c r="AE1001" s="1506"/>
      <c r="AF1001" s="79"/>
      <c r="AG1001" s="1512" t="s">
        <v>669</v>
      </c>
      <c r="AH1001" s="1513"/>
      <c r="AI1001" s="87"/>
      <c r="AJ1001" s="1391">
        <f>ROUND(IF(AG1001="yes",AJ992*0.05,0),0)</f>
        <v>0</v>
      </c>
      <c r="AK1001" s="1392"/>
      <c r="AL1001" s="1392"/>
      <c r="AM1001" s="1392"/>
      <c r="AN1001" s="1392"/>
      <c r="AO1001" s="1392"/>
      <c r="AP1001" s="1392"/>
      <c r="AQ1001" s="1393"/>
      <c r="AR1001" s="68"/>
      <c r="AS1001" s="68"/>
      <c r="AT1001" s="68"/>
      <c r="AU1001" s="68"/>
      <c r="AV1001" s="68"/>
      <c r="AW1001" s="68"/>
      <c r="AX1001" s="68"/>
      <c r="AY1001" s="68"/>
      <c r="AZ1001" s="34"/>
      <c r="BA1001" s="34"/>
      <c r="BB1001" s="34"/>
      <c r="BC1001" s="34"/>
    </row>
    <row r="1002" spans="1:55" ht="12.95" customHeight="1">
      <c r="A1002" s="14"/>
      <c r="B1002" s="257"/>
      <c r="C1002" s="82"/>
      <c r="D1002" s="1546" t="s">
        <v>1284</v>
      </c>
      <c r="E1002" s="1547"/>
      <c r="F1002" s="1547"/>
      <c r="G1002" s="1547"/>
      <c r="H1002" s="1547"/>
      <c r="I1002" s="1547"/>
      <c r="J1002" s="1547"/>
      <c r="K1002" s="1547"/>
      <c r="L1002" s="1547"/>
      <c r="M1002" s="1547"/>
      <c r="N1002" s="1547"/>
      <c r="O1002" s="1547"/>
      <c r="P1002" s="1547"/>
      <c r="Q1002" s="1547"/>
      <c r="R1002" s="1547"/>
      <c r="S1002" s="1547"/>
      <c r="T1002" s="1547"/>
      <c r="U1002" s="1547"/>
      <c r="V1002" s="1547"/>
      <c r="W1002" s="1547"/>
      <c r="X1002" s="1547"/>
      <c r="Y1002" s="1547"/>
      <c r="Z1002" s="1547"/>
      <c r="AA1002" s="1547"/>
      <c r="AB1002" s="1547"/>
      <c r="AC1002" s="1547"/>
      <c r="AD1002" s="1547"/>
      <c r="AE1002" s="1548"/>
      <c r="AF1002" s="73"/>
      <c r="AG1002" s="14"/>
      <c r="AH1002" s="14"/>
      <c r="AI1002" s="83"/>
      <c r="AJ1002" s="1394"/>
      <c r="AK1002" s="1395"/>
      <c r="AL1002" s="1395"/>
      <c r="AM1002" s="1395"/>
      <c r="AN1002" s="1395"/>
      <c r="AO1002" s="1395"/>
      <c r="AP1002" s="1395"/>
      <c r="AQ1002" s="1396"/>
      <c r="AR1002" s="68"/>
      <c r="AS1002" s="68"/>
      <c r="AT1002" s="68"/>
      <c r="AU1002" s="68"/>
      <c r="AV1002" s="68"/>
      <c r="AW1002" s="68"/>
      <c r="AX1002" s="68"/>
      <c r="AY1002" s="34"/>
      <c r="AZ1002" s="34"/>
      <c r="BB1002" s="34"/>
    </row>
    <row r="1003" spans="1:55" ht="12.95" customHeight="1">
      <c r="A1003" s="14"/>
      <c r="B1003" s="257"/>
      <c r="C1003" s="82"/>
      <c r="D1003" s="1546"/>
      <c r="E1003" s="1547"/>
      <c r="F1003" s="1547"/>
      <c r="G1003" s="1547"/>
      <c r="H1003" s="1547"/>
      <c r="I1003" s="1547"/>
      <c r="J1003" s="1547"/>
      <c r="K1003" s="1547"/>
      <c r="L1003" s="1547"/>
      <c r="M1003" s="1547"/>
      <c r="N1003" s="1547"/>
      <c r="O1003" s="1547"/>
      <c r="P1003" s="1547"/>
      <c r="Q1003" s="1547"/>
      <c r="R1003" s="1547"/>
      <c r="S1003" s="1547"/>
      <c r="T1003" s="1547"/>
      <c r="U1003" s="1547"/>
      <c r="V1003" s="1547"/>
      <c r="W1003" s="1547"/>
      <c r="X1003" s="1547"/>
      <c r="Y1003" s="1547"/>
      <c r="Z1003" s="1547"/>
      <c r="AA1003" s="1547"/>
      <c r="AB1003" s="1547"/>
      <c r="AC1003" s="1547"/>
      <c r="AD1003" s="1547"/>
      <c r="AE1003" s="1548"/>
      <c r="AF1003" s="73"/>
      <c r="AG1003" s="14"/>
      <c r="AH1003" s="14"/>
      <c r="AI1003" s="83"/>
      <c r="AJ1003" s="1394"/>
      <c r="AK1003" s="1395"/>
      <c r="AL1003" s="1395"/>
      <c r="AM1003" s="1395"/>
      <c r="AN1003" s="1395"/>
      <c r="AO1003" s="1395"/>
      <c r="AP1003" s="1395"/>
      <c r="AQ1003" s="1396"/>
      <c r="AR1003" s="68"/>
      <c r="AS1003" s="68"/>
      <c r="AT1003" s="68"/>
      <c r="AU1003" s="68"/>
      <c r="AV1003" s="68"/>
      <c r="AW1003" s="68"/>
      <c r="AX1003" s="68"/>
      <c r="AY1003" s="914">
        <f>G753+O797</f>
        <v>59</v>
      </c>
      <c r="AZ1003" s="34"/>
      <c r="BB1003" s="34"/>
    </row>
    <row r="1004" spans="1:55" ht="12.95" customHeight="1">
      <c r="A1004" s="14"/>
      <c r="B1004" s="257"/>
      <c r="C1004" s="82"/>
      <c r="D1004" s="1546"/>
      <c r="E1004" s="1547"/>
      <c r="F1004" s="1547"/>
      <c r="G1004" s="1547"/>
      <c r="H1004" s="1547"/>
      <c r="I1004" s="1547"/>
      <c r="J1004" s="1547"/>
      <c r="K1004" s="1547"/>
      <c r="L1004" s="1547"/>
      <c r="M1004" s="1547"/>
      <c r="N1004" s="1547"/>
      <c r="O1004" s="1547"/>
      <c r="P1004" s="1547"/>
      <c r="Q1004" s="1547"/>
      <c r="R1004" s="1547"/>
      <c r="S1004" s="1547"/>
      <c r="T1004" s="1547"/>
      <c r="U1004" s="1547"/>
      <c r="V1004" s="1547"/>
      <c r="W1004" s="1547"/>
      <c r="X1004" s="1547"/>
      <c r="Y1004" s="1547"/>
      <c r="Z1004" s="1547"/>
      <c r="AA1004" s="1547"/>
      <c r="AB1004" s="1547"/>
      <c r="AC1004" s="1547"/>
      <c r="AD1004" s="1547"/>
      <c r="AE1004" s="1548"/>
      <c r="AF1004" s="73"/>
      <c r="AG1004" s="14"/>
      <c r="AH1004" s="14"/>
      <c r="AI1004" s="83"/>
      <c r="AJ1004" s="1394"/>
      <c r="AK1004" s="1395"/>
      <c r="AL1004" s="1395"/>
      <c r="AM1004" s="1395"/>
      <c r="AN1004" s="1395"/>
      <c r="AO1004" s="1395"/>
      <c r="AP1004" s="1395"/>
      <c r="AQ1004" s="1396"/>
      <c r="AR1004" s="68"/>
      <c r="AS1004" s="68"/>
      <c r="AT1004" s="68"/>
      <c r="AU1004" s="68"/>
      <c r="AV1004" s="68"/>
      <c r="AW1004" s="68"/>
      <c r="AX1004" s="68"/>
      <c r="AY1004" s="14"/>
      <c r="AZ1004" s="34"/>
      <c r="BB1004" s="34"/>
    </row>
    <row r="1005" spans="1:55" ht="12.95" customHeight="1">
      <c r="A1005" s="14"/>
      <c r="B1005" s="257"/>
      <c r="C1005" s="82"/>
      <c r="D1005" s="1546"/>
      <c r="E1005" s="1547"/>
      <c r="F1005" s="1547"/>
      <c r="G1005" s="1547"/>
      <c r="H1005" s="1547"/>
      <c r="I1005" s="1547"/>
      <c r="J1005" s="1547"/>
      <c r="K1005" s="1547"/>
      <c r="L1005" s="1547"/>
      <c r="M1005" s="1547"/>
      <c r="N1005" s="1547"/>
      <c r="O1005" s="1547"/>
      <c r="P1005" s="1547"/>
      <c r="Q1005" s="1547"/>
      <c r="R1005" s="1547"/>
      <c r="S1005" s="1547"/>
      <c r="T1005" s="1547"/>
      <c r="U1005" s="1547"/>
      <c r="V1005" s="1547"/>
      <c r="W1005" s="1547"/>
      <c r="X1005" s="1547"/>
      <c r="Y1005" s="1547"/>
      <c r="Z1005" s="1547"/>
      <c r="AA1005" s="1547"/>
      <c r="AB1005" s="1547"/>
      <c r="AC1005" s="1547"/>
      <c r="AD1005" s="1547"/>
      <c r="AE1005" s="1548"/>
      <c r="AF1005" s="73"/>
      <c r="AG1005" s="14"/>
      <c r="AH1005" s="14"/>
      <c r="AI1005" s="83"/>
      <c r="AJ1005" s="1394"/>
      <c r="AK1005" s="1395"/>
      <c r="AL1005" s="1395"/>
      <c r="AM1005" s="1395"/>
      <c r="AN1005" s="1395"/>
      <c r="AO1005" s="1395"/>
      <c r="AP1005" s="1395"/>
      <c r="AQ1005" s="1396"/>
      <c r="AR1005" s="68"/>
      <c r="AS1005" s="68"/>
      <c r="AT1005" s="68"/>
      <c r="AU1005" s="68"/>
      <c r="AV1005" s="68"/>
      <c r="AW1005" s="68"/>
      <c r="AX1005" s="68"/>
      <c r="AY1005" s="913">
        <f>ROUNDDOWN(X1048/I1048,2)</f>
        <v>0.59</v>
      </c>
      <c r="AZ1005" s="34"/>
      <c r="BB1005" s="34"/>
    </row>
    <row r="1006" spans="1:55" ht="12.95" customHeight="1">
      <c r="A1006" s="14"/>
      <c r="B1006" s="75"/>
      <c r="C1006" s="76"/>
      <c r="D1006" s="1549"/>
      <c r="E1006" s="1550"/>
      <c r="F1006" s="1550"/>
      <c r="G1006" s="1550"/>
      <c r="H1006" s="1550"/>
      <c r="I1006" s="1550"/>
      <c r="J1006" s="1550"/>
      <c r="K1006" s="1550"/>
      <c r="L1006" s="1550"/>
      <c r="M1006" s="1550"/>
      <c r="N1006" s="1550"/>
      <c r="O1006" s="1550"/>
      <c r="P1006" s="1550"/>
      <c r="Q1006" s="1550"/>
      <c r="R1006" s="1550"/>
      <c r="S1006" s="1550"/>
      <c r="T1006" s="1550"/>
      <c r="U1006" s="1550"/>
      <c r="V1006" s="1550"/>
      <c r="W1006" s="1550"/>
      <c r="X1006" s="1550"/>
      <c r="Y1006" s="1550"/>
      <c r="Z1006" s="1550"/>
      <c r="AA1006" s="1550"/>
      <c r="AB1006" s="1550"/>
      <c r="AC1006" s="1550"/>
      <c r="AD1006" s="1550"/>
      <c r="AE1006" s="1551"/>
      <c r="AF1006" s="77"/>
      <c r="AG1006" s="7"/>
      <c r="AH1006" s="7"/>
      <c r="AI1006" s="78"/>
      <c r="AJ1006" s="1397"/>
      <c r="AK1006" s="1398"/>
      <c r="AL1006" s="1398"/>
      <c r="AM1006" s="1398"/>
      <c r="AN1006" s="1398"/>
      <c r="AO1006" s="1398"/>
      <c r="AP1006" s="1398"/>
      <c r="AQ1006" s="1399"/>
      <c r="AR1006" s="68"/>
      <c r="AS1006" s="68"/>
      <c r="AT1006" s="68"/>
      <c r="AU1006" s="68"/>
      <c r="AV1006" s="68"/>
      <c r="AW1006" s="68"/>
      <c r="AX1006" s="68"/>
      <c r="AY1006" s="913">
        <f>ROUNDDOWN(X1052/I1052,2)</f>
        <v>0.18</v>
      </c>
      <c r="AZ1006" s="34"/>
      <c r="BB1006" s="34"/>
    </row>
    <row r="1007" spans="1:55" ht="12.95" customHeight="1">
      <c r="A1007" s="14"/>
      <c r="B1007" s="255"/>
      <c r="C1007" s="80" t="s">
        <v>672</v>
      </c>
      <c r="D1007" s="1504" t="s">
        <v>1683</v>
      </c>
      <c r="E1007" s="1505"/>
      <c r="F1007" s="1505"/>
      <c r="G1007" s="1505"/>
      <c r="H1007" s="1505"/>
      <c r="I1007" s="1505"/>
      <c r="J1007" s="1505"/>
      <c r="K1007" s="1505"/>
      <c r="L1007" s="1505"/>
      <c r="M1007" s="1505"/>
      <c r="N1007" s="1505"/>
      <c r="O1007" s="1505"/>
      <c r="P1007" s="1505"/>
      <c r="Q1007" s="1505"/>
      <c r="R1007" s="1505"/>
      <c r="S1007" s="1505"/>
      <c r="T1007" s="1505"/>
      <c r="U1007" s="1505"/>
      <c r="V1007" s="1505"/>
      <c r="W1007" s="1505"/>
      <c r="X1007" s="1505"/>
      <c r="Y1007" s="1505"/>
      <c r="Z1007" s="1505"/>
      <c r="AA1007" s="1505"/>
      <c r="AB1007" s="1505"/>
      <c r="AC1007" s="1505"/>
      <c r="AD1007" s="1505"/>
      <c r="AE1007" s="1506"/>
      <c r="AF1007" s="86"/>
      <c r="AG1007" s="1512" t="s">
        <v>669</v>
      </c>
      <c r="AH1007" s="1513"/>
      <c r="AI1007" s="87"/>
      <c r="AJ1007" s="1391">
        <f>ROUND(IF(AG1007="yes",AJ992*0.1,0),0)</f>
        <v>0</v>
      </c>
      <c r="AK1007" s="1392"/>
      <c r="AL1007" s="1392"/>
      <c r="AM1007" s="1392"/>
      <c r="AN1007" s="1392"/>
      <c r="AO1007" s="1392"/>
      <c r="AP1007" s="1392"/>
      <c r="AQ1007" s="1393"/>
      <c r="AR1007" s="68"/>
      <c r="AS1007" s="68"/>
      <c r="AT1007" s="68"/>
      <c r="AU1007" s="68"/>
      <c r="AV1007" s="68"/>
      <c r="AW1007" s="68"/>
      <c r="AX1007" s="68"/>
      <c r="BB1007" s="34"/>
    </row>
    <row r="1008" spans="1:55" ht="12.95" customHeight="1">
      <c r="A1008" s="14"/>
      <c r="B1008" s="73"/>
      <c r="C1008" s="74"/>
      <c r="D1008" s="1517" t="s">
        <v>1285</v>
      </c>
      <c r="E1008" s="1518"/>
      <c r="F1008" s="1518"/>
      <c r="G1008" s="1518"/>
      <c r="H1008" s="1518"/>
      <c r="I1008" s="1518"/>
      <c r="J1008" s="1518"/>
      <c r="K1008" s="1518"/>
      <c r="L1008" s="1518"/>
      <c r="M1008" s="1518"/>
      <c r="N1008" s="1518"/>
      <c r="O1008" s="1518"/>
      <c r="P1008" s="1518"/>
      <c r="Q1008" s="1518"/>
      <c r="R1008" s="1518"/>
      <c r="S1008" s="1518"/>
      <c r="T1008" s="1518"/>
      <c r="U1008" s="1518"/>
      <c r="V1008" s="1518"/>
      <c r="W1008" s="1518"/>
      <c r="X1008" s="1518"/>
      <c r="Y1008" s="1518"/>
      <c r="Z1008" s="1518"/>
      <c r="AA1008" s="1518"/>
      <c r="AB1008" s="1518"/>
      <c r="AC1008" s="1518"/>
      <c r="AD1008" s="1518"/>
      <c r="AE1008" s="1519"/>
      <c r="AF1008" s="73"/>
      <c r="AI1008" s="83"/>
      <c r="AJ1008" s="1394"/>
      <c r="AK1008" s="1395"/>
      <c r="AL1008" s="1395"/>
      <c r="AM1008" s="1395"/>
      <c r="AN1008" s="1395"/>
      <c r="AO1008" s="1395"/>
      <c r="AP1008" s="1395"/>
      <c r="AQ1008" s="1396"/>
      <c r="AR1008" s="68"/>
      <c r="AS1008" s="68"/>
      <c r="AT1008" s="68"/>
      <c r="AU1008" s="68"/>
      <c r="AV1008" s="68"/>
      <c r="AW1008" s="68"/>
      <c r="AX1008" s="68"/>
    </row>
    <row r="1009" spans="1:52" ht="12.95" customHeight="1">
      <c r="A1009" s="14"/>
      <c r="B1009" s="73"/>
      <c r="C1009" s="74"/>
      <c r="D1009" s="1517"/>
      <c r="E1009" s="1518"/>
      <c r="F1009" s="1518"/>
      <c r="G1009" s="1518"/>
      <c r="H1009" s="1518"/>
      <c r="I1009" s="1518"/>
      <c r="J1009" s="1518"/>
      <c r="K1009" s="1518"/>
      <c r="L1009" s="1518"/>
      <c r="M1009" s="1518"/>
      <c r="N1009" s="1518"/>
      <c r="O1009" s="1518"/>
      <c r="P1009" s="1518"/>
      <c r="Q1009" s="1518"/>
      <c r="R1009" s="1518"/>
      <c r="S1009" s="1518"/>
      <c r="T1009" s="1518"/>
      <c r="U1009" s="1518"/>
      <c r="V1009" s="1518"/>
      <c r="W1009" s="1518"/>
      <c r="X1009" s="1518"/>
      <c r="Y1009" s="1518"/>
      <c r="Z1009" s="1518"/>
      <c r="AA1009" s="1518"/>
      <c r="AB1009" s="1518"/>
      <c r="AC1009" s="1518"/>
      <c r="AD1009" s="1518"/>
      <c r="AE1009" s="1519"/>
      <c r="AF1009" s="73"/>
      <c r="AG1009" s="14"/>
      <c r="AH1009" s="14"/>
      <c r="AI1009" s="83"/>
      <c r="AJ1009" s="1394"/>
      <c r="AK1009" s="1395"/>
      <c r="AL1009" s="1395"/>
      <c r="AM1009" s="1395"/>
      <c r="AN1009" s="1395"/>
      <c r="AO1009" s="1395"/>
      <c r="AP1009" s="1395"/>
      <c r="AQ1009" s="1396"/>
      <c r="AR1009" s="68"/>
      <c r="AS1009" s="68"/>
      <c r="AT1009" s="68"/>
      <c r="AU1009" s="68"/>
      <c r="AV1009" s="68"/>
      <c r="AW1009" s="68"/>
      <c r="AX1009" s="68"/>
    </row>
    <row r="1010" spans="1:52" ht="12.95" customHeight="1">
      <c r="A1010" s="14"/>
      <c r="B1010" s="85"/>
      <c r="C1010" s="76"/>
      <c r="D1010" s="1520"/>
      <c r="E1010" s="1521"/>
      <c r="F1010" s="1521"/>
      <c r="G1010" s="1521"/>
      <c r="H1010" s="1521"/>
      <c r="I1010" s="1521"/>
      <c r="J1010" s="1521"/>
      <c r="K1010" s="1521"/>
      <c r="L1010" s="1521"/>
      <c r="M1010" s="1521"/>
      <c r="N1010" s="1521"/>
      <c r="O1010" s="1521"/>
      <c r="P1010" s="1521"/>
      <c r="Q1010" s="1521"/>
      <c r="R1010" s="1521"/>
      <c r="S1010" s="1521"/>
      <c r="T1010" s="1521"/>
      <c r="U1010" s="1521"/>
      <c r="V1010" s="1521"/>
      <c r="W1010" s="1521"/>
      <c r="X1010" s="1521"/>
      <c r="Y1010" s="1521"/>
      <c r="Z1010" s="1521"/>
      <c r="AA1010" s="1521"/>
      <c r="AB1010" s="1521"/>
      <c r="AC1010" s="1521"/>
      <c r="AD1010" s="1521"/>
      <c r="AE1010" s="1522"/>
      <c r="AF1010" s="77"/>
      <c r="AG1010" s="7"/>
      <c r="AH1010" s="7"/>
      <c r="AI1010" s="78"/>
      <c r="AJ1010" s="1397"/>
      <c r="AK1010" s="1398"/>
      <c r="AL1010" s="1398"/>
      <c r="AM1010" s="1398"/>
      <c r="AN1010" s="1398"/>
      <c r="AO1010" s="1398"/>
      <c r="AP1010" s="1398"/>
      <c r="AQ1010" s="1399"/>
      <c r="AR1010" s="68"/>
      <c r="AS1010" s="68"/>
      <c r="AT1010" s="68"/>
      <c r="AU1010" s="68"/>
      <c r="AV1010" s="68"/>
      <c r="AW1010" s="68"/>
      <c r="AX1010" s="68"/>
    </row>
    <row r="1011" spans="1:52" ht="12.95" customHeight="1">
      <c r="A1011" s="14"/>
      <c r="B1011" s="79"/>
      <c r="C1011" s="80" t="s">
        <v>211</v>
      </c>
      <c r="D1011" s="1504" t="s">
        <v>1287</v>
      </c>
      <c r="E1011" s="1505"/>
      <c r="F1011" s="1505"/>
      <c r="G1011" s="1505"/>
      <c r="H1011" s="1505"/>
      <c r="I1011" s="1505"/>
      <c r="J1011" s="1505"/>
      <c r="K1011" s="1505"/>
      <c r="L1011" s="1505"/>
      <c r="M1011" s="1505"/>
      <c r="N1011" s="1505"/>
      <c r="O1011" s="1505"/>
      <c r="P1011" s="1505"/>
      <c r="Q1011" s="1505"/>
      <c r="R1011" s="1505"/>
      <c r="S1011" s="1505"/>
      <c r="T1011" s="1505"/>
      <c r="U1011" s="1505"/>
      <c r="V1011" s="1505"/>
      <c r="W1011" s="1505"/>
      <c r="X1011" s="1505"/>
      <c r="Y1011" s="1505"/>
      <c r="Z1011" s="1505"/>
      <c r="AA1011" s="1505"/>
      <c r="AB1011" s="1505"/>
      <c r="AC1011" s="1505"/>
      <c r="AD1011" s="1505"/>
      <c r="AE1011" s="1506"/>
      <c r="AF1011" s="79"/>
      <c r="AG1011" s="1512" t="s">
        <v>669</v>
      </c>
      <c r="AH1011" s="1513"/>
      <c r="AI1011" s="87"/>
      <c r="AJ1011" s="1391">
        <f>ROUND(IF(AG1011="yes",AJ992*0.02,0),0)</f>
        <v>0</v>
      </c>
      <c r="AK1011" s="1392"/>
      <c r="AL1011" s="1392"/>
      <c r="AM1011" s="1392"/>
      <c r="AN1011" s="1392"/>
      <c r="AO1011" s="1392"/>
      <c r="AP1011" s="1392"/>
      <c r="AQ1011" s="1393"/>
      <c r="AR1011" s="68"/>
      <c r="AS1011" s="68"/>
      <c r="AT1011" s="68"/>
      <c r="AU1011" s="68"/>
      <c r="AV1011" s="68"/>
      <c r="AW1011" s="68"/>
      <c r="AX1011" s="68"/>
    </row>
    <row r="1012" spans="1:52" ht="14.25" customHeight="1">
      <c r="A1012" s="14"/>
      <c r="B1012" s="73"/>
      <c r="C1012" s="74"/>
      <c r="D1012" s="1520" t="s">
        <v>1288</v>
      </c>
      <c r="E1012" s="1521"/>
      <c r="F1012" s="1521"/>
      <c r="G1012" s="1521"/>
      <c r="H1012" s="1521"/>
      <c r="I1012" s="1521"/>
      <c r="J1012" s="1521"/>
      <c r="K1012" s="1521"/>
      <c r="L1012" s="1521"/>
      <c r="M1012" s="1521"/>
      <c r="N1012" s="1521"/>
      <c r="O1012" s="1521"/>
      <c r="P1012" s="1521"/>
      <c r="Q1012" s="1521"/>
      <c r="R1012" s="1521"/>
      <c r="S1012" s="1521"/>
      <c r="T1012" s="1521"/>
      <c r="U1012" s="1521"/>
      <c r="V1012" s="1521"/>
      <c r="W1012" s="1521"/>
      <c r="X1012" s="1521"/>
      <c r="Y1012" s="1521"/>
      <c r="Z1012" s="1521"/>
      <c r="AA1012" s="1521"/>
      <c r="AB1012" s="1521"/>
      <c r="AC1012" s="1521"/>
      <c r="AD1012" s="1521"/>
      <c r="AE1012" s="1522"/>
      <c r="AF1012" s="77"/>
      <c r="AG1012" s="7"/>
      <c r="AH1012" s="7"/>
      <c r="AI1012" s="78"/>
      <c r="AJ1012" s="1397"/>
      <c r="AK1012" s="1398"/>
      <c r="AL1012" s="1398"/>
      <c r="AM1012" s="1398"/>
      <c r="AN1012" s="1398"/>
      <c r="AO1012" s="1398"/>
      <c r="AP1012" s="1398"/>
      <c r="AQ1012" s="1399"/>
      <c r="AR1012" s="68"/>
      <c r="AS1012" s="68"/>
      <c r="AT1012" s="68"/>
      <c r="AU1012" s="68"/>
      <c r="AV1012" s="68"/>
      <c r="AW1012" s="68"/>
      <c r="AX1012" s="3" t="s">
        <v>1841</v>
      </c>
      <c r="AZ1012" s="3" t="s">
        <v>2606</v>
      </c>
    </row>
    <row r="1013" spans="1:52" ht="12.95" customHeight="1">
      <c r="A1013" s="14"/>
      <c r="B1013" s="79"/>
      <c r="C1013" s="80" t="s">
        <v>214</v>
      </c>
      <c r="D1013" s="1504" t="s">
        <v>1289</v>
      </c>
      <c r="E1013" s="1505"/>
      <c r="F1013" s="1505"/>
      <c r="G1013" s="1505"/>
      <c r="H1013" s="1505"/>
      <c r="I1013" s="1505"/>
      <c r="J1013" s="1505"/>
      <c r="K1013" s="1505"/>
      <c r="L1013" s="1505"/>
      <c r="M1013" s="1505"/>
      <c r="N1013" s="1505"/>
      <c r="O1013" s="1505"/>
      <c r="P1013" s="1505"/>
      <c r="Q1013" s="1505"/>
      <c r="R1013" s="1505"/>
      <c r="S1013" s="1505"/>
      <c r="T1013" s="1505"/>
      <c r="U1013" s="1505"/>
      <c r="V1013" s="1505"/>
      <c r="W1013" s="1505"/>
      <c r="X1013" s="1505"/>
      <c r="Y1013" s="1505"/>
      <c r="Z1013" s="1505"/>
      <c r="AA1013" s="1505"/>
      <c r="AB1013" s="1505"/>
      <c r="AC1013" s="1505"/>
      <c r="AD1013" s="1505"/>
      <c r="AE1013" s="1506"/>
      <c r="AF1013" s="79"/>
      <c r="AG1013" s="1512" t="s">
        <v>669</v>
      </c>
      <c r="AH1013" s="1513"/>
      <c r="AI1013" s="79"/>
      <c r="AJ1013" s="1391">
        <f>ROUND(IF(AG1013="yes",AJ992*0.02,0),0)</f>
        <v>0</v>
      </c>
      <c r="AK1013" s="1392"/>
      <c r="AL1013" s="1392"/>
      <c r="AM1013" s="1392"/>
      <c r="AN1013" s="1392"/>
      <c r="AO1013" s="1392"/>
      <c r="AP1013" s="1392"/>
      <c r="AQ1013" s="1393"/>
      <c r="AR1013" s="68"/>
      <c r="AS1013" s="68"/>
      <c r="AT1013" s="68"/>
      <c r="AU1013" s="68"/>
      <c r="AV1013" s="68"/>
      <c r="AW1013" s="68"/>
      <c r="AX1013" s="3">
        <v>1</v>
      </c>
      <c r="AY1013" s="200">
        <f>IF((_xlfn.XLOOKUP(AX1013,$C$1065:$C$1103,$A$1065:$A$1103,"",0,1))="Yes",AZ1013,0)</f>
        <v>0.2</v>
      </c>
      <c r="AZ1013" s="1255">
        <v>0.2</v>
      </c>
    </row>
    <row r="1014" spans="1:52" ht="12.95" customHeight="1">
      <c r="A1014" s="14"/>
      <c r="B1014" s="73"/>
      <c r="C1014" s="74"/>
      <c r="D1014" s="1517" t="s">
        <v>1290</v>
      </c>
      <c r="E1014" s="1518"/>
      <c r="F1014" s="1518"/>
      <c r="G1014" s="1518"/>
      <c r="H1014" s="1518"/>
      <c r="I1014" s="1518"/>
      <c r="J1014" s="1518"/>
      <c r="K1014" s="1518"/>
      <c r="L1014" s="1518"/>
      <c r="M1014" s="1518"/>
      <c r="N1014" s="1518"/>
      <c r="O1014" s="1518"/>
      <c r="P1014" s="1518"/>
      <c r="Q1014" s="1518"/>
      <c r="R1014" s="1518"/>
      <c r="S1014" s="1518"/>
      <c r="T1014" s="1518"/>
      <c r="U1014" s="1518"/>
      <c r="V1014" s="1518"/>
      <c r="W1014" s="1518"/>
      <c r="X1014" s="1518"/>
      <c r="Y1014" s="1518"/>
      <c r="Z1014" s="1518"/>
      <c r="AA1014" s="1518"/>
      <c r="AB1014" s="1518"/>
      <c r="AC1014" s="1518"/>
      <c r="AD1014" s="1518"/>
      <c r="AE1014" s="1519"/>
      <c r="AF1014" s="1378" t="str">
        <f>IF(AND(AG1013="yes",T212&lt;&gt;1),"The project may not be eligible for this boost","")</f>
        <v/>
      </c>
      <c r="AG1014" s="1379"/>
      <c r="AH1014" s="1379"/>
      <c r="AI1014" s="1380"/>
      <c r="AJ1014" s="1394"/>
      <c r="AK1014" s="1395"/>
      <c r="AL1014" s="1395"/>
      <c r="AM1014" s="1395"/>
      <c r="AN1014" s="1395"/>
      <c r="AO1014" s="1395"/>
      <c r="AP1014" s="1395"/>
      <c r="AQ1014" s="1396"/>
      <c r="AR1014" s="68"/>
      <c r="AS1014" s="68"/>
      <c r="AT1014" s="68"/>
      <c r="AU1014" s="68"/>
      <c r="AV1014" s="68"/>
      <c r="AW1014" s="68"/>
      <c r="AX1014" s="3">
        <v>2</v>
      </c>
      <c r="AY1014" s="200">
        <f t="shared" ref="AY1014:AY1023" si="53">IF((_xlfn.XLOOKUP(AX1014,$C$1065:$C$1103,$A$1065:$A$1103,"",0,1))="Yes",AZ1014,0)</f>
        <v>0</v>
      </c>
      <c r="AZ1014" s="1255">
        <v>0.15</v>
      </c>
    </row>
    <row r="1015" spans="1:52" ht="12.95" customHeight="1">
      <c r="A1015" s="14"/>
      <c r="B1015" s="75"/>
      <c r="C1015" s="76"/>
      <c r="D1015" s="1520"/>
      <c r="E1015" s="1521"/>
      <c r="F1015" s="1521"/>
      <c r="G1015" s="1521"/>
      <c r="H1015" s="1521"/>
      <c r="I1015" s="1521"/>
      <c r="J1015" s="1521"/>
      <c r="K1015" s="1521"/>
      <c r="L1015" s="1521"/>
      <c r="M1015" s="1521"/>
      <c r="N1015" s="1521"/>
      <c r="O1015" s="1521"/>
      <c r="P1015" s="1521"/>
      <c r="Q1015" s="1521"/>
      <c r="R1015" s="1521"/>
      <c r="S1015" s="1521"/>
      <c r="T1015" s="1521"/>
      <c r="U1015" s="1521"/>
      <c r="V1015" s="1521"/>
      <c r="W1015" s="1521"/>
      <c r="X1015" s="1521"/>
      <c r="Y1015" s="1521"/>
      <c r="Z1015" s="1521"/>
      <c r="AA1015" s="1521"/>
      <c r="AB1015" s="1521"/>
      <c r="AC1015" s="1521"/>
      <c r="AD1015" s="1521"/>
      <c r="AE1015" s="1522"/>
      <c r="AF1015" s="1381"/>
      <c r="AG1015" s="1382"/>
      <c r="AH1015" s="1382"/>
      <c r="AI1015" s="1383"/>
      <c r="AJ1015" s="1397"/>
      <c r="AK1015" s="1398"/>
      <c r="AL1015" s="1398"/>
      <c r="AM1015" s="1398"/>
      <c r="AN1015" s="1398"/>
      <c r="AO1015" s="1398"/>
      <c r="AP1015" s="1398"/>
      <c r="AQ1015" s="1399"/>
      <c r="AR1015" s="68"/>
      <c r="AS1015" s="68"/>
      <c r="AT1015" s="68"/>
      <c r="AU1015" s="68"/>
      <c r="AV1015" s="68"/>
      <c r="AW1015" s="68"/>
      <c r="AX1015" s="3">
        <v>3</v>
      </c>
      <c r="AY1015" s="200">
        <f t="shared" si="53"/>
        <v>0</v>
      </c>
      <c r="AZ1015" s="1255">
        <v>0.05</v>
      </c>
    </row>
    <row r="1016" spans="1:52" ht="12.95" customHeight="1">
      <c r="A1016" s="14"/>
      <c r="B1016" s="79"/>
      <c r="C1016" s="80" t="s">
        <v>217</v>
      </c>
      <c r="D1016" s="1514" t="s">
        <v>2235</v>
      </c>
      <c r="E1016" s="1515"/>
      <c r="F1016" s="1515"/>
      <c r="G1016" s="1515"/>
      <c r="H1016" s="1515"/>
      <c r="I1016" s="1515"/>
      <c r="J1016" s="1515"/>
      <c r="K1016" s="1515"/>
      <c r="L1016" s="1515"/>
      <c r="M1016" s="1515"/>
      <c r="N1016" s="1515"/>
      <c r="O1016" s="1515"/>
      <c r="P1016" s="1515"/>
      <c r="Q1016" s="1515"/>
      <c r="R1016" s="1515"/>
      <c r="S1016" s="1515"/>
      <c r="T1016" s="1515"/>
      <c r="U1016" s="1515"/>
      <c r="V1016" s="1515"/>
      <c r="W1016" s="1515"/>
      <c r="X1016" s="1515"/>
      <c r="Y1016" s="1515"/>
      <c r="Z1016" s="1515"/>
      <c r="AA1016" s="1515"/>
      <c r="AB1016" s="1515"/>
      <c r="AC1016" s="1515"/>
      <c r="AD1016" s="1515"/>
      <c r="AE1016" s="1516"/>
      <c r="AF1016" s="79"/>
      <c r="AG1016" s="1512" t="s">
        <v>545</v>
      </c>
      <c r="AH1016" s="1513"/>
      <c r="AI1016" s="87"/>
      <c r="AJ1016" s="1391">
        <f>IF(AG1016="yes",AJ992*AY1024,0)</f>
        <v>7179374.4000000004</v>
      </c>
      <c r="AK1016" s="1392"/>
      <c r="AL1016" s="1392"/>
      <c r="AM1016" s="1392"/>
      <c r="AN1016" s="1392"/>
      <c r="AO1016" s="1392"/>
      <c r="AP1016" s="1392"/>
      <c r="AQ1016" s="1393"/>
      <c r="AR1016" s="68"/>
      <c r="AS1016" s="68"/>
      <c r="AT1016" s="68"/>
      <c r="AU1016" s="68"/>
      <c r="AV1016" s="68"/>
      <c r="AW1016" s="68"/>
      <c r="AX1016" s="3">
        <v>4</v>
      </c>
      <c r="AY1016" s="200">
        <f t="shared" si="53"/>
        <v>0</v>
      </c>
      <c r="AZ1016" s="1255">
        <v>0.02</v>
      </c>
    </row>
    <row r="1017" spans="1:52" ht="12.95" customHeight="1">
      <c r="A1017" s="14"/>
      <c r="B1017" s="73"/>
      <c r="C1017" s="74"/>
      <c r="D1017" s="1517" t="s">
        <v>1291</v>
      </c>
      <c r="E1017" s="1518"/>
      <c r="F1017" s="1518"/>
      <c r="G1017" s="1518"/>
      <c r="H1017" s="1518"/>
      <c r="I1017" s="1518"/>
      <c r="J1017" s="1518"/>
      <c r="K1017" s="1518"/>
      <c r="L1017" s="1518"/>
      <c r="M1017" s="1518"/>
      <c r="N1017" s="1518"/>
      <c r="O1017" s="1518"/>
      <c r="P1017" s="1518"/>
      <c r="Q1017" s="1518"/>
      <c r="R1017" s="1518"/>
      <c r="S1017" s="1518"/>
      <c r="T1017" s="1518"/>
      <c r="U1017" s="1518"/>
      <c r="V1017" s="1518"/>
      <c r="W1017" s="1518"/>
      <c r="X1017" s="1518"/>
      <c r="Y1017" s="1518"/>
      <c r="Z1017" s="1518"/>
      <c r="AA1017" s="1518"/>
      <c r="AB1017" s="1518"/>
      <c r="AC1017" s="1518"/>
      <c r="AD1017" s="1518"/>
      <c r="AE1017" s="1519"/>
      <c r="AF1017" s="1372" t="str">
        <f>IF(AND(AG1016="Yes",AY1024=0),AY1027,"")</f>
        <v/>
      </c>
      <c r="AG1017" s="1373"/>
      <c r="AH1017" s="1373"/>
      <c r="AI1017" s="1374"/>
      <c r="AJ1017" s="1394"/>
      <c r="AK1017" s="1395"/>
      <c r="AL1017" s="1395"/>
      <c r="AM1017" s="1395"/>
      <c r="AN1017" s="1395"/>
      <c r="AO1017" s="1395"/>
      <c r="AP1017" s="1395"/>
      <c r="AQ1017" s="1396"/>
      <c r="AR1017" s="68"/>
      <c r="AS1017" s="68"/>
      <c r="AT1017" s="68"/>
      <c r="AU1017" s="68"/>
      <c r="AV1017" s="68"/>
      <c r="AW1017" s="68"/>
      <c r="AX1017" s="3">
        <v>5</v>
      </c>
      <c r="AY1017" s="200">
        <f t="shared" si="53"/>
        <v>0</v>
      </c>
      <c r="AZ1017" s="1255">
        <v>0.04</v>
      </c>
    </row>
    <row r="1018" spans="1:52" ht="12.95" customHeight="1">
      <c r="A1018" s="14"/>
      <c r="B1018" s="73"/>
      <c r="C1018" s="74"/>
      <c r="D1018" s="1517"/>
      <c r="E1018" s="1518"/>
      <c r="F1018" s="1518"/>
      <c r="G1018" s="1518"/>
      <c r="H1018" s="1518"/>
      <c r="I1018" s="1518"/>
      <c r="J1018" s="1518"/>
      <c r="K1018" s="1518"/>
      <c r="L1018" s="1518"/>
      <c r="M1018" s="1518"/>
      <c r="N1018" s="1518"/>
      <c r="O1018" s="1518"/>
      <c r="P1018" s="1518"/>
      <c r="Q1018" s="1518"/>
      <c r="R1018" s="1518"/>
      <c r="S1018" s="1518"/>
      <c r="T1018" s="1518"/>
      <c r="U1018" s="1518"/>
      <c r="V1018" s="1518"/>
      <c r="W1018" s="1518"/>
      <c r="X1018" s="1518"/>
      <c r="Y1018" s="1518"/>
      <c r="Z1018" s="1518"/>
      <c r="AA1018" s="1518"/>
      <c r="AB1018" s="1518"/>
      <c r="AC1018" s="1518"/>
      <c r="AD1018" s="1518"/>
      <c r="AE1018" s="1519"/>
      <c r="AF1018" s="1372"/>
      <c r="AG1018" s="1373"/>
      <c r="AH1018" s="1373"/>
      <c r="AI1018" s="1374"/>
      <c r="AJ1018" s="1394"/>
      <c r="AK1018" s="1395"/>
      <c r="AL1018" s="1395"/>
      <c r="AM1018" s="1395"/>
      <c r="AN1018" s="1395"/>
      <c r="AO1018" s="1395"/>
      <c r="AP1018" s="1395"/>
      <c r="AQ1018" s="1396"/>
      <c r="AR1018" s="68"/>
      <c r="AS1018" s="68"/>
      <c r="AT1018" s="68"/>
      <c r="AU1018" s="68"/>
      <c r="AV1018" s="68"/>
      <c r="AW1018" s="68"/>
      <c r="AX1018" s="3">
        <v>6</v>
      </c>
      <c r="AY1018" s="200">
        <f t="shared" si="53"/>
        <v>0</v>
      </c>
      <c r="AZ1018" s="1255">
        <v>0.04</v>
      </c>
    </row>
    <row r="1019" spans="1:52" ht="12.95" customHeight="1">
      <c r="A1019" s="14"/>
      <c r="B1019" s="81"/>
      <c r="C1019" s="82"/>
      <c r="D1019" s="1520"/>
      <c r="E1019" s="1521"/>
      <c r="F1019" s="1521"/>
      <c r="G1019" s="1521"/>
      <c r="H1019" s="1521"/>
      <c r="I1019" s="1521"/>
      <c r="J1019" s="1521"/>
      <c r="K1019" s="1521"/>
      <c r="L1019" s="1521"/>
      <c r="M1019" s="1521"/>
      <c r="N1019" s="1521"/>
      <c r="O1019" s="1521"/>
      <c r="P1019" s="1521"/>
      <c r="Q1019" s="1521"/>
      <c r="R1019" s="1521"/>
      <c r="S1019" s="1521"/>
      <c r="T1019" s="1521"/>
      <c r="U1019" s="1521"/>
      <c r="V1019" s="1521"/>
      <c r="W1019" s="1521"/>
      <c r="X1019" s="1521"/>
      <c r="Y1019" s="1521"/>
      <c r="Z1019" s="1521"/>
      <c r="AA1019" s="1521"/>
      <c r="AB1019" s="1521"/>
      <c r="AC1019" s="1521"/>
      <c r="AD1019" s="1521"/>
      <c r="AE1019" s="1522"/>
      <c r="AF1019" s="1375"/>
      <c r="AG1019" s="1376"/>
      <c r="AH1019" s="1376"/>
      <c r="AI1019" s="1377"/>
      <c r="AJ1019" s="1397"/>
      <c r="AK1019" s="1398"/>
      <c r="AL1019" s="1398"/>
      <c r="AM1019" s="1398"/>
      <c r="AN1019" s="1398"/>
      <c r="AO1019" s="1398"/>
      <c r="AP1019" s="1398"/>
      <c r="AQ1019" s="1399"/>
      <c r="AR1019" s="68"/>
      <c r="AS1019" s="68"/>
      <c r="AT1019" s="68"/>
      <c r="AU1019" s="68"/>
      <c r="AV1019" s="68"/>
      <c r="AW1019" s="68"/>
      <c r="AX1019" s="3">
        <v>7</v>
      </c>
      <c r="AY1019" s="200">
        <f t="shared" si="53"/>
        <v>0</v>
      </c>
      <c r="AZ1019" s="1255">
        <v>0.01</v>
      </c>
    </row>
    <row r="1020" spans="1:52" ht="12.95" customHeight="1">
      <c r="A1020" s="14"/>
      <c r="B1020" s="79"/>
      <c r="C1020" s="80" t="s">
        <v>222</v>
      </c>
      <c r="D1020" s="1531" t="s">
        <v>1292</v>
      </c>
      <c r="E1020" s="1532"/>
      <c r="F1020" s="1532"/>
      <c r="G1020" s="1532"/>
      <c r="H1020" s="1532"/>
      <c r="I1020" s="1532"/>
      <c r="J1020" s="1532"/>
      <c r="K1020" s="1532"/>
      <c r="L1020" s="1532"/>
      <c r="M1020" s="1532"/>
      <c r="N1020" s="1532"/>
      <c r="O1020" s="1532"/>
      <c r="P1020" s="1532"/>
      <c r="Q1020" s="1532"/>
      <c r="R1020" s="1532"/>
      <c r="S1020" s="1532"/>
      <c r="T1020" s="1532"/>
      <c r="U1020" s="1532"/>
      <c r="V1020" s="1532"/>
      <c r="W1020" s="1532"/>
      <c r="X1020" s="1532"/>
      <c r="Y1020" s="1532"/>
      <c r="Z1020" s="1532"/>
      <c r="AA1020" s="1532"/>
      <c r="AB1020" s="1532"/>
      <c r="AC1020" s="1532"/>
      <c r="AD1020" s="1532"/>
      <c r="AE1020" s="1533"/>
      <c r="AF1020" s="79"/>
      <c r="AG1020" s="1512" t="s">
        <v>669</v>
      </c>
      <c r="AH1020" s="1513"/>
      <c r="AI1020" s="87"/>
      <c r="AJ1020" s="1391">
        <f>ROUND(IF(AND(AG1020="Yes",J1024&lt;&gt;"N/A",AF1023&lt;&gt;""),MIN(AF1023,(0.15*AJ992)),0),0)</f>
        <v>0</v>
      </c>
      <c r="AK1020" s="1392"/>
      <c r="AL1020" s="1392"/>
      <c r="AM1020" s="1392"/>
      <c r="AN1020" s="1392"/>
      <c r="AO1020" s="1392"/>
      <c r="AP1020" s="1392"/>
      <c r="AQ1020" s="1393"/>
      <c r="AR1020" s="68"/>
      <c r="AS1020" s="68"/>
      <c r="AT1020" s="68"/>
      <c r="AU1020" s="68"/>
      <c r="AV1020" s="68"/>
      <c r="AW1020" s="68"/>
      <c r="AX1020" s="3">
        <v>8</v>
      </c>
      <c r="AY1020" s="200">
        <f t="shared" si="53"/>
        <v>0</v>
      </c>
      <c r="AZ1020" s="1255">
        <v>0.01</v>
      </c>
    </row>
    <row r="1021" spans="1:52" ht="12.95" customHeight="1">
      <c r="A1021" s="14"/>
      <c r="B1021" s="81"/>
      <c r="C1021" s="84"/>
      <c r="D1021" s="1534"/>
      <c r="E1021" s="1535"/>
      <c r="F1021" s="1535"/>
      <c r="G1021" s="1535"/>
      <c r="H1021" s="1535"/>
      <c r="I1021" s="1535"/>
      <c r="J1021" s="1535"/>
      <c r="K1021" s="1535"/>
      <c r="L1021" s="1535"/>
      <c r="M1021" s="1535"/>
      <c r="N1021" s="1535"/>
      <c r="O1021" s="1535"/>
      <c r="P1021" s="1535"/>
      <c r="Q1021" s="1535"/>
      <c r="R1021" s="1535"/>
      <c r="S1021" s="1535"/>
      <c r="T1021" s="1535"/>
      <c r="U1021" s="1535"/>
      <c r="V1021" s="1535"/>
      <c r="W1021" s="1535"/>
      <c r="X1021" s="1535"/>
      <c r="Y1021" s="1535"/>
      <c r="Z1021" s="1535"/>
      <c r="AA1021" s="1535"/>
      <c r="AB1021" s="1535"/>
      <c r="AC1021" s="1535"/>
      <c r="AD1021" s="1535"/>
      <c r="AE1021" s="1536"/>
      <c r="AF1021" s="1523" t="str">
        <f>IF(AG1020="yes","Please Select Type and Enter Amount:","")</f>
        <v/>
      </c>
      <c r="AG1021" s="1524"/>
      <c r="AH1021" s="1524"/>
      <c r="AI1021" s="1525"/>
      <c r="AJ1021" s="1394"/>
      <c r="AK1021" s="1395"/>
      <c r="AL1021" s="1395"/>
      <c r="AM1021" s="1395"/>
      <c r="AN1021" s="1395"/>
      <c r="AO1021" s="1395"/>
      <c r="AP1021" s="1395"/>
      <c r="AQ1021" s="1396"/>
      <c r="AR1021" s="68"/>
      <c r="AS1021" s="68"/>
      <c r="AT1021" s="68"/>
      <c r="AU1021" s="68"/>
      <c r="AV1021" s="68"/>
      <c r="AW1021" s="68"/>
      <c r="AX1021" s="3">
        <v>9</v>
      </c>
      <c r="AY1021" s="200">
        <f t="shared" si="53"/>
        <v>0</v>
      </c>
      <c r="AZ1021" s="1255">
        <v>0.01</v>
      </c>
    </row>
    <row r="1022" spans="1:52" ht="12.95" customHeight="1">
      <c r="A1022" s="14"/>
      <c r="B1022" s="81"/>
      <c r="C1022" s="84"/>
      <c r="D1022" s="1517" t="s">
        <v>1293</v>
      </c>
      <c r="E1022" s="1518"/>
      <c r="F1022" s="1518"/>
      <c r="G1022" s="1518"/>
      <c r="H1022" s="1518"/>
      <c r="I1022" s="1518"/>
      <c r="J1022" s="1518"/>
      <c r="K1022" s="1518"/>
      <c r="L1022" s="1518"/>
      <c r="M1022" s="1518"/>
      <c r="N1022" s="1518"/>
      <c r="O1022" s="1518"/>
      <c r="P1022" s="1518"/>
      <c r="Q1022" s="1518"/>
      <c r="R1022" s="1518"/>
      <c r="S1022" s="1518"/>
      <c r="T1022" s="1518"/>
      <c r="U1022" s="1518"/>
      <c r="V1022" s="1518"/>
      <c r="W1022" s="1518"/>
      <c r="X1022" s="1518"/>
      <c r="Y1022" s="1518"/>
      <c r="Z1022" s="1518"/>
      <c r="AA1022" s="1518"/>
      <c r="AB1022" s="1518"/>
      <c r="AC1022" s="1518"/>
      <c r="AD1022" s="1518"/>
      <c r="AE1022" s="1519"/>
      <c r="AF1022" s="1523"/>
      <c r="AG1022" s="1524"/>
      <c r="AH1022" s="1524"/>
      <c r="AI1022" s="1525"/>
      <c r="AJ1022" s="1394"/>
      <c r="AK1022" s="1395"/>
      <c r="AL1022" s="1395"/>
      <c r="AM1022" s="1395"/>
      <c r="AN1022" s="1395"/>
      <c r="AO1022" s="1395"/>
      <c r="AP1022" s="1395"/>
      <c r="AQ1022" s="1396"/>
      <c r="AR1022" s="68"/>
      <c r="AS1022" s="68"/>
      <c r="AT1022" s="68"/>
      <c r="AU1022" s="68"/>
      <c r="AV1022" s="68"/>
      <c r="AW1022" s="68"/>
      <c r="AX1022" s="3">
        <v>10</v>
      </c>
      <c r="AY1022" s="200">
        <f t="shared" si="53"/>
        <v>0</v>
      </c>
      <c r="AZ1022" s="1255">
        <v>0.02</v>
      </c>
    </row>
    <row r="1023" spans="1:52" ht="12.95" customHeight="1">
      <c r="A1023" s="14"/>
      <c r="B1023" s="81"/>
      <c r="C1023" s="84"/>
      <c r="D1023" s="1517"/>
      <c r="E1023" s="1518"/>
      <c r="F1023" s="1518"/>
      <c r="G1023" s="1518"/>
      <c r="H1023" s="1518"/>
      <c r="I1023" s="1518"/>
      <c r="J1023" s="1518"/>
      <c r="K1023" s="1518"/>
      <c r="L1023" s="1518"/>
      <c r="M1023" s="1518"/>
      <c r="N1023" s="1518"/>
      <c r="O1023" s="1518"/>
      <c r="P1023" s="1518"/>
      <c r="Q1023" s="1518"/>
      <c r="R1023" s="1518"/>
      <c r="S1023" s="1518"/>
      <c r="T1023" s="1518"/>
      <c r="U1023" s="1518"/>
      <c r="V1023" s="1518"/>
      <c r="W1023" s="1518"/>
      <c r="X1023" s="1518"/>
      <c r="Y1023" s="1518"/>
      <c r="Z1023" s="1518"/>
      <c r="AA1023" s="1518"/>
      <c r="AB1023" s="1518"/>
      <c r="AC1023" s="1518"/>
      <c r="AD1023" s="1518"/>
      <c r="AE1023" s="1519"/>
      <c r="AF1023" s="1422"/>
      <c r="AG1023" s="1422"/>
      <c r="AH1023" s="1422"/>
      <c r="AI1023" s="1422"/>
      <c r="AJ1023" s="1394"/>
      <c r="AK1023" s="1395"/>
      <c r="AL1023" s="1395"/>
      <c r="AM1023" s="1395"/>
      <c r="AN1023" s="1395"/>
      <c r="AO1023" s="1395"/>
      <c r="AP1023" s="1395"/>
      <c r="AQ1023" s="1396"/>
      <c r="AR1023" s="68"/>
      <c r="AS1023" s="68"/>
      <c r="AT1023" s="68"/>
      <c r="AU1023" s="68"/>
      <c r="AV1023" s="68"/>
      <c r="AW1023" s="68"/>
      <c r="AX1023" s="3">
        <v>11</v>
      </c>
      <c r="AY1023" s="200">
        <f t="shared" si="53"/>
        <v>0</v>
      </c>
      <c r="AZ1023" s="1255">
        <v>0.02</v>
      </c>
    </row>
    <row r="1024" spans="1:52" ht="12.95" customHeight="1">
      <c r="A1024" s="14"/>
      <c r="B1024" s="81"/>
      <c r="C1024" s="84"/>
      <c r="D1024" s="526" t="s">
        <v>358</v>
      </c>
      <c r="E1024" s="90"/>
      <c r="F1024" s="90"/>
      <c r="G1024" s="104"/>
      <c r="H1024" s="104"/>
      <c r="I1024" s="49"/>
      <c r="J1024" s="1498" t="s">
        <v>591</v>
      </c>
      <c r="K1024" s="1499"/>
      <c r="L1024" s="1499"/>
      <c r="M1024" s="1499"/>
      <c r="N1024" s="1499"/>
      <c r="O1024" s="1499"/>
      <c r="P1024" s="1499"/>
      <c r="Q1024" s="1499"/>
      <c r="R1024" s="1499"/>
      <c r="S1024" s="1499"/>
      <c r="T1024" s="1499"/>
      <c r="U1024" s="1499"/>
      <c r="V1024" s="1499"/>
      <c r="W1024" s="1499"/>
      <c r="X1024" s="1499"/>
      <c r="Y1024" s="1499"/>
      <c r="Z1024" s="1499"/>
      <c r="AA1024" s="1499"/>
      <c r="AB1024" s="1499"/>
      <c r="AC1024" s="1499"/>
      <c r="AD1024" s="1499"/>
      <c r="AE1024" s="1500"/>
      <c r="AF1024" s="1422"/>
      <c r="AG1024" s="1422"/>
      <c r="AH1024" s="1422"/>
      <c r="AI1024" s="1422"/>
      <c r="AJ1024" s="1397"/>
      <c r="AK1024" s="1398"/>
      <c r="AL1024" s="1398"/>
      <c r="AM1024" s="1398"/>
      <c r="AN1024" s="1398"/>
      <c r="AO1024" s="1398"/>
      <c r="AP1024" s="1398"/>
      <c r="AQ1024" s="1399"/>
      <c r="AR1024" s="68"/>
      <c r="AS1024" s="68"/>
      <c r="AT1024" s="68"/>
      <c r="AU1024" s="68"/>
      <c r="AV1024" s="68"/>
      <c r="AW1024" s="68"/>
      <c r="AX1024" s="1032" t="s">
        <v>2605</v>
      </c>
      <c r="AY1024" s="201">
        <f>IF(SUM(AY1013:AY1023)&lt;=0.2,SUM(AY1013:AY1023),0.2)</f>
        <v>0.2</v>
      </c>
    </row>
    <row r="1025" spans="1:57" ht="12.95" customHeight="1">
      <c r="A1025" s="14"/>
      <c r="B1025" s="79"/>
      <c r="C1025" s="80" t="s">
        <v>228</v>
      </c>
      <c r="D1025" s="1504" t="s">
        <v>1294</v>
      </c>
      <c r="E1025" s="1505"/>
      <c r="F1025" s="1505"/>
      <c r="G1025" s="1505"/>
      <c r="H1025" s="1505"/>
      <c r="I1025" s="1505"/>
      <c r="J1025" s="1505"/>
      <c r="K1025" s="1505"/>
      <c r="L1025" s="1505"/>
      <c r="M1025" s="1505"/>
      <c r="N1025" s="1505"/>
      <c r="O1025" s="1505"/>
      <c r="P1025" s="1505"/>
      <c r="Q1025" s="1505"/>
      <c r="R1025" s="1505"/>
      <c r="S1025" s="1505"/>
      <c r="T1025" s="1505"/>
      <c r="U1025" s="1505"/>
      <c r="V1025" s="1505"/>
      <c r="W1025" s="1505"/>
      <c r="X1025" s="1505"/>
      <c r="Y1025" s="1505"/>
      <c r="Z1025" s="1505"/>
      <c r="AA1025" s="1505"/>
      <c r="AB1025" s="1505"/>
      <c r="AC1025" s="1505"/>
      <c r="AD1025" s="1505"/>
      <c r="AE1025" s="1506"/>
      <c r="AF1025" s="79"/>
      <c r="AG1025" s="1512" t="s">
        <v>545</v>
      </c>
      <c r="AH1025" s="1513"/>
      <c r="AI1025" s="87"/>
      <c r="AJ1025" s="1391">
        <f>ROUND(IF(AG1025="Yes",AF1027,0),0)</f>
        <v>849243</v>
      </c>
      <c r="AK1025" s="1392"/>
      <c r="AL1025" s="1392"/>
      <c r="AM1025" s="1392"/>
      <c r="AN1025" s="1392"/>
      <c r="AO1025" s="1392"/>
      <c r="AP1025" s="1392"/>
      <c r="AQ1025" s="1393"/>
      <c r="AR1025" s="68"/>
      <c r="AS1025" s="68"/>
      <c r="AT1025" s="68"/>
      <c r="AU1025" s="68"/>
      <c r="AV1025" s="68"/>
      <c r="AW1025" s="68"/>
      <c r="AX1025" s="68"/>
      <c r="AY1025" s="68"/>
    </row>
    <row r="1026" spans="1:57" ht="12.95" customHeight="1">
      <c r="A1026" s="14"/>
      <c r="B1026" s="73"/>
      <c r="C1026" s="74"/>
      <c r="D1026" s="1517" t="s">
        <v>1690</v>
      </c>
      <c r="E1026" s="1518"/>
      <c r="F1026" s="1518"/>
      <c r="G1026" s="1518"/>
      <c r="H1026" s="1518"/>
      <c r="I1026" s="1518"/>
      <c r="J1026" s="1518"/>
      <c r="K1026" s="1518"/>
      <c r="L1026" s="1518"/>
      <c r="M1026" s="1518"/>
      <c r="N1026" s="1518"/>
      <c r="O1026" s="1518"/>
      <c r="P1026" s="1518"/>
      <c r="Q1026" s="1518"/>
      <c r="R1026" s="1518"/>
      <c r="S1026" s="1518"/>
      <c r="T1026" s="1518"/>
      <c r="U1026" s="1518"/>
      <c r="V1026" s="1518"/>
      <c r="W1026" s="1518"/>
      <c r="X1026" s="1518"/>
      <c r="Y1026" s="1518"/>
      <c r="Z1026" s="1518"/>
      <c r="AA1026" s="1518"/>
      <c r="AB1026" s="1518"/>
      <c r="AC1026" s="1518"/>
      <c r="AD1026" s="1518"/>
      <c r="AE1026" s="1519"/>
      <c r="AF1026" s="1537" t="str">
        <f>IF(AG1025="yes","Enter Amount:","")</f>
        <v>Enter Amount:</v>
      </c>
      <c r="AG1026" s="1538"/>
      <c r="AH1026" s="1538"/>
      <c r="AI1026" s="1539"/>
      <c r="AJ1026" s="1394"/>
      <c r="AK1026" s="1395"/>
      <c r="AL1026" s="1395"/>
      <c r="AM1026" s="1395"/>
      <c r="AN1026" s="1395"/>
      <c r="AO1026" s="1395"/>
      <c r="AP1026" s="1395"/>
      <c r="AQ1026" s="1396"/>
      <c r="AR1026" s="68"/>
      <c r="AS1026" s="68"/>
      <c r="AT1026" s="68"/>
      <c r="AU1026" s="68"/>
      <c r="AV1026" s="68"/>
      <c r="AW1026" s="68"/>
      <c r="AX1026" s="68"/>
      <c r="AY1026" s="68"/>
    </row>
    <row r="1027" spans="1:57" ht="12.95" customHeight="1">
      <c r="A1027" s="14"/>
      <c r="B1027" s="73"/>
      <c r="C1027" s="74"/>
      <c r="D1027" s="1517"/>
      <c r="E1027" s="1518"/>
      <c r="F1027" s="1518"/>
      <c r="G1027" s="1518"/>
      <c r="H1027" s="1518"/>
      <c r="I1027" s="1518"/>
      <c r="J1027" s="1518"/>
      <c r="K1027" s="1518"/>
      <c r="L1027" s="1518"/>
      <c r="M1027" s="1518"/>
      <c r="N1027" s="1518"/>
      <c r="O1027" s="1518"/>
      <c r="P1027" s="1518"/>
      <c r="Q1027" s="1518"/>
      <c r="R1027" s="1518"/>
      <c r="S1027" s="1518"/>
      <c r="T1027" s="1518"/>
      <c r="U1027" s="1518"/>
      <c r="V1027" s="1518"/>
      <c r="W1027" s="1518"/>
      <c r="X1027" s="1518"/>
      <c r="Y1027" s="1518"/>
      <c r="Z1027" s="1518"/>
      <c r="AA1027" s="1518"/>
      <c r="AB1027" s="1518"/>
      <c r="AC1027" s="1518"/>
      <c r="AD1027" s="1518"/>
      <c r="AE1027" s="1519"/>
      <c r="AF1027" s="1422">
        <v>849243</v>
      </c>
      <c r="AG1027" s="1422"/>
      <c r="AH1027" s="1422"/>
      <c r="AI1027" s="1422"/>
      <c r="AJ1027" s="1394"/>
      <c r="AK1027" s="1395"/>
      <c r="AL1027" s="1395"/>
      <c r="AM1027" s="1395"/>
      <c r="AN1027" s="1395"/>
      <c r="AO1027" s="1395"/>
      <c r="AP1027" s="1395"/>
      <c r="AQ1027" s="1396"/>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20"/>
      <c r="E1028" s="1521"/>
      <c r="F1028" s="1521"/>
      <c r="G1028" s="1521"/>
      <c r="H1028" s="1521"/>
      <c r="I1028" s="1521"/>
      <c r="J1028" s="1521"/>
      <c r="K1028" s="1521"/>
      <c r="L1028" s="1521"/>
      <c r="M1028" s="1521"/>
      <c r="N1028" s="1521"/>
      <c r="O1028" s="1521"/>
      <c r="P1028" s="1521"/>
      <c r="Q1028" s="1521"/>
      <c r="R1028" s="1521"/>
      <c r="S1028" s="1521"/>
      <c r="T1028" s="1521"/>
      <c r="U1028" s="1521"/>
      <c r="V1028" s="1521"/>
      <c r="W1028" s="1521"/>
      <c r="X1028" s="1521"/>
      <c r="Y1028" s="1521"/>
      <c r="Z1028" s="1521"/>
      <c r="AA1028" s="1521"/>
      <c r="AB1028" s="1521"/>
      <c r="AC1028" s="1521"/>
      <c r="AD1028" s="1521"/>
      <c r="AE1028" s="1522"/>
      <c r="AF1028" s="1422"/>
      <c r="AG1028" s="1422"/>
      <c r="AH1028" s="1422"/>
      <c r="AI1028" s="1422"/>
      <c r="AJ1028" s="1397"/>
      <c r="AK1028" s="1398"/>
      <c r="AL1028" s="1398"/>
      <c r="AM1028" s="1398"/>
      <c r="AN1028" s="1398"/>
      <c r="AO1028" s="1398"/>
      <c r="AP1028" s="1398"/>
      <c r="AQ1028" s="1399"/>
      <c r="AR1028" s="68"/>
      <c r="AS1028" s="68"/>
      <c r="AT1028" s="68"/>
      <c r="AU1028" s="68"/>
      <c r="AV1028" s="68"/>
      <c r="AW1028" s="68"/>
      <c r="AX1028" s="68"/>
      <c r="AY1028" s="68"/>
    </row>
    <row r="1029" spans="1:57" ht="12.95" customHeight="1">
      <c r="A1029" s="14"/>
      <c r="B1029" s="79"/>
      <c r="C1029" s="80" t="s">
        <v>233</v>
      </c>
      <c r="D1029" s="1514" t="s">
        <v>1295</v>
      </c>
      <c r="E1029" s="1515"/>
      <c r="F1029" s="1515"/>
      <c r="G1029" s="1515"/>
      <c r="H1029" s="1515"/>
      <c r="I1029" s="1515"/>
      <c r="J1029" s="1515"/>
      <c r="K1029" s="1515"/>
      <c r="L1029" s="1515"/>
      <c r="M1029" s="1515"/>
      <c r="N1029" s="1515"/>
      <c r="O1029" s="1515"/>
      <c r="P1029" s="1515"/>
      <c r="Q1029" s="1515"/>
      <c r="R1029" s="1515"/>
      <c r="S1029" s="1515"/>
      <c r="T1029" s="1515"/>
      <c r="U1029" s="1515"/>
      <c r="V1029" s="1515"/>
      <c r="W1029" s="1515"/>
      <c r="X1029" s="1515"/>
      <c r="Y1029" s="1515"/>
      <c r="Z1029" s="1515"/>
      <c r="AA1029" s="1515"/>
      <c r="AB1029" s="1515"/>
      <c r="AC1029" s="1515"/>
      <c r="AD1029" s="1515"/>
      <c r="AE1029" s="1516"/>
      <c r="AF1029" s="79"/>
      <c r="AG1029" s="1512" t="s">
        <v>669</v>
      </c>
      <c r="AH1029" s="1513"/>
      <c r="AI1029" s="87"/>
      <c r="AJ1029" s="1391">
        <f>ROUND(IF(AG1029="yes",(AJ992*0.1),0),0)</f>
        <v>0</v>
      </c>
      <c r="AK1029" s="1392"/>
      <c r="AL1029" s="1392"/>
      <c r="AM1029" s="1392"/>
      <c r="AN1029" s="1392"/>
      <c r="AO1029" s="1392"/>
      <c r="AP1029" s="1392"/>
      <c r="AQ1029" s="1393"/>
      <c r="AR1029" s="68"/>
      <c r="AS1029" s="68"/>
      <c r="AT1029" s="68"/>
      <c r="AU1029" s="68"/>
      <c r="AV1029" s="68"/>
      <c r="AW1029" s="68"/>
      <c r="AX1029" s="68"/>
      <c r="AY1029" s="68"/>
    </row>
    <row r="1030" spans="1:57" ht="12.95" customHeight="1">
      <c r="A1030" s="14"/>
      <c r="B1030" s="73"/>
      <c r="C1030" s="74"/>
      <c r="D1030" s="1517" t="s">
        <v>1296</v>
      </c>
      <c r="E1030" s="1518"/>
      <c r="F1030" s="1518"/>
      <c r="G1030" s="1518"/>
      <c r="H1030" s="1518"/>
      <c r="I1030" s="1518"/>
      <c r="J1030" s="1518"/>
      <c r="K1030" s="1518"/>
      <c r="L1030" s="1518"/>
      <c r="M1030" s="1518"/>
      <c r="N1030" s="1518"/>
      <c r="O1030" s="1518"/>
      <c r="P1030" s="1518"/>
      <c r="Q1030" s="1518"/>
      <c r="R1030" s="1518"/>
      <c r="S1030" s="1518"/>
      <c r="T1030" s="1518"/>
      <c r="U1030" s="1518"/>
      <c r="V1030" s="1518"/>
      <c r="W1030" s="1518"/>
      <c r="X1030" s="1518"/>
      <c r="Y1030" s="1518"/>
      <c r="Z1030" s="1518"/>
      <c r="AA1030" s="1518"/>
      <c r="AB1030" s="1518"/>
      <c r="AC1030" s="1518"/>
      <c r="AD1030" s="1518"/>
      <c r="AE1030" s="1519"/>
      <c r="AF1030" s="73"/>
      <c r="AG1030" s="14"/>
      <c r="AH1030" s="14"/>
      <c r="AI1030" s="83"/>
      <c r="AJ1030" s="1394"/>
      <c r="AK1030" s="1395"/>
      <c r="AL1030" s="1395"/>
      <c r="AM1030" s="1395"/>
      <c r="AN1030" s="1395"/>
      <c r="AO1030" s="1395"/>
      <c r="AP1030" s="1395"/>
      <c r="AQ1030" s="1396"/>
      <c r="AR1030" s="68"/>
      <c r="AS1030" s="68"/>
      <c r="AT1030" s="68"/>
      <c r="AU1030" s="68"/>
      <c r="AV1030" s="68"/>
      <c r="AW1030" s="68"/>
      <c r="AX1030" s="68"/>
      <c r="AY1030" s="68"/>
    </row>
    <row r="1031" spans="1:57" ht="12.95" customHeight="1">
      <c r="A1031" s="14"/>
      <c r="B1031" s="77"/>
      <c r="C1031" s="74"/>
      <c r="D1031" s="1520"/>
      <c r="E1031" s="1521"/>
      <c r="F1031" s="1521"/>
      <c r="G1031" s="1521"/>
      <c r="H1031" s="1521"/>
      <c r="I1031" s="1521"/>
      <c r="J1031" s="1521"/>
      <c r="K1031" s="1521"/>
      <c r="L1031" s="1521"/>
      <c r="M1031" s="1521"/>
      <c r="N1031" s="1521"/>
      <c r="O1031" s="1521"/>
      <c r="P1031" s="1521"/>
      <c r="Q1031" s="1521"/>
      <c r="R1031" s="1521"/>
      <c r="S1031" s="1521"/>
      <c r="T1031" s="1521"/>
      <c r="U1031" s="1521"/>
      <c r="V1031" s="1521"/>
      <c r="W1031" s="1521"/>
      <c r="X1031" s="1521"/>
      <c r="Y1031" s="1521"/>
      <c r="Z1031" s="1521"/>
      <c r="AA1031" s="1521"/>
      <c r="AB1031" s="1521"/>
      <c r="AC1031" s="1521"/>
      <c r="AD1031" s="1521"/>
      <c r="AE1031" s="1522"/>
      <c r="AF1031" s="73"/>
      <c r="AG1031" s="14"/>
      <c r="AH1031" s="14"/>
      <c r="AI1031" s="83"/>
      <c r="AJ1031" s="1397"/>
      <c r="AK1031" s="1398"/>
      <c r="AL1031" s="1398"/>
      <c r="AM1031" s="1398"/>
      <c r="AN1031" s="1398"/>
      <c r="AO1031" s="1398"/>
      <c r="AP1031" s="1398"/>
      <c r="AQ1031" s="1399"/>
      <c r="AR1031" s="68"/>
      <c r="AS1031" s="68"/>
      <c r="AT1031" s="68"/>
      <c r="AU1031" s="68"/>
      <c r="AV1031" s="68"/>
      <c r="AW1031" s="68"/>
      <c r="AX1031" s="68"/>
      <c r="AY1031" s="68"/>
    </row>
    <row r="1032" spans="1:57" ht="12.95" customHeight="1">
      <c r="A1032" s="14"/>
      <c r="B1032" s="73"/>
      <c r="C1032" s="339" t="s">
        <v>687</v>
      </c>
      <c r="D1032" s="1504" t="s">
        <v>1686</v>
      </c>
      <c r="E1032" s="1505"/>
      <c r="F1032" s="1505"/>
      <c r="G1032" s="1505"/>
      <c r="H1032" s="1505"/>
      <c r="I1032" s="1505"/>
      <c r="J1032" s="1505"/>
      <c r="K1032" s="1505"/>
      <c r="L1032" s="1505"/>
      <c r="M1032" s="1505"/>
      <c r="N1032" s="1505"/>
      <c r="O1032" s="1505"/>
      <c r="P1032" s="1505"/>
      <c r="Q1032" s="1505"/>
      <c r="R1032" s="1505"/>
      <c r="S1032" s="1505"/>
      <c r="T1032" s="1505"/>
      <c r="U1032" s="1505"/>
      <c r="V1032" s="1505"/>
      <c r="W1032" s="1505"/>
      <c r="X1032" s="1505"/>
      <c r="Y1032" s="1505"/>
      <c r="Z1032" s="1505"/>
      <c r="AA1032" s="1505"/>
      <c r="AB1032" s="1505"/>
      <c r="AC1032" s="1505"/>
      <c r="AD1032" s="1505"/>
      <c r="AE1032" s="1506"/>
      <c r="AF1032" s="79"/>
      <c r="AG1032" s="1512" t="s">
        <v>669</v>
      </c>
      <c r="AH1032" s="1513"/>
      <c r="AI1032" s="87"/>
      <c r="AJ1032" s="1391">
        <f>ROUND(IF(AG1032="yes",(AJ992*0.15),0),0)</f>
        <v>0</v>
      </c>
      <c r="AK1032" s="1392"/>
      <c r="AL1032" s="1392"/>
      <c r="AM1032" s="1392"/>
      <c r="AN1032" s="1392"/>
      <c r="AO1032" s="1392"/>
      <c r="AP1032" s="1392"/>
      <c r="AQ1032" s="1393"/>
      <c r="AR1032" s="68"/>
      <c r="AS1032" s="68"/>
      <c r="AT1032" s="68"/>
      <c r="AU1032" s="68"/>
      <c r="AV1032" s="68"/>
      <c r="AW1032" s="68"/>
      <c r="AX1032" s="68"/>
      <c r="AY1032" s="68"/>
    </row>
    <row r="1033" spans="1:57" ht="12.95" customHeight="1">
      <c r="A1033" s="14"/>
      <c r="B1033" s="73"/>
      <c r="C1033" s="74"/>
      <c r="D1033" s="1526" t="s">
        <v>1687</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527"/>
      <c r="AF1033" s="915"/>
      <c r="AG1033" s="916"/>
      <c r="AH1033" s="916"/>
      <c r="AI1033" s="917"/>
      <c r="AJ1033" s="1394"/>
      <c r="AK1033" s="1395"/>
      <c r="AL1033" s="1395"/>
      <c r="AM1033" s="1395"/>
      <c r="AN1033" s="1395"/>
      <c r="AO1033" s="1395"/>
      <c r="AP1033" s="1395"/>
      <c r="AQ1033" s="1396"/>
      <c r="AR1033" s="68"/>
      <c r="AS1033" s="68"/>
      <c r="AT1033" s="68"/>
      <c r="AU1033" s="68"/>
      <c r="AV1033" s="68"/>
      <c r="AW1033" s="68"/>
      <c r="AX1033" s="68"/>
      <c r="AY1033" s="68"/>
    </row>
    <row r="1034" spans="1:57" ht="12.95" customHeight="1">
      <c r="A1034" s="14"/>
      <c r="B1034" s="73"/>
      <c r="C1034" s="74"/>
      <c r="D1034" s="1526"/>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527"/>
      <c r="AF1034" s="915"/>
      <c r="AG1034" s="916"/>
      <c r="AH1034" s="916"/>
      <c r="AI1034" s="917"/>
      <c r="AJ1034" s="1394"/>
      <c r="AK1034" s="1395"/>
      <c r="AL1034" s="1395"/>
      <c r="AM1034" s="1395"/>
      <c r="AN1034" s="1395"/>
      <c r="AO1034" s="1395"/>
      <c r="AP1034" s="1395"/>
      <c r="AQ1034" s="1396"/>
      <c r="AR1034" s="68"/>
      <c r="AS1034" s="68"/>
      <c r="AT1034" s="68"/>
      <c r="AU1034" s="68"/>
      <c r="AV1034" s="68"/>
      <c r="AW1034" s="68"/>
      <c r="AX1034" s="68"/>
      <c r="AY1034" s="68"/>
    </row>
    <row r="1035" spans="1:57" ht="12.95" customHeight="1">
      <c r="A1035" s="14"/>
      <c r="B1035" s="73"/>
      <c r="C1035" s="74"/>
      <c r="D1035" s="1528"/>
      <c r="E1035" s="1529"/>
      <c r="F1035" s="1529"/>
      <c r="G1035" s="1529"/>
      <c r="H1035" s="1529"/>
      <c r="I1035" s="1529"/>
      <c r="J1035" s="1529"/>
      <c r="K1035" s="1529"/>
      <c r="L1035" s="1529"/>
      <c r="M1035" s="1529"/>
      <c r="N1035" s="1529"/>
      <c r="O1035" s="1529"/>
      <c r="P1035" s="1529"/>
      <c r="Q1035" s="1529"/>
      <c r="R1035" s="1529"/>
      <c r="S1035" s="1529"/>
      <c r="T1035" s="1529"/>
      <c r="U1035" s="1529"/>
      <c r="V1035" s="1529"/>
      <c r="W1035" s="1529"/>
      <c r="X1035" s="1529"/>
      <c r="Y1035" s="1529"/>
      <c r="Z1035" s="1529"/>
      <c r="AA1035" s="1529"/>
      <c r="AB1035" s="1529"/>
      <c r="AC1035" s="1529"/>
      <c r="AD1035" s="1529"/>
      <c r="AE1035" s="1530"/>
      <c r="AF1035" s="918"/>
      <c r="AG1035" s="919"/>
      <c r="AH1035" s="919"/>
      <c r="AI1035" s="920"/>
      <c r="AJ1035" s="1397"/>
      <c r="AK1035" s="1398"/>
      <c r="AL1035" s="1398"/>
      <c r="AM1035" s="1398"/>
      <c r="AN1035" s="1398"/>
      <c r="AO1035" s="1398"/>
      <c r="AP1035" s="1398"/>
      <c r="AQ1035" s="1399"/>
      <c r="AR1035" s="68"/>
      <c r="AS1035" s="68"/>
      <c r="AT1035" s="68"/>
      <c r="AU1035" s="68"/>
      <c r="AV1035" s="68"/>
      <c r="AW1035" s="68"/>
      <c r="AX1035" s="68"/>
      <c r="AY1035" s="68"/>
    </row>
    <row r="1036" spans="1:57" ht="12.95" customHeight="1">
      <c r="A1036" s="14"/>
      <c r="B1036" s="73"/>
      <c r="C1036" s="339" t="s">
        <v>687</v>
      </c>
      <c r="D1036" s="1514" t="s">
        <v>1688</v>
      </c>
      <c r="E1036" s="1515"/>
      <c r="F1036" s="1515"/>
      <c r="G1036" s="1515"/>
      <c r="H1036" s="1515"/>
      <c r="I1036" s="1515"/>
      <c r="J1036" s="1515"/>
      <c r="K1036" s="1515"/>
      <c r="L1036" s="1515"/>
      <c r="M1036" s="1515"/>
      <c r="N1036" s="1515"/>
      <c r="O1036" s="1515"/>
      <c r="P1036" s="1515"/>
      <c r="Q1036" s="1515"/>
      <c r="R1036" s="1515"/>
      <c r="S1036" s="1515"/>
      <c r="T1036" s="1515"/>
      <c r="U1036" s="1515"/>
      <c r="V1036" s="1515"/>
      <c r="W1036" s="1515"/>
      <c r="X1036" s="1515"/>
      <c r="Y1036" s="1515"/>
      <c r="Z1036" s="1515"/>
      <c r="AA1036" s="1515"/>
      <c r="AB1036" s="1515"/>
      <c r="AC1036" s="1515"/>
      <c r="AD1036" s="1515"/>
      <c r="AE1036" s="1516"/>
      <c r="AF1036" s="73"/>
      <c r="AG1036" s="1577" t="s">
        <v>669</v>
      </c>
      <c r="AH1036" s="1578"/>
      <c r="AI1036" s="83"/>
      <c r="AJ1036" s="1391">
        <f>ROUND(IF(AND(AG1036="yes",AJ1032=0),(AJ992*0.1),0),0)</f>
        <v>0</v>
      </c>
      <c r="AK1036" s="1392"/>
      <c r="AL1036" s="1392"/>
      <c r="AM1036" s="1392"/>
      <c r="AN1036" s="1392"/>
      <c r="AO1036" s="1392"/>
      <c r="AP1036" s="1392"/>
      <c r="AQ1036" s="1393"/>
      <c r="AR1036" s="68"/>
      <c r="AS1036" s="68"/>
      <c r="AT1036" s="68"/>
      <c r="AU1036" s="68"/>
      <c r="AV1036" s="68"/>
      <c r="AW1036" s="68"/>
      <c r="AX1036" s="68"/>
      <c r="AY1036" s="68"/>
    </row>
    <row r="1037" spans="1:57" ht="12.95" customHeight="1">
      <c r="A1037" s="14"/>
      <c r="B1037" s="73"/>
      <c r="C1037" s="74"/>
      <c r="D1037" s="1526" t="s">
        <v>1689</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527"/>
      <c r="AF1037" s="73"/>
      <c r="AG1037" s="14"/>
      <c r="AH1037" s="14"/>
      <c r="AI1037" s="83"/>
      <c r="AJ1037" s="1394"/>
      <c r="AK1037" s="1395"/>
      <c r="AL1037" s="1395"/>
      <c r="AM1037" s="1395"/>
      <c r="AN1037" s="1395"/>
      <c r="AO1037" s="1395"/>
      <c r="AP1037" s="1395"/>
      <c r="AQ1037" s="1396"/>
      <c r="AR1037" s="68"/>
      <c r="AS1037" s="68"/>
      <c r="AT1037" s="68"/>
      <c r="AU1037" s="68"/>
      <c r="AV1037" s="68"/>
      <c r="AW1037" s="68"/>
      <c r="AX1037" s="68"/>
      <c r="AY1037" s="68"/>
    </row>
    <row r="1038" spans="1:57" ht="12.95" customHeight="1">
      <c r="A1038" s="14"/>
      <c r="B1038" s="73"/>
      <c r="C1038" s="74"/>
      <c r="D1038" s="1526"/>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527"/>
      <c r="AF1038" s="73"/>
      <c r="AG1038" s="14"/>
      <c r="AH1038" s="14"/>
      <c r="AI1038" s="83"/>
      <c r="AJ1038" s="1394"/>
      <c r="AK1038" s="1395"/>
      <c r="AL1038" s="1395"/>
      <c r="AM1038" s="1395"/>
      <c r="AN1038" s="1395"/>
      <c r="AO1038" s="1395"/>
      <c r="AP1038" s="1395"/>
      <c r="AQ1038" s="1396"/>
      <c r="AR1038" s="68"/>
      <c r="AS1038" s="68"/>
      <c r="AT1038" s="68"/>
      <c r="AU1038" s="68"/>
      <c r="AV1038" s="68"/>
      <c r="AW1038" s="68"/>
      <c r="AX1038" s="68"/>
      <c r="AY1038" s="68"/>
      <c r="BA1038" s="1183">
        <f>IFERROR(('Sources and Uses Budget'!$C$17+'Sources and Uses Budget'!$C$18+'Sources and Uses Budget'!$C$22)/$AG$437,0)</f>
        <v>0</v>
      </c>
      <c r="BB1038" s="1183" t="s">
        <v>2488</v>
      </c>
      <c r="BC1038" s="1183"/>
      <c r="BD1038" s="1183"/>
      <c r="BE1038" s="1183"/>
    </row>
    <row r="1039" spans="1:57" ht="12.95" customHeight="1">
      <c r="A1039" s="14"/>
      <c r="B1039" s="73"/>
      <c r="C1039" s="74"/>
      <c r="D1039" s="1526"/>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527"/>
      <c r="AF1039" s="73"/>
      <c r="AG1039" s="14"/>
      <c r="AH1039" s="14"/>
      <c r="AI1039" s="83"/>
      <c r="AJ1039" s="1394"/>
      <c r="AK1039" s="1395"/>
      <c r="AL1039" s="1395"/>
      <c r="AM1039" s="1395"/>
      <c r="AN1039" s="1395"/>
      <c r="AO1039" s="1395"/>
      <c r="AP1039" s="1395"/>
      <c r="AQ1039" s="1396"/>
      <c r="AR1039" s="68"/>
      <c r="AS1039" s="68"/>
      <c r="AT1039" s="68"/>
      <c r="AU1039" s="68"/>
      <c r="AV1039" s="68"/>
      <c r="AW1039" s="68"/>
      <c r="AX1039" s="68"/>
      <c r="AY1039" s="68"/>
      <c r="BA1039">
        <f>IFERROR((($CI$753+$CM$753)/$AG$440),0)</f>
        <v>0.77966101694915257</v>
      </c>
      <c r="BB1039" s="3" t="s">
        <v>2492</v>
      </c>
    </row>
    <row r="1040" spans="1:57" ht="12.95" customHeight="1">
      <c r="A1040" s="14"/>
      <c r="B1040" s="73"/>
      <c r="C1040" s="74"/>
      <c r="D1040" s="1528"/>
      <c r="E1040" s="1529"/>
      <c r="F1040" s="1529"/>
      <c r="G1040" s="1529"/>
      <c r="H1040" s="1529"/>
      <c r="I1040" s="1529"/>
      <c r="J1040" s="1529"/>
      <c r="K1040" s="1529"/>
      <c r="L1040" s="1529"/>
      <c r="M1040" s="1529"/>
      <c r="N1040" s="1529"/>
      <c r="O1040" s="1529"/>
      <c r="P1040" s="1529"/>
      <c r="Q1040" s="1529"/>
      <c r="R1040" s="1529"/>
      <c r="S1040" s="1529"/>
      <c r="T1040" s="1529"/>
      <c r="U1040" s="1529"/>
      <c r="V1040" s="1529"/>
      <c r="W1040" s="1529"/>
      <c r="X1040" s="1529"/>
      <c r="Y1040" s="1529"/>
      <c r="Z1040" s="1529"/>
      <c r="AA1040" s="1529"/>
      <c r="AB1040" s="1529"/>
      <c r="AC1040" s="1529"/>
      <c r="AD1040" s="1529"/>
      <c r="AE1040" s="1530"/>
      <c r="AF1040" s="73"/>
      <c r="AG1040" s="14"/>
      <c r="AH1040" s="14"/>
      <c r="AI1040" s="83"/>
      <c r="AJ1040" s="1394"/>
      <c r="AK1040" s="1395"/>
      <c r="AL1040" s="1395"/>
      <c r="AM1040" s="1395"/>
      <c r="AN1040" s="1395"/>
      <c r="AO1040" s="1395"/>
      <c r="AP1040" s="1395"/>
      <c r="AQ1040" s="1396"/>
      <c r="AR1040" s="68"/>
      <c r="AS1040" s="68"/>
      <c r="AT1040" s="68"/>
      <c r="AU1040" s="68"/>
      <c r="AV1040" s="68"/>
      <c r="AW1040" s="68"/>
      <c r="AX1040" s="68"/>
      <c r="AY1040" s="68"/>
      <c r="BA1040" t="b">
        <f>'Points System'!AJ164="Yes"</f>
        <v>0</v>
      </c>
      <c r="BB1040" s="3" t="s">
        <v>2489</v>
      </c>
    </row>
    <row r="1041" spans="1:56" ht="12.95" customHeight="1">
      <c r="A1041" s="14"/>
      <c r="B1041" s="79"/>
      <c r="C1041" s="131" t="s">
        <v>1010</v>
      </c>
      <c r="D1041" s="1504" t="s">
        <v>1297</v>
      </c>
      <c r="E1041" s="1505"/>
      <c r="F1041" s="1505"/>
      <c r="G1041" s="1505"/>
      <c r="H1041" s="1505"/>
      <c r="I1041" s="1505"/>
      <c r="J1041" s="1505"/>
      <c r="K1041" s="1505"/>
      <c r="L1041" s="1505"/>
      <c r="M1041" s="1505"/>
      <c r="N1041" s="1505"/>
      <c r="O1041" s="1505"/>
      <c r="P1041" s="1505"/>
      <c r="Q1041" s="1505"/>
      <c r="R1041" s="1505"/>
      <c r="S1041" s="1505"/>
      <c r="T1041" s="1505"/>
      <c r="U1041" s="1505"/>
      <c r="V1041" s="1505"/>
      <c r="W1041" s="1505"/>
      <c r="X1041" s="1505"/>
      <c r="Y1041" s="1505"/>
      <c r="Z1041" s="1505"/>
      <c r="AA1041" s="1505"/>
      <c r="AB1041" s="1505"/>
      <c r="AC1041" s="1505"/>
      <c r="AD1041" s="1505"/>
      <c r="AE1041" s="1506"/>
      <c r="AF1041" s="79"/>
      <c r="AG1041" s="1512" t="s">
        <v>669</v>
      </c>
      <c r="AH1041" s="1513"/>
      <c r="AI1041" s="87"/>
      <c r="AJ1041" s="1391">
        <f>ROUND(IF(AG1041="yes",(AJ992*0.1),0),0)</f>
        <v>0</v>
      </c>
      <c r="AK1041" s="1392"/>
      <c r="AL1041" s="1392"/>
      <c r="AM1041" s="1392"/>
      <c r="AN1041" s="1392"/>
      <c r="AO1041" s="1392"/>
      <c r="AP1041" s="1392"/>
      <c r="AQ1041" s="1393"/>
      <c r="AR1041" s="68"/>
      <c r="AS1041" s="68"/>
      <c r="AT1041" s="68"/>
      <c r="AU1041" s="68"/>
      <c r="AV1041" s="68"/>
      <c r="AW1041" s="68"/>
      <c r="AX1041" s="68"/>
      <c r="AY1041" s="68"/>
      <c r="BA1041">
        <f>Q212</f>
        <v>0</v>
      </c>
      <c r="BB1041" s="3" t="s">
        <v>2490</v>
      </c>
    </row>
    <row r="1042" spans="1:56" ht="12.95" customHeight="1">
      <c r="A1042" s="14"/>
      <c r="B1042" s="73"/>
      <c r="C1042" s="74"/>
      <c r="D1042" s="1517" t="s">
        <v>2144</v>
      </c>
      <c r="E1042" s="1518"/>
      <c r="F1042" s="1518"/>
      <c r="G1042" s="1518"/>
      <c r="H1042" s="1518"/>
      <c r="I1042" s="1518"/>
      <c r="J1042" s="1518"/>
      <c r="K1042" s="1518"/>
      <c r="L1042" s="1518"/>
      <c r="M1042" s="1518"/>
      <c r="N1042" s="1518"/>
      <c r="O1042" s="1518"/>
      <c r="P1042" s="1518"/>
      <c r="Q1042" s="1518"/>
      <c r="R1042" s="1518"/>
      <c r="S1042" s="1518"/>
      <c r="T1042" s="1518"/>
      <c r="U1042" s="1518"/>
      <c r="V1042" s="1518"/>
      <c r="W1042" s="1518"/>
      <c r="X1042" s="1518"/>
      <c r="Y1042" s="1518"/>
      <c r="Z1042" s="1518"/>
      <c r="AA1042" s="1518"/>
      <c r="AB1042" s="1518"/>
      <c r="AC1042" s="1518"/>
      <c r="AD1042" s="1518"/>
      <c r="AE1042" s="1519"/>
      <c r="AF1042" s="73"/>
      <c r="AG1042" s="14"/>
      <c r="AH1042" s="14"/>
      <c r="AI1042" s="83"/>
      <c r="AJ1042" s="1394"/>
      <c r="AK1042" s="1395"/>
      <c r="AL1042" s="1395"/>
      <c r="AM1042" s="1395"/>
      <c r="AN1042" s="1395"/>
      <c r="AO1042" s="1395"/>
      <c r="AP1042" s="1395"/>
      <c r="AQ1042" s="1396"/>
      <c r="AR1042" s="68"/>
      <c r="AS1042" s="68"/>
      <c r="AT1042" s="68"/>
      <c r="AU1042" s="68"/>
      <c r="AV1042" s="68"/>
      <c r="AW1042" s="68"/>
      <c r="AX1042" s="68"/>
      <c r="AY1042" s="68"/>
      <c r="BA1042" s="1184">
        <f>T212</f>
        <v>0</v>
      </c>
      <c r="BB1042" s="3" t="s">
        <v>2491</v>
      </c>
    </row>
    <row r="1043" spans="1:56" ht="12.95" customHeight="1">
      <c r="A1043" s="14"/>
      <c r="B1043" s="73"/>
      <c r="C1043" s="74"/>
      <c r="D1043" s="1517"/>
      <c r="E1043" s="1518"/>
      <c r="F1043" s="1518"/>
      <c r="G1043" s="1518"/>
      <c r="H1043" s="1518"/>
      <c r="I1043" s="1518"/>
      <c r="J1043" s="1518"/>
      <c r="K1043" s="1518"/>
      <c r="L1043" s="1518"/>
      <c r="M1043" s="1518"/>
      <c r="N1043" s="1518"/>
      <c r="O1043" s="1518"/>
      <c r="P1043" s="1518"/>
      <c r="Q1043" s="1518"/>
      <c r="R1043" s="1518"/>
      <c r="S1043" s="1518"/>
      <c r="T1043" s="1518"/>
      <c r="U1043" s="1518"/>
      <c r="V1043" s="1518"/>
      <c r="W1043" s="1518"/>
      <c r="X1043" s="1518"/>
      <c r="Y1043" s="1518"/>
      <c r="Z1043" s="1518"/>
      <c r="AA1043" s="1518"/>
      <c r="AB1043" s="1518"/>
      <c r="AC1043" s="1518"/>
      <c r="AD1043" s="1518"/>
      <c r="AE1043" s="1519"/>
      <c r="AF1043" s="73"/>
      <c r="AG1043" s="14"/>
      <c r="AH1043" s="14"/>
      <c r="AI1043" s="83"/>
      <c r="AJ1043" s="1394"/>
      <c r="AK1043" s="1395"/>
      <c r="AL1043" s="1395"/>
      <c r="AM1043" s="1395"/>
      <c r="AN1043" s="1395"/>
      <c r="AO1043" s="1395"/>
      <c r="AP1043" s="1395"/>
      <c r="AQ1043" s="1396"/>
      <c r="AR1043" s="68"/>
      <c r="AS1043" s="68"/>
      <c r="AT1043" s="68"/>
      <c r="AU1043" s="68"/>
      <c r="AV1043" s="68"/>
      <c r="AW1043" s="68"/>
      <c r="AX1043" s="68"/>
      <c r="AY1043" s="68"/>
    </row>
    <row r="1044" spans="1:56" ht="12.95" customHeight="1">
      <c r="A1044" s="14"/>
      <c r="B1044" s="73"/>
      <c r="C1044" s="74"/>
      <c r="D1044" s="1520"/>
      <c r="E1044" s="1521"/>
      <c r="F1044" s="1521"/>
      <c r="G1044" s="1521"/>
      <c r="H1044" s="1521"/>
      <c r="I1044" s="1521"/>
      <c r="J1044" s="1521"/>
      <c r="K1044" s="1521"/>
      <c r="L1044" s="1521"/>
      <c r="M1044" s="1521"/>
      <c r="N1044" s="1521"/>
      <c r="O1044" s="1521"/>
      <c r="P1044" s="1521"/>
      <c r="Q1044" s="1521"/>
      <c r="R1044" s="1521"/>
      <c r="S1044" s="1521"/>
      <c r="T1044" s="1521"/>
      <c r="U1044" s="1521"/>
      <c r="V1044" s="1521"/>
      <c r="W1044" s="1521"/>
      <c r="X1044" s="1521"/>
      <c r="Y1044" s="1521"/>
      <c r="Z1044" s="1521"/>
      <c r="AA1044" s="1521"/>
      <c r="AB1044" s="1521"/>
      <c r="AC1044" s="1521"/>
      <c r="AD1044" s="1521"/>
      <c r="AE1044" s="1522"/>
      <c r="AF1044" s="73"/>
      <c r="AG1044" s="14"/>
      <c r="AH1044" s="14"/>
      <c r="AI1044" s="83"/>
      <c r="AJ1044" s="1397"/>
      <c r="AK1044" s="1398"/>
      <c r="AL1044" s="1398"/>
      <c r="AM1044" s="1398"/>
      <c r="AN1044" s="1398"/>
      <c r="AO1044" s="1398"/>
      <c r="AP1044" s="1398"/>
      <c r="AQ1044" s="1399"/>
      <c r="AR1044" s="68"/>
      <c r="AS1044" s="68"/>
      <c r="AT1044" s="68"/>
      <c r="AU1044" s="68"/>
      <c r="AV1044" s="68"/>
      <c r="AW1044" s="68"/>
      <c r="AX1044" s="68"/>
      <c r="AY1044" s="68"/>
    </row>
    <row r="1045" spans="1:56" ht="12.95" customHeight="1">
      <c r="A1045" s="14"/>
      <c r="B1045" s="79"/>
      <c r="C1045" s="131" t="s">
        <v>1684</v>
      </c>
      <c r="D1045" s="1514" t="s">
        <v>1864</v>
      </c>
      <c r="E1045" s="1515"/>
      <c r="F1045" s="1515"/>
      <c r="G1045" s="1515"/>
      <c r="H1045" s="1515"/>
      <c r="I1045" s="1515"/>
      <c r="J1045" s="1515"/>
      <c r="K1045" s="1515"/>
      <c r="L1045" s="1515"/>
      <c r="M1045" s="1515"/>
      <c r="N1045" s="1515"/>
      <c r="O1045" s="1515"/>
      <c r="P1045" s="1515"/>
      <c r="Q1045" s="1515"/>
      <c r="R1045" s="1515"/>
      <c r="S1045" s="1515"/>
      <c r="T1045" s="1515"/>
      <c r="U1045" s="1515"/>
      <c r="V1045" s="1515"/>
      <c r="W1045" s="1515"/>
      <c r="X1045" s="1515"/>
      <c r="Y1045" s="1515"/>
      <c r="Z1045" s="1515"/>
      <c r="AA1045" s="1515"/>
      <c r="AB1045" s="1515"/>
      <c r="AC1045" s="1515"/>
      <c r="AD1045" s="1515"/>
      <c r="AE1045" s="1516"/>
      <c r="AF1045" s="79"/>
      <c r="AG1045" s="1570" t="str">
        <f>IF(X1048&gt;0,"Yes","No")</f>
        <v>Yes</v>
      </c>
      <c r="AH1045" s="1571"/>
      <c r="AI1045" s="87"/>
      <c r="AJ1045" s="1391">
        <f>IF((X1048=0),0,AY1005*AJ992)</f>
        <v>21179154.48</v>
      </c>
      <c r="AK1045" s="1392"/>
      <c r="AL1045" s="1392"/>
      <c r="AM1045" s="1392"/>
      <c r="AN1045" s="1392"/>
      <c r="AO1045" s="1392"/>
      <c r="AP1045" s="1392"/>
      <c r="AQ1045" s="1393"/>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2477</v>
      </c>
      <c r="BB1045" s="3"/>
      <c r="BC1045" s="3"/>
      <c r="BD1045" s="3"/>
    </row>
    <row r="1046" spans="1:56" ht="12.95" customHeight="1">
      <c r="A1046" s="14"/>
      <c r="B1046" s="73"/>
      <c r="C1046" s="442"/>
      <c r="D1046" s="1517" t="s">
        <v>1299</v>
      </c>
      <c r="E1046" s="1518"/>
      <c r="F1046" s="1518"/>
      <c r="G1046" s="1518"/>
      <c r="H1046" s="1518"/>
      <c r="I1046" s="1518"/>
      <c r="J1046" s="1518"/>
      <c r="K1046" s="1518"/>
      <c r="L1046" s="1518"/>
      <c r="M1046" s="1518"/>
      <c r="N1046" s="1518"/>
      <c r="O1046" s="1518"/>
      <c r="P1046" s="1518"/>
      <c r="Q1046" s="1518"/>
      <c r="R1046" s="1518"/>
      <c r="S1046" s="1518"/>
      <c r="T1046" s="1518"/>
      <c r="U1046" s="1518"/>
      <c r="V1046" s="1518"/>
      <c r="W1046" s="1518"/>
      <c r="X1046" s="1518"/>
      <c r="Y1046" s="1518"/>
      <c r="Z1046" s="1518"/>
      <c r="AA1046" s="1518"/>
      <c r="AB1046" s="1518"/>
      <c r="AC1046" s="1518"/>
      <c r="AD1046" s="1518"/>
      <c r="AE1046" s="1519"/>
      <c r="AF1046" s="73"/>
      <c r="AG1046" s="443"/>
      <c r="AH1046" s="443"/>
      <c r="AI1046" s="83"/>
      <c r="AJ1046" s="1394"/>
      <c r="AK1046" s="1395"/>
      <c r="AL1046" s="1395"/>
      <c r="AM1046" s="1395"/>
      <c r="AN1046" s="1395"/>
      <c r="AO1046" s="1395"/>
      <c r="AP1046" s="1395"/>
      <c r="AQ1046" s="1396"/>
      <c r="AR1046" s="68"/>
      <c r="AS1046" s="68"/>
      <c r="AT1046" s="68"/>
      <c r="AU1046" s="13"/>
      <c r="AV1046" s="68"/>
      <c r="AW1046" s="68"/>
      <c r="AX1046" s="68"/>
      <c r="AY1046" s="68"/>
      <c r="AZ1046" s="962">
        <f>'Sources and Uses Budget'!S97*BA1046</f>
        <v>4803039.3</v>
      </c>
      <c r="BA1046" s="1182">
        <f>IF(BA1040,20%,15%)</f>
        <v>0.15</v>
      </c>
      <c r="BB1046" s="3" t="s">
        <v>2478</v>
      </c>
      <c r="BC1046" s="3" t="s">
        <v>2479</v>
      </c>
      <c r="BD1046" s="3"/>
    </row>
    <row r="1047" spans="1:56" ht="12.95" customHeight="1">
      <c r="A1047" s="14"/>
      <c r="B1047" s="73"/>
      <c r="C1047" s="442"/>
      <c r="D1047" s="1517"/>
      <c r="E1047" s="1518"/>
      <c r="F1047" s="1518"/>
      <c r="G1047" s="1518"/>
      <c r="H1047" s="1518"/>
      <c r="I1047" s="1518"/>
      <c r="J1047" s="1518"/>
      <c r="K1047" s="1518"/>
      <c r="L1047" s="1518"/>
      <c r="M1047" s="1518"/>
      <c r="N1047" s="1518"/>
      <c r="O1047" s="1518"/>
      <c r="P1047" s="1518"/>
      <c r="Q1047" s="1518"/>
      <c r="R1047" s="1518"/>
      <c r="S1047" s="1518"/>
      <c r="T1047" s="1518"/>
      <c r="U1047" s="1518"/>
      <c r="V1047" s="1518"/>
      <c r="W1047" s="1518"/>
      <c r="X1047" s="1518"/>
      <c r="Y1047" s="1518"/>
      <c r="Z1047" s="1518"/>
      <c r="AA1047" s="1518"/>
      <c r="AB1047" s="1518"/>
      <c r="AC1047" s="1518"/>
      <c r="AD1047" s="1518"/>
      <c r="AE1047" s="1519"/>
      <c r="AF1047" s="73"/>
      <c r="AG1047" s="443"/>
      <c r="AH1047" s="443"/>
      <c r="AI1047" s="83"/>
      <c r="AJ1047" s="1394"/>
      <c r="AK1047" s="1395"/>
      <c r="AL1047" s="1395"/>
      <c r="AM1047" s="1395"/>
      <c r="AN1047" s="1395"/>
      <c r="AO1047" s="1395"/>
      <c r="AP1047" s="1395"/>
      <c r="AQ1047" s="1396"/>
      <c r="AR1047" s="68"/>
      <c r="AS1047" s="68"/>
      <c r="AT1047" s="68"/>
      <c r="AU1047" s="13"/>
      <c r="AV1047" s="68"/>
      <c r="AW1047" s="68"/>
      <c r="AX1047" s="68"/>
      <c r="AY1047" s="68"/>
      <c r="AZ1047" s="962">
        <f>IF(M356="N/A",0,'Sources and Uses Budget'!T97*BA1047)</f>
        <v>0</v>
      </c>
      <c r="BA1047" s="1182">
        <v>0.15</v>
      </c>
      <c r="BB1047" s="3" t="s">
        <v>2478</v>
      </c>
      <c r="BC1047" s="3" t="s">
        <v>2480</v>
      </c>
      <c r="BD1047" s="3"/>
    </row>
    <row r="1048" spans="1:56" ht="12.95" customHeight="1">
      <c r="A1048" s="14"/>
      <c r="B1048" s="77"/>
      <c r="C1048" s="78"/>
      <c r="D1048" s="132" t="s">
        <v>972</v>
      </c>
      <c r="E1048" s="133"/>
      <c r="F1048" s="133"/>
      <c r="G1048" s="133"/>
      <c r="H1048" s="133"/>
      <c r="I1048" s="1568">
        <f>AY1003</f>
        <v>59</v>
      </c>
      <c r="J1048" s="1569"/>
      <c r="K1048" s="7"/>
      <c r="L1048" s="133"/>
      <c r="M1048" s="133"/>
      <c r="N1048" s="133"/>
      <c r="O1048" s="133"/>
      <c r="P1048" s="133"/>
      <c r="Q1048" s="133"/>
      <c r="R1048" s="133"/>
      <c r="S1048" s="133"/>
      <c r="T1048" s="133"/>
      <c r="U1048" s="133"/>
      <c r="V1048" s="134" t="s">
        <v>973</v>
      </c>
      <c r="W1048" s="48"/>
      <c r="X1048" s="1566">
        <f>CI753</f>
        <v>35</v>
      </c>
      <c r="Y1048" s="1567"/>
      <c r="Z1048" s="48"/>
      <c r="AA1048" s="48"/>
      <c r="AB1048" s="48"/>
      <c r="AC1048" s="48"/>
      <c r="AD1048" s="48"/>
      <c r="AE1048" s="49"/>
      <c r="AF1048" s="924"/>
      <c r="AG1048" s="925"/>
      <c r="AH1048" s="925"/>
      <c r="AI1048" s="926"/>
      <c r="AJ1048" s="1397"/>
      <c r="AK1048" s="1398"/>
      <c r="AL1048" s="1398"/>
      <c r="AM1048" s="1398"/>
      <c r="AN1048" s="1398"/>
      <c r="AO1048" s="1398"/>
      <c r="AP1048" s="1398"/>
      <c r="AQ1048" s="1399"/>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2478</v>
      </c>
      <c r="BC1048" s="3" t="s">
        <v>2481</v>
      </c>
      <c r="BD1048" s="3"/>
    </row>
    <row r="1049" spans="1:56" ht="12.95" customHeight="1">
      <c r="A1049" s="14"/>
      <c r="B1049" s="79"/>
      <c r="C1049" s="131" t="s">
        <v>1685</v>
      </c>
      <c r="D1049" s="1504" t="s">
        <v>2170</v>
      </c>
      <c r="E1049" s="1505"/>
      <c r="F1049" s="1505"/>
      <c r="G1049" s="1505"/>
      <c r="H1049" s="1505"/>
      <c r="I1049" s="1505"/>
      <c r="J1049" s="1505"/>
      <c r="K1049" s="1505"/>
      <c r="L1049" s="1505"/>
      <c r="M1049" s="1505"/>
      <c r="N1049" s="1505"/>
      <c r="O1049" s="1505"/>
      <c r="P1049" s="1505"/>
      <c r="Q1049" s="1505"/>
      <c r="R1049" s="1505"/>
      <c r="S1049" s="1505"/>
      <c r="T1049" s="1505"/>
      <c r="U1049" s="1505"/>
      <c r="V1049" s="1505"/>
      <c r="W1049" s="1505"/>
      <c r="X1049" s="1505"/>
      <c r="Y1049" s="1505"/>
      <c r="Z1049" s="1505"/>
      <c r="AA1049" s="1505"/>
      <c r="AB1049" s="1505"/>
      <c r="AC1049" s="1505"/>
      <c r="AD1049" s="1505"/>
      <c r="AE1049" s="1506"/>
      <c r="AF1049" s="73"/>
      <c r="AG1049" s="1570" t="str">
        <f>IF(X1052&gt;0,"Yes","No")</f>
        <v>Yes</v>
      </c>
      <c r="AH1049" s="1571"/>
      <c r="AI1049" s="83"/>
      <c r="AJ1049" s="1391">
        <f>IF((X1052=0),0,(2*AY1006)*AJ992)</f>
        <v>12922873.92</v>
      </c>
      <c r="AK1049" s="1392"/>
      <c r="AL1049" s="1392"/>
      <c r="AM1049" s="1392"/>
      <c r="AN1049" s="1392"/>
      <c r="AO1049" s="1392"/>
      <c r="AP1049" s="1392"/>
      <c r="AQ1049" s="1393"/>
      <c r="AR1049" s="68"/>
      <c r="AS1049" s="68"/>
      <c r="AT1049" s="68"/>
      <c r="AU1049" s="14"/>
      <c r="AV1049" s="68"/>
      <c r="AW1049" s="68"/>
      <c r="AX1049" s="68"/>
      <c r="AY1049" s="68"/>
      <c r="AZ1049" s="962">
        <f>AZ1045*BA1049</f>
        <v>0</v>
      </c>
      <c r="BA1049" s="1182">
        <v>0.15</v>
      </c>
      <c r="BB1049" s="3" t="s">
        <v>2478</v>
      </c>
      <c r="BC1049" s="3" t="s">
        <v>2482</v>
      </c>
      <c r="BD1049" s="3"/>
    </row>
    <row r="1050" spans="1:56" ht="12.95" customHeight="1">
      <c r="A1050" s="14"/>
      <c r="B1050" s="73"/>
      <c r="C1050" s="442"/>
      <c r="D1050" s="1517" t="s">
        <v>1298</v>
      </c>
      <c r="E1050" s="1518"/>
      <c r="F1050" s="1518"/>
      <c r="G1050" s="1518"/>
      <c r="H1050" s="1518"/>
      <c r="I1050" s="1518"/>
      <c r="J1050" s="1518"/>
      <c r="K1050" s="1518"/>
      <c r="L1050" s="1518"/>
      <c r="M1050" s="1518"/>
      <c r="N1050" s="1518"/>
      <c r="O1050" s="1518"/>
      <c r="P1050" s="1518"/>
      <c r="Q1050" s="1518"/>
      <c r="R1050" s="1518"/>
      <c r="S1050" s="1518"/>
      <c r="T1050" s="1518"/>
      <c r="U1050" s="1518"/>
      <c r="V1050" s="1518"/>
      <c r="W1050" s="1518"/>
      <c r="X1050" s="1518"/>
      <c r="Y1050" s="1518"/>
      <c r="Z1050" s="1518"/>
      <c r="AA1050" s="1518"/>
      <c r="AB1050" s="1518"/>
      <c r="AC1050" s="1518"/>
      <c r="AD1050" s="1518"/>
      <c r="AE1050" s="1519"/>
      <c r="AF1050" s="73"/>
      <c r="AG1050" s="443"/>
      <c r="AH1050" s="443"/>
      <c r="AI1050" s="83"/>
      <c r="AJ1050" s="1394"/>
      <c r="AK1050" s="1395"/>
      <c r="AL1050" s="1395"/>
      <c r="AM1050" s="1395"/>
      <c r="AN1050" s="1395"/>
      <c r="AO1050" s="1395"/>
      <c r="AP1050" s="1395"/>
      <c r="AQ1050" s="1396"/>
      <c r="AR1050" s="68"/>
      <c r="AS1050" s="68"/>
      <c r="AT1050" s="68"/>
      <c r="AU1050" s="68"/>
      <c r="AV1050" s="68"/>
      <c r="AW1050" s="68"/>
      <c r="AX1050" s="68"/>
      <c r="AY1050" s="68"/>
      <c r="AZ1050" s="962"/>
      <c r="BA1050" s="3"/>
      <c r="BB1050" s="3"/>
      <c r="BC1050" s="3"/>
      <c r="BD1050" s="3"/>
    </row>
    <row r="1051" spans="1:56" ht="12.95" customHeight="1">
      <c r="A1051" s="14"/>
      <c r="B1051" s="73"/>
      <c r="C1051" s="83"/>
      <c r="D1051" s="1517"/>
      <c r="E1051" s="1518"/>
      <c r="F1051" s="1518"/>
      <c r="G1051" s="1518"/>
      <c r="H1051" s="1518"/>
      <c r="I1051" s="1518"/>
      <c r="J1051" s="1518"/>
      <c r="K1051" s="1518"/>
      <c r="L1051" s="1518"/>
      <c r="M1051" s="1518"/>
      <c r="N1051" s="1518"/>
      <c r="O1051" s="1518"/>
      <c r="P1051" s="1518"/>
      <c r="Q1051" s="1518"/>
      <c r="R1051" s="1518"/>
      <c r="S1051" s="1518"/>
      <c r="T1051" s="1518"/>
      <c r="U1051" s="1518"/>
      <c r="V1051" s="1518"/>
      <c r="W1051" s="1518"/>
      <c r="X1051" s="1518"/>
      <c r="Y1051" s="1518"/>
      <c r="Z1051" s="1518"/>
      <c r="AA1051" s="1518"/>
      <c r="AB1051" s="1518"/>
      <c r="AC1051" s="1518"/>
      <c r="AD1051" s="1518"/>
      <c r="AE1051" s="1519"/>
      <c r="AF1051" s="921"/>
      <c r="AG1051" s="922"/>
      <c r="AH1051" s="922"/>
      <c r="AI1051" s="923"/>
      <c r="AJ1051" s="1394"/>
      <c r="AK1051" s="1395"/>
      <c r="AL1051" s="1395"/>
      <c r="AM1051" s="1395"/>
      <c r="AN1051" s="1395"/>
      <c r="AO1051" s="1395"/>
      <c r="AP1051" s="1395"/>
      <c r="AQ1051" s="1396"/>
      <c r="AR1051" s="68"/>
      <c r="AS1051" s="68"/>
      <c r="AT1051" s="68"/>
      <c r="AU1051" s="68"/>
      <c r="AV1051" s="68"/>
      <c r="AW1051" s="68"/>
      <c r="AX1051" s="68"/>
      <c r="AY1051" s="68"/>
      <c r="AZ1051" s="962">
        <f>ROUNDDOWN(MIN(SUM(AZ1046,AZ1047,AZ1048,AZ1049),BD1051),0)</f>
        <v>2500000</v>
      </c>
      <c r="BA1051" s="3" t="s">
        <v>2483</v>
      </c>
      <c r="BB1051" s="3"/>
      <c r="BC1051" s="3"/>
      <c r="BD1051" s="3" cm="1">
        <f t="array" ref="BD1051">_xlfn.IFS(BA1040,3000000,AND(BA1041&gt;=25%,BA1042&gt;=15),2800000,TRUE,2500000)</f>
        <v>2500000</v>
      </c>
    </row>
    <row r="1052" spans="1:56" ht="12.95" customHeight="1">
      <c r="A1052" s="14"/>
      <c r="B1052" s="77"/>
      <c r="C1052" s="78"/>
      <c r="D1052" s="132" t="s">
        <v>972</v>
      </c>
      <c r="E1052" s="133"/>
      <c r="F1052" s="133"/>
      <c r="G1052" s="133"/>
      <c r="H1052" s="133"/>
      <c r="I1052" s="1568">
        <f>AY1003</f>
        <v>59</v>
      </c>
      <c r="J1052" s="1569"/>
      <c r="K1052" s="14"/>
      <c r="L1052" s="133"/>
      <c r="M1052" s="133"/>
      <c r="N1052" s="133"/>
      <c r="O1052" s="133"/>
      <c r="P1052" s="133"/>
      <c r="Q1052" s="133"/>
      <c r="R1052" s="133"/>
      <c r="S1052" s="133"/>
      <c r="T1052" s="133"/>
      <c r="U1052" s="133"/>
      <c r="V1052" s="134" t="s">
        <v>974</v>
      </c>
      <c r="X1052" s="1566">
        <f>CM753</f>
        <v>11</v>
      </c>
      <c r="Y1052" s="1567"/>
      <c r="AF1052" s="924"/>
      <c r="AG1052" s="925"/>
      <c r="AH1052" s="925"/>
      <c r="AI1052" s="926"/>
      <c r="AJ1052" s="1397"/>
      <c r="AK1052" s="1398"/>
      <c r="AL1052" s="1398"/>
      <c r="AM1052" s="1398"/>
      <c r="AN1052" s="1398"/>
      <c r="AO1052" s="1398"/>
      <c r="AP1052" s="1398"/>
      <c r="AQ1052" s="1399"/>
      <c r="AR1052" s="68"/>
      <c r="AS1052" s="68"/>
      <c r="AT1052" s="68"/>
      <c r="AU1052" s="68"/>
      <c r="AV1052" s="68"/>
      <c r="AW1052" s="68"/>
      <c r="AX1052" s="68"/>
      <c r="AY1052" s="68"/>
      <c r="AZ1052" s="962">
        <f>ROUNDDOWN(MAX(0,BA1052*(SUM(AG1093,AL1093,AZ1045)-BD1052))+BF1052,0)</f>
        <v>0</v>
      </c>
      <c r="BA1052" s="1182">
        <f>IF(L1042,7%,5%)</f>
        <v>0.05</v>
      </c>
      <c r="BB1052" s="3" t="s">
        <v>2484</v>
      </c>
      <c r="BC1052" s="3"/>
      <c r="BD1052" s="3">
        <v>6666667</v>
      </c>
    </row>
    <row r="1053" spans="1:56" ht="12.95" customHeight="1">
      <c r="A1053" s="14"/>
      <c r="B1053" s="102"/>
      <c r="C1053" s="103"/>
      <c r="D1053" s="1564" t="s">
        <v>513</v>
      </c>
      <c r="E1053" s="1564"/>
      <c r="F1053" s="1564"/>
      <c r="G1053" s="1564"/>
      <c r="H1053" s="1564"/>
      <c r="I1053" s="1564"/>
      <c r="J1053" s="1564"/>
      <c r="K1053" s="1564"/>
      <c r="L1053" s="1564"/>
      <c r="M1053" s="1564"/>
      <c r="N1053" s="1564"/>
      <c r="O1053" s="1564"/>
      <c r="P1053" s="1564"/>
      <c r="Q1053" s="1564"/>
      <c r="R1053" s="1564"/>
      <c r="S1053" s="1564"/>
      <c r="T1053" s="1564"/>
      <c r="U1053" s="1564"/>
      <c r="V1053" s="1564"/>
      <c r="W1053" s="1564"/>
      <c r="X1053" s="1564"/>
      <c r="Y1053" s="1564"/>
      <c r="Z1053" s="1564"/>
      <c r="AA1053" s="1564"/>
      <c r="AB1053" s="1564"/>
      <c r="AC1053" s="1564"/>
      <c r="AD1053" s="1564"/>
      <c r="AE1053" s="1564"/>
      <c r="AF1053" s="1564"/>
      <c r="AG1053" s="1564"/>
      <c r="AH1053" s="1564"/>
      <c r="AI1053" s="1565"/>
      <c r="AJ1053" s="1574">
        <f>SUM(AJ992:AQ1052)</f>
        <v>85206891.799999997</v>
      </c>
      <c r="AK1053" s="1575"/>
      <c r="AL1053" s="1575"/>
      <c r="AM1053" s="1575"/>
      <c r="AN1053" s="1575"/>
      <c r="AO1053" s="1575"/>
      <c r="AP1053" s="1575"/>
      <c r="AQ1053" s="1576"/>
      <c r="AR1053" s="68"/>
      <c r="AS1053" s="68"/>
      <c r="AT1053" s="68"/>
      <c r="AU1053" s="68"/>
      <c r="AV1053" s="68"/>
      <c r="AW1053" s="68"/>
      <c r="AX1053" s="68"/>
      <c r="AY1053" s="68"/>
      <c r="AZ1053" s="1181">
        <v>6000000</v>
      </c>
      <c r="BA1053" s="3" t="s">
        <v>2485</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2470</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2486</v>
      </c>
      <c r="BC1055" s="3"/>
      <c r="BD1055" s="3"/>
    </row>
    <row r="1056" spans="1:56" ht="12.95" customHeight="1">
      <c r="A1056" s="14"/>
      <c r="B1056" s="68"/>
      <c r="C1056" s="68"/>
      <c r="D1056" s="68"/>
      <c r="E1056" s="68"/>
      <c r="F1056" s="68"/>
      <c r="G1056" s="1176" t="s">
        <v>2471</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4">
        <f>'Sources and Uses Budget'!S107+'Sources and Uses Budget'!T107</f>
        <v>36823301</v>
      </c>
      <c r="AB1056" s="1854"/>
      <c r="AC1056" s="1854"/>
      <c r="AD1056" s="1854"/>
      <c r="AE1056" s="1854"/>
      <c r="AF1056" s="1854"/>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4803039.3</v>
      </c>
      <c r="BB1056" s="3" t="s">
        <v>2487</v>
      </c>
      <c r="BC1056" s="3"/>
      <c r="BD1056" s="3"/>
    </row>
    <row r="1057" spans="1:54" ht="12.95" customHeight="1">
      <c r="A1057" s="14"/>
      <c r="B1057" s="68"/>
      <c r="C1057" s="68"/>
      <c r="D1057" s="68"/>
      <c r="E1057" s="68"/>
      <c r="F1057" s="68"/>
      <c r="G1057" s="1176"/>
      <c r="H1057" s="1176" t="s">
        <v>2472</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5">
        <f>IFERROR((AA1056-BA1059)/(AJ1053-AJ1045-AJ1049),"")</f>
        <v>0.67547899951925139</v>
      </c>
      <c r="AB1057" s="1856"/>
      <c r="AC1057" s="1856"/>
      <c r="AD1057" s="1856"/>
      <c r="AE1057" s="1856"/>
      <c r="AF1057" s="1857"/>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58"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8"/>
      <c r="I1058" s="1858"/>
      <c r="J1058" s="1858"/>
      <c r="K1058" s="1858"/>
      <c r="L1058" s="1858"/>
      <c r="M1058" s="1858"/>
      <c r="N1058" s="1858"/>
      <c r="O1058" s="1858"/>
      <c r="P1058" s="1858"/>
      <c r="Q1058" s="1858"/>
      <c r="R1058" s="1858"/>
      <c r="S1058" s="1858"/>
      <c r="T1058" s="1858"/>
      <c r="U1058" s="1858"/>
      <c r="V1058" s="1858"/>
      <c r="W1058" s="1858"/>
      <c r="X1058" s="1858"/>
      <c r="Y1058" s="1858"/>
      <c r="Z1058" s="1858"/>
      <c r="AA1058" s="1858"/>
      <c r="AB1058" s="1858"/>
      <c r="AC1058" s="1858"/>
      <c r="AD1058" s="1858"/>
      <c r="AE1058" s="1858"/>
      <c r="AF1058" s="1858"/>
      <c r="AG1058" s="1858"/>
      <c r="AH1058" s="1858"/>
      <c r="AI1058" s="1858"/>
      <c r="AJ1058" s="1858"/>
      <c r="AK1058" s="1858"/>
      <c r="AL1058" s="1858"/>
      <c r="AM1058" s="1858"/>
      <c r="AN1058" s="1858"/>
      <c r="AO1058" s="68"/>
      <c r="AP1058" s="68"/>
      <c r="AQ1058" s="68"/>
      <c r="AR1058" s="68"/>
      <c r="AS1058" s="68"/>
      <c r="AT1058" s="68"/>
      <c r="AU1058" s="68"/>
      <c r="AV1058" s="14"/>
      <c r="AW1058" s="14"/>
      <c r="AX1058" s="14"/>
      <c r="AY1058" s="14"/>
      <c r="BA1058" s="1185">
        <f>'Sources and Uses Budget'!$S$104+'Sources and Uses Budget'!$T$104</f>
        <v>4803039</v>
      </c>
      <c r="BB1058" s="3" t="s">
        <v>2493</v>
      </c>
    </row>
    <row r="1059" spans="1:54" ht="12.95" customHeight="1">
      <c r="A1059" s="14"/>
      <c r="B1059" s="14"/>
      <c r="C1059" s="208"/>
      <c r="D1059" s="858"/>
      <c r="E1059" s="858"/>
      <c r="F1059" s="858"/>
      <c r="G1059" s="1858"/>
      <c r="H1059" s="1858"/>
      <c r="I1059" s="1858"/>
      <c r="J1059" s="1858"/>
      <c r="K1059" s="1858"/>
      <c r="L1059" s="1858"/>
      <c r="M1059" s="1858"/>
      <c r="N1059" s="1858"/>
      <c r="O1059" s="1858"/>
      <c r="P1059" s="1858"/>
      <c r="Q1059" s="1858"/>
      <c r="R1059" s="1858"/>
      <c r="S1059" s="1858"/>
      <c r="T1059" s="1858"/>
      <c r="U1059" s="1858"/>
      <c r="V1059" s="1858"/>
      <c r="W1059" s="1858"/>
      <c r="X1059" s="1858"/>
      <c r="Y1059" s="1858"/>
      <c r="Z1059" s="1858"/>
      <c r="AA1059" s="1858"/>
      <c r="AB1059" s="1858"/>
      <c r="AC1059" s="1858"/>
      <c r="AD1059" s="1858"/>
      <c r="AE1059" s="1858"/>
      <c r="AF1059" s="1858"/>
      <c r="AG1059" s="1858"/>
      <c r="AH1059" s="1858"/>
      <c r="AI1059" s="1858"/>
      <c r="AJ1059" s="1858"/>
      <c r="AK1059" s="1858"/>
      <c r="AL1059" s="1858"/>
      <c r="AM1059" s="1858"/>
      <c r="AN1059" s="1858"/>
      <c r="AO1059" s="68"/>
      <c r="AP1059" s="68"/>
      <c r="AQ1059" s="68"/>
      <c r="AR1059" s="68"/>
      <c r="AS1059" s="68"/>
      <c r="AT1059" s="68"/>
      <c r="AU1059" s="68"/>
      <c r="AV1059" s="14"/>
      <c r="AW1059" s="14"/>
      <c r="AX1059" s="14"/>
      <c r="AY1059" s="14"/>
      <c r="BA1059" s="1186">
        <f>MAX($BA$1058-$BA$1055,0)</f>
        <v>2303039</v>
      </c>
      <c r="BB1059" s="3" t="s">
        <v>2494</v>
      </c>
    </row>
    <row r="1060" spans="1:54" ht="12.95" customHeight="1">
      <c r="A1060" s="88"/>
      <c r="B1060" s="1172"/>
      <c r="C1060" s="1172"/>
      <c r="D1060" s="1172"/>
      <c r="E1060" s="1172"/>
      <c r="F1060" s="1172"/>
      <c r="G1060" s="1858"/>
      <c r="H1060" s="1858"/>
      <c r="I1060" s="1858"/>
      <c r="J1060" s="1858"/>
      <c r="K1060" s="1858"/>
      <c r="L1060" s="1858"/>
      <c r="M1060" s="1858"/>
      <c r="N1060" s="1858"/>
      <c r="O1060" s="1858"/>
      <c r="P1060" s="1858"/>
      <c r="Q1060" s="1858"/>
      <c r="R1060" s="1858"/>
      <c r="S1060" s="1858"/>
      <c r="T1060" s="1858"/>
      <c r="U1060" s="1858"/>
      <c r="V1060" s="1858"/>
      <c r="W1060" s="1858"/>
      <c r="X1060" s="1858"/>
      <c r="Y1060" s="1858"/>
      <c r="Z1060" s="1858"/>
      <c r="AA1060" s="1858"/>
      <c r="AB1060" s="1858"/>
      <c r="AC1060" s="1858"/>
      <c r="AD1060" s="1858"/>
      <c r="AE1060" s="1858"/>
      <c r="AF1060" s="1858"/>
      <c r="AG1060" s="1858"/>
      <c r="AH1060" s="1858"/>
      <c r="AI1060" s="1858"/>
      <c r="AJ1060" s="1858"/>
      <c r="AK1060" s="1858"/>
      <c r="AL1060" s="1858"/>
      <c r="AM1060" s="1858"/>
      <c r="AN1060" s="1858"/>
      <c r="AO1060" s="1172"/>
      <c r="AP1060" s="1172"/>
      <c r="AQ1060" s="68"/>
      <c r="AR1060" s="68"/>
      <c r="AS1060" s="68"/>
      <c r="AT1060" s="68"/>
      <c r="AU1060" s="68"/>
      <c r="AV1060" s="68"/>
      <c r="AW1060" s="68"/>
      <c r="AX1060" s="68"/>
      <c r="AY1060" s="68"/>
    </row>
    <row r="1061" spans="1:54" ht="12.95" customHeight="1">
      <c r="A1061" s="1371" t="s">
        <v>794</v>
      </c>
      <c r="B1061" s="1371"/>
      <c r="C1061" s="1371"/>
      <c r="D1061" s="1371"/>
      <c r="E1061" s="1371"/>
      <c r="F1061" s="1371"/>
      <c r="G1061" s="1371"/>
      <c r="H1061" s="1371"/>
      <c r="I1061" s="1371"/>
      <c r="J1061" s="1371"/>
      <c r="K1061" s="1371"/>
      <c r="L1061" s="1371"/>
      <c r="M1061" s="1371"/>
      <c r="N1061" s="1371"/>
      <c r="O1061" s="1371"/>
      <c r="P1061" s="1371"/>
      <c r="Q1061" s="1371"/>
      <c r="R1061" s="1371"/>
      <c r="S1061" s="1371"/>
      <c r="T1061" s="1371"/>
      <c r="U1061" s="1371"/>
      <c r="V1061" s="1371"/>
      <c r="W1061" s="1371"/>
      <c r="X1061" s="1371"/>
      <c r="Y1061" s="1371"/>
      <c r="Z1061" s="1371"/>
      <c r="AA1061" s="1371"/>
      <c r="AB1061" s="1371"/>
      <c r="AC1061" s="1371"/>
      <c r="AD1061" s="1371"/>
      <c r="AE1061" s="1371"/>
      <c r="AF1061" s="1371"/>
      <c r="AG1061" s="1371"/>
      <c r="AH1061" s="1371"/>
      <c r="AI1061" s="1371"/>
      <c r="AJ1061" s="1371"/>
      <c r="AK1061" s="1371"/>
      <c r="AL1061" s="1371"/>
      <c r="AM1061" s="1371"/>
      <c r="AN1061" s="1371"/>
      <c r="AO1061" s="1371"/>
      <c r="AP1061" s="1371"/>
      <c r="AQ1061" s="1371"/>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3" t="s">
        <v>545</v>
      </c>
      <c r="B1065" s="1333"/>
      <c r="C1065" s="1334">
        <v>1</v>
      </c>
      <c r="D1065" s="1334"/>
      <c r="E1065" s="14" t="s">
        <v>2236</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4"/>
      <c r="D1066" s="1334"/>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3" t="s">
        <v>591</v>
      </c>
      <c r="B1067" s="1333"/>
      <c r="C1067" s="1334">
        <v>2</v>
      </c>
      <c r="D1067" s="1334"/>
      <c r="E1067" s="1336" t="s">
        <v>2237</v>
      </c>
      <c r="F1067" s="1336"/>
      <c r="G1067" s="1336"/>
      <c r="H1067" s="1336"/>
      <c r="I1067" s="1336"/>
      <c r="J1067" s="1336"/>
      <c r="K1067" s="1336"/>
      <c r="L1067" s="1336"/>
      <c r="M1067" s="1336"/>
      <c r="N1067" s="1336"/>
      <c r="O1067" s="1336"/>
      <c r="P1067" s="1336"/>
      <c r="Q1067" s="1336"/>
      <c r="R1067" s="1336"/>
      <c r="S1067" s="1336"/>
      <c r="T1067" s="1336"/>
      <c r="U1067" s="1336"/>
      <c r="V1067" s="1336"/>
      <c r="W1067" s="1336"/>
      <c r="X1067" s="1336"/>
      <c r="Y1067" s="1336"/>
      <c r="Z1067" s="1336"/>
      <c r="AA1067" s="1336"/>
      <c r="AB1067" s="1336"/>
      <c r="AC1067" s="1336"/>
      <c r="AD1067" s="1336"/>
      <c r="AE1067" s="1336"/>
      <c r="AF1067" s="1336"/>
      <c r="AG1067" s="1336"/>
      <c r="AH1067" s="1336"/>
      <c r="AI1067" s="1336"/>
      <c r="AJ1067" s="1336"/>
      <c r="AK1067" s="1336"/>
      <c r="AL1067" s="1336"/>
      <c r="AM1067" s="1336"/>
      <c r="AN1067" s="1336"/>
      <c r="AO1067" s="1336"/>
      <c r="AP1067" s="1336"/>
      <c r="AQ1067" s="1336"/>
      <c r="AR1067" s="1336"/>
      <c r="AS1067" s="14"/>
      <c r="AT1067" s="14"/>
      <c r="AV1067" s="68"/>
      <c r="AW1067" s="68"/>
      <c r="AX1067" s="68"/>
      <c r="AY1067" s="68"/>
    </row>
    <row r="1068" spans="1:54" ht="12.95" customHeight="1">
      <c r="A1068" s="198"/>
      <c r="B1068" s="67"/>
      <c r="C1068" s="1334"/>
      <c r="D1068" s="1334"/>
      <c r="E1068" s="1336"/>
      <c r="F1068" s="1336"/>
      <c r="G1068" s="1336"/>
      <c r="H1068" s="1336"/>
      <c r="I1068" s="1336"/>
      <c r="J1068" s="1336"/>
      <c r="K1068" s="1336"/>
      <c r="L1068" s="1336"/>
      <c r="M1068" s="1336"/>
      <c r="N1068" s="1336"/>
      <c r="O1068" s="1336"/>
      <c r="P1068" s="1336"/>
      <c r="Q1068" s="1336"/>
      <c r="R1068" s="1336"/>
      <c r="S1068" s="1336"/>
      <c r="T1068" s="1336"/>
      <c r="U1068" s="1336"/>
      <c r="V1068" s="1336"/>
      <c r="W1068" s="1336"/>
      <c r="X1068" s="1336"/>
      <c r="Y1068" s="1336"/>
      <c r="Z1068" s="1336"/>
      <c r="AA1068" s="1336"/>
      <c r="AB1068" s="1336"/>
      <c r="AC1068" s="1336"/>
      <c r="AD1068" s="1336"/>
      <c r="AE1068" s="1336"/>
      <c r="AF1068" s="1336"/>
      <c r="AG1068" s="1336"/>
      <c r="AH1068" s="1336"/>
      <c r="AI1068" s="1336"/>
      <c r="AJ1068" s="1336"/>
      <c r="AK1068" s="1336"/>
      <c r="AL1068" s="1336"/>
      <c r="AM1068" s="1336"/>
      <c r="AN1068" s="1336"/>
      <c r="AO1068" s="1336"/>
      <c r="AP1068" s="1336"/>
      <c r="AQ1068" s="1336"/>
      <c r="AR1068" s="1336"/>
      <c r="AS1068" s="14"/>
      <c r="AT1068" s="14"/>
      <c r="AV1068" s="68"/>
      <c r="AW1068" s="68"/>
      <c r="AX1068" s="68"/>
      <c r="AY1068" s="68"/>
    </row>
    <row r="1069" spans="1:54" ht="12.95" customHeight="1">
      <c r="A1069" s="198"/>
      <c r="B1069" s="67"/>
      <c r="C1069" s="1334"/>
      <c r="D1069" s="1334"/>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3" t="s">
        <v>591</v>
      </c>
      <c r="B1070" s="1333"/>
      <c r="C1070" s="1332">
        <v>3</v>
      </c>
      <c r="D1070" s="1332"/>
      <c r="E1070" s="1292" t="s">
        <v>1080</v>
      </c>
      <c r="F1070" s="1292"/>
      <c r="G1070" s="1292"/>
      <c r="H1070" s="1292"/>
      <c r="I1070" s="1292"/>
      <c r="J1070" s="1292"/>
      <c r="K1070" s="1292"/>
      <c r="L1070" s="1292"/>
      <c r="M1070" s="1292"/>
      <c r="N1070" s="1292"/>
      <c r="O1070" s="1292"/>
      <c r="P1070" s="1292"/>
      <c r="Q1070" s="1292"/>
      <c r="R1070" s="1292"/>
      <c r="S1070" s="1292"/>
      <c r="T1070" s="1292"/>
      <c r="U1070" s="1292"/>
      <c r="V1070" s="1292"/>
      <c r="W1070" s="1292"/>
      <c r="X1070" s="1292"/>
      <c r="Y1070" s="1292"/>
      <c r="Z1070" s="1292"/>
      <c r="AA1070" s="1292"/>
      <c r="AB1070" s="1292"/>
      <c r="AC1070" s="1292"/>
      <c r="AD1070" s="1292"/>
      <c r="AE1070" s="1292"/>
      <c r="AF1070" s="1292"/>
      <c r="AG1070" s="1292"/>
      <c r="AH1070" s="1292"/>
      <c r="AI1070" s="1292"/>
      <c r="AJ1070" s="1292"/>
      <c r="AK1070" s="1292"/>
      <c r="AL1070" s="1292"/>
      <c r="AM1070" s="1292"/>
      <c r="AN1070" s="1292"/>
      <c r="AO1070" s="1292"/>
      <c r="AP1070" s="1292"/>
      <c r="AQ1070" s="1292"/>
      <c r="AR1070" s="1292"/>
      <c r="AS1070" s="14"/>
      <c r="AT1070" s="68"/>
      <c r="AV1070" s="68"/>
      <c r="AW1070" s="68"/>
      <c r="AX1070" s="68"/>
      <c r="AY1070" s="68"/>
    </row>
    <row r="1071" spans="1:54" ht="12.95" customHeight="1">
      <c r="A1071" s="1"/>
      <c r="B1071" s="1"/>
      <c r="C1071" s="1332"/>
      <c r="D1071" s="1332"/>
      <c r="E1071" s="1292"/>
      <c r="F1071" s="1292"/>
      <c r="G1071" s="1292"/>
      <c r="H1071" s="1292"/>
      <c r="I1071" s="1292"/>
      <c r="J1071" s="1292"/>
      <c r="K1071" s="1292"/>
      <c r="L1071" s="1292"/>
      <c r="M1071" s="1292"/>
      <c r="N1071" s="1292"/>
      <c r="O1071" s="1292"/>
      <c r="P1071" s="1292"/>
      <c r="Q1071" s="1292"/>
      <c r="R1071" s="1292"/>
      <c r="S1071" s="1292"/>
      <c r="T1071" s="1292"/>
      <c r="U1071" s="1292"/>
      <c r="V1071" s="1292"/>
      <c r="W1071" s="1292"/>
      <c r="X1071" s="1292"/>
      <c r="Y1071" s="1292"/>
      <c r="Z1071" s="1292"/>
      <c r="AA1071" s="1292"/>
      <c r="AB1071" s="1292"/>
      <c r="AC1071" s="1292"/>
      <c r="AD1071" s="1292"/>
      <c r="AE1071" s="1292"/>
      <c r="AF1071" s="1292"/>
      <c r="AG1071" s="1292"/>
      <c r="AH1071" s="1292"/>
      <c r="AI1071" s="1292"/>
      <c r="AJ1071" s="1292"/>
      <c r="AK1071" s="1292"/>
      <c r="AL1071" s="1292"/>
      <c r="AM1071" s="1292"/>
      <c r="AN1071" s="1292"/>
      <c r="AO1071" s="1292"/>
      <c r="AP1071" s="1292"/>
      <c r="AQ1071" s="1292"/>
      <c r="AR1071" s="1292"/>
      <c r="AS1071" s="14"/>
      <c r="AT1071" s="68"/>
      <c r="AV1071" s="68"/>
      <c r="AW1071" s="68"/>
      <c r="AX1071" s="68"/>
      <c r="AY1071" s="68"/>
    </row>
    <row r="1072" spans="1:54" ht="12.95" customHeight="1">
      <c r="A1072" s="1"/>
      <c r="B1072" s="1"/>
      <c r="C1072" s="1332"/>
      <c r="D1072" s="1332"/>
      <c r="E1072" s="1292"/>
      <c r="F1072" s="1292"/>
      <c r="G1072" s="1292"/>
      <c r="H1072" s="1292"/>
      <c r="I1072" s="1292"/>
      <c r="J1072" s="1292"/>
      <c r="K1072" s="1292"/>
      <c r="L1072" s="1292"/>
      <c r="M1072" s="1292"/>
      <c r="N1072" s="1292"/>
      <c r="O1072" s="1292"/>
      <c r="P1072" s="1292"/>
      <c r="Q1072" s="1292"/>
      <c r="R1072" s="1292"/>
      <c r="S1072" s="1292"/>
      <c r="T1072" s="1292"/>
      <c r="U1072" s="1292"/>
      <c r="V1072" s="1292"/>
      <c r="W1072" s="1292"/>
      <c r="X1072" s="1292"/>
      <c r="Y1072" s="1292"/>
      <c r="Z1072" s="1292"/>
      <c r="AA1072" s="1292"/>
      <c r="AB1072" s="1292"/>
      <c r="AC1072" s="1292"/>
      <c r="AD1072" s="1292"/>
      <c r="AE1072" s="1292"/>
      <c r="AF1072" s="1292"/>
      <c r="AG1072" s="1292"/>
      <c r="AH1072" s="1292"/>
      <c r="AI1072" s="1292"/>
      <c r="AJ1072" s="1292"/>
      <c r="AK1072" s="1292"/>
      <c r="AL1072" s="1292"/>
      <c r="AM1072" s="1292"/>
      <c r="AN1072" s="1292"/>
      <c r="AO1072" s="1292"/>
      <c r="AP1072" s="1292"/>
      <c r="AQ1072" s="1292"/>
      <c r="AR1072" s="1292"/>
      <c r="AS1072" s="14"/>
      <c r="AT1072" s="68"/>
      <c r="AV1072" s="68"/>
      <c r="AW1072" s="68"/>
      <c r="AX1072" s="68"/>
      <c r="AY1072" s="68"/>
    </row>
    <row r="1073" spans="1:51" ht="12.95" customHeight="1">
      <c r="A1073" s="1"/>
      <c r="B1073" s="1"/>
      <c r="C1073" s="1332"/>
      <c r="D1073" s="1332"/>
      <c r="E1073" s="1292"/>
      <c r="F1073" s="1292"/>
      <c r="G1073" s="1292"/>
      <c r="H1073" s="1292"/>
      <c r="I1073" s="1292"/>
      <c r="J1073" s="1292"/>
      <c r="K1073" s="1292"/>
      <c r="L1073" s="1292"/>
      <c r="M1073" s="1292"/>
      <c r="N1073" s="1292"/>
      <c r="O1073" s="1292"/>
      <c r="P1073" s="1292"/>
      <c r="Q1073" s="1292"/>
      <c r="R1073" s="1292"/>
      <c r="S1073" s="1292"/>
      <c r="T1073" s="1292"/>
      <c r="U1073" s="1292"/>
      <c r="V1073" s="1292"/>
      <c r="W1073" s="1292"/>
      <c r="X1073" s="1292"/>
      <c r="Y1073" s="1292"/>
      <c r="Z1073" s="1292"/>
      <c r="AA1073" s="1292"/>
      <c r="AB1073" s="1292"/>
      <c r="AC1073" s="1292"/>
      <c r="AD1073" s="1292"/>
      <c r="AE1073" s="1292"/>
      <c r="AF1073" s="1292"/>
      <c r="AG1073" s="1292"/>
      <c r="AH1073" s="1292"/>
      <c r="AI1073" s="1292"/>
      <c r="AJ1073" s="1292"/>
      <c r="AK1073" s="1292"/>
      <c r="AL1073" s="1292"/>
      <c r="AM1073" s="1292"/>
      <c r="AN1073" s="1292"/>
      <c r="AO1073" s="1292"/>
      <c r="AP1073" s="1292"/>
      <c r="AQ1073" s="1292"/>
      <c r="AR1073" s="1292"/>
      <c r="AS1073" s="14"/>
      <c r="AT1073" s="68"/>
      <c r="AV1073" s="68"/>
      <c r="AW1073" s="68"/>
      <c r="AX1073" s="68"/>
      <c r="AY1073" s="68"/>
    </row>
    <row r="1074" spans="1:51" ht="12.95" customHeight="1">
      <c r="A1074" s="2"/>
      <c r="B1074" s="25"/>
      <c r="C1074" s="1332"/>
      <c r="D1074" s="1332"/>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33" t="s">
        <v>591</v>
      </c>
      <c r="B1075" s="1333"/>
      <c r="C1075" s="1332">
        <v>4</v>
      </c>
      <c r="D1075" s="1332"/>
      <c r="E1075" s="1292" t="s">
        <v>1079</v>
      </c>
      <c r="F1075" s="1292"/>
      <c r="G1075" s="1292"/>
      <c r="H1075" s="1292"/>
      <c r="I1075" s="1292"/>
      <c r="J1075" s="1292"/>
      <c r="K1075" s="1292"/>
      <c r="L1075" s="1292"/>
      <c r="M1075" s="1292"/>
      <c r="N1075" s="1292"/>
      <c r="O1075" s="1292"/>
      <c r="P1075" s="1292"/>
      <c r="Q1075" s="1292"/>
      <c r="R1075" s="1292"/>
      <c r="S1075" s="1292"/>
      <c r="T1075" s="1292"/>
      <c r="U1075" s="1292"/>
      <c r="V1075" s="1292"/>
      <c r="W1075" s="1292"/>
      <c r="X1075" s="1292"/>
      <c r="Y1075" s="1292"/>
      <c r="Z1075" s="1292"/>
      <c r="AA1075" s="1292"/>
      <c r="AB1075" s="1292"/>
      <c r="AC1075" s="1292"/>
      <c r="AD1075" s="1292"/>
      <c r="AE1075" s="1292"/>
      <c r="AF1075" s="1292"/>
      <c r="AG1075" s="1292"/>
      <c r="AH1075" s="1292"/>
      <c r="AI1075" s="1292"/>
      <c r="AJ1075" s="1292"/>
      <c r="AK1075" s="1292"/>
      <c r="AL1075" s="1292"/>
      <c r="AM1075" s="1292"/>
      <c r="AN1075" s="1292"/>
      <c r="AO1075" s="1292"/>
      <c r="AP1075" s="1292"/>
      <c r="AQ1075" s="1292"/>
      <c r="AR1075" s="1292"/>
      <c r="AS1075" s="14"/>
      <c r="AT1075" s="68"/>
    </row>
    <row r="1076" spans="1:51" ht="12.95" customHeight="1">
      <c r="A1076" s="1"/>
      <c r="B1076" s="1"/>
      <c r="C1076" s="1332"/>
      <c r="D1076" s="1332"/>
      <c r="E1076" s="1292"/>
      <c r="F1076" s="1292"/>
      <c r="G1076" s="1292"/>
      <c r="H1076" s="1292"/>
      <c r="I1076" s="1292"/>
      <c r="J1076" s="1292"/>
      <c r="K1076" s="1292"/>
      <c r="L1076" s="1292"/>
      <c r="M1076" s="1292"/>
      <c r="N1076" s="1292"/>
      <c r="O1076" s="1292"/>
      <c r="P1076" s="1292"/>
      <c r="Q1076" s="1292"/>
      <c r="R1076" s="1292"/>
      <c r="S1076" s="1292"/>
      <c r="T1076" s="1292"/>
      <c r="U1076" s="1292"/>
      <c r="V1076" s="1292"/>
      <c r="W1076" s="1292"/>
      <c r="X1076" s="1292"/>
      <c r="Y1076" s="1292"/>
      <c r="Z1076" s="1292"/>
      <c r="AA1076" s="1292"/>
      <c r="AB1076" s="1292"/>
      <c r="AC1076" s="1292"/>
      <c r="AD1076" s="1292"/>
      <c r="AE1076" s="1292"/>
      <c r="AF1076" s="1292"/>
      <c r="AG1076" s="1292"/>
      <c r="AH1076" s="1292"/>
      <c r="AI1076" s="1292"/>
      <c r="AJ1076" s="1292"/>
      <c r="AK1076" s="1292"/>
      <c r="AL1076" s="1292"/>
      <c r="AM1076" s="1292"/>
      <c r="AN1076" s="1292"/>
      <c r="AO1076" s="1292"/>
      <c r="AP1076" s="1292"/>
      <c r="AQ1076" s="1292"/>
      <c r="AR1076" s="1292"/>
      <c r="AS1076" s="14"/>
      <c r="AT1076" s="68"/>
    </row>
    <row r="1077" spans="1:51" ht="12.95" customHeight="1">
      <c r="A1077" s="1"/>
      <c r="B1077" s="1"/>
      <c r="C1077" s="1332"/>
      <c r="D1077" s="1332"/>
      <c r="E1077" s="1292"/>
      <c r="F1077" s="1292"/>
      <c r="G1077" s="1292"/>
      <c r="H1077" s="1292"/>
      <c r="I1077" s="1292"/>
      <c r="J1077" s="1292"/>
      <c r="K1077" s="1292"/>
      <c r="L1077" s="1292"/>
      <c r="M1077" s="1292"/>
      <c r="N1077" s="1292"/>
      <c r="O1077" s="1292"/>
      <c r="P1077" s="1292"/>
      <c r="Q1077" s="1292"/>
      <c r="R1077" s="1292"/>
      <c r="S1077" s="1292"/>
      <c r="T1077" s="1292"/>
      <c r="U1077" s="1292"/>
      <c r="V1077" s="1292"/>
      <c r="W1077" s="1292"/>
      <c r="X1077" s="1292"/>
      <c r="Y1077" s="1292"/>
      <c r="Z1077" s="1292"/>
      <c r="AA1077" s="1292"/>
      <c r="AB1077" s="1292"/>
      <c r="AC1077" s="1292"/>
      <c r="AD1077" s="1292"/>
      <c r="AE1077" s="1292"/>
      <c r="AF1077" s="1292"/>
      <c r="AG1077" s="1292"/>
      <c r="AH1077" s="1292"/>
      <c r="AI1077" s="1292"/>
      <c r="AJ1077" s="1292"/>
      <c r="AK1077" s="1292"/>
      <c r="AL1077" s="1292"/>
      <c r="AM1077" s="1292"/>
      <c r="AN1077" s="1292"/>
      <c r="AO1077" s="1292"/>
      <c r="AP1077" s="1292"/>
      <c r="AQ1077" s="1292"/>
      <c r="AR1077" s="1292"/>
      <c r="AS1077" s="14"/>
      <c r="AT1077" s="68"/>
    </row>
    <row r="1078" spans="1:51" ht="12.95" customHeight="1">
      <c r="A1078" s="1"/>
      <c r="B1078" s="1"/>
      <c r="C1078" s="1332"/>
      <c r="D1078" s="1332"/>
      <c r="E1078" s="1292"/>
      <c r="F1078" s="1292"/>
      <c r="G1078" s="1292"/>
      <c r="H1078" s="1292"/>
      <c r="I1078" s="1292"/>
      <c r="J1078" s="1292"/>
      <c r="K1078" s="1292"/>
      <c r="L1078" s="1292"/>
      <c r="M1078" s="1292"/>
      <c r="N1078" s="1292"/>
      <c r="O1078" s="1292"/>
      <c r="P1078" s="1292"/>
      <c r="Q1078" s="1292"/>
      <c r="R1078" s="1292"/>
      <c r="S1078" s="1292"/>
      <c r="T1078" s="1292"/>
      <c r="U1078" s="1292"/>
      <c r="V1078" s="1292"/>
      <c r="W1078" s="1292"/>
      <c r="X1078" s="1292"/>
      <c r="Y1078" s="1292"/>
      <c r="Z1078" s="1292"/>
      <c r="AA1078" s="1292"/>
      <c r="AB1078" s="1292"/>
      <c r="AC1078" s="1292"/>
      <c r="AD1078" s="1292"/>
      <c r="AE1078" s="1292"/>
      <c r="AF1078" s="1292"/>
      <c r="AG1078" s="1292"/>
      <c r="AH1078" s="1292"/>
      <c r="AI1078" s="1292"/>
      <c r="AJ1078" s="1292"/>
      <c r="AK1078" s="1292"/>
      <c r="AL1078" s="1292"/>
      <c r="AM1078" s="1292"/>
      <c r="AN1078" s="1292"/>
      <c r="AO1078" s="1292"/>
      <c r="AP1078" s="1292"/>
      <c r="AQ1078" s="1292"/>
      <c r="AR1078" s="1292"/>
      <c r="AS1078" s="14"/>
      <c r="AT1078" s="68"/>
    </row>
    <row r="1079" spans="1:51" ht="12.95" customHeight="1">
      <c r="A1079" s="1"/>
      <c r="B1079" s="1"/>
      <c r="C1079" s="1332"/>
      <c r="D1079" s="1332"/>
      <c r="E1079" s="1292"/>
      <c r="F1079" s="1292"/>
      <c r="G1079" s="1292"/>
      <c r="H1079" s="1292"/>
      <c r="I1079" s="1292"/>
      <c r="J1079" s="1292"/>
      <c r="K1079" s="1292"/>
      <c r="L1079" s="1292"/>
      <c r="M1079" s="1292"/>
      <c r="N1079" s="1292"/>
      <c r="O1079" s="1292"/>
      <c r="P1079" s="1292"/>
      <c r="Q1079" s="1292"/>
      <c r="R1079" s="1292"/>
      <c r="S1079" s="1292"/>
      <c r="T1079" s="1292"/>
      <c r="U1079" s="1292"/>
      <c r="V1079" s="1292"/>
      <c r="W1079" s="1292"/>
      <c r="X1079" s="1292"/>
      <c r="Y1079" s="1292"/>
      <c r="Z1079" s="1292"/>
      <c r="AA1079" s="1292"/>
      <c r="AB1079" s="1292"/>
      <c r="AC1079" s="1292"/>
      <c r="AD1079" s="1292"/>
      <c r="AE1079" s="1292"/>
      <c r="AF1079" s="1292"/>
      <c r="AG1079" s="1292"/>
      <c r="AH1079" s="1292"/>
      <c r="AI1079" s="1292"/>
      <c r="AJ1079" s="1292"/>
      <c r="AK1079" s="1292"/>
      <c r="AL1079" s="1292"/>
      <c r="AM1079" s="1292"/>
      <c r="AN1079" s="1292"/>
      <c r="AO1079" s="1292"/>
      <c r="AP1079" s="1292"/>
      <c r="AQ1079" s="1292"/>
      <c r="AR1079" s="1292"/>
      <c r="AS1079" s="14"/>
      <c r="AT1079" s="68"/>
    </row>
    <row r="1080" spans="1:51" ht="12.95" customHeight="1">
      <c r="A1080" s="1"/>
      <c r="B1080" s="1"/>
      <c r="C1080" s="1332"/>
      <c r="D1080" s="1332"/>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33" t="s">
        <v>591</v>
      </c>
      <c r="B1081" s="1333"/>
      <c r="C1081" s="1332">
        <v>5</v>
      </c>
      <c r="D1081" s="1332"/>
      <c r="E1081" s="1292" t="s">
        <v>2241</v>
      </c>
      <c r="F1081" s="1292"/>
      <c r="G1081" s="1292"/>
      <c r="H1081" s="1292"/>
      <c r="I1081" s="1292"/>
      <c r="J1081" s="1292"/>
      <c r="K1081" s="1292"/>
      <c r="L1081" s="1292"/>
      <c r="M1081" s="1292"/>
      <c r="N1081" s="1292"/>
      <c r="O1081" s="1292"/>
      <c r="P1081" s="1292"/>
      <c r="Q1081" s="1292"/>
      <c r="R1081" s="1292"/>
      <c r="S1081" s="1292"/>
      <c r="T1081" s="1292"/>
      <c r="U1081" s="1292"/>
      <c r="V1081" s="1292"/>
      <c r="W1081" s="1292"/>
      <c r="X1081" s="1292"/>
      <c r="Y1081" s="1292"/>
      <c r="Z1081" s="1292"/>
      <c r="AA1081" s="1292"/>
      <c r="AB1081" s="1292"/>
      <c r="AC1081" s="1292"/>
      <c r="AD1081" s="1292"/>
      <c r="AE1081" s="1292"/>
      <c r="AF1081" s="1292"/>
      <c r="AG1081" s="1292"/>
      <c r="AH1081" s="1292"/>
      <c r="AI1081" s="1292"/>
      <c r="AJ1081" s="1292"/>
      <c r="AK1081" s="1292"/>
      <c r="AL1081" s="1292"/>
      <c r="AM1081" s="1292"/>
      <c r="AN1081" s="1292"/>
      <c r="AO1081" s="1292"/>
      <c r="AP1081" s="1292"/>
      <c r="AQ1081" s="1292"/>
      <c r="AR1081" s="1292"/>
      <c r="AS1081" s="14"/>
    </row>
    <row r="1082" spans="1:51" ht="12.95" customHeight="1">
      <c r="A1082" s="4"/>
      <c r="B1082" s="4"/>
      <c r="C1082" s="1332"/>
      <c r="D1082" s="1332"/>
      <c r="E1082" s="1292"/>
      <c r="F1082" s="1292"/>
      <c r="G1082" s="1292"/>
      <c r="H1082" s="1292"/>
      <c r="I1082" s="1292"/>
      <c r="J1082" s="1292"/>
      <c r="K1082" s="1292"/>
      <c r="L1082" s="1292"/>
      <c r="M1082" s="1292"/>
      <c r="N1082" s="1292"/>
      <c r="O1082" s="1292"/>
      <c r="P1082" s="1292"/>
      <c r="Q1082" s="1292"/>
      <c r="R1082" s="1292"/>
      <c r="S1082" s="1292"/>
      <c r="T1082" s="1292"/>
      <c r="U1082" s="1292"/>
      <c r="V1082" s="1292"/>
      <c r="W1082" s="1292"/>
      <c r="X1082" s="1292"/>
      <c r="Y1082" s="1292"/>
      <c r="Z1082" s="1292"/>
      <c r="AA1082" s="1292"/>
      <c r="AB1082" s="1292"/>
      <c r="AC1082" s="1292"/>
      <c r="AD1082" s="1292"/>
      <c r="AE1082" s="1292"/>
      <c r="AF1082" s="1292"/>
      <c r="AG1082" s="1292"/>
      <c r="AH1082" s="1292"/>
      <c r="AI1082" s="1292"/>
      <c r="AJ1082" s="1292"/>
      <c r="AK1082" s="1292"/>
      <c r="AL1082" s="1292"/>
      <c r="AM1082" s="1292"/>
      <c r="AN1082" s="1292"/>
      <c r="AO1082" s="1292"/>
      <c r="AP1082" s="1292"/>
      <c r="AQ1082" s="1292"/>
      <c r="AR1082" s="1292"/>
      <c r="AS1082" s="14"/>
    </row>
    <row r="1083" spans="1:51" ht="12.95" customHeight="1">
      <c r="A1083" s="4"/>
      <c r="B1083" s="4"/>
      <c r="C1083" s="1332"/>
      <c r="D1083" s="1332"/>
      <c r="E1083" s="1292"/>
      <c r="F1083" s="1292"/>
      <c r="G1083" s="1292"/>
      <c r="H1083" s="1292"/>
      <c r="I1083" s="1292"/>
      <c r="J1083" s="1292"/>
      <c r="K1083" s="1292"/>
      <c r="L1083" s="1292"/>
      <c r="M1083" s="1292"/>
      <c r="N1083" s="1292"/>
      <c r="O1083" s="1292"/>
      <c r="P1083" s="1292"/>
      <c r="Q1083" s="1292"/>
      <c r="R1083" s="1292"/>
      <c r="S1083" s="1292"/>
      <c r="T1083" s="1292"/>
      <c r="U1083" s="1292"/>
      <c r="V1083" s="1292"/>
      <c r="W1083" s="1292"/>
      <c r="X1083" s="1292"/>
      <c r="Y1083" s="1292"/>
      <c r="Z1083" s="1292"/>
      <c r="AA1083" s="1292"/>
      <c r="AB1083" s="1292"/>
      <c r="AC1083" s="1292"/>
      <c r="AD1083" s="1292"/>
      <c r="AE1083" s="1292"/>
      <c r="AF1083" s="1292"/>
      <c r="AG1083" s="1292"/>
      <c r="AH1083" s="1292"/>
      <c r="AI1083" s="1292"/>
      <c r="AJ1083" s="1292"/>
      <c r="AK1083" s="1292"/>
      <c r="AL1083" s="1292"/>
      <c r="AM1083" s="1292"/>
      <c r="AN1083" s="1292"/>
      <c r="AO1083" s="1292"/>
      <c r="AP1083" s="1292"/>
      <c r="AQ1083" s="1292"/>
      <c r="AR1083" s="1292"/>
      <c r="AS1083" s="14"/>
    </row>
    <row r="1084" spans="1:51" ht="12.95" customHeight="1">
      <c r="A1084" s="35"/>
      <c r="B1084" s="25"/>
      <c r="C1084" s="1332"/>
      <c r="D1084" s="1332"/>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33" t="s">
        <v>591</v>
      </c>
      <c r="B1085" s="1333"/>
      <c r="C1085" s="1332">
        <v>6</v>
      </c>
      <c r="D1085" s="1332"/>
      <c r="E1085" s="1292" t="s">
        <v>2242</v>
      </c>
      <c r="F1085" s="1292"/>
      <c r="G1085" s="1292"/>
      <c r="H1085" s="1292"/>
      <c r="I1085" s="1292"/>
      <c r="J1085" s="1292"/>
      <c r="K1085" s="1292"/>
      <c r="L1085" s="1292"/>
      <c r="M1085" s="1292"/>
      <c r="N1085" s="1292"/>
      <c r="O1085" s="1292"/>
      <c r="P1085" s="1292"/>
      <c r="Q1085" s="1292"/>
      <c r="R1085" s="1292"/>
      <c r="S1085" s="1292"/>
      <c r="T1085" s="1292"/>
      <c r="U1085" s="1292"/>
      <c r="V1085" s="1292"/>
      <c r="W1085" s="1292"/>
      <c r="X1085" s="1292"/>
      <c r="Y1085" s="1292"/>
      <c r="Z1085" s="1292"/>
      <c r="AA1085" s="1292"/>
      <c r="AB1085" s="1292"/>
      <c r="AC1085" s="1292"/>
      <c r="AD1085" s="1292"/>
      <c r="AE1085" s="1292"/>
      <c r="AF1085" s="1292"/>
      <c r="AG1085" s="1292"/>
      <c r="AH1085" s="1292"/>
      <c r="AI1085" s="1292"/>
      <c r="AJ1085" s="1292"/>
      <c r="AK1085" s="1292"/>
      <c r="AL1085" s="1292"/>
      <c r="AM1085" s="1292"/>
      <c r="AN1085" s="1292"/>
      <c r="AO1085" s="1292"/>
      <c r="AP1085" s="1292"/>
      <c r="AQ1085" s="1292"/>
      <c r="AR1085" s="1292"/>
      <c r="AS1085" s="14"/>
    </row>
    <row r="1086" spans="1:51" ht="12.95" customHeight="1">
      <c r="A1086" s="1"/>
      <c r="B1086" s="1"/>
      <c r="C1086" s="1"/>
      <c r="D1086" s="1"/>
      <c r="E1086" s="1292"/>
      <c r="F1086" s="1292"/>
      <c r="G1086" s="1292"/>
      <c r="H1086" s="1292"/>
      <c r="I1086" s="1292"/>
      <c r="J1086" s="1292"/>
      <c r="K1086" s="1292"/>
      <c r="L1086" s="1292"/>
      <c r="M1086" s="1292"/>
      <c r="N1086" s="1292"/>
      <c r="O1086" s="1292"/>
      <c r="P1086" s="1292"/>
      <c r="Q1086" s="1292"/>
      <c r="R1086" s="1292"/>
      <c r="S1086" s="1292"/>
      <c r="T1086" s="1292"/>
      <c r="U1086" s="1292"/>
      <c r="V1086" s="1292"/>
      <c r="W1086" s="1292"/>
      <c r="X1086" s="1292"/>
      <c r="Y1086" s="1292"/>
      <c r="Z1086" s="1292"/>
      <c r="AA1086" s="1292"/>
      <c r="AB1086" s="1292"/>
      <c r="AC1086" s="1292"/>
      <c r="AD1086" s="1292"/>
      <c r="AE1086" s="1292"/>
      <c r="AF1086" s="1292"/>
      <c r="AG1086" s="1292"/>
      <c r="AH1086" s="1292"/>
      <c r="AI1086" s="1292"/>
      <c r="AJ1086" s="1292"/>
      <c r="AK1086" s="1292"/>
      <c r="AL1086" s="1292"/>
      <c r="AM1086" s="1292"/>
      <c r="AN1086" s="1292"/>
      <c r="AO1086" s="1292"/>
      <c r="AP1086" s="1292"/>
      <c r="AQ1086" s="1292"/>
      <c r="AR1086" s="1292"/>
      <c r="AS1086" s="14"/>
    </row>
    <row r="1087" spans="1:51" ht="12.95" customHeight="1">
      <c r="A1087" s="1"/>
      <c r="B1087" s="1"/>
      <c r="C1087" s="1332"/>
      <c r="D1087" s="1332"/>
      <c r="E1087" s="1292"/>
      <c r="F1087" s="1292"/>
      <c r="G1087" s="1292"/>
      <c r="H1087" s="1292"/>
      <c r="I1087" s="1292"/>
      <c r="J1087" s="1292"/>
      <c r="K1087" s="1292"/>
      <c r="L1087" s="1292"/>
      <c r="M1087" s="1292"/>
      <c r="N1087" s="1292"/>
      <c r="O1087" s="1292"/>
      <c r="P1087" s="1292"/>
      <c r="Q1087" s="1292"/>
      <c r="R1087" s="1292"/>
      <c r="S1087" s="1292"/>
      <c r="T1087" s="1292"/>
      <c r="U1087" s="1292"/>
      <c r="V1087" s="1292"/>
      <c r="W1087" s="1292"/>
      <c r="X1087" s="1292"/>
      <c r="Y1087" s="1292"/>
      <c r="Z1087" s="1292"/>
      <c r="AA1087" s="1292"/>
      <c r="AB1087" s="1292"/>
      <c r="AC1087" s="1292"/>
      <c r="AD1087" s="1292"/>
      <c r="AE1087" s="1292"/>
      <c r="AF1087" s="1292"/>
      <c r="AG1087" s="1292"/>
      <c r="AH1087" s="1292"/>
      <c r="AI1087" s="1292"/>
      <c r="AJ1087" s="1292"/>
      <c r="AK1087" s="1292"/>
      <c r="AL1087" s="1292"/>
      <c r="AM1087" s="1292"/>
      <c r="AN1087" s="1292"/>
      <c r="AO1087" s="1292"/>
      <c r="AP1087" s="1292"/>
      <c r="AQ1087" s="1292"/>
      <c r="AR1087" s="1292"/>
      <c r="AS1087" s="14"/>
    </row>
    <row r="1088" spans="1:51" ht="12.95" customHeight="1">
      <c r="A1088" s="35"/>
      <c r="B1088" s="25"/>
      <c r="C1088" s="1332"/>
      <c r="D1088" s="1332"/>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33" t="s">
        <v>591</v>
      </c>
      <c r="B1089" s="1333"/>
      <c r="C1089" s="1332">
        <v>7</v>
      </c>
      <c r="D1089" s="1332"/>
      <c r="E1089" s="1292" t="s">
        <v>2138</v>
      </c>
      <c r="F1089" s="1292"/>
      <c r="G1089" s="1292"/>
      <c r="H1089" s="1292"/>
      <c r="I1089" s="1292"/>
      <c r="J1089" s="1292"/>
      <c r="K1089" s="1292"/>
      <c r="L1089" s="1292"/>
      <c r="M1089" s="1292"/>
      <c r="N1089" s="1292"/>
      <c r="O1089" s="1292"/>
      <c r="P1089" s="1292"/>
      <c r="Q1089" s="1292"/>
      <c r="R1089" s="1292"/>
      <c r="S1089" s="1292"/>
      <c r="T1089" s="1292"/>
      <c r="U1089" s="1292"/>
      <c r="V1089" s="1292"/>
      <c r="W1089" s="1292"/>
      <c r="X1089" s="1292"/>
      <c r="Y1089" s="1292"/>
      <c r="Z1089" s="1292"/>
      <c r="AA1089" s="1292"/>
      <c r="AB1089" s="1292"/>
      <c r="AC1089" s="1292"/>
      <c r="AD1089" s="1292"/>
      <c r="AE1089" s="1292"/>
      <c r="AF1089" s="1292"/>
      <c r="AG1089" s="1292"/>
      <c r="AH1089" s="1292"/>
      <c r="AI1089" s="1292"/>
      <c r="AJ1089" s="1292"/>
      <c r="AK1089" s="1292"/>
      <c r="AL1089" s="1292"/>
      <c r="AM1089" s="1292"/>
      <c r="AN1089" s="1292"/>
      <c r="AO1089" s="1292"/>
      <c r="AP1089" s="1292"/>
      <c r="AQ1089" s="1292"/>
      <c r="AR1089" s="1292"/>
      <c r="AS1089" s="14"/>
    </row>
    <row r="1090" spans="1:45" ht="12.95" customHeight="1">
      <c r="A1090" s="1"/>
      <c r="B1090" s="1"/>
      <c r="C1090" s="1332"/>
      <c r="D1090" s="1332"/>
      <c r="E1090" s="1292"/>
      <c r="F1090" s="1292"/>
      <c r="G1090" s="1292"/>
      <c r="H1090" s="1292"/>
      <c r="I1090" s="1292"/>
      <c r="J1090" s="1292"/>
      <c r="K1090" s="1292"/>
      <c r="L1090" s="1292"/>
      <c r="M1090" s="1292"/>
      <c r="N1090" s="1292"/>
      <c r="O1090" s="1292"/>
      <c r="P1090" s="1292"/>
      <c r="Q1090" s="1292"/>
      <c r="R1090" s="1292"/>
      <c r="S1090" s="1292"/>
      <c r="T1090" s="1292"/>
      <c r="U1090" s="1292"/>
      <c r="V1090" s="1292"/>
      <c r="W1090" s="1292"/>
      <c r="X1090" s="1292"/>
      <c r="Y1090" s="1292"/>
      <c r="Z1090" s="1292"/>
      <c r="AA1090" s="1292"/>
      <c r="AB1090" s="1292"/>
      <c r="AC1090" s="1292"/>
      <c r="AD1090" s="1292"/>
      <c r="AE1090" s="1292"/>
      <c r="AF1090" s="1292"/>
      <c r="AG1090" s="1292"/>
      <c r="AH1090" s="1292"/>
      <c r="AI1090" s="1292"/>
      <c r="AJ1090" s="1292"/>
      <c r="AK1090" s="1292"/>
      <c r="AL1090" s="1292"/>
      <c r="AM1090" s="1292"/>
      <c r="AN1090" s="1292"/>
      <c r="AO1090" s="1292"/>
      <c r="AP1090" s="1292"/>
      <c r="AQ1090" s="1292"/>
      <c r="AR1090" s="1292"/>
      <c r="AS1090" s="14"/>
    </row>
    <row r="1091" spans="1:45" ht="12.95" customHeight="1">
      <c r="A1091" s="1"/>
      <c r="B1091" s="1"/>
      <c r="C1091" s="1332"/>
      <c r="D1091" s="1332"/>
      <c r="E1091" s="1292"/>
      <c r="F1091" s="1292"/>
      <c r="G1091" s="1292"/>
      <c r="H1091" s="1292"/>
      <c r="I1091" s="1292"/>
      <c r="J1091" s="1292"/>
      <c r="K1091" s="1292"/>
      <c r="L1091" s="1292"/>
      <c r="M1091" s="1292"/>
      <c r="N1091" s="1292"/>
      <c r="O1091" s="1292"/>
      <c r="P1091" s="1292"/>
      <c r="Q1091" s="1292"/>
      <c r="R1091" s="1292"/>
      <c r="S1091" s="1292"/>
      <c r="T1091" s="1292"/>
      <c r="U1091" s="1292"/>
      <c r="V1091" s="1292"/>
      <c r="W1091" s="1292"/>
      <c r="X1091" s="1292"/>
      <c r="Y1091" s="1292"/>
      <c r="Z1091" s="1292"/>
      <c r="AA1091" s="1292"/>
      <c r="AB1091" s="1292"/>
      <c r="AC1091" s="1292"/>
      <c r="AD1091" s="1292"/>
      <c r="AE1091" s="1292"/>
      <c r="AF1091" s="1292"/>
      <c r="AG1091" s="1292"/>
      <c r="AH1091" s="1292"/>
      <c r="AI1091" s="1292"/>
      <c r="AJ1091" s="1292"/>
      <c r="AK1091" s="1292"/>
      <c r="AL1091" s="1292"/>
      <c r="AM1091" s="1292"/>
      <c r="AN1091" s="1292"/>
      <c r="AO1091" s="1292"/>
      <c r="AP1091" s="1292"/>
      <c r="AQ1091" s="1292"/>
      <c r="AR1091" s="1292"/>
      <c r="AS1091" s="14"/>
    </row>
    <row r="1092" spans="1:45" ht="12.95" customHeight="1">
      <c r="A1092" s="1"/>
      <c r="B1092" s="1"/>
      <c r="C1092" s="1332"/>
      <c r="D1092" s="1332"/>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32"/>
      <c r="D1093" s="1332"/>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33" t="s">
        <v>591</v>
      </c>
      <c r="B1094" s="1333"/>
      <c r="C1094" s="1332">
        <v>8</v>
      </c>
      <c r="D1094" s="1332"/>
      <c r="E1094" s="1292" t="s">
        <v>1073</v>
      </c>
      <c r="F1094" s="1292"/>
      <c r="G1094" s="1292"/>
      <c r="H1094" s="1292"/>
      <c r="I1094" s="1292"/>
      <c r="J1094" s="1292"/>
      <c r="K1094" s="1292"/>
      <c r="L1094" s="1292"/>
      <c r="M1094" s="1292"/>
      <c r="N1094" s="1292"/>
      <c r="O1094" s="1292"/>
      <c r="P1094" s="1292"/>
      <c r="Q1094" s="1292"/>
      <c r="R1094" s="1292"/>
      <c r="S1094" s="1292"/>
      <c r="T1094" s="1292"/>
      <c r="U1094" s="1292"/>
      <c r="V1094" s="1292"/>
      <c r="W1094" s="1292"/>
      <c r="X1094" s="1292"/>
      <c r="Y1094" s="1292"/>
      <c r="Z1094" s="1292"/>
      <c r="AA1094" s="1292"/>
      <c r="AB1094" s="1292"/>
      <c r="AC1094" s="1292"/>
      <c r="AD1094" s="1292"/>
      <c r="AE1094" s="1292"/>
      <c r="AF1094" s="1292"/>
      <c r="AG1094" s="1292"/>
      <c r="AH1094" s="1292"/>
      <c r="AI1094" s="1292"/>
      <c r="AJ1094" s="1292"/>
      <c r="AK1094" s="1292"/>
      <c r="AL1094" s="1292"/>
      <c r="AM1094" s="1292"/>
      <c r="AN1094" s="1292"/>
      <c r="AO1094" s="1292"/>
      <c r="AP1094" s="1292"/>
      <c r="AQ1094" s="1292"/>
      <c r="AR1094" s="1292"/>
    </row>
    <row r="1095" spans="1:45" ht="12.95" customHeight="1">
      <c r="A1095" s="35"/>
      <c r="B1095" s="25"/>
      <c r="C1095" s="1332"/>
      <c r="D1095" s="1332"/>
      <c r="E1095" s="1292"/>
      <c r="F1095" s="1292"/>
      <c r="G1095" s="1292"/>
      <c r="H1095" s="1292"/>
      <c r="I1095" s="1292"/>
      <c r="J1095" s="1292"/>
      <c r="K1095" s="1292"/>
      <c r="L1095" s="1292"/>
      <c r="M1095" s="1292"/>
      <c r="N1095" s="1292"/>
      <c r="O1095" s="1292"/>
      <c r="P1095" s="1292"/>
      <c r="Q1095" s="1292"/>
      <c r="R1095" s="1292"/>
      <c r="S1095" s="1292"/>
      <c r="T1095" s="1292"/>
      <c r="U1095" s="1292"/>
      <c r="V1095" s="1292"/>
      <c r="W1095" s="1292"/>
      <c r="X1095" s="1292"/>
      <c r="Y1095" s="1292"/>
      <c r="Z1095" s="1292"/>
      <c r="AA1095" s="1292"/>
      <c r="AB1095" s="1292"/>
      <c r="AC1095" s="1292"/>
      <c r="AD1095" s="1292"/>
      <c r="AE1095" s="1292"/>
      <c r="AF1095" s="1292"/>
      <c r="AG1095" s="1292"/>
      <c r="AH1095" s="1292"/>
      <c r="AI1095" s="1292"/>
      <c r="AJ1095" s="1292"/>
      <c r="AK1095" s="1292"/>
      <c r="AL1095" s="1292"/>
      <c r="AM1095" s="1292"/>
      <c r="AN1095" s="1292"/>
      <c r="AO1095" s="1292"/>
      <c r="AP1095" s="1292"/>
      <c r="AQ1095" s="1292"/>
      <c r="AR1095" s="1292"/>
    </row>
    <row r="1096" spans="1:45" ht="12.95" customHeight="1">
      <c r="A1096" s="35"/>
      <c r="B1096" s="25"/>
      <c r="C1096" s="1332"/>
      <c r="D1096" s="1332"/>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33" t="s">
        <v>591</v>
      </c>
      <c r="B1097" s="1333"/>
      <c r="C1097" s="1334">
        <v>9</v>
      </c>
      <c r="D1097" s="1334"/>
      <c r="E1097" s="1292" t="s">
        <v>1075</v>
      </c>
      <c r="F1097" s="1292"/>
      <c r="G1097" s="1292"/>
      <c r="H1097" s="1292"/>
      <c r="I1097" s="1292"/>
      <c r="J1097" s="1292"/>
      <c r="K1097" s="1292"/>
      <c r="L1097" s="1292"/>
      <c r="M1097" s="1292"/>
      <c r="N1097" s="1292"/>
      <c r="O1097" s="1292"/>
      <c r="P1097" s="1292"/>
      <c r="Q1097" s="1292"/>
      <c r="R1097" s="1292"/>
      <c r="S1097" s="1292"/>
      <c r="T1097" s="1292"/>
      <c r="U1097" s="1292"/>
      <c r="V1097" s="1292"/>
      <c r="W1097" s="1292"/>
      <c r="X1097" s="1292"/>
      <c r="Y1097" s="1292"/>
      <c r="Z1097" s="1292"/>
      <c r="AA1097" s="1292"/>
      <c r="AB1097" s="1292"/>
      <c r="AC1097" s="1292"/>
      <c r="AD1097" s="1292"/>
      <c r="AE1097" s="1292"/>
      <c r="AF1097" s="1292"/>
      <c r="AG1097" s="1292"/>
      <c r="AH1097" s="1292"/>
      <c r="AI1097" s="1292"/>
      <c r="AJ1097" s="1292"/>
      <c r="AK1097" s="1292"/>
      <c r="AL1097" s="1292"/>
      <c r="AM1097" s="1292"/>
      <c r="AN1097" s="1292"/>
      <c r="AO1097" s="1292"/>
      <c r="AP1097" s="1292"/>
      <c r="AQ1097" s="1292"/>
      <c r="AR1097" s="1292"/>
    </row>
    <row r="1098" spans="1:45" ht="12.95" customHeight="1">
      <c r="A1098" s="1"/>
      <c r="B1098" s="1"/>
      <c r="C1098" s="1334"/>
      <c r="D1098" s="1334"/>
      <c r="E1098" s="1292"/>
      <c r="F1098" s="1292"/>
      <c r="G1098" s="1292"/>
      <c r="H1098" s="1292"/>
      <c r="I1098" s="1292"/>
      <c r="J1098" s="1292"/>
      <c r="K1098" s="1292"/>
      <c r="L1098" s="1292"/>
      <c r="M1098" s="1292"/>
      <c r="N1098" s="1292"/>
      <c r="O1098" s="1292"/>
      <c r="P1098" s="1292"/>
      <c r="Q1098" s="1292"/>
      <c r="R1098" s="1292"/>
      <c r="S1098" s="1292"/>
      <c r="T1098" s="1292"/>
      <c r="U1098" s="1292"/>
      <c r="V1098" s="1292"/>
      <c r="W1098" s="1292"/>
      <c r="X1098" s="1292"/>
      <c r="Y1098" s="1292"/>
      <c r="Z1098" s="1292"/>
      <c r="AA1098" s="1292"/>
      <c r="AB1098" s="1292"/>
      <c r="AC1098" s="1292"/>
      <c r="AD1098" s="1292"/>
      <c r="AE1098" s="1292"/>
      <c r="AF1098" s="1292"/>
      <c r="AG1098" s="1292"/>
      <c r="AH1098" s="1292"/>
      <c r="AI1098" s="1292"/>
      <c r="AJ1098" s="1292"/>
      <c r="AK1098" s="1292"/>
      <c r="AL1098" s="1292"/>
      <c r="AM1098" s="1292"/>
      <c r="AN1098" s="1292"/>
      <c r="AO1098" s="1292"/>
      <c r="AP1098" s="1292"/>
      <c r="AQ1098" s="1292"/>
      <c r="AR1098" s="1292"/>
    </row>
    <row r="1099" spans="1:45" ht="12.95" customHeight="1">
      <c r="A1099" s="35"/>
      <c r="B1099" s="25"/>
      <c r="C1099" s="1334"/>
      <c r="D1099" s="1334"/>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33" t="s">
        <v>591</v>
      </c>
      <c r="B1100" s="1333"/>
      <c r="C1100" s="1334">
        <v>10</v>
      </c>
      <c r="D1100" s="1334"/>
      <c r="E1100" s="1335" t="s">
        <v>2238</v>
      </c>
      <c r="F1100" s="1335"/>
      <c r="G1100" s="1335"/>
      <c r="H1100" s="1335"/>
      <c r="I1100" s="1335"/>
      <c r="J1100" s="1335"/>
      <c r="K1100" s="1335"/>
      <c r="L1100" s="1335"/>
      <c r="M1100" s="1335"/>
      <c r="N1100" s="1335"/>
      <c r="O1100" s="1335"/>
      <c r="P1100" s="1335"/>
      <c r="Q1100" s="1335"/>
      <c r="R1100" s="1335"/>
      <c r="S1100" s="1335"/>
      <c r="T1100" s="1335"/>
      <c r="U1100" s="1335"/>
      <c r="V1100" s="1335"/>
      <c r="W1100" s="1335"/>
      <c r="X1100" s="1335"/>
      <c r="Y1100" s="1335"/>
      <c r="Z1100" s="1335"/>
      <c r="AA1100" s="1335"/>
      <c r="AB1100" s="1335"/>
      <c r="AC1100" s="1335"/>
      <c r="AD1100" s="1335"/>
      <c r="AE1100" s="1335"/>
      <c r="AF1100" s="1335"/>
      <c r="AG1100" s="1335"/>
      <c r="AH1100" s="1335"/>
      <c r="AI1100" s="1335"/>
      <c r="AJ1100" s="1335"/>
      <c r="AK1100" s="1335"/>
      <c r="AL1100" s="1335"/>
      <c r="AM1100" s="1335"/>
      <c r="AN1100" s="1335"/>
      <c r="AO1100" s="1335"/>
      <c r="AP1100" s="1335"/>
      <c r="AQ1100" s="1335"/>
      <c r="AR1100" s="1335"/>
    </row>
    <row r="1101" spans="1:45" ht="12.95" customHeight="1">
      <c r="A1101" s="1"/>
      <c r="B1101" s="1"/>
      <c r="C1101" s="199"/>
      <c r="D1101" s="1161"/>
      <c r="E1101" s="1335"/>
      <c r="F1101" s="1335"/>
      <c r="G1101" s="1335"/>
      <c r="H1101" s="1335"/>
      <c r="I1101" s="1335"/>
      <c r="J1101" s="1335"/>
      <c r="K1101" s="1335"/>
      <c r="L1101" s="1335"/>
      <c r="M1101" s="1335"/>
      <c r="N1101" s="1335"/>
      <c r="O1101" s="1335"/>
      <c r="P1101" s="1335"/>
      <c r="Q1101" s="1335"/>
      <c r="R1101" s="1335"/>
      <c r="S1101" s="1335"/>
      <c r="T1101" s="1335"/>
      <c r="U1101" s="1335"/>
      <c r="V1101" s="1335"/>
      <c r="W1101" s="1335"/>
      <c r="X1101" s="1335"/>
      <c r="Y1101" s="1335"/>
      <c r="Z1101" s="1335"/>
      <c r="AA1101" s="1335"/>
      <c r="AB1101" s="1335"/>
      <c r="AC1101" s="1335"/>
      <c r="AD1101" s="1335"/>
      <c r="AE1101" s="1335"/>
      <c r="AF1101" s="1335"/>
      <c r="AG1101" s="1335"/>
      <c r="AH1101" s="1335"/>
      <c r="AI1101" s="1335"/>
      <c r="AJ1101" s="1335"/>
      <c r="AK1101" s="1335"/>
      <c r="AL1101" s="1335"/>
      <c r="AM1101" s="1335"/>
      <c r="AN1101" s="1335"/>
      <c r="AO1101" s="1335"/>
      <c r="AP1101" s="1335"/>
      <c r="AQ1101" s="1335"/>
      <c r="AR1101" s="1335"/>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33" t="s">
        <v>591</v>
      </c>
      <c r="B1103" s="1333"/>
      <c r="C1103" s="1334">
        <v>11</v>
      </c>
      <c r="D1103" s="1334"/>
      <c r="E1103" s="1335" t="s">
        <v>2240</v>
      </c>
      <c r="F1103" s="1335"/>
      <c r="G1103" s="1335"/>
      <c r="H1103" s="1335"/>
      <c r="I1103" s="1335"/>
      <c r="J1103" s="1335"/>
      <c r="K1103" s="1335"/>
      <c r="L1103" s="1335"/>
      <c r="M1103" s="1335"/>
      <c r="N1103" s="1335"/>
      <c r="O1103" s="1335"/>
      <c r="P1103" s="1335"/>
      <c r="Q1103" s="1335"/>
      <c r="R1103" s="1335"/>
      <c r="S1103" s="1335"/>
      <c r="T1103" s="1335"/>
      <c r="U1103" s="1335"/>
      <c r="V1103" s="1335"/>
      <c r="W1103" s="1335"/>
      <c r="X1103" s="1335"/>
      <c r="Y1103" s="1335"/>
      <c r="Z1103" s="1335"/>
      <c r="AA1103" s="1335"/>
      <c r="AB1103" s="1335"/>
      <c r="AC1103" s="1335"/>
      <c r="AD1103" s="1335"/>
      <c r="AE1103" s="1335"/>
      <c r="AF1103" s="1335"/>
      <c r="AG1103" s="1335"/>
      <c r="AH1103" s="1335"/>
      <c r="AI1103" s="1335"/>
      <c r="AJ1103" s="1335"/>
      <c r="AK1103" s="1335"/>
      <c r="AL1103" s="1335"/>
      <c r="AM1103" s="1335"/>
      <c r="AN1103" s="1335"/>
      <c r="AO1103" s="1335"/>
      <c r="AP1103" s="1335"/>
      <c r="AQ1103" s="1335"/>
      <c r="AR1103" s="1335"/>
    </row>
    <row r="1104" spans="1:45" ht="12.95" customHeight="1">
      <c r="A1104" s="1"/>
      <c r="B1104" s="1"/>
      <c r="C1104" s="199"/>
      <c r="D1104" s="1161"/>
      <c r="E1104" s="1335"/>
      <c r="F1104" s="1335"/>
      <c r="G1104" s="1335"/>
      <c r="H1104" s="1335"/>
      <c r="I1104" s="1335"/>
      <c r="J1104" s="1335"/>
      <c r="K1104" s="1335"/>
      <c r="L1104" s="1335"/>
      <c r="M1104" s="1335"/>
      <c r="N1104" s="1335"/>
      <c r="O1104" s="1335"/>
      <c r="P1104" s="1335"/>
      <c r="Q1104" s="1335"/>
      <c r="R1104" s="1335"/>
      <c r="S1104" s="1335"/>
      <c r="T1104" s="1335"/>
      <c r="U1104" s="1335"/>
      <c r="V1104" s="1335"/>
      <c r="W1104" s="1335"/>
      <c r="X1104" s="1335"/>
      <c r="Y1104" s="1335"/>
      <c r="Z1104" s="1335"/>
      <c r="AA1104" s="1335"/>
      <c r="AB1104" s="1335"/>
      <c r="AC1104" s="1335"/>
      <c r="AD1104" s="1335"/>
      <c r="AE1104" s="1335"/>
      <c r="AF1104" s="1335"/>
      <c r="AG1104" s="1335"/>
      <c r="AH1104" s="1335"/>
      <c r="AI1104" s="1335"/>
      <c r="AJ1104" s="1335"/>
      <c r="AK1104" s="1335"/>
      <c r="AL1104" s="1335"/>
      <c r="AM1104" s="1335"/>
      <c r="AN1104" s="1335"/>
      <c r="AO1104" s="1335"/>
      <c r="AP1104" s="1335"/>
      <c r="AQ1104" s="1335"/>
      <c r="AR1104" s="1335"/>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3" t="s">
        <v>591</v>
      </c>
      <c r="B1125" s="1333"/>
      <c r="C1125" s="199">
        <v>9</v>
      </c>
      <c r="D1125" s="1262" t="s">
        <v>1074</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9.9499999999999993" hidden="1" customHeight="1"/>
  </sheetData>
  <sheetProtection algorithmName="SHA-512" hashValue="tpEPDodIk+j/N940Q3d8RfWlXJAaRF9m4+EaZ7OZXytrDTNEbDw2m+I3npsvkvRZdPKxe8IFRHLC+NYDkOro9Q==" saltValue="eB6E9/UPY9J712rK+fMCa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DZ797:ED797"/>
    <mergeCell ref="DE795:DI795"/>
    <mergeCell ref="DE796:DI796"/>
    <mergeCell ref="DE797:DI797"/>
    <mergeCell ref="DJ787:DN787"/>
    <mergeCell ref="DJ788:DN788"/>
    <mergeCell ref="DO787:DS787"/>
    <mergeCell ref="DO788:DS788"/>
    <mergeCell ref="DO789:DS789"/>
    <mergeCell ref="DO790:DS790"/>
    <mergeCell ref="DO791:DS791"/>
    <mergeCell ref="DO793:DS793"/>
    <mergeCell ref="DZ787:ED787"/>
    <mergeCell ref="DZ788:ED788"/>
    <mergeCell ref="DZ789:ED789"/>
    <mergeCell ref="DZ790:ED790"/>
    <mergeCell ref="DZ791:ED791"/>
    <mergeCell ref="DZ792:ED792"/>
    <mergeCell ref="DZ793:ED793"/>
    <mergeCell ref="DZ794:ED794"/>
    <mergeCell ref="DZ795:ED795"/>
    <mergeCell ref="DZ796:ED796"/>
    <mergeCell ref="AH515:AK515"/>
    <mergeCell ref="AH519:AK519"/>
    <mergeCell ref="AH516:AK516"/>
    <mergeCell ref="AH518:AK518"/>
    <mergeCell ref="AH514:AK514"/>
    <mergeCell ref="O526:AA526"/>
    <mergeCell ref="EO796:ES796"/>
    <mergeCell ref="CI752:CJ752"/>
    <mergeCell ref="EE787:EI787"/>
    <mergeCell ref="EE788:EI788"/>
    <mergeCell ref="EE789:EI789"/>
    <mergeCell ref="EE790:EI790"/>
    <mergeCell ref="EE791:EI791"/>
    <mergeCell ref="EE792:EI792"/>
    <mergeCell ref="EE793:EI793"/>
    <mergeCell ref="EE794:EI794"/>
    <mergeCell ref="EE795:EI795"/>
    <mergeCell ref="EE796:EI796"/>
    <mergeCell ref="DU788:DY788"/>
    <mergeCell ref="DU789:DY789"/>
    <mergeCell ref="DU790:DY790"/>
    <mergeCell ref="DU791:DY791"/>
    <mergeCell ref="DU792:DY792"/>
    <mergeCell ref="DU793:DY793"/>
    <mergeCell ref="DU794:DY794"/>
    <mergeCell ref="DU795:DY795"/>
    <mergeCell ref="DU796:DY796"/>
    <mergeCell ref="DE789:DI789"/>
    <mergeCell ref="DO794:DS794"/>
    <mergeCell ref="DO795:DS795"/>
    <mergeCell ref="EE797:EI797"/>
    <mergeCell ref="EO788:ES788"/>
    <mergeCell ref="EO789:ES789"/>
    <mergeCell ref="EO790:ES790"/>
    <mergeCell ref="EO791:ES791"/>
    <mergeCell ref="EO792:ES792"/>
    <mergeCell ref="EO793:ES793"/>
    <mergeCell ref="EO794:ES794"/>
    <mergeCell ref="EO795:ES795"/>
    <mergeCell ref="EO797:ES797"/>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O796:DS796"/>
    <mergeCell ref="DO797:DS797"/>
    <mergeCell ref="CP789:CT789"/>
    <mergeCell ref="CP787:CT787"/>
    <mergeCell ref="CI753:CJ753"/>
    <mergeCell ref="CM753:CN753"/>
    <mergeCell ref="CP794:CT794"/>
    <mergeCell ref="CP795:CT795"/>
    <mergeCell ref="CP796:CT796"/>
    <mergeCell ref="CP793:CT793"/>
    <mergeCell ref="CP792:CT792"/>
    <mergeCell ref="CP791:CT791"/>
    <mergeCell ref="CP790:CT790"/>
    <mergeCell ref="DJ775:DN775"/>
    <mergeCell ref="DE787:DI787"/>
    <mergeCell ref="DE788:DI788"/>
    <mergeCell ref="CU776:CY776"/>
    <mergeCell ref="CZ795:DD795"/>
    <mergeCell ref="CZ796:DD796"/>
    <mergeCell ref="CZ797:DD797"/>
    <mergeCell ref="DE790:DI790"/>
    <mergeCell ref="DE791:DI791"/>
    <mergeCell ref="DE792:DI792"/>
    <mergeCell ref="DE793:DI793"/>
    <mergeCell ref="DE794:DI794"/>
    <mergeCell ref="CZ792:DD792"/>
    <mergeCell ref="CZ793:DD793"/>
    <mergeCell ref="CZ794:DD794"/>
    <mergeCell ref="CU787:CY787"/>
    <mergeCell ref="DO792:DS792"/>
    <mergeCell ref="DO753:DS753"/>
    <mergeCell ref="DO773:DS773"/>
    <mergeCell ref="CK752:CL752"/>
    <mergeCell ref="CP777:CT777"/>
    <mergeCell ref="CP773:CT773"/>
    <mergeCell ref="CU750:CY750"/>
    <mergeCell ref="CK746:CL746"/>
    <mergeCell ref="CM746:CN746"/>
    <mergeCell ref="CK744:CL744"/>
    <mergeCell ref="CM744:CN744"/>
    <mergeCell ref="DJ789:DN789"/>
    <mergeCell ref="DJ790:DN790"/>
    <mergeCell ref="DJ791:DN791"/>
    <mergeCell ref="DJ792:DN792"/>
    <mergeCell ref="DJ793:DN793"/>
    <mergeCell ref="DJ794:DN794"/>
    <mergeCell ref="DJ795:DN795"/>
    <mergeCell ref="DJ796:DN796"/>
    <mergeCell ref="DJ797:DN79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I750:CJ750"/>
    <mergeCell ref="AK735:AO735"/>
    <mergeCell ref="CI743:CJ743"/>
    <mergeCell ref="CK743:CL743"/>
    <mergeCell ref="CM743:CN743"/>
    <mergeCell ref="CP740:CT740"/>
    <mergeCell ref="CZ733:DD733"/>
    <mergeCell ref="CZ736:DD736"/>
    <mergeCell ref="CM731:CN731"/>
    <mergeCell ref="CZ743:DD743"/>
    <mergeCell ref="CP747:CT747"/>
    <mergeCell ref="CG748:CH748"/>
    <mergeCell ref="CP734:CT734"/>
    <mergeCell ref="CG743:CH743"/>
    <mergeCell ref="CK741:CL741"/>
    <mergeCell ref="CM741:CN741"/>
    <mergeCell ref="CG739:CH739"/>
    <mergeCell ref="CZ735:DD735"/>
    <mergeCell ref="CU734:CY734"/>
    <mergeCell ref="CP736:CT736"/>
    <mergeCell ref="CM737:CN737"/>
    <mergeCell ref="CU737:CY737"/>
    <mergeCell ref="CZ738:DD738"/>
    <mergeCell ref="CM736:CN736"/>
    <mergeCell ref="CI738:CJ738"/>
    <mergeCell ref="CP741:CT741"/>
    <mergeCell ref="CU741:CY741"/>
    <mergeCell ref="CZ739:DD739"/>
    <mergeCell ref="CP748:CT748"/>
    <mergeCell ref="CU748:CY748"/>
    <mergeCell ref="CG741:CH741"/>
    <mergeCell ref="CI741:CJ741"/>
    <mergeCell ref="DE746:DI746"/>
    <mergeCell ref="DJ747:DN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Y747:GC747"/>
    <mergeCell ref="DU741:DY741"/>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FO741:FS741"/>
    <mergeCell ref="FY741:GC741"/>
    <mergeCell ref="FT747:FX747"/>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FJ747:FN747"/>
    <mergeCell ref="FO747:FS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EO744:ES744"/>
    <mergeCell ref="ET744:EX744"/>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AE551:AH553"/>
    <mergeCell ref="AI551:AL553"/>
    <mergeCell ref="AH510:AK510"/>
    <mergeCell ref="DE743:DI743"/>
    <mergeCell ref="AH531:AK531"/>
    <mergeCell ref="CK742:CL742"/>
    <mergeCell ref="AH540:AK540"/>
    <mergeCell ref="AH538:AK538"/>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AG441:AJ441"/>
    <mergeCell ref="AC538:AF538"/>
    <mergeCell ref="Z554:AD554"/>
    <mergeCell ref="AC518:AF518"/>
    <mergeCell ref="AC516:AF516"/>
    <mergeCell ref="AC517:AF517"/>
    <mergeCell ref="AC519:AF519"/>
    <mergeCell ref="AC515:AF515"/>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Z562:AD562"/>
    <mergeCell ref="W561:Y561"/>
    <mergeCell ref="W562:Y562"/>
    <mergeCell ref="AC514:AF514"/>
    <mergeCell ref="AH517:AK517"/>
    <mergeCell ref="C557:L557"/>
    <mergeCell ref="AA573:AK573"/>
    <mergeCell ref="G580:R580"/>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C512:AF512"/>
    <mergeCell ref="AC542:AF542"/>
    <mergeCell ref="B489:P490"/>
    <mergeCell ref="AC506:AF506"/>
    <mergeCell ref="Q489:R490"/>
    <mergeCell ref="Q488:AK488"/>
    <mergeCell ref="AH535:AK535"/>
    <mergeCell ref="AC532:AF532"/>
    <mergeCell ref="Z551:AD553"/>
    <mergeCell ref="AH513:AK513"/>
    <mergeCell ref="AC531:AF531"/>
    <mergeCell ref="AC539:AF539"/>
    <mergeCell ref="L508:AB508"/>
    <mergeCell ref="N583:O583"/>
    <mergeCell ref="AI560:AL560"/>
    <mergeCell ref="O520:AA520"/>
    <mergeCell ref="AE555:AH555"/>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P581:R581"/>
    <mergeCell ref="N591:O591"/>
    <mergeCell ref="Q560:S560"/>
    <mergeCell ref="Q565:S565"/>
    <mergeCell ref="CK748:CL748"/>
    <mergeCell ref="CM748:CN748"/>
    <mergeCell ref="CG749:CH749"/>
    <mergeCell ref="CP750:CT750"/>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Z569:AK569"/>
    <mergeCell ref="T742:W742"/>
    <mergeCell ref="X745:AB745"/>
    <mergeCell ref="X746:AB746"/>
    <mergeCell ref="Z559:AD559"/>
    <mergeCell ref="AM560:AS560"/>
    <mergeCell ref="AK744:AO744"/>
    <mergeCell ref="X743:AB743"/>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23:AF523"/>
    <mergeCell ref="Z628:AB628"/>
    <mergeCell ref="M558:P558"/>
    <mergeCell ref="G571:R571"/>
    <mergeCell ref="Q559:S559"/>
    <mergeCell ref="C627:L627"/>
    <mergeCell ref="W630:Y630"/>
    <mergeCell ref="AH745:AJ745"/>
    <mergeCell ref="AH746:AJ746"/>
    <mergeCell ref="AH747:AJ747"/>
    <mergeCell ref="AH748:AJ748"/>
    <mergeCell ref="Z659:AK659"/>
    <mergeCell ref="CG734:CH734"/>
    <mergeCell ref="CP739:CT739"/>
    <mergeCell ref="CM738:CN738"/>
    <mergeCell ref="AK634:AN634"/>
    <mergeCell ref="AK635:AN635"/>
    <mergeCell ref="Z633:AB633"/>
    <mergeCell ref="AI679:AK679"/>
    <mergeCell ref="Z663:AE663"/>
    <mergeCell ref="Z643:AK643"/>
    <mergeCell ref="CI722:CJ722"/>
    <mergeCell ref="CG721:CH721"/>
    <mergeCell ref="CK720:CL720"/>
    <mergeCell ref="CG731:CH731"/>
    <mergeCell ref="CP722:CT722"/>
    <mergeCell ref="CP718:CT718"/>
    <mergeCell ref="CI718:CJ718"/>
    <mergeCell ref="CI724:CJ724"/>
    <mergeCell ref="AK743:AO743"/>
    <mergeCell ref="CG740:CH740"/>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Z730:DD730"/>
    <mergeCell ref="CZ717:DD717"/>
    <mergeCell ref="CK718:CL718"/>
    <mergeCell ref="K724:N724"/>
    <mergeCell ref="AI655:AK655"/>
    <mergeCell ref="G662:R662"/>
    <mergeCell ref="AG681:AH681"/>
    <mergeCell ref="AI687:AK687"/>
    <mergeCell ref="J705:O705"/>
    <mergeCell ref="Z655:AE655"/>
    <mergeCell ref="G683:R683"/>
    <mergeCell ref="CZ729:DD729"/>
    <mergeCell ref="O729:S729"/>
    <mergeCell ref="O731:S731"/>
    <mergeCell ref="G718:J718"/>
    <mergeCell ref="G670:R670"/>
    <mergeCell ref="Z669:AK669"/>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F630:AJ630"/>
    <mergeCell ref="M635:P635"/>
    <mergeCell ref="AM557:AS55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G395:AJ395"/>
    <mergeCell ref="AI392:AJ392"/>
    <mergeCell ref="AG394:AJ394"/>
    <mergeCell ref="M257:T257"/>
    <mergeCell ref="M256:AE256"/>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D211:M211"/>
    <mergeCell ref="AI228:AJ228"/>
    <mergeCell ref="M235:AE235"/>
    <mergeCell ref="I185:AE185"/>
    <mergeCell ref="U236:W236"/>
    <mergeCell ref="T189:AE189"/>
    <mergeCell ref="M238:T238"/>
    <mergeCell ref="T197:U197"/>
    <mergeCell ref="W253:X253"/>
    <mergeCell ref="M252:AE252"/>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AP205:AQ205"/>
    <mergeCell ref="AI229:AJ229"/>
    <mergeCell ref="U175:V175"/>
    <mergeCell ref="Y120:AK120"/>
    <mergeCell ref="O160:T160"/>
    <mergeCell ref="AI178:AK178"/>
    <mergeCell ref="R177:S177"/>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P113:S113"/>
    <mergeCell ref="AF243:AK243"/>
    <mergeCell ref="M234:T234"/>
    <mergeCell ref="W234:X234"/>
    <mergeCell ref="T212:U212"/>
    <mergeCell ref="F150:T150"/>
    <mergeCell ref="AH246:AK246"/>
    <mergeCell ref="M237:AE237"/>
    <mergeCell ref="AA249:AK249"/>
    <mergeCell ref="M248:AE248"/>
    <mergeCell ref="M243:AE243"/>
    <mergeCell ref="D204:M204"/>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C253:AE253"/>
    <mergeCell ref="D270:H270"/>
    <mergeCell ref="X270:AC270"/>
    <mergeCell ref="Z263:AE263"/>
    <mergeCell ref="AA288:AK288"/>
    <mergeCell ref="H287:R287"/>
    <mergeCell ref="U255:W255"/>
    <mergeCell ref="M264:AE264"/>
    <mergeCell ref="AB276:AD276"/>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P331:R331"/>
    <mergeCell ref="AA324:AF324"/>
    <mergeCell ref="H328:R328"/>
    <mergeCell ref="AI323:AK323"/>
    <mergeCell ref="AA320:AK320"/>
    <mergeCell ref="H317:R317"/>
    <mergeCell ref="P323:R323"/>
    <mergeCell ref="AA315:AF315"/>
    <mergeCell ref="P349:AE349"/>
    <mergeCell ref="AA311:AK311"/>
    <mergeCell ref="AA306:AK306"/>
    <mergeCell ref="M262:AE262"/>
    <mergeCell ref="AA299:AF299"/>
    <mergeCell ref="AI299:AK299"/>
    <mergeCell ref="H297:R297"/>
    <mergeCell ref="AA300:AF300"/>
    <mergeCell ref="AA298:AK298"/>
    <mergeCell ref="AA292:AF292"/>
    <mergeCell ref="H313:R313"/>
    <mergeCell ref="AH254:AK254"/>
    <mergeCell ref="M259:AE259"/>
    <mergeCell ref="AA293:AK293"/>
    <mergeCell ref="L280:AD280"/>
    <mergeCell ref="L275:AD275"/>
    <mergeCell ref="H290:R290"/>
    <mergeCell ref="V276:W276"/>
    <mergeCell ref="AA301:AK301"/>
    <mergeCell ref="AA296:AK296"/>
    <mergeCell ref="H301:R301"/>
    <mergeCell ref="L277:AD277"/>
    <mergeCell ref="AA303:AK303"/>
    <mergeCell ref="H311:R311"/>
    <mergeCell ref="H308:M308"/>
    <mergeCell ref="P307:R307"/>
    <mergeCell ref="H305:R305"/>
    <mergeCell ref="P299:R299"/>
    <mergeCell ref="H293:R293"/>
    <mergeCell ref="Y278:AD278"/>
    <mergeCell ref="AA295:AK295"/>
    <mergeCell ref="AF259:AK259"/>
    <mergeCell ref="AC261:AE261"/>
    <mergeCell ref="W261:X261"/>
    <mergeCell ref="U263:W263"/>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H329:R329"/>
    <mergeCell ref="H330:R33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P339:R339"/>
    <mergeCell ref="AA341:AK341"/>
    <mergeCell ref="E368:AH369"/>
    <mergeCell ref="Q365:AG365"/>
    <mergeCell ref="H340:M340"/>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P424:Q424"/>
    <mergeCell ref="AH527:AK527"/>
    <mergeCell ref="D473:V473"/>
    <mergeCell ref="AC504:AF504"/>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AC529:AF529"/>
    <mergeCell ref="AH530:AK530"/>
    <mergeCell ref="Z556:AD556"/>
    <mergeCell ref="AI555:AL555"/>
    <mergeCell ref="T558:V558"/>
    <mergeCell ref="AI556:AL556"/>
    <mergeCell ref="T557:V557"/>
    <mergeCell ref="Q389:U389"/>
    <mergeCell ref="AJ357:AK357"/>
    <mergeCell ref="D444:AF444"/>
    <mergeCell ref="Q556:S556"/>
    <mergeCell ref="W469:Y469"/>
    <mergeCell ref="AE556:AH556"/>
    <mergeCell ref="AC503:AF503"/>
    <mergeCell ref="AC513:AF513"/>
    <mergeCell ref="AH504:AK504"/>
    <mergeCell ref="W471:Y471"/>
    <mergeCell ref="W473:Y473"/>
    <mergeCell ref="AI597:AK597"/>
    <mergeCell ref="Z595:AK595"/>
    <mergeCell ref="G603:R603"/>
    <mergeCell ref="P597:R597"/>
    <mergeCell ref="G597:L597"/>
    <mergeCell ref="G602:R602"/>
    <mergeCell ref="Q624:S626"/>
    <mergeCell ref="G586:R586"/>
    <mergeCell ref="AG599:AH599"/>
    <mergeCell ref="G595:R595"/>
    <mergeCell ref="AI605:AK605"/>
    <mergeCell ref="G604:R604"/>
    <mergeCell ref="G577:R577"/>
    <mergeCell ref="C561:L561"/>
    <mergeCell ref="Q561:S561"/>
    <mergeCell ref="C562:L56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G596:R596"/>
    <mergeCell ref="W563:Y563"/>
    <mergeCell ref="M825:P825"/>
    <mergeCell ref="AK746:AO746"/>
    <mergeCell ref="O735:S735"/>
    <mergeCell ref="T738:W738"/>
    <mergeCell ref="X744:AB744"/>
    <mergeCell ref="AH743:AJ743"/>
    <mergeCell ref="AH744:AJ744"/>
    <mergeCell ref="X738:AB738"/>
    <mergeCell ref="T796:W796"/>
    <mergeCell ref="M823:P824"/>
    <mergeCell ref="Z817:AE817"/>
    <mergeCell ref="B742:F742"/>
    <mergeCell ref="B743:F743"/>
    <mergeCell ref="X740:AB740"/>
    <mergeCell ref="AK748:AO748"/>
    <mergeCell ref="O745:S745"/>
    <mergeCell ref="T748:W748"/>
    <mergeCell ref="X747:AB747"/>
    <mergeCell ref="AH752:AJ752"/>
    <mergeCell ref="B736:F736"/>
    <mergeCell ref="G737:J737"/>
    <mergeCell ref="G735:J735"/>
    <mergeCell ref="O774:S774"/>
    <mergeCell ref="O794:S794"/>
    <mergeCell ref="X769:AB772"/>
    <mergeCell ref="T769:W772"/>
    <mergeCell ref="AC793:AG793"/>
    <mergeCell ref="J791:N791"/>
    <mergeCell ref="X792:AB792"/>
    <mergeCell ref="U823:X824"/>
    <mergeCell ref="X741:AB741"/>
    <mergeCell ref="B753:F753"/>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T729:W729"/>
    <mergeCell ref="J794:N794"/>
    <mergeCell ref="C798:AN799"/>
    <mergeCell ref="J793:N793"/>
    <mergeCell ref="G752:J752"/>
    <mergeCell ref="Y801:AC801"/>
    <mergeCell ref="T774:W774"/>
    <mergeCell ref="AC776:AG776"/>
    <mergeCell ref="AC792:AG792"/>
    <mergeCell ref="O787:S787"/>
    <mergeCell ref="Q826:T826"/>
    <mergeCell ref="T741:W741"/>
    <mergeCell ref="AC796:AG796"/>
    <mergeCell ref="AC788:AG788"/>
    <mergeCell ref="G738:J738"/>
    <mergeCell ref="B724:F724"/>
    <mergeCell ref="B727:F72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J775:N775"/>
    <mergeCell ref="BD899:BE899"/>
    <mergeCell ref="BD901:BE901"/>
    <mergeCell ref="AC886:AH886"/>
    <mergeCell ref="AA931:AF931"/>
    <mergeCell ref="U932:Z932"/>
    <mergeCell ref="AA932:AF932"/>
    <mergeCell ref="F938:T938"/>
    <mergeCell ref="AC892:AH892"/>
    <mergeCell ref="W869:AC869"/>
    <mergeCell ref="BD904:BE904"/>
    <mergeCell ref="AZ851:BA851"/>
    <mergeCell ref="AC890:AH890"/>
    <mergeCell ref="Q830:T830"/>
    <mergeCell ref="AG831:AJ831"/>
    <mergeCell ref="X793:AB793"/>
    <mergeCell ref="T783:W786"/>
    <mergeCell ref="O789:S789"/>
    <mergeCell ref="W846:AC846"/>
    <mergeCell ref="M830:P830"/>
    <mergeCell ref="C832:L832"/>
    <mergeCell ref="W857:AC857"/>
    <mergeCell ref="M874:V874"/>
    <mergeCell ref="Y831:AB831"/>
    <mergeCell ref="W851:AC851"/>
    <mergeCell ref="W855:AC855"/>
    <mergeCell ref="W852:AC852"/>
    <mergeCell ref="Y823:AB824"/>
    <mergeCell ref="M829:P829"/>
    <mergeCell ref="Z815:AE815"/>
    <mergeCell ref="Z808:AE808"/>
    <mergeCell ref="T794:W794"/>
    <mergeCell ref="T792:W792"/>
    <mergeCell ref="T860:V860"/>
    <mergeCell ref="W867:AC867"/>
    <mergeCell ref="W862:AC862"/>
    <mergeCell ref="M876:V876"/>
    <mergeCell ref="W868:AC868"/>
    <mergeCell ref="AC893:AH893"/>
    <mergeCell ref="W872:AC872"/>
    <mergeCell ref="AC884:AH884"/>
    <mergeCell ref="M875:V875"/>
    <mergeCell ref="W877:AC877"/>
    <mergeCell ref="M871:V871"/>
    <mergeCell ref="M878:V878"/>
    <mergeCell ref="W870:AC870"/>
    <mergeCell ref="T776:W776"/>
    <mergeCell ref="U828:X828"/>
    <mergeCell ref="AG828:AJ828"/>
    <mergeCell ref="Z807:AE807"/>
    <mergeCell ref="Y800:AC800"/>
    <mergeCell ref="W871:AC871"/>
    <mergeCell ref="AC777:AG777"/>
    <mergeCell ref="O777:S777"/>
    <mergeCell ref="X788:AB788"/>
    <mergeCell ref="O797:S797"/>
    <mergeCell ref="Q827:T827"/>
    <mergeCell ref="O793:S793"/>
    <mergeCell ref="J790:N790"/>
    <mergeCell ref="AC789:AG789"/>
    <mergeCell ref="AC790:AG790"/>
    <mergeCell ref="Z818:AE818"/>
    <mergeCell ref="T795:W795"/>
    <mergeCell ref="M826:P826"/>
    <mergeCell ref="Q825:T825"/>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F930:T930"/>
    <mergeCell ref="F931:T931"/>
    <mergeCell ref="U936:Z936"/>
    <mergeCell ref="AA928:AF928"/>
    <mergeCell ref="U935:Z935"/>
    <mergeCell ref="AA923:AF923"/>
    <mergeCell ref="AB917:AE917"/>
    <mergeCell ref="AA922:AF922"/>
    <mergeCell ref="BD902:BE902"/>
    <mergeCell ref="BD900:BE900"/>
    <mergeCell ref="C895:AB895"/>
    <mergeCell ref="U920:Z920"/>
    <mergeCell ref="A910:AT911"/>
    <mergeCell ref="U915:Z917"/>
    <mergeCell ref="AC887:AH887"/>
    <mergeCell ref="AE956:AK956"/>
    <mergeCell ref="P945:T945"/>
    <mergeCell ref="U832:X832"/>
    <mergeCell ref="M832:P832"/>
    <mergeCell ref="W866:AC866"/>
    <mergeCell ref="W859:AC859"/>
    <mergeCell ref="W849:AC849"/>
    <mergeCell ref="M877:V877"/>
    <mergeCell ref="B728:F728"/>
    <mergeCell ref="B725:F725"/>
    <mergeCell ref="W842:AC842"/>
    <mergeCell ref="W847:AC847"/>
    <mergeCell ref="W876:AC876"/>
    <mergeCell ref="M861:V861"/>
    <mergeCell ref="W845:AC845"/>
    <mergeCell ref="M846:V846"/>
    <mergeCell ref="J849:V849"/>
    <mergeCell ref="F936:T936"/>
    <mergeCell ref="W854:AC854"/>
    <mergeCell ref="W874:AC874"/>
    <mergeCell ref="C837:AJ837"/>
    <mergeCell ref="W843:AC843"/>
    <mergeCell ref="F944:T944"/>
    <mergeCell ref="U944:Z944"/>
    <mergeCell ref="F940:T940"/>
    <mergeCell ref="U939:Z939"/>
    <mergeCell ref="U940:Z940"/>
    <mergeCell ref="AA938:AF938"/>
    <mergeCell ref="U923:Z923"/>
    <mergeCell ref="W875:AC875"/>
    <mergeCell ref="T858:V858"/>
    <mergeCell ref="AH749:AJ749"/>
    <mergeCell ref="AH739:AJ739"/>
    <mergeCell ref="AH740:AJ740"/>
    <mergeCell ref="B723:F723"/>
    <mergeCell ref="B731:F731"/>
    <mergeCell ref="B730:F730"/>
    <mergeCell ref="B729:F729"/>
    <mergeCell ref="B733:F733"/>
    <mergeCell ref="G734:J734"/>
    <mergeCell ref="AH737:AJ737"/>
    <mergeCell ref="AH738:AJ738"/>
    <mergeCell ref="AH736:AJ736"/>
    <mergeCell ref="X732:AB732"/>
    <mergeCell ref="B720:F720"/>
    <mergeCell ref="B722:F722"/>
    <mergeCell ref="AG673:AH673"/>
    <mergeCell ref="B718:F718"/>
    <mergeCell ref="G720:J720"/>
    <mergeCell ref="B721:F721"/>
    <mergeCell ref="H680:R680"/>
    <mergeCell ref="G676:R676"/>
    <mergeCell ref="N673:O673"/>
    <mergeCell ref="AH719:AJ719"/>
    <mergeCell ref="K740:N740"/>
    <mergeCell ref="AC738:AG738"/>
    <mergeCell ref="O740:S740"/>
    <mergeCell ref="K741:N741"/>
    <mergeCell ref="O736:S736"/>
    <mergeCell ref="K738:N738"/>
    <mergeCell ref="K734:N734"/>
    <mergeCell ref="AH733:AJ733"/>
    <mergeCell ref="G685:R685"/>
    <mergeCell ref="O752:S752"/>
    <mergeCell ref="AH726:AJ726"/>
    <mergeCell ref="O718:S718"/>
    <mergeCell ref="J704:X704"/>
    <mergeCell ref="J789:N789"/>
    <mergeCell ref="X795:AB795"/>
    <mergeCell ref="AH720:AJ720"/>
    <mergeCell ref="AK722:AO722"/>
    <mergeCell ref="AH721:AJ721"/>
    <mergeCell ref="AK719:AO719"/>
    <mergeCell ref="G684:R684"/>
    <mergeCell ref="G753:J753"/>
    <mergeCell ref="W703:AK703"/>
    <mergeCell ref="B719:F719"/>
    <mergeCell ref="O783:S786"/>
    <mergeCell ref="CI721:CJ721"/>
    <mergeCell ref="CG735:CH735"/>
    <mergeCell ref="AH728:AJ728"/>
    <mergeCell ref="G739:J739"/>
    <mergeCell ref="X727:AB727"/>
    <mergeCell ref="G728:J728"/>
    <mergeCell ref="O737:S737"/>
    <mergeCell ref="X735:AB735"/>
    <mergeCell ref="X736:AB736"/>
    <mergeCell ref="O722:S722"/>
    <mergeCell ref="G719:J719"/>
    <mergeCell ref="O795:S795"/>
    <mergeCell ref="AC791:AG791"/>
    <mergeCell ref="J779:K779"/>
    <mergeCell ref="J787:N787"/>
    <mergeCell ref="G727:J727"/>
    <mergeCell ref="G687:L687"/>
    <mergeCell ref="CG738:CH738"/>
    <mergeCell ref="CK739:CL739"/>
    <mergeCell ref="Z660:AK660"/>
    <mergeCell ref="G663:L663"/>
    <mergeCell ref="T732:W732"/>
    <mergeCell ref="T731:W731"/>
    <mergeCell ref="O747:S747"/>
    <mergeCell ref="T747:W747"/>
    <mergeCell ref="AC748:AG748"/>
    <mergeCell ref="X734:AB734"/>
    <mergeCell ref="X724:AB724"/>
    <mergeCell ref="AK730:AO730"/>
    <mergeCell ref="AC724:AG724"/>
    <mergeCell ref="AC730:AG730"/>
    <mergeCell ref="AH727:AJ727"/>
    <mergeCell ref="X725:AB725"/>
    <mergeCell ref="T727:W727"/>
    <mergeCell ref="K728:N728"/>
    <mergeCell ref="AH729:AJ729"/>
    <mergeCell ref="AC731:AG731"/>
    <mergeCell ref="T736:W736"/>
    <mergeCell ref="AE696:AI696"/>
    <mergeCell ref="K718:N718"/>
    <mergeCell ref="W706:AK706"/>
    <mergeCell ref="E707:AK707"/>
    <mergeCell ref="AK732:AO732"/>
    <mergeCell ref="AK733:AO733"/>
    <mergeCell ref="AK734:AO734"/>
    <mergeCell ref="O719:S719"/>
    <mergeCell ref="CI717:CJ717"/>
    <mergeCell ref="CK721:CL721"/>
    <mergeCell ref="CI739:CJ739"/>
    <mergeCell ref="CK725:CL725"/>
    <mergeCell ref="CG733:CH733"/>
    <mergeCell ref="N681:O681"/>
    <mergeCell ref="X719:AB719"/>
    <mergeCell ref="G686:R686"/>
    <mergeCell ref="CM730:CN730"/>
    <mergeCell ref="G678:R678"/>
    <mergeCell ref="P679:R679"/>
    <mergeCell ref="N689:O689"/>
    <mergeCell ref="CG719:CH719"/>
    <mergeCell ref="CK734:CL734"/>
    <mergeCell ref="CM734:CN734"/>
    <mergeCell ref="CK738:CL738"/>
    <mergeCell ref="CI731:CJ731"/>
    <mergeCell ref="CI728:CJ728"/>
    <mergeCell ref="CG732:CH732"/>
    <mergeCell ref="CG727:CH727"/>
    <mergeCell ref="AA680:AK680"/>
    <mergeCell ref="AC728:AG728"/>
    <mergeCell ref="AC732:AG732"/>
    <mergeCell ref="X733:AB733"/>
    <mergeCell ref="G732:J732"/>
    <mergeCell ref="AH735:AJ735"/>
    <mergeCell ref="T722:W722"/>
    <mergeCell ref="CG730:CH730"/>
    <mergeCell ref="K720:N720"/>
    <mergeCell ref="O730:S730"/>
    <mergeCell ref="CI734:CJ734"/>
    <mergeCell ref="G679:L679"/>
    <mergeCell ref="AK727:AO727"/>
    <mergeCell ref="AH724:AJ724"/>
    <mergeCell ref="DE734:DI734"/>
    <mergeCell ref="CG737:CH737"/>
    <mergeCell ref="CM733:CN733"/>
    <mergeCell ref="CI733:CJ733"/>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M739:CN739"/>
    <mergeCell ref="X728:AB728"/>
    <mergeCell ref="CI748:CJ748"/>
    <mergeCell ref="CI742:CJ742"/>
    <mergeCell ref="CG728:CH728"/>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DE726:DI726"/>
    <mergeCell ref="CZ724:DD724"/>
    <mergeCell ref="CG725:CH725"/>
    <mergeCell ref="CP724:CT724"/>
    <mergeCell ref="DE731:DI731"/>
    <mergeCell ref="CZ727:DD727"/>
    <mergeCell ref="CP728:CT728"/>
    <mergeCell ref="CU728:CY728"/>
    <mergeCell ref="DE728:DI728"/>
    <mergeCell ref="CU729:CY729"/>
    <mergeCell ref="CM726:CN726"/>
    <mergeCell ref="CP733:CT733"/>
    <mergeCell ref="CK735:CL735"/>
    <mergeCell ref="CP732:CT732"/>
    <mergeCell ref="CM729:CN729"/>
    <mergeCell ref="CM723:CN723"/>
    <mergeCell ref="CM725:CN725"/>
    <mergeCell ref="CK730:CL730"/>
    <mergeCell ref="CP731:CT731"/>
    <mergeCell ref="CI729:CJ729"/>
    <mergeCell ref="CP729:CT729"/>
    <mergeCell ref="CP725:CT725"/>
    <mergeCell ref="CK737:CL737"/>
    <mergeCell ref="CK727:CL727"/>
    <mergeCell ref="CZ728:DD728"/>
    <mergeCell ref="CK723:CL723"/>
    <mergeCell ref="CK732:CL732"/>
    <mergeCell ref="CM724:CN724"/>
    <mergeCell ref="CU730:CY730"/>
    <mergeCell ref="CK728:CL728"/>
    <mergeCell ref="CZ731:DD731"/>
    <mergeCell ref="CK731:CL731"/>
    <mergeCell ref="CK729:CL729"/>
    <mergeCell ref="CU722:CY722"/>
    <mergeCell ref="CZ722:DD722"/>
    <mergeCell ref="CK736:CL736"/>
    <mergeCell ref="CP723:CT723"/>
    <mergeCell ref="CU727:CY727"/>
    <mergeCell ref="CK724:CL724"/>
    <mergeCell ref="DE730:DI730"/>
    <mergeCell ref="DE737:DI737"/>
    <mergeCell ref="CI737:CJ737"/>
    <mergeCell ref="CI727:CJ727"/>
    <mergeCell ref="CI723:CJ723"/>
    <mergeCell ref="CU736:CY736"/>
    <mergeCell ref="Z613:AE613"/>
    <mergeCell ref="AC629:AE629"/>
    <mergeCell ref="AO633:AS633"/>
    <mergeCell ref="G677:R677"/>
    <mergeCell ref="Z678:AK678"/>
    <mergeCell ref="M627:P627"/>
    <mergeCell ref="M629:P629"/>
    <mergeCell ref="W624:Y626"/>
    <mergeCell ref="W628:Y628"/>
    <mergeCell ref="P663:R663"/>
    <mergeCell ref="AO640:AS640"/>
    <mergeCell ref="W636:Y636"/>
    <mergeCell ref="M636:P636"/>
    <mergeCell ref="AA664:AK664"/>
    <mergeCell ref="T635:V635"/>
    <mergeCell ref="T636:V636"/>
    <mergeCell ref="T637:V637"/>
    <mergeCell ref="AO631:AS631"/>
    <mergeCell ref="AK624:AN626"/>
    <mergeCell ref="C630:L630"/>
    <mergeCell ref="M358:N358"/>
    <mergeCell ref="Z578:AK578"/>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W564:Y564"/>
    <mergeCell ref="W565:Y565"/>
    <mergeCell ref="G572:L572"/>
    <mergeCell ref="Z570:AK570"/>
    <mergeCell ref="T565:V565"/>
    <mergeCell ref="AI563:AL563"/>
    <mergeCell ref="Z563:AD563"/>
    <mergeCell ref="G570:R570"/>
    <mergeCell ref="P572:R572"/>
    <mergeCell ref="Q562:S562"/>
    <mergeCell ref="Q394:U394"/>
    <mergeCell ref="AD412:AE412"/>
    <mergeCell ref="AH501:AK501"/>
    <mergeCell ref="G474:V474"/>
    <mergeCell ref="AH526:AK526"/>
    <mergeCell ref="M561:P561"/>
    <mergeCell ref="R411:S411"/>
    <mergeCell ref="W556:Y556"/>
    <mergeCell ref="C565:L565"/>
    <mergeCell ref="W558:Y558"/>
    <mergeCell ref="AE558:AH558"/>
    <mergeCell ref="H582:R582"/>
    <mergeCell ref="Z579:AK579"/>
    <mergeCell ref="AM559:AS559"/>
    <mergeCell ref="AE559:AH559"/>
    <mergeCell ref="AI559:AL559"/>
    <mergeCell ref="AM562:AS562"/>
    <mergeCell ref="T559:V559"/>
    <mergeCell ref="AA582:AK582"/>
    <mergeCell ref="H573:R573"/>
    <mergeCell ref="B566:AL566"/>
    <mergeCell ref="AE560:AH560"/>
    <mergeCell ref="N575:O575"/>
    <mergeCell ref="T561:V561"/>
    <mergeCell ref="C560:L560"/>
    <mergeCell ref="Z560:AD560"/>
    <mergeCell ref="T560:V560"/>
    <mergeCell ref="Z561:AD561"/>
    <mergeCell ref="W560:Y560"/>
    <mergeCell ref="AH505:AK505"/>
    <mergeCell ref="AC521:AF521"/>
    <mergeCell ref="M554:P554"/>
    <mergeCell ref="Z580:AK580"/>
    <mergeCell ref="H414:AE415"/>
    <mergeCell ref="W465:Y465"/>
    <mergeCell ref="Z635:AB635"/>
    <mergeCell ref="G609:R609"/>
    <mergeCell ref="N615:O615"/>
    <mergeCell ref="M628:P628"/>
    <mergeCell ref="M633:P633"/>
    <mergeCell ref="Z605:AE605"/>
    <mergeCell ref="Z609:AK609"/>
    <mergeCell ref="AC632:AE632"/>
    <mergeCell ref="AA606:AK606"/>
    <mergeCell ref="P605:R605"/>
    <mergeCell ref="C628:L628"/>
    <mergeCell ref="W633:Y633"/>
    <mergeCell ref="Z630:AB630"/>
    <mergeCell ref="Z603:AK603"/>
    <mergeCell ref="T630:V630"/>
    <mergeCell ref="T631:V631"/>
    <mergeCell ref="AC628:AE628"/>
    <mergeCell ref="C629:L629"/>
    <mergeCell ref="T629:V629"/>
    <mergeCell ref="G610:R610"/>
    <mergeCell ref="A617:AT618"/>
    <mergeCell ref="B624:L626"/>
    <mergeCell ref="Z588:AK588"/>
    <mergeCell ref="Z577:AK577"/>
    <mergeCell ref="AF574:AK574"/>
    <mergeCell ref="Z585:AK585"/>
    <mergeCell ref="G579:R579"/>
    <mergeCell ref="G594:R594"/>
    <mergeCell ref="Z594:AK594"/>
    <mergeCell ref="Z610:AK610"/>
    <mergeCell ref="T555:V555"/>
    <mergeCell ref="Z434:AA434"/>
    <mergeCell ref="H590:R590"/>
    <mergeCell ref="T721:W721"/>
    <mergeCell ref="AE695:AI695"/>
    <mergeCell ref="Z644:AK644"/>
    <mergeCell ref="AO636:AS636"/>
    <mergeCell ref="AC721:AG721"/>
    <mergeCell ref="AH509:AK509"/>
    <mergeCell ref="Z611:AK611"/>
    <mergeCell ref="AM561:AS561"/>
    <mergeCell ref="AM558:AS558"/>
    <mergeCell ref="AM566:AS566"/>
    <mergeCell ref="Q632:S632"/>
    <mergeCell ref="G645:R645"/>
    <mergeCell ref="G659:R659"/>
    <mergeCell ref="G675:R675"/>
    <mergeCell ref="M630:P630"/>
    <mergeCell ref="M631:P631"/>
    <mergeCell ref="M632:P632"/>
    <mergeCell ref="G581:L581"/>
    <mergeCell ref="Z604:AK604"/>
    <mergeCell ref="C563:L563"/>
    <mergeCell ref="G589:L589"/>
    <mergeCell ref="G569:R569"/>
    <mergeCell ref="G578:R578"/>
    <mergeCell ref="W700:AK700"/>
    <mergeCell ref="Z683:AK683"/>
    <mergeCell ref="AA688:AK688"/>
    <mergeCell ref="AO628:AS628"/>
    <mergeCell ref="Z632:AB632"/>
    <mergeCell ref="H648:R648"/>
    <mergeCell ref="M634:P634"/>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Z631:AB631"/>
    <mergeCell ref="H672:R672"/>
    <mergeCell ref="G651:R651"/>
    <mergeCell ref="DO721:DS721"/>
    <mergeCell ref="Z671:AE671"/>
    <mergeCell ref="CP721:CT721"/>
    <mergeCell ref="AF631:AJ631"/>
    <mergeCell ref="AK633:AN633"/>
    <mergeCell ref="Z645:AK645"/>
    <mergeCell ref="Z629:AB629"/>
    <mergeCell ref="AE699:AI699"/>
    <mergeCell ref="AK632:AN632"/>
    <mergeCell ref="AI671:AK671"/>
    <mergeCell ref="AK627:AN627"/>
    <mergeCell ref="AF632:AJ632"/>
    <mergeCell ref="AF624:AJ626"/>
    <mergeCell ref="P589:R589"/>
    <mergeCell ref="Z676:AK676"/>
    <mergeCell ref="P687:R687"/>
    <mergeCell ref="R705:T705"/>
    <mergeCell ref="P647:R647"/>
    <mergeCell ref="AI647:AK647"/>
    <mergeCell ref="G654:R654"/>
    <mergeCell ref="C631:L631"/>
    <mergeCell ref="C632:L632"/>
    <mergeCell ref="Z677:AK677"/>
    <mergeCell ref="G661:R661"/>
    <mergeCell ref="Z668:AK668"/>
    <mergeCell ref="W634:Y634"/>
    <mergeCell ref="C638:L638"/>
    <mergeCell ref="G644:R644"/>
    <mergeCell ref="P655:R655"/>
    <mergeCell ref="AG665:AH665"/>
    <mergeCell ref="H664:R664"/>
    <mergeCell ref="AA648:AK648"/>
    <mergeCell ref="M637:P637"/>
    <mergeCell ref="M638:P638"/>
    <mergeCell ref="W631:Y631"/>
    <mergeCell ref="EM636:EQ636"/>
    <mergeCell ref="DX637:EB637"/>
    <mergeCell ref="AC633:AE633"/>
    <mergeCell ref="B639:AN639"/>
    <mergeCell ref="B640:AN640"/>
    <mergeCell ref="Z687:AE687"/>
    <mergeCell ref="AH718:AJ718"/>
    <mergeCell ref="AC718:AG718"/>
    <mergeCell ref="AK714:AO717"/>
    <mergeCell ref="AK718:AO718"/>
    <mergeCell ref="AC720:AG720"/>
    <mergeCell ref="AK721:AO721"/>
    <mergeCell ref="CI719:CJ719"/>
    <mergeCell ref="T714:W717"/>
    <mergeCell ref="DO722:DS722"/>
    <mergeCell ref="DJ721:DN721"/>
    <mergeCell ref="DE720:DI720"/>
    <mergeCell ref="CZ718:DD718"/>
    <mergeCell ref="CP719:CT719"/>
    <mergeCell ref="Z661:AK661"/>
    <mergeCell ref="Q634:S634"/>
    <mergeCell ref="AF636:AJ636"/>
    <mergeCell ref="AF637:AJ637"/>
    <mergeCell ref="AC636:AE636"/>
    <mergeCell ref="Z647:AE647"/>
    <mergeCell ref="AA672:AK672"/>
    <mergeCell ref="Z684:AK684"/>
    <mergeCell ref="Q633:S633"/>
    <mergeCell ref="G652:R652"/>
    <mergeCell ref="AK637:AN637"/>
    <mergeCell ref="N657:O657"/>
    <mergeCell ref="W638:Y638"/>
    <mergeCell ref="AE693:AF693"/>
    <mergeCell ref="DJ723:DN723"/>
    <mergeCell ref="DJ724:DN724"/>
    <mergeCell ref="CZ723:DD723"/>
    <mergeCell ref="X718:AB718"/>
    <mergeCell ref="AE702:AF702"/>
    <mergeCell ref="AI663:AK663"/>
    <mergeCell ref="Z667:AK667"/>
    <mergeCell ref="W629:Y629"/>
    <mergeCell ref="AC634:AE634"/>
    <mergeCell ref="T723:W723"/>
    <mergeCell ref="X721:AB721"/>
    <mergeCell ref="AC722:AG722"/>
    <mergeCell ref="T633:V633"/>
    <mergeCell ref="DX649:EB649"/>
    <mergeCell ref="DX655:EB655"/>
    <mergeCell ref="DE723:DI723"/>
    <mergeCell ref="CU718:CY718"/>
    <mergeCell ref="CP717:CT717"/>
    <mergeCell ref="AK720:AO720"/>
    <mergeCell ref="AO641:AS641"/>
    <mergeCell ref="Z651:AK651"/>
    <mergeCell ref="AK638:AN638"/>
    <mergeCell ref="CM717:CN717"/>
    <mergeCell ref="AC719:AG719"/>
    <mergeCell ref="Z653:AK653"/>
    <mergeCell ref="AF633:AJ633"/>
    <mergeCell ref="DE719:DI719"/>
    <mergeCell ref="CZ720:DD720"/>
    <mergeCell ref="Z679:AE679"/>
    <mergeCell ref="Z670:AK670"/>
    <mergeCell ref="DX668:EB668"/>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AK725:AO725"/>
    <mergeCell ref="DE718:DI718"/>
    <mergeCell ref="DO725:DS725"/>
    <mergeCell ref="DO730:DS730"/>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O796:S796"/>
    <mergeCell ref="U825:X825"/>
    <mergeCell ref="Z814:AE814"/>
    <mergeCell ref="DJ735:DN735"/>
    <mergeCell ref="CG742:CH742"/>
    <mergeCell ref="Y827:AB827"/>
    <mergeCell ref="AG827:AJ827"/>
    <mergeCell ref="O746:S746"/>
    <mergeCell ref="T746:W746"/>
    <mergeCell ref="K747:N747"/>
    <mergeCell ref="AH750:AJ750"/>
    <mergeCell ref="CP737:CT737"/>
    <mergeCell ref="CZ734:DD734"/>
    <mergeCell ref="CI735:CJ735"/>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I949:T949"/>
    <mergeCell ref="U938:Z938"/>
    <mergeCell ref="U928:Z928"/>
    <mergeCell ref="U948:Z948"/>
    <mergeCell ref="AA920:AF920"/>
    <mergeCell ref="AA919:AF919"/>
    <mergeCell ref="U925:Z925"/>
    <mergeCell ref="Q832:T832"/>
    <mergeCell ref="AG830:AJ830"/>
    <mergeCell ref="F946:H946"/>
    <mergeCell ref="F926:T926"/>
    <mergeCell ref="F927:T927"/>
    <mergeCell ref="F928:T928"/>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U946:Z946"/>
    <mergeCell ref="AA944:AF944"/>
    <mergeCell ref="AA936:AF936"/>
    <mergeCell ref="U943:Z943"/>
    <mergeCell ref="U941:Z941"/>
    <mergeCell ref="AA943:AF943"/>
    <mergeCell ref="AC885:AH885"/>
    <mergeCell ref="W861:AC861"/>
    <mergeCell ref="M968:S968"/>
    <mergeCell ref="F932:T932"/>
    <mergeCell ref="AA939:AF939"/>
    <mergeCell ref="AA940:AF940"/>
    <mergeCell ref="W853:AC853"/>
    <mergeCell ref="M955:S955"/>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Q823:T824"/>
    <mergeCell ref="Z809:AE809"/>
    <mergeCell ref="O791:S791"/>
    <mergeCell ref="J783:N786"/>
    <mergeCell ref="T790:W790"/>
    <mergeCell ref="T793:W793"/>
    <mergeCell ref="O775:S775"/>
    <mergeCell ref="K743:N743"/>
    <mergeCell ref="O743:S743"/>
    <mergeCell ref="T743:W743"/>
    <mergeCell ref="K744:N744"/>
    <mergeCell ref="O744:S744"/>
    <mergeCell ref="AC739:AG739"/>
    <mergeCell ref="T744:W744"/>
    <mergeCell ref="K745:N745"/>
    <mergeCell ref="Z813:AE813"/>
    <mergeCell ref="T751:W751"/>
    <mergeCell ref="X773:AB773"/>
    <mergeCell ref="K748:N748"/>
    <mergeCell ref="G741:J741"/>
    <mergeCell ref="T739:W739"/>
    <mergeCell ref="O790:S790"/>
    <mergeCell ref="X775:AB775"/>
    <mergeCell ref="X776:AB776"/>
    <mergeCell ref="AC775:AG775"/>
    <mergeCell ref="AC783:AG786"/>
    <mergeCell ref="O776:S776"/>
    <mergeCell ref="O769:S772"/>
    <mergeCell ref="B754:AH755"/>
    <mergeCell ref="J792:N792"/>
    <mergeCell ref="Z806:AE806"/>
    <mergeCell ref="X791:AB791"/>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AH751:AJ751"/>
    <mergeCell ref="K746:N746"/>
    <mergeCell ref="AD759:AF759"/>
    <mergeCell ref="B752:F752"/>
    <mergeCell ref="O750:S750"/>
    <mergeCell ref="B740:F740"/>
    <mergeCell ref="Z662:AK662"/>
    <mergeCell ref="AK728:AO728"/>
    <mergeCell ref="C766:AR768"/>
    <mergeCell ref="B737:F737"/>
    <mergeCell ref="B735:F735"/>
    <mergeCell ref="B738:F738"/>
    <mergeCell ref="K749:N749"/>
    <mergeCell ref="O749:S749"/>
    <mergeCell ref="Q638:S638"/>
    <mergeCell ref="X751:AB751"/>
    <mergeCell ref="AH753:AJ753"/>
    <mergeCell ref="AK745:AO745"/>
    <mergeCell ref="AH741:AJ741"/>
    <mergeCell ref="AK740:AO740"/>
    <mergeCell ref="AK741:AO741"/>
    <mergeCell ref="AK752:AO752"/>
    <mergeCell ref="O741:S741"/>
    <mergeCell ref="AO630:AS630"/>
    <mergeCell ref="G669:R669"/>
    <mergeCell ref="T718:W718"/>
    <mergeCell ref="O721:S721"/>
    <mergeCell ref="K722:N722"/>
    <mergeCell ref="K723:N723"/>
    <mergeCell ref="T632:V632"/>
    <mergeCell ref="K721:N721"/>
    <mergeCell ref="G667:R667"/>
    <mergeCell ref="O720:S720"/>
    <mergeCell ref="O733:S733"/>
    <mergeCell ref="K719:N719"/>
    <mergeCell ref="K731:N731"/>
    <mergeCell ref="AC638:AE638"/>
    <mergeCell ref="AK750:AO750"/>
    <mergeCell ref="AK747:AO747"/>
    <mergeCell ref="K737:N737"/>
    <mergeCell ref="G731:J731"/>
    <mergeCell ref="X729:AB729"/>
    <mergeCell ref="T735:W735"/>
    <mergeCell ref="T734:W734"/>
    <mergeCell ref="AC727:AG727"/>
    <mergeCell ref="K729:N729"/>
    <mergeCell ref="AK731:AO731"/>
    <mergeCell ref="O739:S739"/>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F975:L975"/>
    <mergeCell ref="M958:S958"/>
    <mergeCell ref="B991:AA991"/>
    <mergeCell ref="D994:AE994"/>
    <mergeCell ref="D1000:AE1000"/>
    <mergeCell ref="M975:S975"/>
    <mergeCell ref="AA947:AF947"/>
    <mergeCell ref="AA967:AG967"/>
    <mergeCell ref="U926:Z926"/>
    <mergeCell ref="AA926:AF926"/>
    <mergeCell ref="U927:Z927"/>
    <mergeCell ref="AA927:AF927"/>
    <mergeCell ref="F929:T929"/>
    <mergeCell ref="B992:AI992"/>
    <mergeCell ref="R987:AA987"/>
    <mergeCell ref="D1022:AE1023"/>
    <mergeCell ref="D988:Q988"/>
    <mergeCell ref="D989:Q989"/>
    <mergeCell ref="R988:AA988"/>
    <mergeCell ref="O974:P974"/>
    <mergeCell ref="AJ1053:AQ1053"/>
    <mergeCell ref="AG1029:AH1029"/>
    <mergeCell ref="D1037:AE1040"/>
    <mergeCell ref="D1046:AE1047"/>
    <mergeCell ref="AJ1036:AQ1040"/>
    <mergeCell ref="D1041:AE104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D1042:AE1044"/>
    <mergeCell ref="AJ1029:AQ1031"/>
    <mergeCell ref="D1029:AE1029"/>
    <mergeCell ref="T972:Z972"/>
    <mergeCell ref="D1007:AE1007"/>
    <mergeCell ref="R990:AA990"/>
    <mergeCell ref="J957:S957"/>
    <mergeCell ref="AJ990:AQ990"/>
    <mergeCell ref="AE959:AK959"/>
    <mergeCell ref="W974:AG974"/>
    <mergeCell ref="M973:S973"/>
    <mergeCell ref="M972:S972"/>
    <mergeCell ref="AB988:AI988"/>
    <mergeCell ref="R986:AA986"/>
    <mergeCell ref="M959:S959"/>
    <mergeCell ref="AA972:AG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EZ720:FD720"/>
    <mergeCell ref="FE720:FI720"/>
    <mergeCell ref="FJ720:FN720"/>
    <mergeCell ref="FO720:FS720"/>
    <mergeCell ref="EZ717:FD717"/>
    <mergeCell ref="FE717:FI717"/>
    <mergeCell ref="FJ717:FN717"/>
    <mergeCell ref="FO717:FS717"/>
    <mergeCell ref="EW670:FA670"/>
    <mergeCell ref="FJ721:FN721"/>
    <mergeCell ref="FO721:FS721"/>
    <mergeCell ref="EO725:ES725"/>
    <mergeCell ref="EJ724:EN724"/>
    <mergeCell ref="EO723:ES723"/>
    <mergeCell ref="EO728:ES728"/>
    <mergeCell ref="ET728:EX728"/>
    <mergeCell ref="EO720:ES720"/>
    <mergeCell ref="ET719:EX719"/>
    <mergeCell ref="EJ722:EN722"/>
    <mergeCell ref="EO721:ES721"/>
    <mergeCell ref="EJ725:EN725"/>
    <mergeCell ref="EJ718:EN718"/>
    <mergeCell ref="EO737:ES737"/>
    <mergeCell ref="DU737:DY737"/>
    <mergeCell ref="DU735:DY735"/>
    <mergeCell ref="DO737:DS737"/>
    <mergeCell ref="DO738:DS738"/>
    <mergeCell ref="DZ726:ED726"/>
    <mergeCell ref="DU728:DY728"/>
    <mergeCell ref="DU722:DY722"/>
    <mergeCell ref="ET736:EX736"/>
    <mergeCell ref="EE735:EI735"/>
    <mergeCell ref="DZ734:ED734"/>
    <mergeCell ref="DU726:DY726"/>
    <mergeCell ref="DZ731:ED731"/>
    <mergeCell ref="DO731:DS731"/>
    <mergeCell ref="DJ728:DN728"/>
    <mergeCell ref="DO729:DS729"/>
    <mergeCell ref="DJ731:DN731"/>
    <mergeCell ref="DJ729:DN729"/>
    <mergeCell ref="DZ728:ED728"/>
    <mergeCell ref="DO733:DS733"/>
    <mergeCell ref="DO734:DS734"/>
    <mergeCell ref="DU730:DY730"/>
    <mergeCell ref="EE728:EI728"/>
    <mergeCell ref="EJ728:EN728"/>
    <mergeCell ref="EO727:ES727"/>
    <mergeCell ref="EJ733:EN733"/>
    <mergeCell ref="DZ729:ED729"/>
    <mergeCell ref="ET727:EX727"/>
    <mergeCell ref="DZ727:ED727"/>
    <mergeCell ref="EJ727:EN727"/>
    <mergeCell ref="EO729:ES729"/>
    <mergeCell ref="EO732:ES732"/>
    <mergeCell ref="DX670:EB670"/>
    <mergeCell ref="EM664:EQ664"/>
    <mergeCell ref="ER664:EV664"/>
    <mergeCell ref="EC667:EG667"/>
    <mergeCell ref="EH667:EL667"/>
    <mergeCell ref="EM666:EQ666"/>
    <mergeCell ref="ER666:EV666"/>
    <mergeCell ref="EE727:EI727"/>
    <mergeCell ref="EE723:EI723"/>
    <mergeCell ref="EJ723:EN723"/>
    <mergeCell ref="DU731:DY731"/>
    <mergeCell ref="EC668:EG668"/>
    <mergeCell ref="ER639:EV639"/>
    <mergeCell ref="DX644:EB644"/>
    <mergeCell ref="DX642:EB642"/>
    <mergeCell ref="ER651:EV651"/>
    <mergeCell ref="ER652:EV652"/>
    <mergeCell ref="DZ722:ED722"/>
    <mergeCell ref="DU717:DY717"/>
    <mergeCell ref="DU719:DY719"/>
    <mergeCell ref="EE717:EI717"/>
    <mergeCell ref="EJ720:EN720"/>
    <mergeCell ref="EM670:EQ670"/>
    <mergeCell ref="EE722:EI722"/>
    <mergeCell ref="DZ718:ED718"/>
    <mergeCell ref="EE718:EI718"/>
    <mergeCell ref="DX665:EB665"/>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ET731:EX731"/>
    <mergeCell ref="DZ717:ED717"/>
    <mergeCell ref="EW657:FA657"/>
    <mergeCell ref="DU727:DY727"/>
    <mergeCell ref="EE726:EI726"/>
    <mergeCell ref="EW656:FA656"/>
    <mergeCell ref="DU718:DY718"/>
    <mergeCell ref="DU721:DY721"/>
    <mergeCell ref="EE721:EI721"/>
    <mergeCell ref="EJ721:EN721"/>
    <mergeCell ref="DZ721:ED721"/>
    <mergeCell ref="ET729:EX729"/>
    <mergeCell ref="DU729:DY729"/>
    <mergeCell ref="DU720:DY720"/>
    <mergeCell ref="CI745:CJ745"/>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EO719:ES719"/>
    <mergeCell ref="EW661:FA661"/>
    <mergeCell ref="EJ734:EN734"/>
    <mergeCell ref="ET732:EX732"/>
    <mergeCell ref="ET721:EX721"/>
    <mergeCell ref="EE720:EI720"/>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U739:CY739"/>
    <mergeCell ref="DZ741:ED741"/>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EO752:ES752"/>
    <mergeCell ref="EJ752:EN752"/>
    <mergeCell ref="ET738:EX738"/>
    <mergeCell ref="DU738:DY738"/>
    <mergeCell ref="AK751:AO751"/>
    <mergeCell ref="ER649:EV649"/>
    <mergeCell ref="AK723:AO723"/>
    <mergeCell ref="AK724:AO724"/>
    <mergeCell ref="DU739:DY739"/>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DE740:DI740"/>
    <mergeCell ref="DU740:DY740"/>
    <mergeCell ref="DZ740:ED740"/>
    <mergeCell ref="EE740:EI740"/>
    <mergeCell ref="EJ740:EN740"/>
    <mergeCell ref="CU775:CY775"/>
    <mergeCell ref="EE745:EI745"/>
    <mergeCell ref="EO745:ES745"/>
    <mergeCell ref="DU749:DY749"/>
    <mergeCell ref="DZ749:ED749"/>
    <mergeCell ref="CP753:CT753"/>
    <mergeCell ref="CZ753:DD753"/>
    <mergeCell ref="DJ737:DN737"/>
    <mergeCell ref="CU740:CY740"/>
    <mergeCell ref="CP751:CT751"/>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R657:EV657"/>
    <mergeCell ref="EH659:EL659"/>
    <mergeCell ref="EC661:EG661"/>
    <mergeCell ref="EH661:EL661"/>
    <mergeCell ref="EM651:EQ651"/>
    <mergeCell ref="ER662:EV662"/>
    <mergeCell ref="AK726:AO726"/>
    <mergeCell ref="EO722:ES722"/>
    <mergeCell ref="EO717:ES717"/>
    <mergeCell ref="CU721:CY721"/>
    <mergeCell ref="EJ729:EN729"/>
    <mergeCell ref="EJ717:EN717"/>
    <mergeCell ref="DJ720:DN720"/>
    <mergeCell ref="DJ717:DN717"/>
    <mergeCell ref="DJ722:DN722"/>
    <mergeCell ref="DE721:DI721"/>
    <mergeCell ref="CM719:CN719"/>
    <mergeCell ref="CM721:CN721"/>
    <mergeCell ref="EO718:ES718"/>
    <mergeCell ref="AK729:AO729"/>
    <mergeCell ref="DO727:DS727"/>
    <mergeCell ref="DO728:DS728"/>
    <mergeCell ref="DO723:DS723"/>
    <mergeCell ref="DO724:DS724"/>
    <mergeCell ref="DO726:DS726"/>
    <mergeCell ref="DE724:DI724"/>
    <mergeCell ref="CG724:CH724"/>
    <mergeCell ref="CP727:CT727"/>
    <mergeCell ref="EE724:EI724"/>
    <mergeCell ref="DO718:DS718"/>
    <mergeCell ref="DO719:DS719"/>
    <mergeCell ref="DE717:DI717"/>
    <mergeCell ref="CU719:CY719"/>
    <mergeCell ref="CG718:CH718"/>
    <mergeCell ref="DJ718:DN718"/>
    <mergeCell ref="CZ719:DD719"/>
    <mergeCell ref="DO717:DS717"/>
    <mergeCell ref="CZ721:DD721"/>
    <mergeCell ref="DJ730:DN730"/>
    <mergeCell ref="EJ726:EN726"/>
    <mergeCell ref="DO720:DS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M662:EQ662"/>
    <mergeCell ref="EM668:EQ668"/>
    <mergeCell ref="DX662:EB662"/>
    <mergeCell ref="DE776:DI776"/>
    <mergeCell ref="DJ746:DN746"/>
    <mergeCell ref="DO746:DS746"/>
    <mergeCell ref="CZ746:DD746"/>
    <mergeCell ref="DE744:DI744"/>
    <mergeCell ref="DE750:DI750"/>
    <mergeCell ref="DJ750:DN750"/>
    <mergeCell ref="DO774:DS774"/>
    <mergeCell ref="DU753:DY753"/>
    <mergeCell ref="DZ753:ED753"/>
    <mergeCell ref="DE774:DI774"/>
    <mergeCell ref="DZ738:ED738"/>
    <mergeCell ref="EE738:EI738"/>
    <mergeCell ref="EJ738:EN738"/>
    <mergeCell ref="DE735:DI735"/>
    <mergeCell ref="DO732:DS732"/>
    <mergeCell ref="DZ739:ED739"/>
    <mergeCell ref="EE739:EI739"/>
    <mergeCell ref="DJ751:DN751"/>
    <mergeCell ref="DU734:DY734"/>
    <mergeCell ref="EJ739:EN739"/>
    <mergeCell ref="CZ750:DD750"/>
    <mergeCell ref="CZ775:DD775"/>
    <mergeCell ref="CZ776:DD776"/>
    <mergeCell ref="EE734:EI734"/>
    <mergeCell ref="DJ738:DN738"/>
    <mergeCell ref="DO739:DS739"/>
    <mergeCell ref="DE739:DI739"/>
    <mergeCell ref="DO747:DS747"/>
    <mergeCell ref="CZ744:DD744"/>
    <mergeCell ref="DZ733:ED733"/>
    <mergeCell ref="EE733:EI733"/>
    <mergeCell ref="AM565:AS565"/>
    <mergeCell ref="AE563:AH563"/>
    <mergeCell ref="AA598:AK598"/>
    <mergeCell ref="AK630:AN630"/>
    <mergeCell ref="AK631:AN631"/>
    <mergeCell ref="AC631:AE631"/>
    <mergeCell ref="AE565:AH565"/>
    <mergeCell ref="G587:R587"/>
    <mergeCell ref="G601:R601"/>
    <mergeCell ref="G647:L647"/>
    <mergeCell ref="EH655:EL655"/>
    <mergeCell ref="EM655:EQ655"/>
    <mergeCell ref="EH647:EL647"/>
    <mergeCell ref="EM647:EQ647"/>
    <mergeCell ref="DX648:EB648"/>
    <mergeCell ref="DX651:EB651"/>
    <mergeCell ref="EC651:EG651"/>
    <mergeCell ref="EM648:EQ648"/>
    <mergeCell ref="DX652:EB652"/>
    <mergeCell ref="EC652:EG652"/>
    <mergeCell ref="DX643:EB643"/>
    <mergeCell ref="EH652:EL652"/>
    <mergeCell ref="DX640:EB640"/>
    <mergeCell ref="AK636:AN636"/>
    <mergeCell ref="C637:L637"/>
    <mergeCell ref="G568:R568"/>
    <mergeCell ref="M574:R574"/>
    <mergeCell ref="AO632:AS632"/>
    <mergeCell ref="H614:R614"/>
    <mergeCell ref="G613:L613"/>
    <mergeCell ref="N649:O649"/>
    <mergeCell ref="Z646:AK646"/>
    <mergeCell ref="AG615:AH615"/>
    <mergeCell ref="G612:R612"/>
    <mergeCell ref="Q636:S636"/>
    <mergeCell ref="Q637:S637"/>
    <mergeCell ref="C636:L636"/>
    <mergeCell ref="N665:O665"/>
    <mergeCell ref="G611:R611"/>
    <mergeCell ref="Z602:AK602"/>
    <mergeCell ref="Z612:AK612"/>
    <mergeCell ref="AC627:AE627"/>
    <mergeCell ref="AA656:AK656"/>
    <mergeCell ref="B641:AN641"/>
    <mergeCell ref="G643:R643"/>
    <mergeCell ref="AK628:AN628"/>
    <mergeCell ref="AI581:AK581"/>
    <mergeCell ref="Z601:AK601"/>
    <mergeCell ref="G653:R653"/>
    <mergeCell ref="AF628:AJ628"/>
    <mergeCell ref="N599:O599"/>
    <mergeCell ref="AA590:AK590"/>
    <mergeCell ref="AI589:AK589"/>
    <mergeCell ref="Z596:AK596"/>
    <mergeCell ref="H598:R598"/>
    <mergeCell ref="AG583:AH583"/>
    <mergeCell ref="G588:R588"/>
    <mergeCell ref="N607:O607"/>
    <mergeCell ref="G593:R593"/>
    <mergeCell ref="G605:L605"/>
    <mergeCell ref="H606:R606"/>
    <mergeCell ref="Q631:S631"/>
    <mergeCell ref="Q630:S630"/>
    <mergeCell ref="Z654:AK654"/>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M563:AS563"/>
    <mergeCell ref="AG607:AH607"/>
    <mergeCell ref="AO624:AS626"/>
    <mergeCell ref="AG591:AH591"/>
    <mergeCell ref="AC630:AE630"/>
    <mergeCell ref="AM556:AS556"/>
    <mergeCell ref="AO627:AS627"/>
    <mergeCell ref="V381:W381"/>
    <mergeCell ref="W559:Y559"/>
    <mergeCell ref="AM564:AS56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A1075:B1075"/>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C1087:D1087"/>
    <mergeCell ref="G655:L655"/>
    <mergeCell ref="H656:R656"/>
    <mergeCell ref="AC733:AG733"/>
    <mergeCell ref="AG649:AH649"/>
    <mergeCell ref="H688:R688"/>
    <mergeCell ref="O738:S738"/>
    <mergeCell ref="T740:W740"/>
    <mergeCell ref="G723:J723"/>
    <mergeCell ref="O725:S725"/>
    <mergeCell ref="O726:S726"/>
    <mergeCell ref="AK737:AO737"/>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C1088:D1088"/>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B42" workbookViewId="0">
      <selection activeCell="J42" sqref="J42"/>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549</v>
      </c>
      <c r="B1" s="125"/>
      <c r="C1" s="125"/>
      <c r="D1" s="125"/>
      <c r="E1" s="126"/>
      <c r="F1" s="1863" t="s">
        <v>621</v>
      </c>
      <c r="G1" s="1864"/>
      <c r="H1" s="1864"/>
      <c r="I1" s="1864"/>
      <c r="J1" s="1864"/>
      <c r="K1" s="1864"/>
      <c r="L1" s="1864"/>
      <c r="M1" s="1864"/>
      <c r="N1" s="1864"/>
      <c r="O1" s="1864"/>
      <c r="P1" s="1864"/>
      <c r="Q1" s="1864"/>
      <c r="R1" s="1865"/>
      <c r="S1" s="112"/>
      <c r="T1" s="111"/>
      <c r="U1" s="113"/>
    </row>
    <row r="2" spans="1:21" s="138" customFormat="1" ht="71.25" customHeight="1">
      <c r="A2" s="137"/>
      <c r="B2" s="138" t="s">
        <v>23</v>
      </c>
      <c r="C2" s="138" t="s">
        <v>373</v>
      </c>
      <c r="D2" s="138" t="s">
        <v>372</v>
      </c>
      <c r="E2" s="138" t="s">
        <v>24</v>
      </c>
      <c r="F2" s="139" t="str">
        <f>Application!B627&amp;Application!C627</f>
        <v>1)Chase Bank</v>
      </c>
      <c r="G2" s="139" t="str">
        <f>Application!B628&amp;Application!C628</f>
        <v>2)HCD Joe Serna FW Grant</v>
      </c>
      <c r="H2" s="139" t="str">
        <f>Application!B629&amp;Application!C629</f>
        <v>3)Ventura County General Fund</v>
      </c>
      <c r="I2" s="139" t="str">
        <f>Application!B630&amp;Application!C630</f>
        <v>4)City of Oxnard HOME-ARP</v>
      </c>
      <c r="J2" s="139" t="str">
        <f>Application!B631&amp;Application!C631</f>
        <v>5)Deferred Developer Fee</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1631453</v>
      </c>
      <c r="C4" s="147">
        <v>1631453</v>
      </c>
      <c r="D4" s="147"/>
      <c r="E4" s="147">
        <f>C4</f>
        <v>1631453</v>
      </c>
      <c r="F4" s="147"/>
      <c r="G4" s="147"/>
      <c r="H4" s="147"/>
      <c r="I4" s="147"/>
      <c r="J4" s="147"/>
      <c r="K4" s="147"/>
      <c r="L4" s="147"/>
      <c r="M4" s="147"/>
      <c r="N4" s="147"/>
      <c r="O4" s="147"/>
      <c r="P4" s="147"/>
      <c r="Q4" s="147"/>
      <c r="R4" s="516">
        <f>SUM(E4:Q4)</f>
        <v>1631453</v>
      </c>
      <c r="S4" s="148"/>
      <c r="T4" s="148"/>
      <c r="U4" s="143"/>
    </row>
    <row r="5" spans="1:21" s="144" customFormat="1">
      <c r="A5" s="145" t="s">
        <v>28</v>
      </c>
      <c r="B5" s="146">
        <f>SUM(C5+D5)</f>
        <v>22500</v>
      </c>
      <c r="C5" s="147">
        <v>22500</v>
      </c>
      <c r="D5" s="147"/>
      <c r="E5" s="147">
        <f>C5</f>
        <v>22500</v>
      </c>
      <c r="F5" s="147"/>
      <c r="G5" s="147"/>
      <c r="H5" s="147"/>
      <c r="I5" s="147"/>
      <c r="J5" s="147"/>
      <c r="K5" s="147"/>
      <c r="L5" s="147"/>
      <c r="M5" s="147"/>
      <c r="N5" s="147"/>
      <c r="O5" s="147"/>
      <c r="P5" s="147"/>
      <c r="Q5" s="147"/>
      <c r="R5" s="516">
        <f>SUM(E5:Q5)</f>
        <v>22500</v>
      </c>
      <c r="S5" s="148"/>
      <c r="T5" s="148"/>
      <c r="U5" s="143"/>
    </row>
    <row r="6" spans="1:21" s="144" customFormat="1">
      <c r="A6" s="145" t="s">
        <v>29</v>
      </c>
      <c r="B6" s="146">
        <f>SUM(C6+D6)</f>
        <v>10000</v>
      </c>
      <c r="C6" s="147">
        <v>10000</v>
      </c>
      <c r="D6" s="147"/>
      <c r="E6" s="147">
        <f>C6</f>
        <v>10000</v>
      </c>
      <c r="F6" s="147"/>
      <c r="G6" s="147"/>
      <c r="H6" s="147"/>
      <c r="I6" s="147"/>
      <c r="J6" s="147"/>
      <c r="K6" s="147"/>
      <c r="L6" s="147"/>
      <c r="M6" s="147"/>
      <c r="N6" s="147"/>
      <c r="O6" s="147"/>
      <c r="P6" s="147"/>
      <c r="Q6" s="147"/>
      <c r="R6" s="516">
        <f>SUM(E6:Q6)</f>
        <v>10000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593</v>
      </c>
      <c r="B8" s="146">
        <f>SUM(C8:D8)</f>
        <v>1663953</v>
      </c>
      <c r="C8" s="146">
        <f t="shared" ref="C8:Q8" si="0">SUM(C4:C7)</f>
        <v>1663953</v>
      </c>
      <c r="D8" s="146">
        <f t="shared" si="0"/>
        <v>0</v>
      </c>
      <c r="E8" s="146">
        <f t="shared" si="0"/>
        <v>1663953</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1663953</v>
      </c>
      <c r="S8" s="148"/>
      <c r="T8" s="148"/>
      <c r="U8" s="143"/>
    </row>
    <row r="9" spans="1:21" s="144" customFormat="1">
      <c r="A9" s="145" t="s">
        <v>594</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595</v>
      </c>
      <c r="B10" s="146">
        <f>SUM(C10+D10)</f>
        <v>773950</v>
      </c>
      <c r="C10" s="147">
        <v>773950</v>
      </c>
      <c r="D10" s="147"/>
      <c r="E10" s="147">
        <f>C10</f>
        <v>773950</v>
      </c>
      <c r="F10" s="147"/>
      <c r="G10" s="147"/>
      <c r="H10" s="147"/>
      <c r="I10" s="147"/>
      <c r="J10" s="147"/>
      <c r="K10" s="147"/>
      <c r="L10" s="147"/>
      <c r="M10" s="147"/>
      <c r="N10" s="147"/>
      <c r="O10" s="147"/>
      <c r="P10" s="147"/>
      <c r="Q10" s="147"/>
      <c r="R10" s="516">
        <f>SUM(E10:Q10)</f>
        <v>773950</v>
      </c>
      <c r="S10" s="147">
        <f>R10</f>
        <v>773950</v>
      </c>
      <c r="T10" s="147"/>
      <c r="U10" s="143"/>
    </row>
    <row r="11" spans="1:21" s="144" customFormat="1">
      <c r="A11" s="149" t="s">
        <v>596</v>
      </c>
      <c r="B11" s="146">
        <f>SUM(C11:D11)</f>
        <v>773950</v>
      </c>
      <c r="C11" s="146">
        <f t="shared" ref="C11:Q11" si="1">SUM(C9:C10)</f>
        <v>773950</v>
      </c>
      <c r="D11" s="146">
        <f t="shared" si="1"/>
        <v>0</v>
      </c>
      <c r="E11" s="146">
        <f t="shared" si="1"/>
        <v>773950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773950</v>
      </c>
      <c r="S11" s="148"/>
      <c r="T11" s="150">
        <f>SUM(T9:T10)</f>
        <v>0</v>
      </c>
      <c r="U11" s="143"/>
    </row>
    <row r="12" spans="1:21" s="144" customFormat="1">
      <c r="A12" s="149" t="s">
        <v>84</v>
      </c>
      <c r="B12" s="146">
        <f t="shared" ref="B12:Q12" si="2">SUM(B8+B11)</f>
        <v>2437903</v>
      </c>
      <c r="C12" s="146">
        <f t="shared" si="2"/>
        <v>2437903</v>
      </c>
      <c r="D12" s="146">
        <f t="shared" si="2"/>
        <v>0</v>
      </c>
      <c r="E12" s="146">
        <f t="shared" si="2"/>
        <v>2437903</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2437903</v>
      </c>
      <c r="S12" s="148"/>
      <c r="T12" s="148"/>
      <c r="U12" s="143"/>
    </row>
    <row r="13" spans="1:21" s="144" customFormat="1">
      <c r="A13" s="287" t="s">
        <v>902</v>
      </c>
      <c r="B13" s="146">
        <f>SUM(C13+D13)</f>
        <v>375000</v>
      </c>
      <c r="C13" s="147">
        <v>375000</v>
      </c>
      <c r="D13" s="147"/>
      <c r="E13" s="147">
        <f>C13</f>
        <v>375000</v>
      </c>
      <c r="F13" s="147"/>
      <c r="G13" s="147"/>
      <c r="H13" s="147"/>
      <c r="I13" s="147"/>
      <c r="J13" s="147"/>
      <c r="K13" s="147"/>
      <c r="L13" s="147"/>
      <c r="M13" s="147"/>
      <c r="N13" s="147"/>
      <c r="O13" s="147"/>
      <c r="P13" s="147"/>
      <c r="Q13" s="147"/>
      <c r="R13" s="516">
        <f>SUM(E13:Q13)</f>
        <v>375000</v>
      </c>
      <c r="S13" s="147"/>
      <c r="T13" s="147"/>
      <c r="U13" s="143"/>
    </row>
    <row r="14" spans="1:21" s="144" customFormat="1" ht="24">
      <c r="A14" s="288" t="s">
        <v>1643</v>
      </c>
      <c r="B14" s="146">
        <f>SUM(C14+D14)</f>
        <v>0</v>
      </c>
      <c r="C14" s="147"/>
      <c r="D14" s="147"/>
      <c r="E14" s="147"/>
      <c r="F14" s="147"/>
      <c r="G14" s="147"/>
      <c r="H14" s="147"/>
      <c r="I14" s="147"/>
      <c r="J14" s="147"/>
      <c r="K14" s="147"/>
      <c r="L14" s="147"/>
      <c r="M14" s="147"/>
      <c r="N14" s="147"/>
      <c r="O14" s="147"/>
      <c r="P14" s="147"/>
      <c r="Q14" s="147"/>
      <c r="R14" s="516">
        <f>SUM(E14:Q14)</f>
        <v>0</v>
      </c>
      <c r="S14" s="147">
        <f>B14</f>
        <v>0</v>
      </c>
      <c r="T14" s="147"/>
      <c r="U14" s="143"/>
    </row>
    <row r="15" spans="1:21" s="144" customFormat="1">
      <c r="A15" s="288" t="s">
        <v>1161</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599</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600</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1640</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6">SUM(C29+D29)</f>
        <v>0</v>
      </c>
      <c r="C29" s="147"/>
      <c r="D29" s="147"/>
      <c r="E29" s="147"/>
      <c r="F29" s="147"/>
      <c r="G29" s="147"/>
      <c r="H29" s="147"/>
      <c r="I29" s="147"/>
      <c r="J29" s="147"/>
      <c r="K29" s="147"/>
      <c r="L29" s="147"/>
      <c r="M29" s="147"/>
      <c r="N29" s="147"/>
      <c r="O29" s="147"/>
      <c r="P29" s="147"/>
      <c r="Q29" s="147"/>
      <c r="R29" s="516">
        <f t="shared" ref="R29:R37" si="7">SUM(E29:Q29)</f>
        <v>0</v>
      </c>
      <c r="S29" s="147"/>
      <c r="T29" s="147"/>
      <c r="U29" s="143"/>
    </row>
    <row r="30" spans="1:21" s="144" customFormat="1">
      <c r="A30" s="145" t="s">
        <v>599</v>
      </c>
      <c r="B30" s="146">
        <f t="shared" si="6"/>
        <v>20598857</v>
      </c>
      <c r="C30" s="147">
        <f>20188487+1184320-C10</f>
        <v>20598857</v>
      </c>
      <c r="D30" s="147"/>
      <c r="E30" s="147"/>
      <c r="F30" s="147">
        <f>C30-G30-H30-I30</f>
        <v>2174191</v>
      </c>
      <c r="G30" s="147">
        <v>15424666</v>
      </c>
      <c r="H30" s="147">
        <v>1800000</v>
      </c>
      <c r="I30" s="147">
        <v>1200000</v>
      </c>
      <c r="J30" s="147"/>
      <c r="K30" s="147"/>
      <c r="L30" s="147"/>
      <c r="M30" s="147"/>
      <c r="N30" s="147"/>
      <c r="O30" s="147"/>
      <c r="P30" s="147"/>
      <c r="Q30" s="147"/>
      <c r="R30" s="516">
        <f t="shared" si="7"/>
        <v>20598857</v>
      </c>
      <c r="S30" s="147">
        <f t="shared" ref="S30:S36" si="8">B30</f>
        <v>20598857</v>
      </c>
      <c r="T30" s="147"/>
      <c r="U30" s="143"/>
    </row>
    <row r="31" spans="1:21" s="144" customFormat="1">
      <c r="A31" s="145" t="s">
        <v>600</v>
      </c>
      <c r="B31" s="146">
        <f t="shared" si="6"/>
        <v>1303496</v>
      </c>
      <c r="C31" s="147">
        <v>1303496</v>
      </c>
      <c r="D31" s="147"/>
      <c r="E31" s="147"/>
      <c r="F31" s="147">
        <f>C31</f>
        <v>1303496</v>
      </c>
      <c r="G31" s="147"/>
      <c r="H31" s="147"/>
      <c r="I31" s="147"/>
      <c r="J31" s="147"/>
      <c r="K31" s="147"/>
      <c r="L31" s="147"/>
      <c r="M31" s="147"/>
      <c r="N31" s="147"/>
      <c r="O31" s="147"/>
      <c r="P31" s="147"/>
      <c r="Q31" s="147"/>
      <c r="R31" s="516">
        <f t="shared" si="7"/>
        <v>1303496</v>
      </c>
      <c r="S31" s="147">
        <f t="shared" si="8"/>
        <v>1303496</v>
      </c>
      <c r="T31" s="147"/>
      <c r="U31" s="143"/>
    </row>
    <row r="32" spans="1:21" s="144" customFormat="1">
      <c r="A32" s="145" t="s">
        <v>137</v>
      </c>
      <c r="B32" s="146">
        <f t="shared" si="6"/>
        <v>921137</v>
      </c>
      <c r="C32" s="147">
        <v>921137</v>
      </c>
      <c r="D32" s="147"/>
      <c r="E32" s="147"/>
      <c r="F32" s="147">
        <f>C32</f>
        <v>921137</v>
      </c>
      <c r="G32" s="147"/>
      <c r="H32" s="147"/>
      <c r="I32" s="147"/>
      <c r="J32" s="147"/>
      <c r="K32" s="147"/>
      <c r="L32" s="147"/>
      <c r="M32" s="147"/>
      <c r="N32" s="147"/>
      <c r="O32" s="147"/>
      <c r="P32" s="147"/>
      <c r="Q32" s="147"/>
      <c r="R32" s="516">
        <f t="shared" si="7"/>
        <v>921137</v>
      </c>
      <c r="S32" s="147">
        <f t="shared" si="8"/>
        <v>921137</v>
      </c>
      <c r="T32" s="147"/>
      <c r="U32" s="143"/>
    </row>
    <row r="33" spans="1:21" s="144" customFormat="1">
      <c r="A33" s="145" t="s">
        <v>138</v>
      </c>
      <c r="B33" s="146">
        <f t="shared" si="6"/>
        <v>921138</v>
      </c>
      <c r="C33" s="147">
        <v>921138</v>
      </c>
      <c r="D33" s="147"/>
      <c r="E33" s="147">
        <v>690962</v>
      </c>
      <c r="F33" s="147">
        <v>230176</v>
      </c>
      <c r="G33" s="147"/>
      <c r="H33" s="147"/>
      <c r="I33" s="147"/>
      <c r="J33" s="147"/>
      <c r="K33" s="147"/>
      <c r="L33" s="147"/>
      <c r="M33" s="147"/>
      <c r="N33" s="147"/>
      <c r="O33" s="147"/>
      <c r="P33" s="147"/>
      <c r="Q33" s="147"/>
      <c r="R33" s="516">
        <f t="shared" si="7"/>
        <v>921138</v>
      </c>
      <c r="S33" s="147">
        <f>B33</f>
        <v>921138</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0</v>
      </c>
      <c r="C35" s="147"/>
      <c r="D35" s="147"/>
      <c r="E35" s="147"/>
      <c r="F35" s="147"/>
      <c r="G35" s="147"/>
      <c r="H35" s="147"/>
      <c r="I35" s="147"/>
      <c r="J35" s="147"/>
      <c r="K35" s="147"/>
      <c r="L35" s="147"/>
      <c r="M35" s="147"/>
      <c r="N35" s="147"/>
      <c r="O35" s="147"/>
      <c r="P35" s="147"/>
      <c r="Q35" s="147"/>
      <c r="R35" s="516">
        <f t="shared" si="7"/>
        <v>0</v>
      </c>
      <c r="S35" s="147"/>
      <c r="T35" s="147"/>
      <c r="U35" s="143"/>
    </row>
    <row r="36" spans="1:21" s="144" customFormat="1">
      <c r="A36" s="283" t="s">
        <v>1640</v>
      </c>
      <c r="B36" s="146">
        <f t="shared" si="6"/>
        <v>50000</v>
      </c>
      <c r="C36" s="147">
        <v>50000</v>
      </c>
      <c r="D36" s="147"/>
      <c r="E36" s="147">
        <f>C36</f>
        <v>50000</v>
      </c>
      <c r="F36" s="147"/>
      <c r="G36" s="147"/>
      <c r="H36" s="147"/>
      <c r="I36" s="147"/>
      <c r="J36" s="147"/>
      <c r="K36" s="147"/>
      <c r="L36" s="147"/>
      <c r="M36" s="147"/>
      <c r="N36" s="147"/>
      <c r="O36" s="147"/>
      <c r="P36" s="147"/>
      <c r="Q36" s="147"/>
      <c r="R36" s="516">
        <f t="shared" si="7"/>
        <v>50000</v>
      </c>
      <c r="S36" s="147">
        <f t="shared" si="8"/>
        <v>50000</v>
      </c>
      <c r="T36" s="147"/>
      <c r="U36" s="143"/>
    </row>
    <row r="37" spans="1:21" s="144" customFormat="1">
      <c r="A37" s="1149" t="s">
        <v>2749</v>
      </c>
      <c r="B37" s="146">
        <f t="shared" si="6"/>
        <v>329640</v>
      </c>
      <c r="C37" s="147">
        <v>329640</v>
      </c>
      <c r="D37" s="147"/>
      <c r="E37" s="147">
        <f>C37</f>
        <v>329640</v>
      </c>
      <c r="F37" s="147"/>
      <c r="G37" s="147"/>
      <c r="H37" s="147"/>
      <c r="I37" s="147"/>
      <c r="J37" s="147"/>
      <c r="K37" s="147"/>
      <c r="L37" s="147"/>
      <c r="M37" s="147"/>
      <c r="N37" s="147"/>
      <c r="O37" s="147"/>
      <c r="P37" s="147"/>
      <c r="Q37" s="147"/>
      <c r="R37" s="516">
        <f t="shared" si="7"/>
        <v>329640</v>
      </c>
      <c r="S37" s="147"/>
      <c r="T37" s="147"/>
      <c r="U37" s="143"/>
    </row>
    <row r="38" spans="1:21" s="144" customFormat="1">
      <c r="A38" s="149" t="s">
        <v>143</v>
      </c>
      <c r="B38" s="146">
        <f t="shared" si="6"/>
        <v>24124268</v>
      </c>
      <c r="C38" s="146">
        <f>SUM(C29:C37)</f>
        <v>24124268</v>
      </c>
      <c r="D38" s="146">
        <f t="shared" ref="D38:Q38" si="9">SUM(D29:D37)</f>
        <v>0</v>
      </c>
      <c r="E38" s="146">
        <f t="shared" si="9"/>
        <v>1070602</v>
      </c>
      <c r="F38" s="146">
        <f t="shared" si="9"/>
        <v>4629000</v>
      </c>
      <c r="G38" s="146">
        <f t="shared" si="9"/>
        <v>15424666</v>
      </c>
      <c r="H38" s="146">
        <f t="shared" si="9"/>
        <v>1800000</v>
      </c>
      <c r="I38" s="146">
        <f t="shared" si="9"/>
        <v>1200000</v>
      </c>
      <c r="J38" s="146">
        <f t="shared" si="9"/>
        <v>0</v>
      </c>
      <c r="K38" s="146">
        <f t="shared" si="9"/>
        <v>0</v>
      </c>
      <c r="L38" s="146">
        <f t="shared" si="9"/>
        <v>0</v>
      </c>
      <c r="M38" s="146">
        <f t="shared" si="9"/>
        <v>0</v>
      </c>
      <c r="N38" s="146">
        <f t="shared" si="9"/>
        <v>0</v>
      </c>
      <c r="O38" s="146">
        <f t="shared" si="9"/>
        <v>0</v>
      </c>
      <c r="P38" s="146">
        <f t="shared" si="9"/>
        <v>0</v>
      </c>
      <c r="Q38" s="146">
        <f t="shared" si="9"/>
        <v>0</v>
      </c>
      <c r="R38" s="342">
        <f>SUM(R29:R37)</f>
        <v>24124268</v>
      </c>
      <c r="S38" s="150">
        <f>SUM(S29:S37)</f>
        <v>23794628</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850000</v>
      </c>
      <c r="C40" s="147">
        <v>850000</v>
      </c>
      <c r="D40" s="147"/>
      <c r="E40" s="147">
        <f>C40</f>
        <v>850000</v>
      </c>
      <c r="F40" s="147"/>
      <c r="G40" s="147"/>
      <c r="H40" s="147"/>
      <c r="I40" s="147"/>
      <c r="J40" s="147"/>
      <c r="K40" s="147"/>
      <c r="L40" s="147"/>
      <c r="M40" s="147"/>
      <c r="N40" s="147"/>
      <c r="O40" s="147"/>
      <c r="P40" s="147"/>
      <c r="Q40" s="147"/>
      <c r="R40" s="516">
        <f>SUM(E40:Q40)</f>
        <v>850000</v>
      </c>
      <c r="S40" s="147">
        <f t="shared" ref="S40:S41" si="10">B40</f>
        <v>850000</v>
      </c>
      <c r="T40" s="147"/>
      <c r="U40" s="143"/>
    </row>
    <row r="41" spans="1:21" s="144" customFormat="1">
      <c r="A41" s="145" t="s">
        <v>146</v>
      </c>
      <c r="B41" s="146">
        <f>SUM(C41+D41)</f>
        <v>250000</v>
      </c>
      <c r="C41" s="147">
        <v>250000</v>
      </c>
      <c r="D41" s="147"/>
      <c r="E41" s="147">
        <f>C41</f>
        <v>250000</v>
      </c>
      <c r="F41" s="147"/>
      <c r="G41" s="147"/>
      <c r="H41" s="147"/>
      <c r="I41" s="147"/>
      <c r="J41" s="147"/>
      <c r="K41" s="147"/>
      <c r="L41" s="147"/>
      <c r="M41" s="147"/>
      <c r="N41" s="147"/>
      <c r="O41" s="147"/>
      <c r="P41" s="147"/>
      <c r="Q41" s="147"/>
      <c r="R41" s="516">
        <f>SUM(E41:Q41)</f>
        <v>250000</v>
      </c>
      <c r="S41" s="147">
        <f t="shared" si="10"/>
        <v>250000</v>
      </c>
      <c r="T41" s="147"/>
      <c r="U41" s="143"/>
    </row>
    <row r="42" spans="1:21" s="144" customFormat="1">
      <c r="A42" s="149" t="s">
        <v>147</v>
      </c>
      <c r="B42" s="146">
        <f>SUM(C42:D42)</f>
        <v>1100000</v>
      </c>
      <c r="C42" s="146">
        <f>SUM(C39:C41)</f>
        <v>1100000</v>
      </c>
      <c r="D42" s="146">
        <f>SUM(D39:D41)</f>
        <v>0</v>
      </c>
      <c r="E42" s="146">
        <f t="shared" ref="E42:T42" si="11">SUM(E40:E41)</f>
        <v>1100000</v>
      </c>
      <c r="F42" s="146">
        <f t="shared" si="11"/>
        <v>0</v>
      </c>
      <c r="G42" s="146">
        <f t="shared" si="11"/>
        <v>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42">
        <f>SUM(R40:R41)</f>
        <v>1100000</v>
      </c>
      <c r="S42" s="150">
        <f t="shared" si="11"/>
        <v>1100000</v>
      </c>
      <c r="T42" s="150">
        <f t="shared" si="11"/>
        <v>0</v>
      </c>
      <c r="U42" s="143"/>
    </row>
    <row r="43" spans="1:21" s="144" customFormat="1">
      <c r="A43" s="149" t="s">
        <v>148</v>
      </c>
      <c r="B43" s="146">
        <f>SUM(C43:D43)</f>
        <v>315000</v>
      </c>
      <c r="C43" s="147">
        <f>15000+300000</f>
        <v>315000</v>
      </c>
      <c r="D43" s="147"/>
      <c r="E43" s="147">
        <f>C43</f>
        <v>315000</v>
      </c>
      <c r="F43" s="147"/>
      <c r="G43" s="147"/>
      <c r="H43" s="147"/>
      <c r="I43" s="147"/>
      <c r="J43" s="147"/>
      <c r="K43" s="147"/>
      <c r="L43" s="147"/>
      <c r="M43" s="147"/>
      <c r="N43" s="147"/>
      <c r="O43" s="147"/>
      <c r="P43" s="147"/>
      <c r="Q43" s="147"/>
      <c r="R43" s="516">
        <f>SUM(E43:Q43)</f>
        <v>315000</v>
      </c>
      <c r="S43" s="147">
        <f>R43</f>
        <v>315000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1669476</v>
      </c>
      <c r="C45" s="147">
        <f>1083313+586163</f>
        <v>1669476</v>
      </c>
      <c r="D45" s="147"/>
      <c r="E45" s="147">
        <f>C45</f>
        <v>1669476</v>
      </c>
      <c r="F45" s="147"/>
      <c r="G45" s="147"/>
      <c r="H45" s="147"/>
      <c r="I45" s="147"/>
      <c r="J45" s="147"/>
      <c r="K45" s="147"/>
      <c r="L45" s="147"/>
      <c r="M45" s="147"/>
      <c r="N45" s="147"/>
      <c r="O45" s="147"/>
      <c r="P45" s="147"/>
      <c r="Q45" s="147"/>
      <c r="R45" s="516">
        <f t="shared" ref="R45:R53" si="13">SUM(E45:Q45)</f>
        <v>1669476</v>
      </c>
      <c r="S45" s="147">
        <f>567450+215955</f>
        <v>783405</v>
      </c>
      <c r="T45" s="147"/>
      <c r="U45" s="143"/>
    </row>
    <row r="46" spans="1:21" s="144" customFormat="1">
      <c r="A46" s="145" t="s">
        <v>151</v>
      </c>
      <c r="B46" s="146">
        <f t="shared" si="12"/>
        <v>190703</v>
      </c>
      <c r="C46" s="147">
        <v>190703</v>
      </c>
      <c r="D46" s="147"/>
      <c r="E46" s="147">
        <f>C46</f>
        <v>190703</v>
      </c>
      <c r="F46" s="147"/>
      <c r="G46" s="147"/>
      <c r="H46" s="147"/>
      <c r="I46" s="147"/>
      <c r="J46" s="147"/>
      <c r="K46" s="147"/>
      <c r="L46" s="147"/>
      <c r="M46" s="147"/>
      <c r="N46" s="147"/>
      <c r="O46" s="147"/>
      <c r="P46" s="147"/>
      <c r="Q46" s="147"/>
      <c r="R46" s="516">
        <f t="shared" si="13"/>
        <v>190703</v>
      </c>
      <c r="S46" s="147">
        <v>90432</v>
      </c>
      <c r="T46" s="147"/>
      <c r="U46" s="143"/>
    </row>
    <row r="47" spans="1:21" s="144" customFormat="1">
      <c r="A47" s="186" t="s">
        <v>152</v>
      </c>
      <c r="B47" s="146">
        <f t="shared" si="12"/>
        <v>0</v>
      </c>
      <c r="C47" s="147"/>
      <c r="D47" s="147"/>
      <c r="E47" s="147"/>
      <c r="F47" s="147"/>
      <c r="G47" s="147"/>
      <c r="H47" s="147"/>
      <c r="I47" s="147"/>
      <c r="J47" s="147"/>
      <c r="K47" s="147"/>
      <c r="L47" s="147"/>
      <c r="M47" s="147"/>
      <c r="N47" s="147"/>
      <c r="O47" s="147"/>
      <c r="P47" s="147"/>
      <c r="Q47" s="147"/>
      <c r="R47" s="516">
        <f t="shared" si="13"/>
        <v>0</v>
      </c>
      <c r="S47" s="147"/>
      <c r="T47" s="147"/>
      <c r="U47" s="143"/>
    </row>
    <row r="48" spans="1:21" s="144" customFormat="1">
      <c r="A48" s="145" t="s">
        <v>153</v>
      </c>
      <c r="B48" s="146">
        <f t="shared" si="12"/>
        <v>0</v>
      </c>
      <c r="C48" s="147"/>
      <c r="D48" s="147"/>
      <c r="E48" s="147"/>
      <c r="F48" s="147"/>
      <c r="G48" s="147"/>
      <c r="H48" s="147"/>
      <c r="I48" s="147"/>
      <c r="J48" s="147"/>
      <c r="K48" s="147"/>
      <c r="L48" s="147"/>
      <c r="M48" s="147"/>
      <c r="N48" s="147"/>
      <c r="O48" s="147"/>
      <c r="P48" s="147"/>
      <c r="Q48" s="147"/>
      <c r="R48" s="516">
        <f t="shared" si="13"/>
        <v>0</v>
      </c>
      <c r="S48" s="147"/>
      <c r="T48" s="147"/>
      <c r="U48" s="143"/>
    </row>
    <row r="49" spans="1:21" s="144" customFormat="1">
      <c r="A49" s="145" t="s">
        <v>57</v>
      </c>
      <c r="B49" s="146">
        <f t="shared" si="12"/>
        <v>104857</v>
      </c>
      <c r="C49" s="147">
        <f>60000+22045+11758+4000+4115+2939</f>
        <v>104857</v>
      </c>
      <c r="D49" s="147"/>
      <c r="E49" s="147">
        <f>C49</f>
        <v>104857</v>
      </c>
      <c r="F49" s="147"/>
      <c r="G49" s="147"/>
      <c r="H49" s="147"/>
      <c r="I49" s="147"/>
      <c r="J49" s="147"/>
      <c r="K49" s="147"/>
      <c r="L49" s="147"/>
      <c r="M49" s="147"/>
      <c r="N49" s="147"/>
      <c r="O49" s="147"/>
      <c r="P49" s="147"/>
      <c r="Q49" s="147"/>
      <c r="R49" s="516">
        <f t="shared" si="13"/>
        <v>104857</v>
      </c>
      <c r="S49" s="147">
        <f>7808+2869+1530+521+535+382</f>
        <v>13645</v>
      </c>
      <c r="T49" s="147"/>
      <c r="U49" s="143"/>
    </row>
    <row r="50" spans="1:21" s="144" customFormat="1">
      <c r="A50" s="145" t="s">
        <v>156</v>
      </c>
      <c r="B50" s="146">
        <f t="shared" si="12"/>
        <v>110000</v>
      </c>
      <c r="C50" s="147">
        <v>110000</v>
      </c>
      <c r="D50" s="147"/>
      <c r="E50" s="147">
        <f>C50</f>
        <v>110000</v>
      </c>
      <c r="F50" s="147"/>
      <c r="G50" s="147"/>
      <c r="H50" s="147"/>
      <c r="I50" s="147"/>
      <c r="J50" s="147"/>
      <c r="K50" s="147"/>
      <c r="L50" s="147"/>
      <c r="M50" s="147"/>
      <c r="N50" s="147"/>
      <c r="O50" s="147"/>
      <c r="P50" s="147"/>
      <c r="Q50" s="147"/>
      <c r="R50" s="516">
        <f t="shared" si="13"/>
        <v>110000</v>
      </c>
      <c r="S50" s="147">
        <f t="shared" ref="S50:S52" si="14">B50</f>
        <v>110000</v>
      </c>
      <c r="T50" s="147"/>
      <c r="U50" s="143"/>
    </row>
    <row r="51" spans="1:21" s="144" customFormat="1">
      <c r="A51" s="283" t="s">
        <v>154</v>
      </c>
      <c r="B51" s="146">
        <f t="shared" si="12"/>
        <v>40000</v>
      </c>
      <c r="C51" s="147">
        <v>40000</v>
      </c>
      <c r="D51" s="147"/>
      <c r="E51" s="147">
        <f>C51</f>
        <v>40000</v>
      </c>
      <c r="F51" s="147"/>
      <c r="G51" s="147"/>
      <c r="H51" s="147"/>
      <c r="I51" s="147"/>
      <c r="J51" s="147"/>
      <c r="K51" s="147"/>
      <c r="L51" s="147"/>
      <c r="M51" s="147"/>
      <c r="N51" s="147"/>
      <c r="O51" s="147"/>
      <c r="P51" s="147"/>
      <c r="Q51" s="147"/>
      <c r="R51" s="516">
        <f t="shared" si="13"/>
        <v>40000</v>
      </c>
      <c r="S51" s="147">
        <f t="shared" si="14"/>
        <v>40000</v>
      </c>
      <c r="T51" s="147"/>
      <c r="U51" s="143"/>
    </row>
    <row r="52" spans="1:21" s="144" customFormat="1">
      <c r="A52" s="145" t="s">
        <v>155</v>
      </c>
      <c r="B52" s="146">
        <f t="shared" si="12"/>
        <v>1000757</v>
      </c>
      <c r="C52" s="147">
        <v>1000757</v>
      </c>
      <c r="D52" s="147"/>
      <c r="E52" s="147">
        <f>C52</f>
        <v>1000757</v>
      </c>
      <c r="F52" s="147"/>
      <c r="G52" s="147"/>
      <c r="H52" s="147"/>
      <c r="I52" s="147"/>
      <c r="J52" s="147"/>
      <c r="K52" s="147"/>
      <c r="L52" s="147"/>
      <c r="M52" s="147"/>
      <c r="N52" s="147"/>
      <c r="O52" s="147"/>
      <c r="P52" s="147"/>
      <c r="Q52" s="147"/>
      <c r="R52" s="516">
        <f t="shared" si="13"/>
        <v>1000757</v>
      </c>
      <c r="S52" s="147">
        <f t="shared" si="14"/>
        <v>1000757</v>
      </c>
      <c r="T52" s="147"/>
      <c r="U52" s="143"/>
    </row>
    <row r="53" spans="1:21" s="144" customFormat="1">
      <c r="A53" s="1149" t="s">
        <v>2742</v>
      </c>
      <c r="B53" s="146">
        <f t="shared" si="12"/>
        <v>35000</v>
      </c>
      <c r="C53" s="147">
        <f>35000</f>
        <v>35000</v>
      </c>
      <c r="D53" s="147"/>
      <c r="E53" s="147">
        <f>C53</f>
        <v>35000</v>
      </c>
      <c r="F53" s="147"/>
      <c r="G53" s="147"/>
      <c r="H53" s="147"/>
      <c r="I53" s="147"/>
      <c r="J53" s="147"/>
      <c r="K53" s="147"/>
      <c r="L53" s="147"/>
      <c r="M53" s="147"/>
      <c r="N53" s="147"/>
      <c r="O53" s="147"/>
      <c r="P53" s="147"/>
      <c r="Q53" s="147"/>
      <c r="R53" s="516">
        <f t="shared" si="13"/>
        <v>35000</v>
      </c>
      <c r="S53" s="147">
        <v>16597</v>
      </c>
      <c r="T53" s="147"/>
      <c r="U53" s="143"/>
    </row>
    <row r="54" spans="1:21" s="153" customFormat="1">
      <c r="A54" s="149" t="s">
        <v>157</v>
      </c>
      <c r="B54" s="150">
        <f>SUM(C54:D54)</f>
        <v>3150793</v>
      </c>
      <c r="C54" s="150">
        <f t="shared" ref="C54:T54" si="15">SUM(C45:C53)</f>
        <v>3150793</v>
      </c>
      <c r="D54" s="150">
        <f t="shared" si="15"/>
        <v>0</v>
      </c>
      <c r="E54" s="150">
        <f t="shared" si="15"/>
        <v>3150793</v>
      </c>
      <c r="F54" s="150">
        <f t="shared" si="15"/>
        <v>0</v>
      </c>
      <c r="G54" s="150">
        <f t="shared" si="15"/>
        <v>0</v>
      </c>
      <c r="H54" s="150">
        <f t="shared" si="15"/>
        <v>0</v>
      </c>
      <c r="I54" s="150">
        <f t="shared" si="15"/>
        <v>0</v>
      </c>
      <c r="J54" s="150">
        <f t="shared" si="15"/>
        <v>0</v>
      </c>
      <c r="K54" s="150">
        <f t="shared" si="15"/>
        <v>0</v>
      </c>
      <c r="L54" s="150">
        <f t="shared" si="15"/>
        <v>0</v>
      </c>
      <c r="M54" s="150">
        <f t="shared" si="15"/>
        <v>0</v>
      </c>
      <c r="N54" s="150">
        <f t="shared" si="15"/>
        <v>0</v>
      </c>
      <c r="O54" s="150">
        <f t="shared" si="15"/>
        <v>0</v>
      </c>
      <c r="P54" s="150">
        <f t="shared" si="15"/>
        <v>0</v>
      </c>
      <c r="Q54" s="150">
        <f t="shared" si="15"/>
        <v>0</v>
      </c>
      <c r="R54" s="342">
        <f t="shared" si="15"/>
        <v>3150793</v>
      </c>
      <c r="S54" s="150">
        <f t="shared" si="15"/>
        <v>2054836</v>
      </c>
      <c r="T54" s="150">
        <f t="shared" si="15"/>
        <v>0</v>
      </c>
      <c r="U54" s="152"/>
    </row>
    <row r="55" spans="1:21" s="144" customFormat="1">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6">SUM(C56+D56)</f>
        <v>0</v>
      </c>
      <c r="C56" s="147">
        <v>0</v>
      </c>
      <c r="D56" s="147"/>
      <c r="E56" s="147"/>
      <c r="F56" s="147"/>
      <c r="G56" s="147"/>
      <c r="H56" s="147"/>
      <c r="I56" s="147"/>
      <c r="J56" s="147"/>
      <c r="K56" s="147"/>
      <c r="L56" s="147"/>
      <c r="M56" s="147"/>
      <c r="N56" s="147"/>
      <c r="O56" s="147"/>
      <c r="P56" s="147"/>
      <c r="Q56" s="147"/>
      <c r="R56" s="516">
        <f t="shared" ref="R56:R61" si="17">SUM(E56:Q56)</f>
        <v>0</v>
      </c>
      <c r="S56" s="148"/>
      <c r="T56" s="148"/>
      <c r="U56" s="143"/>
    </row>
    <row r="57" spans="1:21" s="192" customFormat="1">
      <c r="A57" s="186" t="s">
        <v>152</v>
      </c>
      <c r="B57" s="193">
        <f t="shared" si="16"/>
        <v>0</v>
      </c>
      <c r="C57" s="190"/>
      <c r="D57" s="190"/>
      <c r="E57" s="190"/>
      <c r="F57" s="190"/>
      <c r="G57" s="190"/>
      <c r="H57" s="190"/>
      <c r="I57" s="190"/>
      <c r="J57" s="190"/>
      <c r="K57" s="190"/>
      <c r="L57" s="190"/>
      <c r="M57" s="190"/>
      <c r="N57" s="190"/>
      <c r="O57" s="190"/>
      <c r="P57" s="190"/>
      <c r="Q57" s="190"/>
      <c r="R57" s="516">
        <f t="shared" si="17"/>
        <v>0</v>
      </c>
      <c r="S57" s="194"/>
      <c r="T57" s="194"/>
      <c r="U57" s="191"/>
    </row>
    <row r="58" spans="1:21" s="144" customFormat="1">
      <c r="A58" s="145" t="s">
        <v>156</v>
      </c>
      <c r="B58" s="146">
        <f t="shared" si="16"/>
        <v>25000</v>
      </c>
      <c r="C58" s="147">
        <v>25000</v>
      </c>
      <c r="D58" s="147"/>
      <c r="E58" s="147">
        <f>C58</f>
        <v>25000</v>
      </c>
      <c r="F58" s="147"/>
      <c r="G58" s="147"/>
      <c r="H58" s="147"/>
      <c r="I58" s="147"/>
      <c r="J58" s="147"/>
      <c r="K58" s="147"/>
      <c r="L58" s="147"/>
      <c r="M58" s="147"/>
      <c r="N58" s="147"/>
      <c r="O58" s="147"/>
      <c r="P58" s="147"/>
      <c r="Q58" s="147"/>
      <c r="R58" s="516">
        <f t="shared" si="17"/>
        <v>25000</v>
      </c>
      <c r="S58" s="148"/>
      <c r="T58" s="148"/>
      <c r="U58" s="143"/>
    </row>
    <row r="59" spans="1:21" s="144" customFormat="1">
      <c r="A59" s="283" t="s">
        <v>154</v>
      </c>
      <c r="B59" s="146">
        <f t="shared" si="16"/>
        <v>0</v>
      </c>
      <c r="C59" s="147"/>
      <c r="D59" s="147"/>
      <c r="E59" s="147"/>
      <c r="F59" s="147"/>
      <c r="G59" s="147"/>
      <c r="H59" s="147"/>
      <c r="I59" s="147"/>
      <c r="J59" s="147"/>
      <c r="K59" s="147"/>
      <c r="L59" s="147"/>
      <c r="M59" s="147"/>
      <c r="N59" s="147"/>
      <c r="O59" s="147"/>
      <c r="P59" s="147"/>
      <c r="Q59" s="147"/>
      <c r="R59" s="516">
        <f t="shared" si="17"/>
        <v>0</v>
      </c>
      <c r="S59" s="148"/>
      <c r="T59" s="148"/>
      <c r="U59" s="143"/>
    </row>
    <row r="60" spans="1:21" s="144" customFormat="1">
      <c r="A60" s="145" t="s">
        <v>155</v>
      </c>
      <c r="B60" s="146">
        <f t="shared" si="16"/>
        <v>0</v>
      </c>
      <c r="C60" s="147"/>
      <c r="D60" s="147"/>
      <c r="E60" s="147"/>
      <c r="F60" s="147"/>
      <c r="G60" s="147"/>
      <c r="H60" s="147"/>
      <c r="I60" s="147"/>
      <c r="J60" s="147"/>
      <c r="K60" s="147"/>
      <c r="L60" s="147"/>
      <c r="M60" s="147"/>
      <c r="N60" s="147"/>
      <c r="O60" s="147"/>
      <c r="P60" s="147"/>
      <c r="Q60" s="147"/>
      <c r="R60" s="516">
        <f t="shared" si="17"/>
        <v>0</v>
      </c>
      <c r="S60" s="148"/>
      <c r="T60" s="148"/>
      <c r="U60" s="143"/>
    </row>
    <row r="61" spans="1:21" s="144" customFormat="1">
      <c r="A61" s="1149" t="s">
        <v>2742</v>
      </c>
      <c r="B61" s="146">
        <f t="shared" si="16"/>
        <v>10000</v>
      </c>
      <c r="C61" s="147">
        <f>10000</f>
        <v>10000</v>
      </c>
      <c r="D61" s="147"/>
      <c r="E61" s="147">
        <f>C61</f>
        <v>10000</v>
      </c>
      <c r="F61" s="147"/>
      <c r="G61" s="147"/>
      <c r="H61" s="147"/>
      <c r="I61" s="147"/>
      <c r="J61" s="147"/>
      <c r="K61" s="147"/>
      <c r="L61" s="147"/>
      <c r="M61" s="147"/>
      <c r="N61" s="147"/>
      <c r="O61" s="147"/>
      <c r="P61" s="147"/>
      <c r="Q61" s="147"/>
      <c r="R61" s="516">
        <f t="shared" si="17"/>
        <v>10000</v>
      </c>
      <c r="S61" s="148"/>
      <c r="T61" s="148"/>
      <c r="U61" s="143"/>
    </row>
    <row r="62" spans="1:21" s="144" customFormat="1" ht="13.7" customHeight="1">
      <c r="A62" s="149" t="s">
        <v>300</v>
      </c>
      <c r="B62" s="146">
        <f>SUM(C62:D62)</f>
        <v>35000</v>
      </c>
      <c r="C62" s="146">
        <f t="shared" ref="C62:R62" si="18">SUM(C56:C61)</f>
        <v>35000</v>
      </c>
      <c r="D62" s="146">
        <f t="shared" si="18"/>
        <v>0</v>
      </c>
      <c r="E62" s="146">
        <f t="shared" si="18"/>
        <v>35000</v>
      </c>
      <c r="F62" s="146">
        <f t="shared" si="18"/>
        <v>0</v>
      </c>
      <c r="G62" s="146">
        <f t="shared" si="18"/>
        <v>0</v>
      </c>
      <c r="H62" s="146">
        <f t="shared" si="18"/>
        <v>0</v>
      </c>
      <c r="I62" s="146">
        <f t="shared" si="18"/>
        <v>0</v>
      </c>
      <c r="J62" s="146">
        <f t="shared" si="18"/>
        <v>0</v>
      </c>
      <c r="K62" s="146">
        <f t="shared" si="18"/>
        <v>0</v>
      </c>
      <c r="L62" s="146">
        <f t="shared" si="18"/>
        <v>0</v>
      </c>
      <c r="M62" s="146">
        <f t="shared" si="18"/>
        <v>0</v>
      </c>
      <c r="N62" s="146">
        <f t="shared" si="18"/>
        <v>0</v>
      </c>
      <c r="O62" s="146">
        <f t="shared" si="18"/>
        <v>0</v>
      </c>
      <c r="P62" s="146">
        <f t="shared" si="18"/>
        <v>0</v>
      </c>
      <c r="Q62" s="146">
        <f t="shared" si="18"/>
        <v>0</v>
      </c>
      <c r="R62" s="342">
        <f t="shared" si="18"/>
        <v>35000</v>
      </c>
      <c r="S62" s="148"/>
      <c r="T62" s="148"/>
      <c r="U62" s="143"/>
    </row>
    <row r="63" spans="1:21" s="144" customFormat="1">
      <c r="A63" s="154" t="s">
        <v>301</v>
      </c>
      <c r="B63" s="146">
        <f t="shared" ref="B63:R63" si="19">SUM(B8+B11+B13+B14+B15+B26+B27+B38+B42+B43+B54+B62)</f>
        <v>31537964</v>
      </c>
      <c r="C63" s="146">
        <f t="shared" si="19"/>
        <v>31537964</v>
      </c>
      <c r="D63" s="146">
        <f t="shared" si="19"/>
        <v>0</v>
      </c>
      <c r="E63" s="146">
        <f t="shared" si="19"/>
        <v>8484298</v>
      </c>
      <c r="F63" s="146">
        <f t="shared" si="19"/>
        <v>4629000</v>
      </c>
      <c r="G63" s="146">
        <f t="shared" si="19"/>
        <v>15424666</v>
      </c>
      <c r="H63" s="146">
        <f t="shared" si="19"/>
        <v>1800000</v>
      </c>
      <c r="I63" s="146">
        <f t="shared" si="19"/>
        <v>1200000</v>
      </c>
      <c r="J63" s="146">
        <f t="shared" si="19"/>
        <v>0</v>
      </c>
      <c r="K63" s="146">
        <f t="shared" si="19"/>
        <v>0</v>
      </c>
      <c r="L63" s="146">
        <f t="shared" si="19"/>
        <v>0</v>
      </c>
      <c r="M63" s="146">
        <f t="shared" si="19"/>
        <v>0</v>
      </c>
      <c r="N63" s="146">
        <f t="shared" si="19"/>
        <v>0</v>
      </c>
      <c r="O63" s="146">
        <f t="shared" si="19"/>
        <v>0</v>
      </c>
      <c r="P63" s="146">
        <f t="shared" si="19"/>
        <v>0</v>
      </c>
      <c r="Q63" s="146">
        <f t="shared" si="19"/>
        <v>0</v>
      </c>
      <c r="R63" s="342">
        <f t="shared" si="19"/>
        <v>31537964</v>
      </c>
      <c r="S63" s="146">
        <f>SUM(S10+S13+S14+S15+S26+S27+S38+S42+S43+S54)</f>
        <v>28038414</v>
      </c>
      <c r="T63" s="146">
        <f>SUM(T11+T13+T14+T15+T26+T27+T38+T42+T43+T54)</f>
        <v>0</v>
      </c>
      <c r="U63" s="143"/>
    </row>
    <row r="64" spans="1:21" s="144" customFormat="1" ht="24">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85000</v>
      </c>
      <c r="C65" s="147">
        <f>70000+15000</f>
        <v>85000</v>
      </c>
      <c r="D65" s="147"/>
      <c r="E65" s="147">
        <f>C65</f>
        <v>85000</v>
      </c>
      <c r="F65" s="147"/>
      <c r="G65" s="147"/>
      <c r="H65" s="147"/>
      <c r="I65" s="147"/>
      <c r="J65" s="147"/>
      <c r="K65" s="147"/>
      <c r="L65" s="147"/>
      <c r="M65" s="147"/>
      <c r="N65" s="147"/>
      <c r="O65" s="147"/>
      <c r="P65" s="147"/>
      <c r="Q65" s="147"/>
      <c r="R65" s="516">
        <f>SUM(E65:Q65)</f>
        <v>85000</v>
      </c>
      <c r="S65" s="147">
        <v>33194</v>
      </c>
      <c r="T65" s="147"/>
      <c r="U65" s="143"/>
    </row>
    <row r="66" spans="1:21" s="144" customFormat="1" ht="24" customHeight="1">
      <c r="A66" s="283" t="s">
        <v>1641</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1642</v>
      </c>
      <c r="B67" s="146">
        <f>SUM(C67+D67)</f>
        <v>0</v>
      </c>
      <c r="C67" s="147"/>
      <c r="D67" s="147"/>
      <c r="E67" s="147"/>
      <c r="F67" s="147"/>
      <c r="G67" s="147"/>
      <c r="H67" s="147"/>
      <c r="I67" s="147"/>
      <c r="J67" s="147"/>
      <c r="K67" s="147"/>
      <c r="L67" s="147"/>
      <c r="M67" s="147"/>
      <c r="N67" s="147"/>
      <c r="O67" s="147"/>
      <c r="P67" s="147"/>
      <c r="Q67" s="147"/>
      <c r="R67" s="516">
        <f>SUM(E67:Q67)</f>
        <v>0</v>
      </c>
      <c r="S67" s="147">
        <f t="shared" ref="S67:S68" si="20">B67</f>
        <v>0</v>
      </c>
      <c r="T67" s="147"/>
      <c r="U67" s="143"/>
    </row>
    <row r="68" spans="1:21" s="144" customFormat="1" ht="12" customHeight="1">
      <c r="A68" s="283" t="s">
        <v>1648</v>
      </c>
      <c r="B68" s="146">
        <f>SUM(C68+D68)</f>
        <v>0</v>
      </c>
      <c r="C68" s="147"/>
      <c r="D68" s="147"/>
      <c r="E68" s="147"/>
      <c r="F68" s="147"/>
      <c r="G68" s="147"/>
      <c r="H68" s="147"/>
      <c r="I68" s="147"/>
      <c r="J68" s="147"/>
      <c r="K68" s="147"/>
      <c r="L68" s="147"/>
      <c r="M68" s="147"/>
      <c r="N68" s="147"/>
      <c r="O68" s="147"/>
      <c r="P68" s="147"/>
      <c r="Q68" s="147"/>
      <c r="R68" s="516">
        <f>SUM(E68:Q68)</f>
        <v>0</v>
      </c>
      <c r="S68" s="147">
        <f t="shared" si="20"/>
        <v>0</v>
      </c>
      <c r="T68" s="147"/>
      <c r="U68" s="143"/>
    </row>
    <row r="69" spans="1:21" s="144" customFormat="1">
      <c r="A69" s="1149" t="s">
        <v>2743</v>
      </c>
      <c r="B69" s="146">
        <f>SUM(C69+D69)</f>
        <v>100000</v>
      </c>
      <c r="C69" s="147">
        <f>90000+10000</f>
        <v>100000</v>
      </c>
      <c r="D69" s="147"/>
      <c r="E69" s="147">
        <f>C69</f>
        <v>100000</v>
      </c>
      <c r="F69" s="147"/>
      <c r="G69" s="147"/>
      <c r="H69" s="147"/>
      <c r="I69" s="147"/>
      <c r="J69" s="147"/>
      <c r="K69" s="147"/>
      <c r="L69" s="147"/>
      <c r="M69" s="147"/>
      <c r="N69" s="147"/>
      <c r="O69" s="147"/>
      <c r="P69" s="147"/>
      <c r="Q69" s="147"/>
      <c r="R69" s="516">
        <f>SUM(E69:Q69)</f>
        <v>100000</v>
      </c>
      <c r="S69" s="147">
        <v>90000</v>
      </c>
      <c r="T69" s="147"/>
      <c r="U69" s="143"/>
    </row>
    <row r="70" spans="1:21" s="144" customFormat="1">
      <c r="A70" s="149" t="s">
        <v>1645</v>
      </c>
      <c r="B70" s="146">
        <f>SUM(C70:D70)</f>
        <v>185000</v>
      </c>
      <c r="C70" s="146">
        <f>SUM(C65:C69)</f>
        <v>185000</v>
      </c>
      <c r="D70" s="146">
        <f>SUM(D65:D69)</f>
        <v>0</v>
      </c>
      <c r="E70" s="146">
        <f t="shared" ref="E70:T70" si="21">SUM(E65:E69)</f>
        <v>185000</v>
      </c>
      <c r="F70" s="146">
        <f t="shared" si="21"/>
        <v>0</v>
      </c>
      <c r="G70" s="146">
        <f t="shared" si="21"/>
        <v>0</v>
      </c>
      <c r="H70" s="146">
        <f t="shared" si="21"/>
        <v>0</v>
      </c>
      <c r="I70" s="146">
        <f t="shared" si="21"/>
        <v>0</v>
      </c>
      <c r="J70" s="146">
        <f t="shared" si="21"/>
        <v>0</v>
      </c>
      <c r="K70" s="146">
        <f t="shared" si="21"/>
        <v>0</v>
      </c>
      <c r="L70" s="146">
        <f t="shared" si="21"/>
        <v>0</v>
      </c>
      <c r="M70" s="146">
        <f t="shared" si="21"/>
        <v>0</v>
      </c>
      <c r="N70" s="146">
        <f t="shared" si="21"/>
        <v>0</v>
      </c>
      <c r="O70" s="146">
        <f t="shared" si="21"/>
        <v>0</v>
      </c>
      <c r="P70" s="146">
        <f t="shared" si="21"/>
        <v>0</v>
      </c>
      <c r="Q70" s="146">
        <f t="shared" si="21"/>
        <v>0</v>
      </c>
      <c r="R70" s="342">
        <f t="shared" si="21"/>
        <v>185000</v>
      </c>
      <c r="S70" s="150">
        <f t="shared" si="21"/>
        <v>123194</v>
      </c>
      <c r="T70" s="150">
        <f t="shared" si="21"/>
        <v>0</v>
      </c>
      <c r="U70" s="143"/>
    </row>
    <row r="71" spans="1:21" s="144" customFormat="1">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604</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986</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605</v>
      </c>
      <c r="B75" s="146">
        <f>SUM(C75+D75)</f>
        <v>245014</v>
      </c>
      <c r="C75" s="147">
        <v>245014</v>
      </c>
      <c r="D75" s="147"/>
      <c r="E75" s="147">
        <f>C75</f>
        <v>245014</v>
      </c>
      <c r="F75" s="147"/>
      <c r="G75" s="147"/>
      <c r="H75" s="147"/>
      <c r="I75" s="147"/>
      <c r="J75" s="147"/>
      <c r="K75" s="147"/>
      <c r="L75" s="147"/>
      <c r="M75" s="147"/>
      <c r="N75" s="147"/>
      <c r="O75" s="147"/>
      <c r="P75" s="147"/>
      <c r="Q75" s="147"/>
      <c r="R75" s="516">
        <f>SUM(E75:Q75)</f>
        <v>245014</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606</v>
      </c>
      <c r="B77" s="146">
        <f>SUM(C77:D77)</f>
        <v>245014</v>
      </c>
      <c r="C77" s="146">
        <f>SUM(C72:C76)</f>
        <v>245014</v>
      </c>
      <c r="D77" s="146">
        <f>SUM(D72:D76)</f>
        <v>0</v>
      </c>
      <c r="E77" s="146">
        <f t="shared" ref="E77:Q77" si="22">SUM(E72:E76)</f>
        <v>245014</v>
      </c>
      <c r="F77" s="146">
        <f t="shared" si="22"/>
        <v>0</v>
      </c>
      <c r="G77" s="146">
        <f t="shared" si="22"/>
        <v>0</v>
      </c>
      <c r="H77" s="146">
        <f t="shared" si="22"/>
        <v>0</v>
      </c>
      <c r="I77" s="146">
        <f t="shared" si="22"/>
        <v>0</v>
      </c>
      <c r="J77" s="146">
        <f t="shared" si="22"/>
        <v>0</v>
      </c>
      <c r="K77" s="146">
        <f t="shared" si="22"/>
        <v>0</v>
      </c>
      <c r="L77" s="146">
        <f t="shared" si="22"/>
        <v>0</v>
      </c>
      <c r="M77" s="146">
        <f t="shared" si="22"/>
        <v>0</v>
      </c>
      <c r="N77" s="146">
        <f t="shared" si="22"/>
        <v>0</v>
      </c>
      <c r="O77" s="146">
        <f t="shared" si="22"/>
        <v>0</v>
      </c>
      <c r="P77" s="146">
        <f t="shared" si="22"/>
        <v>0</v>
      </c>
      <c r="Q77" s="146">
        <f t="shared" si="22"/>
        <v>0</v>
      </c>
      <c r="R77" s="342">
        <f>SUM(R72:R76)</f>
        <v>245014</v>
      </c>
      <c r="S77" s="148"/>
      <c r="T77" s="148"/>
      <c r="U77" s="143"/>
    </row>
    <row r="78" spans="1:21" s="144" customFormat="1">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1212</v>
      </c>
      <c r="B79" s="146">
        <f>SUM(C79:D79)</f>
        <v>1243536</v>
      </c>
      <c r="C79" s="147">
        <v>1243536</v>
      </c>
      <c r="D79" s="147"/>
      <c r="E79" s="147">
        <f>C79</f>
        <v>1243536</v>
      </c>
      <c r="F79" s="147"/>
      <c r="G79" s="147"/>
      <c r="H79" s="147"/>
      <c r="I79" s="147"/>
      <c r="J79" s="147"/>
      <c r="K79" s="147"/>
      <c r="L79" s="147"/>
      <c r="M79" s="147"/>
      <c r="N79" s="147"/>
      <c r="O79" s="147"/>
      <c r="P79" s="147"/>
      <c r="Q79" s="147"/>
      <c r="R79" s="516">
        <f>SUM(E79:Q79)</f>
        <v>1243536</v>
      </c>
      <c r="S79" s="147">
        <f t="shared" ref="S79:S80" si="23">B79</f>
        <v>1243536</v>
      </c>
      <c r="T79" s="147"/>
      <c r="U79" s="143"/>
    </row>
    <row r="80" spans="1:21" s="144" customFormat="1">
      <c r="A80" s="283" t="s">
        <v>58</v>
      </c>
      <c r="B80" s="146">
        <f>SUM(C80:D80)</f>
        <v>270875</v>
      </c>
      <c r="C80" s="147">
        <v>270875</v>
      </c>
      <c r="D80" s="147"/>
      <c r="E80" s="147">
        <f>C80</f>
        <v>270875</v>
      </c>
      <c r="F80" s="147"/>
      <c r="G80" s="147"/>
      <c r="H80" s="147"/>
      <c r="I80" s="147"/>
      <c r="J80" s="147"/>
      <c r="K80" s="147"/>
      <c r="L80" s="147"/>
      <c r="M80" s="147"/>
      <c r="N80" s="147"/>
      <c r="O80" s="147"/>
      <c r="P80" s="147"/>
      <c r="Q80" s="147"/>
      <c r="R80" s="516">
        <f>SUM(E80:Q80)</f>
        <v>270875</v>
      </c>
      <c r="S80" s="147">
        <f t="shared" si="23"/>
        <v>270875</v>
      </c>
      <c r="T80" s="147"/>
      <c r="U80" s="143"/>
    </row>
    <row r="81" spans="1:21" s="144" customFormat="1">
      <c r="A81" s="149" t="s">
        <v>1209</v>
      </c>
      <c r="B81" s="146">
        <f>SUM(C81:D81)</f>
        <v>1514411</v>
      </c>
      <c r="C81" s="509">
        <f>SUM(C79:C80)</f>
        <v>1514411</v>
      </c>
      <c r="D81" s="509">
        <f t="shared" ref="D81:T81" si="24">SUM(D79:D80)</f>
        <v>0</v>
      </c>
      <c r="E81" s="509">
        <f t="shared" si="24"/>
        <v>1514411</v>
      </c>
      <c r="F81" s="509">
        <f t="shared" si="24"/>
        <v>0</v>
      </c>
      <c r="G81" s="509">
        <f t="shared" si="24"/>
        <v>0</v>
      </c>
      <c r="H81" s="509">
        <f t="shared" si="24"/>
        <v>0</v>
      </c>
      <c r="I81" s="509">
        <f t="shared" si="24"/>
        <v>0</v>
      </c>
      <c r="J81" s="509">
        <f t="shared" si="24"/>
        <v>0</v>
      </c>
      <c r="K81" s="509">
        <f t="shared" si="24"/>
        <v>0</v>
      </c>
      <c r="L81" s="509">
        <f t="shared" si="24"/>
        <v>0</v>
      </c>
      <c r="M81" s="509">
        <f t="shared" si="24"/>
        <v>0</v>
      </c>
      <c r="N81" s="509">
        <f t="shared" si="24"/>
        <v>0</v>
      </c>
      <c r="O81" s="509">
        <f t="shared" si="24"/>
        <v>0</v>
      </c>
      <c r="P81" s="509">
        <f t="shared" si="24"/>
        <v>0</v>
      </c>
      <c r="Q81" s="509">
        <f t="shared" si="24"/>
        <v>0</v>
      </c>
      <c r="R81" s="509">
        <f t="shared" si="24"/>
        <v>1514411</v>
      </c>
      <c r="S81" s="509">
        <f t="shared" si="24"/>
        <v>1514411</v>
      </c>
      <c r="T81" s="509">
        <f t="shared" si="24"/>
        <v>0</v>
      </c>
      <c r="U81" s="143"/>
    </row>
    <row r="82" spans="1:21" s="144" customFormat="1">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2094</v>
      </c>
      <c r="B83" s="146">
        <f t="shared" ref="B83:B95" si="25">SUM(C83+D83)</f>
        <v>61948</v>
      </c>
      <c r="C83" s="147">
        <v>61948</v>
      </c>
      <c r="D83" s="147"/>
      <c r="E83" s="147">
        <f>C83</f>
        <v>61948</v>
      </c>
      <c r="F83" s="147"/>
      <c r="G83" s="147"/>
      <c r="H83" s="147"/>
      <c r="I83" s="147"/>
      <c r="J83" s="147"/>
      <c r="K83" s="147"/>
      <c r="L83" s="147"/>
      <c r="M83" s="147"/>
      <c r="N83" s="147"/>
      <c r="O83" s="147"/>
      <c r="P83" s="147"/>
      <c r="Q83" s="147"/>
      <c r="R83" s="516">
        <f t="shared" ref="R83:R95" si="26">SUM(E83:Q83)</f>
        <v>61948</v>
      </c>
      <c r="S83" s="148"/>
      <c r="T83" s="148"/>
      <c r="U83" s="143"/>
    </row>
    <row r="84" spans="1:21" s="144" customFormat="1">
      <c r="A84" s="145" t="s">
        <v>767</v>
      </c>
      <c r="B84" s="146">
        <f t="shared" si="25"/>
        <v>50000</v>
      </c>
      <c r="C84" s="147">
        <v>50000</v>
      </c>
      <c r="D84" s="147"/>
      <c r="E84" s="147">
        <f>C84</f>
        <v>50000</v>
      </c>
      <c r="F84" s="147"/>
      <c r="G84" s="147"/>
      <c r="H84" s="147"/>
      <c r="I84" s="147"/>
      <c r="J84" s="147"/>
      <c r="K84" s="147"/>
      <c r="L84" s="147"/>
      <c r="M84" s="147"/>
      <c r="N84" s="147"/>
      <c r="O84" s="147"/>
      <c r="P84" s="147"/>
      <c r="Q84" s="147"/>
      <c r="R84" s="516">
        <f t="shared" si="26"/>
        <v>50000</v>
      </c>
      <c r="S84" s="147">
        <f t="shared" ref="S84:S86" si="27">B84</f>
        <v>50000</v>
      </c>
      <c r="T84" s="147"/>
      <c r="U84" s="143"/>
    </row>
    <row r="85" spans="1:21" s="144" customFormat="1">
      <c r="A85" s="145" t="s">
        <v>768</v>
      </c>
      <c r="B85" s="146">
        <f t="shared" si="25"/>
        <v>849243</v>
      </c>
      <c r="C85" s="147">
        <v>849243</v>
      </c>
      <c r="D85" s="147"/>
      <c r="E85" s="147">
        <f>C85</f>
        <v>849243</v>
      </c>
      <c r="F85" s="147"/>
      <c r="G85" s="147"/>
      <c r="H85" s="147"/>
      <c r="I85" s="147"/>
      <c r="J85" s="147"/>
      <c r="K85" s="147"/>
      <c r="L85" s="147"/>
      <c r="M85" s="147"/>
      <c r="N85" s="147"/>
      <c r="O85" s="147"/>
      <c r="P85" s="147"/>
      <c r="Q85" s="147"/>
      <c r="R85" s="516">
        <f t="shared" si="26"/>
        <v>849243</v>
      </c>
      <c r="S85" s="147">
        <f t="shared" si="27"/>
        <v>849243</v>
      </c>
      <c r="T85" s="147"/>
      <c r="U85" s="143"/>
    </row>
    <row r="86" spans="1:21" s="144" customFormat="1">
      <c r="A86" s="145" t="s">
        <v>769</v>
      </c>
      <c r="B86" s="146">
        <f t="shared" si="25"/>
        <v>500000</v>
      </c>
      <c r="C86" s="147">
        <v>500000</v>
      </c>
      <c r="D86" s="147"/>
      <c r="E86" s="147">
        <f>C86</f>
        <v>500000</v>
      </c>
      <c r="F86" s="147"/>
      <c r="G86" s="147"/>
      <c r="H86" s="147"/>
      <c r="I86" s="147"/>
      <c r="J86" s="147"/>
      <c r="K86" s="147"/>
      <c r="L86" s="147"/>
      <c r="M86" s="147"/>
      <c r="N86" s="147"/>
      <c r="O86" s="147"/>
      <c r="P86" s="147"/>
      <c r="Q86" s="147"/>
      <c r="R86" s="516">
        <f t="shared" si="26"/>
        <v>500000</v>
      </c>
      <c r="S86" s="147">
        <f t="shared" si="27"/>
        <v>500000</v>
      </c>
      <c r="T86" s="147"/>
      <c r="U86" s="143"/>
    </row>
    <row r="87" spans="1:21" s="144" customFormat="1">
      <c r="A87" s="145" t="s">
        <v>770</v>
      </c>
      <c r="B87" s="146">
        <f t="shared" si="25"/>
        <v>0</v>
      </c>
      <c r="C87" s="147"/>
      <c r="D87" s="147"/>
      <c r="E87" s="147"/>
      <c r="F87" s="147"/>
      <c r="G87" s="147"/>
      <c r="H87" s="147"/>
      <c r="I87" s="147"/>
      <c r="J87" s="147"/>
      <c r="K87" s="147"/>
      <c r="L87" s="147"/>
      <c r="M87" s="147"/>
      <c r="N87" s="147"/>
      <c r="O87" s="147"/>
      <c r="P87" s="147"/>
      <c r="Q87" s="147"/>
      <c r="R87" s="516">
        <f t="shared" si="26"/>
        <v>0</v>
      </c>
      <c r="S87" s="147"/>
      <c r="T87" s="147"/>
      <c r="U87" s="143"/>
    </row>
    <row r="88" spans="1:21" s="144" customFormat="1">
      <c r="A88" s="145" t="s">
        <v>771</v>
      </c>
      <c r="B88" s="146">
        <f t="shared" si="25"/>
        <v>90000</v>
      </c>
      <c r="C88" s="147">
        <v>90000</v>
      </c>
      <c r="D88" s="147"/>
      <c r="E88" s="147">
        <f>C88</f>
        <v>90000</v>
      </c>
      <c r="F88" s="147"/>
      <c r="G88" s="147"/>
      <c r="H88" s="147"/>
      <c r="I88" s="147"/>
      <c r="J88" s="147"/>
      <c r="K88" s="147"/>
      <c r="L88" s="147"/>
      <c r="M88" s="147"/>
      <c r="N88" s="147"/>
      <c r="O88" s="147"/>
      <c r="P88" s="147"/>
      <c r="Q88" s="147"/>
      <c r="R88" s="516">
        <f t="shared" si="26"/>
        <v>90000</v>
      </c>
      <c r="S88" s="148"/>
      <c r="T88" s="148"/>
      <c r="U88" s="143"/>
    </row>
    <row r="89" spans="1:21" s="144" customFormat="1">
      <c r="A89" s="145" t="s">
        <v>772</v>
      </c>
      <c r="B89" s="146">
        <f t="shared" si="25"/>
        <v>100000</v>
      </c>
      <c r="C89" s="147">
        <v>100000</v>
      </c>
      <c r="D89" s="147"/>
      <c r="E89" s="147">
        <f>C89</f>
        <v>100000</v>
      </c>
      <c r="F89" s="147"/>
      <c r="G89" s="147"/>
      <c r="H89" s="147"/>
      <c r="I89" s="147"/>
      <c r="J89" s="147"/>
      <c r="K89" s="147"/>
      <c r="L89" s="147"/>
      <c r="M89" s="147"/>
      <c r="N89" s="147"/>
      <c r="O89" s="147"/>
      <c r="P89" s="147"/>
      <c r="Q89" s="147"/>
      <c r="R89" s="516">
        <f t="shared" si="26"/>
        <v>100000</v>
      </c>
      <c r="S89" s="147">
        <f t="shared" ref="S89:S95" si="28">B89</f>
        <v>100000</v>
      </c>
      <c r="T89" s="147"/>
      <c r="U89" s="143"/>
    </row>
    <row r="90" spans="1:21" s="144" customFormat="1">
      <c r="A90" s="145" t="s">
        <v>773</v>
      </c>
      <c r="B90" s="146">
        <f t="shared" si="25"/>
        <v>30000</v>
      </c>
      <c r="C90" s="147">
        <v>30000</v>
      </c>
      <c r="D90" s="147"/>
      <c r="E90" s="147">
        <f>C90</f>
        <v>30000</v>
      </c>
      <c r="F90" s="147"/>
      <c r="G90" s="147"/>
      <c r="H90" s="147"/>
      <c r="I90" s="147"/>
      <c r="J90" s="147"/>
      <c r="K90" s="147"/>
      <c r="L90" s="147"/>
      <c r="M90" s="147"/>
      <c r="N90" s="147"/>
      <c r="O90" s="147"/>
      <c r="P90" s="147"/>
      <c r="Q90" s="147"/>
      <c r="R90" s="516">
        <f t="shared" si="26"/>
        <v>30000</v>
      </c>
      <c r="S90" s="147"/>
      <c r="T90" s="147"/>
      <c r="U90" s="143"/>
    </row>
    <row r="91" spans="1:21" s="144" customFormat="1">
      <c r="A91" s="145" t="s">
        <v>371</v>
      </c>
      <c r="B91" s="146">
        <f t="shared" si="25"/>
        <v>0</v>
      </c>
      <c r="C91" s="147"/>
      <c r="D91" s="147"/>
      <c r="E91" s="147"/>
      <c r="F91" s="147"/>
      <c r="G91" s="147"/>
      <c r="H91" s="147"/>
      <c r="I91" s="147"/>
      <c r="J91" s="147"/>
      <c r="K91" s="147"/>
      <c r="L91" s="147"/>
      <c r="M91" s="147"/>
      <c r="N91" s="147"/>
      <c r="O91" s="147"/>
      <c r="P91" s="147"/>
      <c r="Q91" s="147"/>
      <c r="R91" s="516">
        <f t="shared" si="26"/>
        <v>0</v>
      </c>
      <c r="S91" s="147"/>
      <c r="T91" s="147"/>
      <c r="U91" s="143"/>
    </row>
    <row r="92" spans="1:21" s="144" customFormat="1">
      <c r="A92" s="283" t="s">
        <v>1211</v>
      </c>
      <c r="B92" s="146">
        <f t="shared" si="25"/>
        <v>10000</v>
      </c>
      <c r="C92" s="147">
        <v>10000</v>
      </c>
      <c r="D92" s="147"/>
      <c r="E92" s="147">
        <f>C92</f>
        <v>10000</v>
      </c>
      <c r="F92" s="147"/>
      <c r="G92" s="147"/>
      <c r="H92" s="147"/>
      <c r="I92" s="147"/>
      <c r="J92" s="147"/>
      <c r="K92" s="147"/>
      <c r="L92" s="147"/>
      <c r="M92" s="147"/>
      <c r="N92" s="147"/>
      <c r="O92" s="147"/>
      <c r="P92" s="147"/>
      <c r="Q92" s="147"/>
      <c r="R92" s="516">
        <f t="shared" si="26"/>
        <v>10000</v>
      </c>
      <c r="S92" s="147">
        <f t="shared" si="28"/>
        <v>10000</v>
      </c>
      <c r="T92" s="147"/>
      <c r="U92" s="143"/>
    </row>
    <row r="93" spans="1:21" s="144" customFormat="1">
      <c r="A93" s="1149" t="s">
        <v>2744</v>
      </c>
      <c r="B93" s="146">
        <f t="shared" si="25"/>
        <v>60000</v>
      </c>
      <c r="C93" s="147">
        <f>60000</f>
        <v>60000</v>
      </c>
      <c r="D93" s="147"/>
      <c r="E93" s="147">
        <f>C93</f>
        <v>60000</v>
      </c>
      <c r="F93" s="147"/>
      <c r="G93" s="147"/>
      <c r="H93" s="147"/>
      <c r="I93" s="147"/>
      <c r="J93" s="147"/>
      <c r="K93" s="147"/>
      <c r="L93" s="147"/>
      <c r="M93" s="147"/>
      <c r="N93" s="147"/>
      <c r="O93" s="147"/>
      <c r="P93" s="147"/>
      <c r="Q93" s="147"/>
      <c r="R93" s="516">
        <f t="shared" si="26"/>
        <v>60000</v>
      </c>
      <c r="S93" s="147">
        <f t="shared" si="28"/>
        <v>60000</v>
      </c>
      <c r="T93" s="147"/>
      <c r="U93" s="143"/>
    </row>
    <row r="94" spans="1:21" s="144" customFormat="1" ht="24">
      <c r="A94" s="1149" t="s">
        <v>2746</v>
      </c>
      <c r="B94" s="146">
        <f t="shared" si="25"/>
        <v>550000</v>
      </c>
      <c r="C94" s="147">
        <f>350000+200000</f>
        <v>550000</v>
      </c>
      <c r="D94" s="147"/>
      <c r="E94" s="147">
        <f>C94</f>
        <v>550000</v>
      </c>
      <c r="F94" s="147"/>
      <c r="G94" s="147"/>
      <c r="H94" s="147"/>
      <c r="I94" s="147"/>
      <c r="J94" s="147"/>
      <c r="K94" s="147"/>
      <c r="L94" s="147"/>
      <c r="M94" s="147"/>
      <c r="N94" s="147"/>
      <c r="O94" s="147"/>
      <c r="P94" s="147"/>
      <c r="Q94" s="147"/>
      <c r="R94" s="516">
        <f t="shared" si="26"/>
        <v>550000</v>
      </c>
      <c r="S94" s="147">
        <f t="shared" si="28"/>
        <v>550000</v>
      </c>
      <c r="T94" s="147"/>
      <c r="U94" s="143"/>
    </row>
    <row r="95" spans="1:21" s="144" customFormat="1" ht="24">
      <c r="A95" s="1149" t="s">
        <v>2745</v>
      </c>
      <c r="B95" s="146">
        <f t="shared" si="25"/>
        <v>225000</v>
      </c>
      <c r="C95" s="147">
        <f>75000+150000</f>
        <v>225000</v>
      </c>
      <c r="D95" s="147"/>
      <c r="E95" s="147">
        <f>C95</f>
        <v>225000</v>
      </c>
      <c r="F95" s="147"/>
      <c r="G95" s="147"/>
      <c r="H95" s="147"/>
      <c r="I95" s="147"/>
      <c r="J95" s="147"/>
      <c r="K95" s="147"/>
      <c r="L95" s="147"/>
      <c r="M95" s="147"/>
      <c r="N95" s="147"/>
      <c r="O95" s="147"/>
      <c r="P95" s="147"/>
      <c r="Q95" s="147"/>
      <c r="R95" s="516">
        <f t="shared" si="26"/>
        <v>225000</v>
      </c>
      <c r="S95" s="147">
        <f t="shared" si="28"/>
        <v>225000</v>
      </c>
      <c r="T95" s="147"/>
      <c r="U95" s="143"/>
    </row>
    <row r="96" spans="1:21" s="144" customFormat="1">
      <c r="A96" s="149" t="s">
        <v>774</v>
      </c>
      <c r="B96" s="146">
        <f>SUM(C96:D96)</f>
        <v>2526191</v>
      </c>
      <c r="C96" s="146">
        <f t="shared" ref="C96:R96" si="29">SUM(C83:C95)</f>
        <v>2526191</v>
      </c>
      <c r="D96" s="146">
        <f t="shared" si="29"/>
        <v>0</v>
      </c>
      <c r="E96" s="146">
        <f t="shared" si="29"/>
        <v>2526191</v>
      </c>
      <c r="F96" s="146">
        <f t="shared" si="29"/>
        <v>0</v>
      </c>
      <c r="G96" s="146">
        <f t="shared" si="29"/>
        <v>0</v>
      </c>
      <c r="H96" s="146">
        <f t="shared" si="29"/>
        <v>0</v>
      </c>
      <c r="I96" s="146">
        <f t="shared" si="29"/>
        <v>0</v>
      </c>
      <c r="J96" s="146">
        <f t="shared" si="29"/>
        <v>0</v>
      </c>
      <c r="K96" s="146">
        <f t="shared" si="29"/>
        <v>0</v>
      </c>
      <c r="L96" s="146">
        <f t="shared" si="29"/>
        <v>0</v>
      </c>
      <c r="M96" s="146">
        <f t="shared" si="29"/>
        <v>0</v>
      </c>
      <c r="N96" s="146">
        <f t="shared" si="29"/>
        <v>0</v>
      </c>
      <c r="O96" s="146">
        <f t="shared" si="29"/>
        <v>0</v>
      </c>
      <c r="P96" s="146">
        <f t="shared" si="29"/>
        <v>0</v>
      </c>
      <c r="Q96" s="146">
        <f t="shared" si="29"/>
        <v>0</v>
      </c>
      <c r="R96" s="342">
        <f t="shared" si="29"/>
        <v>2526191</v>
      </c>
      <c r="S96" s="150">
        <f>SUM(S84:S87,S89:S95)</f>
        <v>2344243</v>
      </c>
      <c r="T96" s="146">
        <f>SUM(T84:T87,T89:T95)</f>
        <v>0</v>
      </c>
      <c r="U96" s="143"/>
    </row>
    <row r="97" spans="1:21" s="144" customFormat="1">
      <c r="A97" s="149" t="s">
        <v>775</v>
      </c>
      <c r="B97" s="146">
        <f>SUM(C97:D97)</f>
        <v>36008580</v>
      </c>
      <c r="C97" s="146">
        <f t="shared" ref="C97:R97" si="30">SUM(C63+C70+C77+C81+C96)</f>
        <v>36008580</v>
      </c>
      <c r="D97" s="146">
        <f t="shared" si="30"/>
        <v>0</v>
      </c>
      <c r="E97" s="146">
        <f t="shared" si="30"/>
        <v>12954914</v>
      </c>
      <c r="F97" s="146">
        <f t="shared" si="30"/>
        <v>4629000</v>
      </c>
      <c r="G97" s="146">
        <f t="shared" si="30"/>
        <v>15424666</v>
      </c>
      <c r="H97" s="146">
        <f t="shared" si="30"/>
        <v>1800000</v>
      </c>
      <c r="I97" s="146">
        <f t="shared" si="30"/>
        <v>1200000</v>
      </c>
      <c r="J97" s="146">
        <f t="shared" si="30"/>
        <v>0</v>
      </c>
      <c r="K97" s="146">
        <f t="shared" si="30"/>
        <v>0</v>
      </c>
      <c r="L97" s="146">
        <f t="shared" si="30"/>
        <v>0</v>
      </c>
      <c r="M97" s="146">
        <f t="shared" si="30"/>
        <v>0</v>
      </c>
      <c r="N97" s="146">
        <f t="shared" si="30"/>
        <v>0</v>
      </c>
      <c r="O97" s="146">
        <f t="shared" si="30"/>
        <v>0</v>
      </c>
      <c r="P97" s="146">
        <f t="shared" si="30"/>
        <v>0</v>
      </c>
      <c r="Q97" s="146">
        <f t="shared" si="30"/>
        <v>0</v>
      </c>
      <c r="R97" s="146">
        <f t="shared" si="30"/>
        <v>36008580</v>
      </c>
      <c r="S97" s="146">
        <f>SUM(S63+S70+S81+S96)</f>
        <v>32020262</v>
      </c>
      <c r="T97" s="146">
        <f>SUM(T63+T70+T81+T96)</f>
        <v>0</v>
      </c>
      <c r="U97" s="143"/>
    </row>
    <row r="98" spans="1:21" s="144" customFormat="1">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4803039</v>
      </c>
      <c r="C99" s="979">
        <v>4803039</v>
      </c>
      <c r="D99" s="979"/>
      <c r="E99" s="979">
        <f>C99-J99</f>
        <v>2500000</v>
      </c>
      <c r="F99" s="147"/>
      <c r="G99" s="147"/>
      <c r="H99" s="147"/>
      <c r="I99" s="147"/>
      <c r="J99" s="147">
        <f>Application!AO631</f>
        <v>2303039</v>
      </c>
      <c r="K99" s="147"/>
      <c r="L99" s="147"/>
      <c r="M99" s="147"/>
      <c r="N99" s="147"/>
      <c r="O99" s="147"/>
      <c r="P99" s="147"/>
      <c r="Q99" s="147"/>
      <c r="R99" s="516">
        <f>SUM(E99:Q99)</f>
        <v>4803039</v>
      </c>
      <c r="S99" s="147">
        <f t="shared" ref="S99" si="31">B99</f>
        <v>4803039</v>
      </c>
      <c r="T99" s="147"/>
      <c r="U99" s="143"/>
    </row>
    <row r="100" spans="1:21" s="144" customFormat="1">
      <c r="A100" s="283" t="s">
        <v>1646</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778</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1647</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779</v>
      </c>
      <c r="B104" s="146">
        <f>SUM(C104:D104)</f>
        <v>4803039</v>
      </c>
      <c r="C104" s="146">
        <f>SUM(C99:C103)</f>
        <v>4803039</v>
      </c>
      <c r="D104" s="146">
        <f t="shared" ref="D104:T104" si="32">SUM(D99:D103)</f>
        <v>0</v>
      </c>
      <c r="E104" s="146">
        <f t="shared" si="32"/>
        <v>2500000</v>
      </c>
      <c r="F104" s="146">
        <f t="shared" si="32"/>
        <v>0</v>
      </c>
      <c r="G104" s="146">
        <f t="shared" si="32"/>
        <v>0</v>
      </c>
      <c r="H104" s="146">
        <f t="shared" si="32"/>
        <v>0</v>
      </c>
      <c r="I104" s="146">
        <f t="shared" si="32"/>
        <v>0</v>
      </c>
      <c r="J104" s="146">
        <f t="shared" si="32"/>
        <v>2303039</v>
      </c>
      <c r="K104" s="146">
        <f t="shared" si="32"/>
        <v>0</v>
      </c>
      <c r="L104" s="146">
        <f t="shared" si="32"/>
        <v>0</v>
      </c>
      <c r="M104" s="146">
        <f t="shared" si="32"/>
        <v>0</v>
      </c>
      <c r="N104" s="146">
        <f t="shared" si="32"/>
        <v>0</v>
      </c>
      <c r="O104" s="146">
        <f t="shared" si="32"/>
        <v>0</v>
      </c>
      <c r="P104" s="146">
        <f t="shared" si="32"/>
        <v>0</v>
      </c>
      <c r="Q104" s="146">
        <f t="shared" si="32"/>
        <v>0</v>
      </c>
      <c r="R104" s="342">
        <f t="shared" si="32"/>
        <v>4803039</v>
      </c>
      <c r="S104" s="150">
        <f t="shared" si="32"/>
        <v>4803039</v>
      </c>
      <c r="T104" s="150">
        <f t="shared" si="32"/>
        <v>0</v>
      </c>
      <c r="U104" s="143"/>
    </row>
    <row r="105" spans="1:21" s="144" customFormat="1">
      <c r="A105" s="149" t="s">
        <v>780</v>
      </c>
      <c r="B105" s="150">
        <f>SUM(C105:D105)</f>
        <v>40811619</v>
      </c>
      <c r="C105" s="150">
        <f t="shared" ref="C105:R105" si="33">SUM(C97+C104)</f>
        <v>40811619</v>
      </c>
      <c r="D105" s="150">
        <f t="shared" si="33"/>
        <v>0</v>
      </c>
      <c r="E105" s="150">
        <f t="shared" si="33"/>
        <v>15454914</v>
      </c>
      <c r="F105" s="150">
        <f t="shared" si="33"/>
        <v>4629000</v>
      </c>
      <c r="G105" s="150">
        <f t="shared" si="33"/>
        <v>15424666</v>
      </c>
      <c r="H105" s="150">
        <f t="shared" si="33"/>
        <v>1800000</v>
      </c>
      <c r="I105" s="150">
        <f t="shared" si="33"/>
        <v>1200000</v>
      </c>
      <c r="J105" s="150">
        <f t="shared" si="33"/>
        <v>2303039</v>
      </c>
      <c r="K105" s="150">
        <f t="shared" si="33"/>
        <v>0</v>
      </c>
      <c r="L105" s="150">
        <f t="shared" si="33"/>
        <v>0</v>
      </c>
      <c r="M105" s="150">
        <f t="shared" si="33"/>
        <v>0</v>
      </c>
      <c r="N105" s="150">
        <f t="shared" si="33"/>
        <v>0</v>
      </c>
      <c r="O105" s="150">
        <f t="shared" si="33"/>
        <v>0</v>
      </c>
      <c r="P105" s="150">
        <f t="shared" si="33"/>
        <v>0</v>
      </c>
      <c r="Q105" s="150">
        <f t="shared" si="33"/>
        <v>0</v>
      </c>
      <c r="R105" s="342">
        <f t="shared" si="33"/>
        <v>40811619</v>
      </c>
      <c r="S105" s="150">
        <f>S97+S104</f>
        <v>36823301</v>
      </c>
      <c r="T105" s="150">
        <f>T97+T104</f>
        <v>0</v>
      </c>
      <c r="U105" s="143"/>
    </row>
    <row r="106" spans="1:21">
      <c r="A106" s="514" t="s">
        <v>1020</v>
      </c>
      <c r="B106" s="157"/>
      <c r="C106" s="157"/>
      <c r="D106" s="157"/>
      <c r="H106" s="159" t="s">
        <v>92</v>
      </c>
      <c r="I106" s="159"/>
      <c r="J106" s="159"/>
      <c r="R106" s="160" t="s">
        <v>93</v>
      </c>
      <c r="S106" s="147"/>
      <c r="T106" s="147"/>
    </row>
    <row r="107" spans="1:21">
      <c r="A107" s="157" t="s">
        <v>183</v>
      </c>
      <c r="C107" s="157"/>
      <c r="D107" s="157"/>
      <c r="I107" s="162" t="s">
        <v>349</v>
      </c>
      <c r="J107" s="162"/>
      <c r="R107" s="160" t="s">
        <v>94</v>
      </c>
      <c r="S107" s="150">
        <f>S105+S106</f>
        <v>36823301</v>
      </c>
      <c r="T107" s="150">
        <f>T105+T106</f>
        <v>0</v>
      </c>
    </row>
    <row r="108" spans="1:21" s="189" customFormat="1">
      <c r="A108" s="162" t="s">
        <v>879</v>
      </c>
      <c r="B108" s="157"/>
      <c r="C108" s="157"/>
      <c r="D108" s="157"/>
      <c r="E108" s="301">
        <f>Application!AO640</f>
        <v>15454914</v>
      </c>
      <c r="F108" s="301">
        <f>Application!AO627</f>
        <v>4629000</v>
      </c>
      <c r="G108" s="301">
        <f>Application!AO628</f>
        <v>15424666</v>
      </c>
      <c r="H108" s="301">
        <f>Application!AO629</f>
        <v>1800000</v>
      </c>
      <c r="I108" s="301">
        <f>Application!AO630</f>
        <v>1200000</v>
      </c>
      <c r="J108" s="301">
        <f>Application!AO631</f>
        <v>2303039</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35" customHeight="1">
      <c r="A109" s="157"/>
      <c r="B109" s="157"/>
      <c r="C109" s="157"/>
      <c r="D109" s="157"/>
    </row>
    <row r="110" spans="1:21">
      <c r="A110" s="162" t="s">
        <v>958</v>
      </c>
      <c r="B110" s="157"/>
      <c r="C110" s="157"/>
      <c r="D110" s="157"/>
    </row>
    <row r="111" spans="1:21">
      <c r="A111" s="156" t="s">
        <v>959</v>
      </c>
      <c r="B111" s="157"/>
      <c r="C111" s="157"/>
      <c r="D111" s="157"/>
    </row>
    <row r="112" spans="1:21" ht="12" customHeight="1">
      <c r="A112" s="312"/>
      <c r="B112" s="157"/>
      <c r="C112" s="157"/>
      <c r="D112" s="157"/>
    </row>
    <row r="113" spans="1:21">
      <c r="A113" s="156" t="s">
        <v>1019</v>
      </c>
      <c r="B113" s="157"/>
      <c r="C113" s="157"/>
      <c r="D113" s="157"/>
    </row>
    <row r="114" spans="1:21">
      <c r="A114" s="156" t="s">
        <v>2095</v>
      </c>
      <c r="B114" s="157"/>
      <c r="C114" s="157"/>
      <c r="D114" s="157"/>
    </row>
    <row r="115" spans="1:21" ht="12" customHeight="1">
      <c r="A115" s="312"/>
      <c r="B115" s="157"/>
      <c r="C115" s="157"/>
      <c r="D115" s="157"/>
    </row>
    <row r="116" spans="1:21">
      <c r="A116" s="345" t="s">
        <v>1022</v>
      </c>
      <c r="B116" s="157"/>
      <c r="C116" s="157"/>
      <c r="D116" s="157"/>
    </row>
    <row r="117" spans="1:21">
      <c r="A117" s="345" t="s">
        <v>1223</v>
      </c>
      <c r="B117" s="157"/>
      <c r="C117" s="157"/>
      <c r="D117" s="157"/>
    </row>
    <row r="118" spans="1:21">
      <c r="A118" s="345" t="s">
        <v>1021</v>
      </c>
      <c r="B118" s="157"/>
      <c r="C118" s="157"/>
      <c r="D118" s="157"/>
    </row>
    <row r="119" spans="1:21">
      <c r="A119" s="345" t="s">
        <v>1023</v>
      </c>
      <c r="B119" s="157"/>
      <c r="C119" s="157"/>
      <c r="D119" s="157"/>
    </row>
    <row r="120" spans="1:21" ht="12" customHeight="1">
      <c r="A120" s="344"/>
      <c r="B120" s="157"/>
      <c r="C120" s="157"/>
      <c r="D120" s="157"/>
    </row>
    <row r="121" spans="1:21" ht="15.75">
      <c r="A121" s="338" t="s">
        <v>1005</v>
      </c>
      <c r="B121" s="157"/>
      <c r="C121" s="157"/>
      <c r="D121" s="157"/>
    </row>
    <row r="122" spans="1:21">
      <c r="A122" s="325" t="s">
        <v>989</v>
      </c>
      <c r="B122" s="324"/>
      <c r="C122" s="324"/>
      <c r="D122" s="1869" t="s">
        <v>990</v>
      </c>
      <c r="E122" s="1869"/>
      <c r="F122" s="1869"/>
      <c r="G122" s="324"/>
      <c r="H122" s="324"/>
      <c r="I122" s="324"/>
      <c r="J122" s="324"/>
      <c r="K122" s="324"/>
      <c r="L122" s="324"/>
      <c r="M122" s="324"/>
      <c r="N122" s="324"/>
      <c r="O122" s="324"/>
      <c r="P122" s="324"/>
      <c r="Q122" s="324"/>
      <c r="R122" s="324"/>
      <c r="S122" s="324"/>
      <c r="T122" s="324"/>
      <c r="U122" s="326"/>
    </row>
    <row r="123" spans="1:21">
      <c r="A123" s="324" t="s">
        <v>991</v>
      </c>
      <c r="B123" s="333"/>
      <c r="C123" s="324"/>
      <c r="D123" s="1871" t="s">
        <v>1224</v>
      </c>
      <c r="E123" s="1804"/>
      <c r="F123" s="1804"/>
      <c r="G123" s="1804"/>
      <c r="H123" s="1804"/>
      <c r="I123" s="1804"/>
      <c r="J123" s="1804"/>
      <c r="K123" s="1804"/>
      <c r="L123" s="1804"/>
      <c r="M123" s="1804"/>
      <c r="N123" s="1804"/>
      <c r="O123" s="1804"/>
      <c r="P123" s="1804"/>
      <c r="Q123" s="1804"/>
      <c r="R123" s="1804"/>
      <c r="S123" s="1804"/>
      <c r="T123" s="324"/>
      <c r="U123" s="326"/>
    </row>
    <row r="124" spans="1:21" ht="12.75">
      <c r="A124" s="117" t="s">
        <v>992</v>
      </c>
      <c r="B124" s="333"/>
      <c r="C124" s="117"/>
      <c r="D124" s="1804"/>
      <c r="E124" s="1804"/>
      <c r="F124" s="1804"/>
      <c r="G124" s="1804"/>
      <c r="H124" s="1804"/>
      <c r="I124" s="1804"/>
      <c r="J124" s="1804"/>
      <c r="K124" s="1804"/>
      <c r="L124" s="1804"/>
      <c r="M124" s="1804"/>
      <c r="N124" s="1804"/>
      <c r="O124" s="1804"/>
      <c r="P124" s="1804"/>
      <c r="Q124" s="1804"/>
      <c r="R124" s="1804"/>
      <c r="S124" s="1804"/>
      <c r="T124" s="324"/>
      <c r="U124" s="326"/>
    </row>
    <row r="125" spans="1:21" ht="12.75">
      <c r="A125" s="117" t="s">
        <v>993</v>
      </c>
      <c r="B125" s="333">
        <v>57500</v>
      </c>
      <c r="C125" s="117"/>
      <c r="D125" s="1804"/>
      <c r="E125" s="1804"/>
      <c r="F125" s="1804"/>
      <c r="G125" s="1804"/>
      <c r="H125" s="1804"/>
      <c r="I125" s="1804"/>
      <c r="J125" s="1804"/>
      <c r="K125" s="1804"/>
      <c r="L125" s="1804"/>
      <c r="M125" s="1804"/>
      <c r="N125" s="1804"/>
      <c r="O125" s="1804"/>
      <c r="P125" s="1804"/>
      <c r="Q125" s="1804"/>
      <c r="R125" s="1804"/>
      <c r="S125" s="1804"/>
      <c r="T125" s="324"/>
      <c r="U125" s="326"/>
    </row>
    <row r="126" spans="1:21" ht="12.75">
      <c r="A126" s="117" t="s">
        <v>994</v>
      </c>
      <c r="B126" s="333">
        <v>135000</v>
      </c>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995</v>
      </c>
      <c r="B127" s="333">
        <v>20000</v>
      </c>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996</v>
      </c>
      <c r="B128" s="333"/>
      <c r="C128" s="117"/>
      <c r="D128" s="1866"/>
      <c r="E128" s="1866"/>
      <c r="F128" s="1866"/>
      <c r="G128" s="1866"/>
      <c r="H128" s="1866"/>
      <c r="I128" s="117"/>
      <c r="J128" s="1867"/>
      <c r="K128" s="1867"/>
      <c r="L128" s="117"/>
      <c r="M128" s="117"/>
      <c r="N128" s="117"/>
      <c r="O128" s="117"/>
      <c r="P128" s="117"/>
      <c r="Q128" s="117"/>
      <c r="R128" s="117"/>
      <c r="S128" s="117"/>
      <c r="T128" s="324"/>
      <c r="U128" s="326"/>
    </row>
    <row r="129" spans="1:21" ht="12.75">
      <c r="A129" s="117" t="s">
        <v>299</v>
      </c>
      <c r="B129" s="333"/>
      <c r="C129" s="117"/>
      <c r="D129" s="1868" t="s">
        <v>997</v>
      </c>
      <c r="E129" s="1868"/>
      <c r="F129" s="1868"/>
      <c r="G129" s="1868"/>
      <c r="H129" s="1868"/>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999</v>
      </c>
      <c r="B131" s="334">
        <f>SUM(B123:B129)</f>
        <v>212500</v>
      </c>
      <c r="C131" s="117"/>
      <c r="D131" s="1812"/>
      <c r="E131" s="1812"/>
      <c r="F131" s="1812"/>
      <c r="G131" s="1812"/>
      <c r="H131" s="1812"/>
      <c r="I131" s="117"/>
      <c r="J131" s="1812"/>
      <c r="K131" s="1812"/>
      <c r="L131" s="1812"/>
      <c r="M131" s="1812"/>
      <c r="N131" s="117"/>
      <c r="O131" s="117"/>
      <c r="P131" s="117"/>
      <c r="Q131" s="117"/>
      <c r="R131" s="117"/>
      <c r="S131" s="117"/>
      <c r="T131" s="324"/>
      <c r="U131" s="326"/>
    </row>
    <row r="132" spans="1:21" ht="12" customHeight="1">
      <c r="A132" s="336"/>
      <c r="B132" s="117"/>
      <c r="C132" s="117"/>
      <c r="D132" s="1872" t="s">
        <v>1000</v>
      </c>
      <c r="E132" s="1872"/>
      <c r="F132" s="1872"/>
      <c r="G132" s="1872"/>
      <c r="H132" s="1872"/>
      <c r="I132" s="117"/>
      <c r="J132" s="1872" t="s">
        <v>1001</v>
      </c>
      <c r="K132" s="1872"/>
      <c r="L132" s="1872"/>
      <c r="M132" s="1872"/>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3"/>
      <c r="B138" s="1866"/>
      <c r="C138" s="1866"/>
      <c r="D138" s="328"/>
      <c r="E138" s="1867"/>
      <c r="F138" s="1867"/>
      <c r="G138" s="117"/>
      <c r="H138" s="117"/>
      <c r="I138" s="117"/>
      <c r="J138" s="117"/>
      <c r="K138" s="117"/>
      <c r="L138" s="117"/>
      <c r="M138" s="117"/>
      <c r="N138" s="117"/>
      <c r="O138" s="117"/>
      <c r="P138" s="117"/>
      <c r="Q138" s="117"/>
      <c r="R138" s="117"/>
      <c r="S138" s="117"/>
      <c r="T138" s="330"/>
      <c r="U138" s="331"/>
    </row>
    <row r="139" spans="1:21" ht="12.75">
      <c r="A139" s="1870" t="s">
        <v>1004</v>
      </c>
      <c r="B139" s="1870"/>
      <c r="C139" s="1870"/>
      <c r="D139" s="328"/>
      <c r="E139" s="117" t="s">
        <v>998</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68" workbookViewId="0">
      <selection activeCell="F64" sqref="F64"/>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6" t="s">
        <v>1227</v>
      </c>
      <c r="B1" s="1877"/>
      <c r="C1" s="1877"/>
      <c r="D1" s="1877"/>
      <c r="E1" s="1877"/>
      <c r="F1" s="1877"/>
      <c r="G1" s="1877"/>
      <c r="H1" s="1877"/>
      <c r="I1" s="1877"/>
      <c r="J1" s="1878"/>
      <c r="K1" s="355"/>
    </row>
    <row r="2" spans="1:11" s="401" customFormat="1" ht="72">
      <c r="A2" s="398"/>
      <c r="B2" s="399" t="s">
        <v>1027</v>
      </c>
      <c r="C2" s="399" t="s">
        <v>1229</v>
      </c>
      <c r="D2" s="399" t="s">
        <v>1230</v>
      </c>
      <c r="E2" s="399" t="s">
        <v>1158</v>
      </c>
      <c r="F2" s="399" t="s">
        <v>1231</v>
      </c>
      <c r="G2" s="399" t="s">
        <v>1232</v>
      </c>
      <c r="H2" s="399" t="s">
        <v>1028</v>
      </c>
      <c r="I2" s="399" t="s">
        <v>1233</v>
      </c>
      <c r="J2" s="399" t="s">
        <v>1234</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1631453</v>
      </c>
      <c r="C4" s="362">
        <f>B4</f>
        <v>1631453</v>
      </c>
      <c r="D4" s="362"/>
      <c r="E4" s="363"/>
      <c r="F4" s="363"/>
      <c r="G4" s="363"/>
      <c r="H4" s="363"/>
      <c r="I4" s="363"/>
      <c r="J4" s="363"/>
      <c r="K4" s="359"/>
    </row>
    <row r="5" spans="1:11" s="360" customFormat="1">
      <c r="A5" s="364" t="s">
        <v>28</v>
      </c>
      <c r="B5" s="361">
        <f>'Sources and Uses Budget'!C5</f>
        <v>22500</v>
      </c>
      <c r="C5" s="362">
        <f t="shared" ref="C5:C6" si="0">B5</f>
        <v>22500</v>
      </c>
      <c r="D5" s="362"/>
      <c r="E5" s="363"/>
      <c r="F5" s="363"/>
      <c r="G5" s="363"/>
      <c r="H5" s="363"/>
      <c r="I5" s="363"/>
      <c r="J5" s="363"/>
      <c r="K5" s="359"/>
    </row>
    <row r="6" spans="1:11" s="360" customFormat="1">
      <c r="A6" s="364" t="s">
        <v>29</v>
      </c>
      <c r="B6" s="361">
        <f>'Sources and Uses Budget'!C6</f>
        <v>10000</v>
      </c>
      <c r="C6" s="362">
        <f t="shared" si="0"/>
        <v>10000</v>
      </c>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593</v>
      </c>
      <c r="B8" s="361">
        <f>'Sources and Uses Budget'!C8</f>
        <v>1663953</v>
      </c>
      <c r="C8" s="361">
        <f>SUM(C4:C7)</f>
        <v>1663953</v>
      </c>
      <c r="D8" s="361">
        <f>SUM(D4:D7)</f>
        <v>0</v>
      </c>
      <c r="E8" s="363"/>
      <c r="F8" s="363"/>
      <c r="G8" s="363"/>
      <c r="H8" s="363"/>
      <c r="I8" s="363"/>
      <c r="J8" s="363"/>
      <c r="K8" s="359"/>
    </row>
    <row r="9" spans="1:11" s="360" customFormat="1">
      <c r="A9" s="364" t="s">
        <v>594</v>
      </c>
      <c r="B9" s="361">
        <f>'Sources and Uses Budget'!C9</f>
        <v>0</v>
      </c>
      <c r="C9" s="362"/>
      <c r="D9" s="362"/>
      <c r="E9" s="363"/>
      <c r="F9" s="363"/>
      <c r="G9" s="363"/>
      <c r="H9" s="361">
        <f>'Sources and Uses Budget'!T9</f>
        <v>0</v>
      </c>
      <c r="I9" s="362"/>
      <c r="J9" s="362"/>
      <c r="K9" s="359"/>
    </row>
    <row r="10" spans="1:11" s="360" customFormat="1">
      <c r="A10" s="364" t="s">
        <v>595</v>
      </c>
      <c r="B10" s="361">
        <f>'Sources and Uses Budget'!C10</f>
        <v>773950</v>
      </c>
      <c r="C10" s="362">
        <f t="shared" ref="C10" si="1">B10</f>
        <v>773950</v>
      </c>
      <c r="D10" s="362"/>
      <c r="E10" s="361">
        <f>'Sources and Uses Budget'!S10</f>
        <v>773950</v>
      </c>
      <c r="F10" s="362">
        <f>B10</f>
        <v>773950</v>
      </c>
      <c r="G10" s="362"/>
      <c r="H10" s="361">
        <f>'Sources and Uses Budget'!T10</f>
        <v>0</v>
      </c>
      <c r="I10" s="362"/>
      <c r="J10" s="362"/>
      <c r="K10" s="359"/>
    </row>
    <row r="11" spans="1:11" s="360" customFormat="1">
      <c r="A11" s="365" t="s">
        <v>596</v>
      </c>
      <c r="B11" s="361">
        <f>'Sources and Uses Budget'!C11</f>
        <v>773950</v>
      </c>
      <c r="C11" s="361">
        <f>SUM(C9:C10)</f>
        <v>773950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2437903</v>
      </c>
      <c r="C12" s="361">
        <f>SUM(C8+C11)</f>
        <v>2437903</v>
      </c>
      <c r="D12" s="361">
        <f>SUM(D8+D11)</f>
        <v>0</v>
      </c>
      <c r="E12" s="363"/>
      <c r="F12" s="363"/>
      <c r="G12" s="363"/>
      <c r="H12" s="363"/>
      <c r="I12" s="363"/>
      <c r="J12" s="363"/>
      <c r="K12" s="359"/>
    </row>
    <row r="13" spans="1:11" s="360" customFormat="1">
      <c r="A13" s="366" t="s">
        <v>902</v>
      </c>
      <c r="B13" s="361">
        <f>'Sources and Uses Budget'!C13</f>
        <v>375000</v>
      </c>
      <c r="C13" s="362">
        <f t="shared" ref="C13" si="2">B13</f>
        <v>375000</v>
      </c>
      <c r="D13" s="362"/>
      <c r="E13" s="361">
        <f>'Sources and Uses Budget'!S13</f>
        <v>0</v>
      </c>
      <c r="F13" s="362"/>
      <c r="G13" s="362"/>
      <c r="H13" s="361">
        <f>'Sources and Uses Budget'!T13</f>
        <v>0</v>
      </c>
      <c r="I13" s="362"/>
      <c r="J13" s="362"/>
      <c r="K13" s="359"/>
    </row>
    <row r="14" spans="1:11" s="360" customFormat="1" ht="24">
      <c r="A14" s="364" t="s">
        <v>903</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1161</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597</v>
      </c>
      <c r="B16" s="358"/>
      <c r="C16" s="358"/>
      <c r="D16" s="358"/>
      <c r="E16" s="358"/>
      <c r="F16" s="358"/>
      <c r="G16" s="358"/>
      <c r="H16" s="358"/>
      <c r="I16" s="358"/>
      <c r="J16" s="358"/>
      <c r="K16" s="359"/>
    </row>
    <row r="17" spans="1:11" s="360" customFormat="1">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1640</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598</v>
      </c>
      <c r="B29" s="361">
        <f>'Sources and Uses Budget'!C29</f>
        <v>0</v>
      </c>
      <c r="C29" s="362"/>
      <c r="D29" s="362"/>
      <c r="E29" s="361">
        <f>'Sources and Uses Budget'!S29</f>
        <v>0</v>
      </c>
      <c r="F29" s="362"/>
      <c r="G29" s="362"/>
      <c r="H29" s="361">
        <f>'Sources and Uses Budget'!T29</f>
        <v>0</v>
      </c>
      <c r="I29" s="362"/>
      <c r="J29" s="362"/>
      <c r="K29" s="359"/>
    </row>
    <row r="30" spans="1:11" s="360" customFormat="1">
      <c r="A30" s="145" t="s">
        <v>599</v>
      </c>
      <c r="B30" s="361">
        <f>'Sources and Uses Budget'!C30</f>
        <v>20598857</v>
      </c>
      <c r="C30" s="362">
        <f t="shared" ref="C30:C37" si="3">B30</f>
        <v>20598857</v>
      </c>
      <c r="D30" s="362"/>
      <c r="E30" s="361">
        <f>'Sources and Uses Budget'!S30</f>
        <v>20598857</v>
      </c>
      <c r="F30" s="362">
        <f>B30</f>
        <v>20598857</v>
      </c>
      <c r="G30" s="362"/>
      <c r="H30" s="361">
        <f>'Sources and Uses Budget'!T30</f>
        <v>0</v>
      </c>
      <c r="I30" s="362"/>
      <c r="J30" s="362"/>
      <c r="K30" s="359"/>
    </row>
    <row r="31" spans="1:11" s="360" customFormat="1">
      <c r="A31" s="145" t="s">
        <v>600</v>
      </c>
      <c r="B31" s="361">
        <f>'Sources and Uses Budget'!C31</f>
        <v>1303496</v>
      </c>
      <c r="C31" s="362">
        <f t="shared" si="3"/>
        <v>1303496</v>
      </c>
      <c r="D31" s="362"/>
      <c r="E31" s="361">
        <f>'Sources and Uses Budget'!S31</f>
        <v>1303496</v>
      </c>
      <c r="F31" s="362">
        <f t="shared" ref="F31:F36" si="4">B31</f>
        <v>1303496</v>
      </c>
      <c r="G31" s="362"/>
      <c r="H31" s="361">
        <f>'Sources and Uses Budget'!T31</f>
        <v>0</v>
      </c>
      <c r="I31" s="362"/>
      <c r="J31" s="362"/>
      <c r="K31" s="359"/>
    </row>
    <row r="32" spans="1:11" s="360" customFormat="1">
      <c r="A32" s="145" t="s">
        <v>137</v>
      </c>
      <c r="B32" s="361">
        <f>'Sources and Uses Budget'!C32</f>
        <v>921137</v>
      </c>
      <c r="C32" s="362">
        <f t="shared" si="3"/>
        <v>921137</v>
      </c>
      <c r="D32" s="362"/>
      <c r="E32" s="361">
        <f>'Sources and Uses Budget'!S32</f>
        <v>921137</v>
      </c>
      <c r="F32" s="362">
        <f t="shared" si="4"/>
        <v>921137</v>
      </c>
      <c r="G32" s="362"/>
      <c r="H32" s="361">
        <f>'Sources and Uses Budget'!T32</f>
        <v>0</v>
      </c>
      <c r="I32" s="362"/>
      <c r="J32" s="362"/>
      <c r="K32" s="359"/>
    </row>
    <row r="33" spans="1:11" s="360" customFormat="1">
      <c r="A33" s="145" t="s">
        <v>138</v>
      </c>
      <c r="B33" s="361">
        <f>'Sources and Uses Budget'!C33</f>
        <v>921138</v>
      </c>
      <c r="C33" s="362">
        <f t="shared" si="3"/>
        <v>921138</v>
      </c>
      <c r="D33" s="362"/>
      <c r="E33" s="361">
        <f>'Sources and Uses Budget'!S33</f>
        <v>921138</v>
      </c>
      <c r="F33" s="362">
        <f t="shared" si="4"/>
        <v>921138</v>
      </c>
      <c r="G33" s="362"/>
      <c r="H33" s="361">
        <f>'Sources and Uses Budget'!T33</f>
        <v>0</v>
      </c>
      <c r="I33" s="362"/>
      <c r="J33" s="362"/>
      <c r="K33" s="359"/>
    </row>
    <row r="34" spans="1:11" s="360" customFormat="1">
      <c r="A34" s="145" t="s">
        <v>139</v>
      </c>
      <c r="B34" s="361">
        <f>'Sources and Uses Budget'!C34</f>
        <v>0</v>
      </c>
      <c r="C34" s="362">
        <f t="shared" si="3"/>
        <v>0</v>
      </c>
      <c r="D34" s="362"/>
      <c r="E34" s="361">
        <f>'Sources and Uses Budget'!S34</f>
        <v>0</v>
      </c>
      <c r="F34" s="362">
        <f t="shared" si="4"/>
        <v>0</v>
      </c>
      <c r="G34" s="362"/>
      <c r="H34" s="361">
        <f>'Sources and Uses Budget'!T34</f>
        <v>0</v>
      </c>
      <c r="I34" s="362"/>
      <c r="J34" s="362"/>
      <c r="K34" s="359"/>
    </row>
    <row r="35" spans="1:11" s="360" customFormat="1">
      <c r="A35" s="145" t="s">
        <v>140</v>
      </c>
      <c r="B35" s="361">
        <f>'Sources and Uses Budget'!C35</f>
        <v>0</v>
      </c>
      <c r="C35" s="362">
        <f t="shared" si="3"/>
        <v>0</v>
      </c>
      <c r="D35" s="362"/>
      <c r="E35" s="361">
        <f>'Sources and Uses Budget'!S35</f>
        <v>0</v>
      </c>
      <c r="F35" s="362">
        <f t="shared" si="4"/>
        <v>0</v>
      </c>
      <c r="G35" s="362"/>
      <c r="H35" s="361">
        <f>'Sources and Uses Budget'!T35</f>
        <v>0</v>
      </c>
      <c r="I35" s="362"/>
      <c r="J35" s="362"/>
      <c r="K35" s="359"/>
    </row>
    <row r="36" spans="1:11" s="360" customFormat="1">
      <c r="A36" s="508" t="s">
        <v>1640</v>
      </c>
      <c r="B36" s="361">
        <f>'Sources and Uses Budget'!C36</f>
        <v>50000</v>
      </c>
      <c r="C36" s="362">
        <f t="shared" si="3"/>
        <v>50000</v>
      </c>
      <c r="D36" s="362"/>
      <c r="E36" s="361">
        <f>'Sources and Uses Budget'!S36</f>
        <v>50000</v>
      </c>
      <c r="F36" s="362">
        <f t="shared" si="4"/>
        <v>50000</v>
      </c>
      <c r="G36" s="362"/>
      <c r="H36" s="361">
        <f>'Sources and Uses Budget'!T36</f>
        <v>0</v>
      </c>
      <c r="I36" s="362"/>
      <c r="J36" s="362"/>
      <c r="K36" s="359"/>
    </row>
    <row r="37" spans="1:11" s="360" customFormat="1">
      <c r="A37" s="364" t="str">
        <f>'Sources and Uses Budget'!$A37</f>
        <v>Rough Grading</v>
      </c>
      <c r="B37" s="361">
        <f>'Sources and Uses Budget'!C37</f>
        <v>329640</v>
      </c>
      <c r="C37" s="362">
        <f t="shared" si="3"/>
        <v>329640</v>
      </c>
      <c r="D37" s="362"/>
      <c r="E37" s="361">
        <f>'Sources and Uses Budget'!S37</f>
        <v>0</v>
      </c>
      <c r="F37" s="362"/>
      <c r="G37" s="362"/>
      <c r="H37" s="361">
        <f>'Sources and Uses Budget'!T37</f>
        <v>0</v>
      </c>
      <c r="I37" s="362"/>
      <c r="J37" s="362"/>
      <c r="K37" s="359"/>
    </row>
    <row r="38" spans="1:11" s="360" customFormat="1">
      <c r="A38" s="365" t="s">
        <v>143</v>
      </c>
      <c r="B38" s="361">
        <f>'Sources and Uses Budget'!C38</f>
        <v>24124268</v>
      </c>
      <c r="C38" s="361">
        <f>SUM(C29:C37)</f>
        <v>24124268</v>
      </c>
      <c r="D38" s="361">
        <f>SUM(D29:D37)</f>
        <v>0</v>
      </c>
      <c r="E38" s="361">
        <f>'Sources and Uses Budget'!S38</f>
        <v>23794628</v>
      </c>
      <c r="F38" s="367">
        <f>SUM(F29:F37)</f>
        <v>23794628</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850000</v>
      </c>
      <c r="C40" s="362">
        <f t="shared" ref="C40:C41" si="5">B40</f>
        <v>850000</v>
      </c>
      <c r="D40" s="362"/>
      <c r="E40" s="361">
        <f>'Sources and Uses Budget'!S40</f>
        <v>850000</v>
      </c>
      <c r="F40" s="362">
        <f t="shared" ref="F40:F41" si="6">B40</f>
        <v>850000</v>
      </c>
      <c r="G40" s="362"/>
      <c r="H40" s="361">
        <f>'Sources and Uses Budget'!T40</f>
        <v>0</v>
      </c>
      <c r="I40" s="362"/>
      <c r="J40" s="362"/>
      <c r="K40" s="359"/>
    </row>
    <row r="41" spans="1:11" s="360" customFormat="1">
      <c r="A41" s="364" t="s">
        <v>146</v>
      </c>
      <c r="B41" s="361">
        <f>'Sources and Uses Budget'!C41</f>
        <v>250000</v>
      </c>
      <c r="C41" s="362">
        <f t="shared" si="5"/>
        <v>250000</v>
      </c>
      <c r="D41" s="362"/>
      <c r="E41" s="361">
        <f>'Sources and Uses Budget'!S41</f>
        <v>250000</v>
      </c>
      <c r="F41" s="362">
        <f t="shared" si="6"/>
        <v>250000</v>
      </c>
      <c r="G41" s="362"/>
      <c r="H41" s="361">
        <f>'Sources and Uses Budget'!T41</f>
        <v>0</v>
      </c>
      <c r="I41" s="362"/>
      <c r="J41" s="362"/>
      <c r="K41" s="359"/>
    </row>
    <row r="42" spans="1:11" s="360" customFormat="1">
      <c r="A42" s="365" t="s">
        <v>147</v>
      </c>
      <c r="B42" s="361">
        <f>'Sources and Uses Budget'!C42</f>
        <v>1100000</v>
      </c>
      <c r="C42" s="361">
        <f>SUM(C39:C41)</f>
        <v>1100000</v>
      </c>
      <c r="D42" s="361">
        <f>SUM(D39:D41)</f>
        <v>0</v>
      </c>
      <c r="E42" s="361">
        <f>'Sources and Uses Budget'!S42</f>
        <v>1100000</v>
      </c>
      <c r="F42" s="367">
        <f>SUM(F40:F41)</f>
        <v>1100000</v>
      </c>
      <c r="G42" s="367">
        <f>SUM(G40:G41)</f>
        <v>0</v>
      </c>
      <c r="H42" s="361">
        <f>'Sources and Uses Budget'!T42</f>
        <v>0</v>
      </c>
      <c r="I42" s="367">
        <f>SUM(I40:I41)</f>
        <v>0</v>
      </c>
      <c r="J42" s="367">
        <f>SUM(J40:J41)</f>
        <v>0</v>
      </c>
      <c r="K42" s="359"/>
    </row>
    <row r="43" spans="1:11" s="360" customFormat="1">
      <c r="A43" s="365" t="s">
        <v>148</v>
      </c>
      <c r="B43" s="361">
        <f>'Sources and Uses Budget'!C43</f>
        <v>315000</v>
      </c>
      <c r="C43" s="362">
        <f t="shared" ref="C43" si="7">B43</f>
        <v>315000</v>
      </c>
      <c r="D43" s="362"/>
      <c r="E43" s="361">
        <f>'Sources and Uses Budget'!S43</f>
        <v>315000</v>
      </c>
      <c r="F43" s="362">
        <f t="shared" ref="F43" si="8">B43</f>
        <v>315000</v>
      </c>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1669476</v>
      </c>
      <c r="C45" s="362">
        <f t="shared" ref="C45:C53" si="9">B45</f>
        <v>1669476</v>
      </c>
      <c r="D45" s="362"/>
      <c r="E45" s="361">
        <f>'Sources and Uses Budget'!S45</f>
        <v>783405</v>
      </c>
      <c r="F45" s="362">
        <f>E45</f>
        <v>783405</v>
      </c>
      <c r="G45" s="362"/>
      <c r="H45" s="361">
        <f>'Sources and Uses Budget'!T45</f>
        <v>0</v>
      </c>
      <c r="I45" s="362"/>
      <c r="J45" s="362"/>
      <c r="K45" s="359"/>
    </row>
    <row r="46" spans="1:11" s="360" customFormat="1">
      <c r="A46" s="364" t="s">
        <v>151</v>
      </c>
      <c r="B46" s="361">
        <f>'Sources and Uses Budget'!C46</f>
        <v>190703</v>
      </c>
      <c r="C46" s="362">
        <f t="shared" si="9"/>
        <v>190703</v>
      </c>
      <c r="D46" s="362"/>
      <c r="E46" s="361">
        <f>'Sources and Uses Budget'!S46</f>
        <v>90432</v>
      </c>
      <c r="F46" s="362">
        <f t="shared" ref="F46:F53" si="10">E46</f>
        <v>90432</v>
      </c>
      <c r="G46" s="362"/>
      <c r="H46" s="361">
        <f>'Sources and Uses Budget'!T46</f>
        <v>0</v>
      </c>
      <c r="I46" s="362"/>
      <c r="J46" s="362"/>
      <c r="K46" s="359"/>
    </row>
    <row r="47" spans="1:11" s="360" customFormat="1" ht="12" customHeight="1">
      <c r="A47" s="364" t="s">
        <v>152</v>
      </c>
      <c r="B47" s="361">
        <f>'Sources and Uses Budget'!C47</f>
        <v>0</v>
      </c>
      <c r="C47" s="362">
        <f t="shared" si="9"/>
        <v>0</v>
      </c>
      <c r="D47" s="362"/>
      <c r="E47" s="361">
        <f>'Sources and Uses Budget'!S47</f>
        <v>0</v>
      </c>
      <c r="F47" s="362">
        <f t="shared" si="10"/>
        <v>0</v>
      </c>
      <c r="G47" s="362"/>
      <c r="H47" s="361">
        <f>'Sources and Uses Budget'!T47</f>
        <v>0</v>
      </c>
      <c r="I47" s="362"/>
      <c r="J47" s="362"/>
      <c r="K47" s="359"/>
    </row>
    <row r="48" spans="1:11" s="360" customFormat="1">
      <c r="A48" s="364" t="s">
        <v>153</v>
      </c>
      <c r="B48" s="361">
        <f>'Sources and Uses Budget'!C48</f>
        <v>0</v>
      </c>
      <c r="C48" s="362">
        <f t="shared" si="9"/>
        <v>0</v>
      </c>
      <c r="D48" s="362"/>
      <c r="E48" s="361">
        <f>'Sources and Uses Budget'!S48</f>
        <v>0</v>
      </c>
      <c r="F48" s="362">
        <f t="shared" si="10"/>
        <v>0</v>
      </c>
      <c r="G48" s="362"/>
      <c r="H48" s="361">
        <f>'Sources and Uses Budget'!T48</f>
        <v>0</v>
      </c>
      <c r="I48" s="362"/>
      <c r="J48" s="362"/>
      <c r="K48" s="359"/>
    </row>
    <row r="49" spans="1:11" s="360" customFormat="1">
      <c r="A49" s="283" t="s">
        <v>57</v>
      </c>
      <c r="B49" s="361">
        <f>'Sources and Uses Budget'!C49</f>
        <v>104857</v>
      </c>
      <c r="C49" s="362">
        <f t="shared" si="9"/>
        <v>104857</v>
      </c>
      <c r="D49" s="362"/>
      <c r="E49" s="361">
        <f>'Sources and Uses Budget'!S49</f>
        <v>13645</v>
      </c>
      <c r="F49" s="362">
        <f t="shared" si="10"/>
        <v>13645</v>
      </c>
      <c r="G49" s="362"/>
      <c r="H49" s="361">
        <f>'Sources and Uses Budget'!T49</f>
        <v>0</v>
      </c>
      <c r="I49" s="362"/>
      <c r="J49" s="362"/>
      <c r="K49" s="359"/>
    </row>
    <row r="50" spans="1:11" s="360" customFormat="1">
      <c r="A50" s="364" t="s">
        <v>156</v>
      </c>
      <c r="B50" s="361">
        <f>'Sources and Uses Budget'!C50</f>
        <v>110000</v>
      </c>
      <c r="C50" s="362">
        <f t="shared" si="9"/>
        <v>110000</v>
      </c>
      <c r="D50" s="362"/>
      <c r="E50" s="361">
        <f>'Sources and Uses Budget'!S50</f>
        <v>110000</v>
      </c>
      <c r="F50" s="362">
        <f t="shared" si="10"/>
        <v>110000</v>
      </c>
      <c r="G50" s="362"/>
      <c r="H50" s="361">
        <f>'Sources and Uses Budget'!T50</f>
        <v>0</v>
      </c>
      <c r="I50" s="362"/>
      <c r="J50" s="362"/>
      <c r="K50" s="359"/>
    </row>
    <row r="51" spans="1:11" s="360" customFormat="1">
      <c r="A51" s="364" t="s">
        <v>154</v>
      </c>
      <c r="B51" s="361">
        <f>'Sources and Uses Budget'!C51</f>
        <v>40000</v>
      </c>
      <c r="C51" s="362">
        <f t="shared" si="9"/>
        <v>40000</v>
      </c>
      <c r="D51" s="362"/>
      <c r="E51" s="361">
        <f>'Sources and Uses Budget'!S51</f>
        <v>40000</v>
      </c>
      <c r="F51" s="362">
        <f t="shared" si="10"/>
        <v>40000</v>
      </c>
      <c r="G51" s="362"/>
      <c r="H51" s="361">
        <f>'Sources and Uses Budget'!T51</f>
        <v>0</v>
      </c>
      <c r="I51" s="362"/>
      <c r="J51" s="362"/>
      <c r="K51" s="359"/>
    </row>
    <row r="52" spans="1:11" s="360" customFormat="1">
      <c r="A52" s="364" t="s">
        <v>155</v>
      </c>
      <c r="B52" s="361">
        <f>'Sources and Uses Budget'!C52</f>
        <v>1000757</v>
      </c>
      <c r="C52" s="362">
        <f t="shared" si="9"/>
        <v>1000757</v>
      </c>
      <c r="D52" s="362"/>
      <c r="E52" s="361">
        <f>'Sources and Uses Budget'!S52</f>
        <v>1000757</v>
      </c>
      <c r="F52" s="362">
        <f t="shared" si="10"/>
        <v>1000757</v>
      </c>
      <c r="G52" s="362"/>
      <c r="H52" s="361">
        <f>'Sources and Uses Budget'!T52</f>
        <v>0</v>
      </c>
      <c r="I52" s="362"/>
      <c r="J52" s="362"/>
      <c r="K52" s="359"/>
    </row>
    <row r="53" spans="1:11" s="360" customFormat="1">
      <c r="A53" s="364" t="str">
        <f>'Sources and Uses Budget'!$A53</f>
        <v>Lender Expenses</v>
      </c>
      <c r="B53" s="361">
        <f>'Sources and Uses Budget'!C53</f>
        <v>35000</v>
      </c>
      <c r="C53" s="362">
        <f t="shared" si="9"/>
        <v>35000</v>
      </c>
      <c r="D53" s="362"/>
      <c r="E53" s="361">
        <f>'Sources and Uses Budget'!S53</f>
        <v>16597</v>
      </c>
      <c r="F53" s="362">
        <f t="shared" si="10"/>
        <v>16597</v>
      </c>
      <c r="G53" s="362"/>
      <c r="H53" s="361">
        <f>'Sources and Uses Budget'!T53</f>
        <v>0</v>
      </c>
      <c r="I53" s="362"/>
      <c r="J53" s="362"/>
      <c r="K53" s="359"/>
    </row>
    <row r="54" spans="1:11" s="369" customFormat="1">
      <c r="A54" s="365" t="s">
        <v>157</v>
      </c>
      <c r="B54" s="361">
        <f>'Sources and Uses Budget'!C54</f>
        <v>3150793</v>
      </c>
      <c r="C54" s="367">
        <f>SUM(C45:C53)</f>
        <v>3150793</v>
      </c>
      <c r="D54" s="367">
        <f>SUM(D45:D53)</f>
        <v>0</v>
      </c>
      <c r="E54" s="361">
        <f>'Sources and Uses Budget'!S54</f>
        <v>2054836</v>
      </c>
      <c r="F54" s="367">
        <f>SUM(F45:F53)</f>
        <v>2054836</v>
      </c>
      <c r="G54" s="367">
        <f>SUM(G45:G53)</f>
        <v>0</v>
      </c>
      <c r="H54" s="361">
        <f>'Sources and Uses Budget'!T54</f>
        <v>0</v>
      </c>
      <c r="I54" s="367">
        <f>SUM(I45:I53)</f>
        <v>0</v>
      </c>
      <c r="J54" s="367">
        <f>SUM(J45:J53)</f>
        <v>0</v>
      </c>
      <c r="K54" s="368"/>
    </row>
    <row r="55" spans="1:11" s="360" customFormat="1">
      <c r="A55" s="357" t="s">
        <v>417</v>
      </c>
      <c r="B55" s="358"/>
      <c r="C55" s="358"/>
      <c r="D55" s="358"/>
      <c r="E55" s="358"/>
      <c r="F55" s="358"/>
      <c r="G55" s="358"/>
      <c r="H55" s="358"/>
      <c r="I55" s="358"/>
      <c r="J55" s="358"/>
      <c r="K55" s="359"/>
    </row>
    <row r="56" spans="1:11" s="360" customFormat="1">
      <c r="A56" s="364" t="s">
        <v>158</v>
      </c>
      <c r="B56" s="361">
        <f>'Sources and Uses Budget'!C56</f>
        <v>0</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25000</v>
      </c>
      <c r="C58" s="362">
        <f t="shared" ref="C58" si="11">B58</f>
        <v>25000</v>
      </c>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Lender Expenses</v>
      </c>
      <c r="B61" s="361">
        <f>'Sources and Uses Budget'!C61</f>
        <v>10000</v>
      </c>
      <c r="C61" s="362">
        <f t="shared" ref="C61" si="12">B61</f>
        <v>10000</v>
      </c>
      <c r="D61" s="362"/>
      <c r="E61" s="363"/>
      <c r="F61" s="363"/>
      <c r="G61" s="363"/>
      <c r="H61" s="363"/>
      <c r="I61" s="363"/>
      <c r="J61" s="363"/>
      <c r="K61" s="359"/>
    </row>
    <row r="62" spans="1:11" s="360" customFormat="1" ht="13.7" customHeight="1">
      <c r="A62" s="365" t="s">
        <v>300</v>
      </c>
      <c r="B62" s="361">
        <f>'Sources and Uses Budget'!C62</f>
        <v>35000</v>
      </c>
      <c r="C62" s="361">
        <f>SUM(C56:C61)</f>
        <v>35000</v>
      </c>
      <c r="D62" s="361">
        <f>SUM(D56:D61)</f>
        <v>0</v>
      </c>
      <c r="E62" s="363"/>
      <c r="F62" s="363"/>
      <c r="G62" s="363"/>
      <c r="H62" s="363"/>
      <c r="I62" s="363"/>
      <c r="J62" s="363"/>
      <c r="K62" s="359"/>
    </row>
    <row r="63" spans="1:11" s="360" customFormat="1">
      <c r="A63" s="370" t="s">
        <v>301</v>
      </c>
      <c r="B63" s="361">
        <f>'Sources and Uses Budget'!C63</f>
        <v>31537964</v>
      </c>
      <c r="C63" s="361">
        <f>SUM(C8+C11+C13+C14+C15+C26+C27+C38+C42+C43+C54+C62)</f>
        <v>31537964</v>
      </c>
      <c r="D63" s="361">
        <f>SUM(D8+D11+D13+D14+D15+D26+D27+D38+D42+D43+D54+D62)</f>
        <v>0</v>
      </c>
      <c r="E63" s="361">
        <f>'Sources and Uses Budget'!S63</f>
        <v>28038414</v>
      </c>
      <c r="F63" s="361">
        <f>SUM(F10+F13+F14+F15+F26+F27+F38+F42+F43+F54)</f>
        <v>28038414</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1644</v>
      </c>
      <c r="B64" s="358"/>
      <c r="C64" s="358"/>
      <c r="D64" s="358"/>
      <c r="E64" s="358"/>
      <c r="F64" s="358"/>
      <c r="G64" s="358"/>
      <c r="H64" s="358"/>
      <c r="I64" s="358"/>
      <c r="J64" s="358"/>
      <c r="K64" s="359"/>
    </row>
    <row r="65" spans="1:11" s="360" customFormat="1">
      <c r="A65" s="145" t="s">
        <v>170</v>
      </c>
      <c r="B65" s="361">
        <f>'Sources and Uses Budget'!C65</f>
        <v>85000</v>
      </c>
      <c r="C65" s="362">
        <f t="shared" ref="C65" si="13">B65</f>
        <v>85000</v>
      </c>
      <c r="D65" s="362"/>
      <c r="E65" s="361">
        <f>'Sources and Uses Budget'!S65</f>
        <v>33194</v>
      </c>
      <c r="F65" s="362">
        <f>E65</f>
        <v>33194</v>
      </c>
      <c r="G65" s="362"/>
      <c r="H65" s="361">
        <f>'Sources and Uses Budget'!T65</f>
        <v>0</v>
      </c>
      <c r="I65" s="362"/>
      <c r="J65" s="362"/>
      <c r="K65" s="359"/>
    </row>
    <row r="66" spans="1:11" s="360" customFormat="1" ht="24">
      <c r="A66" s="283" t="s">
        <v>1641</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1642</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1648</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Owner Legal</v>
      </c>
      <c r="B69" s="361">
        <f>'Sources and Uses Budget'!C69</f>
        <v>100000</v>
      </c>
      <c r="C69" s="362">
        <f t="shared" ref="C69" si="14">B69</f>
        <v>100000</v>
      </c>
      <c r="D69" s="362"/>
      <c r="E69" s="361">
        <f>'Sources and Uses Budget'!S69</f>
        <v>90000</v>
      </c>
      <c r="F69" s="362">
        <f>E69</f>
        <v>90000</v>
      </c>
      <c r="G69" s="362"/>
      <c r="H69" s="361">
        <f>'Sources and Uses Budget'!T69</f>
        <v>0</v>
      </c>
      <c r="I69" s="362"/>
      <c r="J69" s="362"/>
      <c r="K69" s="359"/>
    </row>
    <row r="70" spans="1:11" s="360" customFormat="1">
      <c r="A70" s="365" t="s">
        <v>601</v>
      </c>
      <c r="B70" s="361">
        <f>'Sources and Uses Budget'!C70</f>
        <v>185000</v>
      </c>
      <c r="C70" s="361">
        <f>SUM(C64:C69)</f>
        <v>185000</v>
      </c>
      <c r="D70" s="361">
        <f>SUM(D64:D69)</f>
        <v>0</v>
      </c>
      <c r="E70" s="361">
        <f>'Sources and Uses Budget'!S70</f>
        <v>123194</v>
      </c>
      <c r="F70" s="367">
        <f>SUM(F65:F69)</f>
        <v>123194</v>
      </c>
      <c r="G70" s="367">
        <f>SUM(G65:G69)</f>
        <v>0</v>
      </c>
      <c r="H70" s="361">
        <f>'Sources and Uses Budget'!T70</f>
        <v>0</v>
      </c>
      <c r="I70" s="367">
        <f>SUM(I65:I69)</f>
        <v>0</v>
      </c>
      <c r="J70" s="367">
        <f>SUM(J65:J69)</f>
        <v>0</v>
      </c>
      <c r="K70" s="359"/>
    </row>
    <row r="71" spans="1:11" s="360" customFormat="1">
      <c r="A71" s="357" t="s">
        <v>602</v>
      </c>
      <c r="B71" s="358"/>
      <c r="C71" s="358"/>
      <c r="D71" s="358"/>
      <c r="E71" s="358"/>
      <c r="F71" s="358"/>
      <c r="G71" s="358"/>
      <c r="H71" s="358"/>
      <c r="I71" s="358"/>
      <c r="J71" s="358"/>
      <c r="K71" s="359"/>
    </row>
    <row r="72" spans="1:11" s="360" customFormat="1">
      <c r="A72" s="364" t="s">
        <v>603</v>
      </c>
      <c r="B72" s="361">
        <f>'Sources and Uses Budget'!C72</f>
        <v>0</v>
      </c>
      <c r="C72" s="362"/>
      <c r="D72" s="362"/>
      <c r="E72" s="363"/>
      <c r="F72" s="363"/>
      <c r="G72" s="363"/>
      <c r="H72" s="363"/>
      <c r="I72" s="363"/>
      <c r="J72" s="363"/>
      <c r="K72" s="359"/>
    </row>
    <row r="73" spans="1:11" s="360" customFormat="1">
      <c r="A73" s="364" t="s">
        <v>604</v>
      </c>
      <c r="B73" s="361">
        <f>'Sources and Uses Budget'!C73</f>
        <v>0</v>
      </c>
      <c r="C73" s="362"/>
      <c r="D73" s="362"/>
      <c r="E73" s="363"/>
      <c r="F73" s="363"/>
      <c r="G73" s="363"/>
      <c r="H73" s="363"/>
      <c r="I73" s="363"/>
      <c r="J73" s="363"/>
      <c r="K73" s="359"/>
    </row>
    <row r="74" spans="1:11" s="360" customFormat="1">
      <c r="A74" s="366" t="s">
        <v>986</v>
      </c>
      <c r="B74" s="361">
        <f>'Sources and Uses Budget'!C74</f>
        <v>0</v>
      </c>
      <c r="C74" s="362"/>
      <c r="D74" s="362"/>
      <c r="E74" s="363"/>
      <c r="F74" s="363"/>
      <c r="G74" s="363"/>
      <c r="H74" s="363"/>
      <c r="I74" s="363"/>
      <c r="J74" s="363"/>
      <c r="K74" s="359"/>
    </row>
    <row r="75" spans="1:11" s="360" customFormat="1">
      <c r="A75" s="364" t="s">
        <v>605</v>
      </c>
      <c r="B75" s="361">
        <f>'Sources and Uses Budget'!C75</f>
        <v>245014</v>
      </c>
      <c r="C75" s="362">
        <f t="shared" ref="C75" si="15">B75</f>
        <v>245014</v>
      </c>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606</v>
      </c>
      <c r="B77" s="361">
        <f>'Sources and Uses Budget'!C77</f>
        <v>245014</v>
      </c>
      <c r="C77" s="361">
        <f>SUM(C72:C76)</f>
        <v>245014</v>
      </c>
      <c r="D77" s="361">
        <f>SUM(D72:D76)</f>
        <v>0</v>
      </c>
      <c r="E77" s="363"/>
      <c r="F77" s="363"/>
      <c r="G77" s="363"/>
      <c r="H77" s="363"/>
      <c r="I77" s="363"/>
      <c r="J77" s="363"/>
      <c r="K77" s="359"/>
    </row>
    <row r="78" spans="1:11" s="360" customFormat="1">
      <c r="A78" s="357" t="s">
        <v>1210</v>
      </c>
      <c r="B78" s="358"/>
      <c r="C78" s="358"/>
      <c r="D78" s="358"/>
      <c r="E78" s="358"/>
      <c r="F78" s="358"/>
      <c r="G78" s="358"/>
      <c r="H78" s="358"/>
      <c r="I78" s="358"/>
      <c r="J78" s="358"/>
      <c r="K78" s="359"/>
    </row>
    <row r="79" spans="1:11" s="360" customFormat="1">
      <c r="A79" s="364" t="s">
        <v>1212</v>
      </c>
      <c r="B79" s="361">
        <f>'Sources and Uses Budget'!C79</f>
        <v>1243536</v>
      </c>
      <c r="C79" s="362">
        <f t="shared" ref="C79:C80" si="16">B79</f>
        <v>1243536</v>
      </c>
      <c r="D79" s="362"/>
      <c r="E79" s="361">
        <f>'Sources and Uses Budget'!S79</f>
        <v>1243536</v>
      </c>
      <c r="F79" s="362">
        <f>E79</f>
        <v>1243536</v>
      </c>
      <c r="G79" s="362"/>
      <c r="H79" s="361">
        <f>'Sources and Uses Budget'!T79</f>
        <v>0</v>
      </c>
      <c r="I79" s="362"/>
      <c r="J79" s="362"/>
      <c r="K79" s="359"/>
    </row>
    <row r="80" spans="1:11" s="360" customFormat="1">
      <c r="A80" s="364" t="s">
        <v>58</v>
      </c>
      <c r="B80" s="361">
        <f>'Sources and Uses Budget'!C80</f>
        <v>270875</v>
      </c>
      <c r="C80" s="362">
        <f t="shared" si="16"/>
        <v>270875</v>
      </c>
      <c r="D80" s="362"/>
      <c r="E80" s="361">
        <f>'Sources and Uses Budget'!S80</f>
        <v>270875</v>
      </c>
      <c r="F80" s="362">
        <f>E80</f>
        <v>270875</v>
      </c>
      <c r="G80" s="362"/>
      <c r="H80" s="361">
        <f>'Sources and Uses Budget'!T80</f>
        <v>0</v>
      </c>
      <c r="I80" s="362"/>
      <c r="J80" s="362"/>
      <c r="K80" s="359"/>
    </row>
    <row r="81" spans="1:11" s="360" customFormat="1">
      <c r="A81" s="365" t="s">
        <v>1209</v>
      </c>
      <c r="B81" s="361">
        <f>'Sources and Uses Budget'!C81</f>
        <v>1514411</v>
      </c>
      <c r="C81" s="361">
        <f>SUM(C79:C80)</f>
        <v>1514411</v>
      </c>
      <c r="D81" s="361">
        <f>SUM(D79:D80)</f>
        <v>0</v>
      </c>
      <c r="E81" s="361">
        <f>'Sources and Uses Budget'!S81</f>
        <v>1514411</v>
      </c>
      <c r="F81" s="361">
        <f>SUM(F79:F80)</f>
        <v>1514411</v>
      </c>
      <c r="G81" s="361">
        <f>SUM(G79:G80)</f>
        <v>0</v>
      </c>
      <c r="H81" s="361">
        <f>'Sources and Uses Budget'!T81</f>
        <v>0</v>
      </c>
      <c r="I81" s="361">
        <f>SUM(I79:I80)</f>
        <v>0</v>
      </c>
      <c r="J81" s="361">
        <f>SUM(J79:J80)</f>
        <v>0</v>
      </c>
      <c r="K81" s="359"/>
    </row>
    <row r="82" spans="1:11" s="360" customFormat="1">
      <c r="A82" s="357" t="s">
        <v>765</v>
      </c>
      <c r="B82" s="358"/>
      <c r="C82" s="358"/>
      <c r="D82" s="358"/>
      <c r="E82" s="358"/>
      <c r="F82" s="358"/>
      <c r="G82" s="358"/>
      <c r="H82" s="358"/>
      <c r="I82" s="358"/>
      <c r="J82" s="358"/>
      <c r="K82" s="359"/>
    </row>
    <row r="83" spans="1:11" s="360" customFormat="1" ht="13.7" customHeight="1">
      <c r="A83" s="145" t="s">
        <v>2094</v>
      </c>
      <c r="B83" s="361">
        <f>'Sources and Uses Budget'!C83</f>
        <v>61948</v>
      </c>
      <c r="C83" s="362">
        <f t="shared" ref="C83:C95" si="17">B83</f>
        <v>61948</v>
      </c>
      <c r="D83" s="362"/>
      <c r="E83" s="363"/>
      <c r="F83" s="363"/>
      <c r="G83" s="363"/>
      <c r="H83" s="363"/>
      <c r="I83" s="363"/>
      <c r="J83" s="363"/>
      <c r="K83" s="359"/>
    </row>
    <row r="84" spans="1:11" s="360" customFormat="1">
      <c r="A84" s="145" t="s">
        <v>767</v>
      </c>
      <c r="B84" s="361">
        <f>'Sources and Uses Budget'!C84</f>
        <v>50000</v>
      </c>
      <c r="C84" s="362">
        <f t="shared" si="17"/>
        <v>50000</v>
      </c>
      <c r="D84" s="362"/>
      <c r="E84" s="361">
        <f>'Sources and Uses Budget'!S84</f>
        <v>50000</v>
      </c>
      <c r="F84" s="362">
        <f>E84</f>
        <v>50000</v>
      </c>
      <c r="G84" s="362"/>
      <c r="H84" s="361">
        <f>'Sources and Uses Budget'!T84</f>
        <v>0</v>
      </c>
      <c r="I84" s="362"/>
      <c r="J84" s="362"/>
      <c r="K84" s="359"/>
    </row>
    <row r="85" spans="1:11" s="360" customFormat="1">
      <c r="A85" s="145" t="s">
        <v>768</v>
      </c>
      <c r="B85" s="361">
        <f>'Sources and Uses Budget'!C85</f>
        <v>849243</v>
      </c>
      <c r="C85" s="362">
        <f t="shared" si="17"/>
        <v>849243</v>
      </c>
      <c r="D85" s="362"/>
      <c r="E85" s="361">
        <f>'Sources and Uses Budget'!S85</f>
        <v>849243</v>
      </c>
      <c r="F85" s="362">
        <f>E85</f>
        <v>849243</v>
      </c>
      <c r="G85" s="362"/>
      <c r="H85" s="361">
        <f>'Sources and Uses Budget'!T85</f>
        <v>0</v>
      </c>
      <c r="I85" s="362"/>
      <c r="J85" s="362"/>
      <c r="K85" s="359"/>
    </row>
    <row r="86" spans="1:11" s="360" customFormat="1">
      <c r="A86" s="145" t="s">
        <v>769</v>
      </c>
      <c r="B86" s="361">
        <f>'Sources and Uses Budget'!C86</f>
        <v>500000</v>
      </c>
      <c r="C86" s="362">
        <f t="shared" si="17"/>
        <v>500000</v>
      </c>
      <c r="D86" s="362"/>
      <c r="E86" s="361">
        <f>'Sources and Uses Budget'!S86</f>
        <v>500000</v>
      </c>
      <c r="F86" s="362">
        <f>E86</f>
        <v>500000</v>
      </c>
      <c r="G86" s="362"/>
      <c r="H86" s="361">
        <f>'Sources and Uses Budget'!T86</f>
        <v>0</v>
      </c>
      <c r="I86" s="362"/>
      <c r="J86" s="362"/>
      <c r="K86" s="359"/>
    </row>
    <row r="87" spans="1:11" s="360" customFormat="1">
      <c r="A87" s="145" t="s">
        <v>770</v>
      </c>
      <c r="B87" s="361">
        <f>'Sources and Uses Budget'!C87</f>
        <v>0</v>
      </c>
      <c r="C87" s="362">
        <f t="shared" si="17"/>
        <v>0</v>
      </c>
      <c r="D87" s="362"/>
      <c r="E87" s="361">
        <f>'Sources and Uses Budget'!S87</f>
        <v>0</v>
      </c>
      <c r="F87" s="362"/>
      <c r="G87" s="362"/>
      <c r="H87" s="361">
        <f>'Sources and Uses Budget'!T87</f>
        <v>0</v>
      </c>
      <c r="I87" s="362"/>
      <c r="J87" s="362"/>
      <c r="K87" s="359"/>
    </row>
    <row r="88" spans="1:11" s="360" customFormat="1">
      <c r="A88" s="145" t="s">
        <v>771</v>
      </c>
      <c r="B88" s="361">
        <f>'Sources and Uses Budget'!C88</f>
        <v>90000</v>
      </c>
      <c r="C88" s="362">
        <f t="shared" si="17"/>
        <v>90000</v>
      </c>
      <c r="D88" s="362"/>
      <c r="E88" s="363"/>
      <c r="F88" s="363"/>
      <c r="G88" s="363"/>
      <c r="H88" s="363"/>
      <c r="I88" s="363"/>
      <c r="J88" s="363"/>
      <c r="K88" s="359"/>
    </row>
    <row r="89" spans="1:11" s="360" customFormat="1">
      <c r="A89" s="145" t="s">
        <v>772</v>
      </c>
      <c r="B89" s="361">
        <f>'Sources and Uses Budget'!C89</f>
        <v>100000</v>
      </c>
      <c r="C89" s="362">
        <f t="shared" si="17"/>
        <v>100000</v>
      </c>
      <c r="D89" s="362"/>
      <c r="E89" s="361">
        <f>'Sources and Uses Budget'!S89</f>
        <v>100000</v>
      </c>
      <c r="F89" s="362">
        <f>E89</f>
        <v>100000</v>
      </c>
      <c r="G89" s="362"/>
      <c r="H89" s="361">
        <f>'Sources and Uses Budget'!T89</f>
        <v>0</v>
      </c>
      <c r="I89" s="362"/>
      <c r="J89" s="362"/>
      <c r="K89" s="359"/>
    </row>
    <row r="90" spans="1:11" s="360" customFormat="1">
      <c r="A90" s="145" t="s">
        <v>773</v>
      </c>
      <c r="B90" s="361">
        <f>'Sources and Uses Budget'!C90</f>
        <v>30000</v>
      </c>
      <c r="C90" s="362">
        <f t="shared" si="17"/>
        <v>30000</v>
      </c>
      <c r="D90" s="362"/>
      <c r="E90" s="361">
        <f>'Sources and Uses Budget'!S90</f>
        <v>0</v>
      </c>
      <c r="F90" s="362">
        <f t="shared" ref="F90:F95" si="18">E90</f>
        <v>0</v>
      </c>
      <c r="G90" s="362"/>
      <c r="H90" s="361">
        <f>'Sources and Uses Budget'!T90</f>
        <v>0</v>
      </c>
      <c r="I90" s="362"/>
      <c r="J90" s="362"/>
      <c r="K90" s="359"/>
    </row>
    <row r="91" spans="1:11" s="360" customFormat="1">
      <c r="A91" s="155" t="s">
        <v>371</v>
      </c>
      <c r="B91" s="361">
        <f>'Sources and Uses Budget'!C91</f>
        <v>0</v>
      </c>
      <c r="C91" s="362">
        <f t="shared" si="17"/>
        <v>0</v>
      </c>
      <c r="D91" s="362"/>
      <c r="E91" s="361">
        <f>'Sources and Uses Budget'!S91</f>
        <v>0</v>
      </c>
      <c r="F91" s="362">
        <f t="shared" si="18"/>
        <v>0</v>
      </c>
      <c r="G91" s="362"/>
      <c r="H91" s="361">
        <f>'Sources and Uses Budget'!T91</f>
        <v>0</v>
      </c>
      <c r="I91" s="362"/>
      <c r="J91" s="362"/>
      <c r="K91" s="359"/>
    </row>
    <row r="92" spans="1:11" s="360" customFormat="1">
      <c r="A92" s="508" t="s">
        <v>1211</v>
      </c>
      <c r="B92" s="361">
        <f>'Sources and Uses Budget'!C92</f>
        <v>10000</v>
      </c>
      <c r="C92" s="362">
        <f t="shared" si="17"/>
        <v>10000</v>
      </c>
      <c r="D92" s="362"/>
      <c r="E92" s="361">
        <f>'Sources and Uses Budget'!S92</f>
        <v>10000</v>
      </c>
      <c r="F92" s="362">
        <f t="shared" si="18"/>
        <v>10000</v>
      </c>
      <c r="G92" s="362"/>
      <c r="H92" s="361">
        <f>'Sources and Uses Budget'!T92</f>
        <v>0</v>
      </c>
      <c r="I92" s="362"/>
      <c r="J92" s="362"/>
      <c r="K92" s="359"/>
    </row>
    <row r="93" spans="1:11" s="360" customFormat="1">
      <c r="A93" s="364" t="str">
        <f>'Sources and Uses Budget'!$A93</f>
        <v>Geotech/Soils Report</v>
      </c>
      <c r="B93" s="361">
        <f>'Sources and Uses Budget'!C93</f>
        <v>60000</v>
      </c>
      <c r="C93" s="362">
        <f t="shared" si="17"/>
        <v>60000</v>
      </c>
      <c r="D93" s="362"/>
      <c r="E93" s="361">
        <f>'Sources and Uses Budget'!S93</f>
        <v>60000</v>
      </c>
      <c r="F93" s="362">
        <f t="shared" si="18"/>
        <v>60000</v>
      </c>
      <c r="G93" s="362"/>
      <c r="H93" s="361">
        <f>'Sources and Uses Budget'!T93</f>
        <v>0</v>
      </c>
      <c r="I93" s="362"/>
      <c r="J93" s="362"/>
      <c r="K93" s="359"/>
    </row>
    <row r="94" spans="1:11" s="360" customFormat="1" ht="24">
      <c r="A94" s="364" t="str">
        <f>'Sources and Uses Budget'!$A94</f>
        <v>Security During Const.&amp; Utility Connection Fees</v>
      </c>
      <c r="B94" s="361">
        <f>'Sources and Uses Budget'!C94</f>
        <v>550000</v>
      </c>
      <c r="C94" s="362">
        <f t="shared" si="17"/>
        <v>550000</v>
      </c>
      <c r="D94" s="362"/>
      <c r="E94" s="361">
        <f>'Sources and Uses Budget'!S94</f>
        <v>550000</v>
      </c>
      <c r="F94" s="362">
        <f t="shared" si="18"/>
        <v>550000</v>
      </c>
      <c r="G94" s="362"/>
      <c r="H94" s="361">
        <f>'Sources and Uses Budget'!T94</f>
        <v>0</v>
      </c>
      <c r="I94" s="362"/>
      <c r="J94" s="362"/>
      <c r="K94" s="359"/>
    </row>
    <row r="95" spans="1:11" s="360" customFormat="1" ht="24">
      <c r="A95" s="364" t="str">
        <f>'Sources and Uses Budget'!$A95</f>
        <v>Prevailing Wage Monitor &amp; Third Party Consultants</v>
      </c>
      <c r="B95" s="361">
        <f>'Sources and Uses Budget'!C95</f>
        <v>225000</v>
      </c>
      <c r="C95" s="362">
        <f t="shared" si="17"/>
        <v>225000</v>
      </c>
      <c r="D95" s="362"/>
      <c r="E95" s="361">
        <f>'Sources and Uses Budget'!S95</f>
        <v>225000</v>
      </c>
      <c r="F95" s="362">
        <f t="shared" si="18"/>
        <v>225000</v>
      </c>
      <c r="G95" s="362"/>
      <c r="H95" s="361">
        <f>'Sources and Uses Budget'!T95</f>
        <v>0</v>
      </c>
      <c r="I95" s="362"/>
      <c r="J95" s="362"/>
      <c r="K95" s="359"/>
    </row>
    <row r="96" spans="1:11" s="360" customFormat="1">
      <c r="A96" s="365" t="s">
        <v>774</v>
      </c>
      <c r="B96" s="361">
        <f>'Sources and Uses Budget'!C96</f>
        <v>2526191</v>
      </c>
      <c r="C96" s="361">
        <f>SUM(C83:C95)</f>
        <v>2526191</v>
      </c>
      <c r="D96" s="361">
        <f>SUM(D83:D95)</f>
        <v>0</v>
      </c>
      <c r="E96" s="361">
        <f>'Sources and Uses Budget'!S96</f>
        <v>2344243</v>
      </c>
      <c r="F96" s="367">
        <f>SUM(F84:F87,F89:F95)</f>
        <v>2344243</v>
      </c>
      <c r="G96" s="367">
        <f>SUM(G84:G87,G89:G95)</f>
        <v>0</v>
      </c>
      <c r="H96" s="361">
        <f>'Sources and Uses Budget'!T96</f>
        <v>0</v>
      </c>
      <c r="I96" s="361">
        <f>SUM(I84:I87,I89:I95)</f>
        <v>0</v>
      </c>
      <c r="J96" s="361">
        <f>SUM(J84:J87,J89:J95)</f>
        <v>0</v>
      </c>
      <c r="K96" s="359"/>
    </row>
    <row r="97" spans="1:11" s="360" customFormat="1">
      <c r="A97" s="365" t="s">
        <v>1029</v>
      </c>
      <c r="B97" s="361">
        <f>'Sources and Uses Budget'!C97</f>
        <v>36008580</v>
      </c>
      <c r="C97" s="361">
        <f>SUM(C63+C70+C77+C81+C96)</f>
        <v>36008580</v>
      </c>
      <c r="D97" s="361">
        <f>SUM(D63+D70+D77+D81+D96)</f>
        <v>0</v>
      </c>
      <c r="E97" s="361">
        <f>'Sources and Uses Budget'!S97</f>
        <v>32020262</v>
      </c>
      <c r="F97" s="367">
        <f>SUM(+F63+F70+F81+F96)</f>
        <v>32020262</v>
      </c>
      <c r="G97" s="367">
        <f>SUM(+G63+G70+G81+G96)</f>
        <v>0</v>
      </c>
      <c r="H97" s="361">
        <f>'Sources and Uses Budget'!T97</f>
        <v>0</v>
      </c>
      <c r="I97" s="367">
        <f>SUM(I63+I70+I81+I96)</f>
        <v>0</v>
      </c>
      <c r="J97" s="367">
        <f>SUM(J63+J70+J81+J96)</f>
        <v>0</v>
      </c>
      <c r="K97" s="359"/>
    </row>
    <row r="98" spans="1:11" s="360" customFormat="1">
      <c r="A98" s="357" t="s">
        <v>776</v>
      </c>
      <c r="B98" s="358"/>
      <c r="C98" s="358"/>
      <c r="D98" s="358"/>
      <c r="E98" s="358"/>
      <c r="F98" s="358"/>
      <c r="G98" s="358"/>
      <c r="H98" s="358"/>
      <c r="I98" s="358"/>
      <c r="J98" s="358"/>
      <c r="K98" s="359"/>
    </row>
    <row r="99" spans="1:11" s="360" customFormat="1">
      <c r="A99" s="145" t="s">
        <v>777</v>
      </c>
      <c r="B99" s="361">
        <f>'Sources and Uses Budget'!C99</f>
        <v>4803039</v>
      </c>
      <c r="C99" s="362">
        <f t="shared" ref="C99" si="19">B99</f>
        <v>4803039</v>
      </c>
      <c r="D99" s="362"/>
      <c r="E99" s="361">
        <f>'Sources and Uses Budget'!S99</f>
        <v>4803039</v>
      </c>
      <c r="F99" s="362">
        <f t="shared" ref="F99" si="20">E99</f>
        <v>4803039</v>
      </c>
      <c r="G99" s="362"/>
      <c r="H99" s="361">
        <f>'Sources and Uses Budget'!T99</f>
        <v>0</v>
      </c>
      <c r="I99" s="362"/>
      <c r="J99" s="362"/>
      <c r="K99" s="359"/>
    </row>
    <row r="100" spans="1:11" s="360" customFormat="1">
      <c r="A100" s="283" t="s">
        <v>1646</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778</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1647</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779</v>
      </c>
      <c r="B104" s="361">
        <f>'Sources and Uses Budget'!C104</f>
        <v>4803039</v>
      </c>
      <c r="C104" s="361">
        <f>SUM(C99:C103)</f>
        <v>4803039</v>
      </c>
      <c r="D104" s="361">
        <f>SUM(D99:D103)</f>
        <v>0</v>
      </c>
      <c r="E104" s="361">
        <f>'Sources and Uses Budget'!S104</f>
        <v>4803039</v>
      </c>
      <c r="F104" s="367">
        <f>SUM(F99:F103)</f>
        <v>4803039</v>
      </c>
      <c r="G104" s="367">
        <f>SUM(G99:G103)</f>
        <v>0</v>
      </c>
      <c r="H104" s="361">
        <f>'Sources and Uses Budget'!T104</f>
        <v>0</v>
      </c>
      <c r="I104" s="367">
        <f>SUM(I99:I103)</f>
        <v>0</v>
      </c>
      <c r="J104" s="367">
        <f>SUM(J99:J103)</f>
        <v>0</v>
      </c>
      <c r="K104" s="359"/>
    </row>
    <row r="105" spans="1:11" s="360" customFormat="1">
      <c r="A105" s="365" t="s">
        <v>1030</v>
      </c>
      <c r="B105" s="361">
        <f>'Sources and Uses Budget'!C105</f>
        <v>40811619</v>
      </c>
      <c r="C105" s="367">
        <f>SUM(C97+C104)</f>
        <v>40811619</v>
      </c>
      <c r="D105" s="367">
        <f>SUM(D97+D104)</f>
        <v>0</v>
      </c>
      <c r="E105" s="361">
        <f>'Sources and Uses Budget'!S105</f>
        <v>36823301</v>
      </c>
      <c r="F105" s="367">
        <f>F97+F104</f>
        <v>36823301</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374</v>
      </c>
      <c r="E107" s="361">
        <f>'Sources and Uses Budget'!S107</f>
        <v>36823301</v>
      </c>
      <c r="F107" s="367">
        <f>F105+F106</f>
        <v>36823301</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4"/>
      <c r="E124" s="1314"/>
      <c r="F124" s="1314"/>
      <c r="G124" s="1314"/>
      <c r="H124" s="1314"/>
      <c r="I124" s="1314"/>
      <c r="J124" s="376"/>
      <c r="K124" s="359"/>
    </row>
    <row r="125" spans="1:11" s="360" customFormat="1" ht="12.75">
      <c r="A125" s="385"/>
      <c r="B125" s="384"/>
      <c r="C125" s="385"/>
      <c r="D125" s="1314"/>
      <c r="E125" s="1314"/>
      <c r="F125" s="1314"/>
      <c r="G125" s="1314"/>
      <c r="H125" s="1314"/>
      <c r="I125" s="1314"/>
      <c r="J125" s="376"/>
      <c r="K125" s="359"/>
    </row>
    <row r="126" spans="1:11" s="360" customFormat="1" ht="12.75">
      <c r="A126" s="385"/>
      <c r="B126" s="384"/>
      <c r="C126" s="385"/>
      <c r="D126" s="1314"/>
      <c r="E126" s="1314"/>
      <c r="F126" s="1314"/>
      <c r="G126" s="1314"/>
      <c r="H126" s="1314"/>
      <c r="I126" s="1314"/>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5"/>
      <c r="B139" s="1314"/>
      <c r="C139" s="1314"/>
      <c r="D139" s="356"/>
      <c r="E139" s="385"/>
      <c r="F139" s="385"/>
      <c r="G139" s="385"/>
    </row>
    <row r="140" spans="1:11" ht="12" customHeight="1">
      <c r="A140" s="1301"/>
      <c r="B140" s="1301"/>
      <c r="C140" s="1301"/>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topLeftCell="A151" workbookViewId="0">
      <selection activeCell="C165" sqref="C165:P165"/>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42578125" style="1256" bestFit="1" customWidth="1"/>
    <col min="67" max="68" width="5.42578125" style="1256" customWidth="1"/>
    <col min="69" max="69" width="8" style="1256" customWidth="1"/>
    <col min="70" max="70" width="6" style="1256" customWidth="1"/>
    <col min="71" max="71" width="6.140625" style="1256" customWidth="1"/>
    <col min="72" max="76" width="5.42578125" style="1256" customWidth="1"/>
    <col min="77" max="77" width="6.140625" style="1256" bestFit="1" customWidth="1"/>
    <col min="78" max="78" width="5.42578125" style="1187" bestFit="1" customWidth="1"/>
    <col min="79" max="16384" width="2.7109375" style="1187"/>
  </cols>
  <sheetData>
    <row r="1" spans="1:65" ht="15.75" customHeight="1">
      <c r="A1" s="2324" t="s">
        <v>2456</v>
      </c>
      <c r="B1" s="2325"/>
      <c r="C1" s="2325"/>
      <c r="D1" s="2325"/>
      <c r="E1" s="2325"/>
      <c r="F1" s="2325"/>
      <c r="G1" s="2325"/>
      <c r="H1" s="2325"/>
      <c r="I1" s="2325"/>
      <c r="J1" s="2325"/>
      <c r="K1" s="2325"/>
      <c r="L1" s="2325"/>
      <c r="M1" s="2325"/>
      <c r="N1" s="2325"/>
      <c r="O1" s="2325"/>
      <c r="P1" s="2325"/>
      <c r="Q1" s="2325"/>
      <c r="R1" s="2325"/>
      <c r="S1" s="2325"/>
      <c r="T1" s="2325"/>
      <c r="U1" s="2325"/>
      <c r="V1" s="2325"/>
      <c r="W1" s="2325"/>
      <c r="X1" s="2325"/>
      <c r="Y1" s="2325"/>
      <c r="Z1" s="2325"/>
      <c r="AA1" s="2325"/>
      <c r="AB1" s="2325"/>
      <c r="AC1" s="2325"/>
      <c r="AD1" s="2325"/>
      <c r="AE1" s="2325"/>
      <c r="AF1" s="2325"/>
      <c r="AG1" s="2325"/>
      <c r="AH1" s="2325"/>
      <c r="AI1" s="2325"/>
      <c r="AJ1" s="2325"/>
      <c r="AK1" s="2325"/>
      <c r="AL1" s="2325"/>
      <c r="AM1" s="2325"/>
      <c r="AN1" s="2325"/>
      <c r="AO1" s="2325"/>
      <c r="AP1" s="2325"/>
      <c r="AQ1" s="2325"/>
      <c r="AR1" s="2325"/>
      <c r="AS1" s="2325"/>
      <c r="AT1" s="2325"/>
      <c r="AU1" s="2325"/>
      <c r="AV1" s="2325"/>
      <c r="AW1" s="2325"/>
      <c r="AX1" s="2325"/>
      <c r="AY1" s="2325"/>
      <c r="AZ1" s="2325"/>
      <c r="BA1" s="2325"/>
      <c r="BB1" s="2325"/>
      <c r="BC1" s="2325"/>
      <c r="BD1" s="2325"/>
      <c r="BE1" s="2326"/>
    </row>
    <row r="2" spans="1:65" ht="15.75" customHeight="1">
      <c r="A2" s="2327" t="s">
        <v>2455</v>
      </c>
      <c r="B2" s="2328"/>
      <c r="C2" s="2328"/>
      <c r="D2" s="2328"/>
      <c r="E2" s="2328"/>
      <c r="F2" s="2328"/>
      <c r="G2" s="2328"/>
      <c r="H2" s="2328"/>
      <c r="I2" s="2328"/>
      <c r="J2" s="2328"/>
      <c r="K2" s="2328"/>
      <c r="L2" s="2328"/>
      <c r="M2" s="2328"/>
      <c r="N2" s="2328"/>
      <c r="O2" s="2328"/>
      <c r="P2" s="2328"/>
      <c r="Q2" s="2328"/>
      <c r="R2" s="2328"/>
      <c r="S2" s="2328"/>
      <c r="T2" s="2328"/>
      <c r="U2" s="2328"/>
      <c r="V2" s="2328"/>
      <c r="W2" s="2328"/>
      <c r="X2" s="2328"/>
      <c r="Y2" s="2328"/>
      <c r="Z2" s="2328"/>
      <c r="AA2" s="2328"/>
      <c r="AB2" s="2328"/>
      <c r="AC2" s="2328"/>
      <c r="AD2" s="2328"/>
      <c r="AE2" s="2328"/>
      <c r="AF2" s="2328"/>
      <c r="AG2" s="2328"/>
      <c r="AH2" s="2328"/>
      <c r="AI2" s="2328"/>
      <c r="AJ2" s="2328"/>
      <c r="AK2" s="2328"/>
      <c r="AL2" s="2328"/>
      <c r="AM2" s="2328"/>
      <c r="AN2" s="2328"/>
      <c r="AO2" s="2328"/>
      <c r="AP2" s="2328"/>
      <c r="AQ2" s="2328"/>
      <c r="AR2" s="2328"/>
      <c r="AS2" s="2328"/>
      <c r="AT2" s="2328"/>
      <c r="AU2" s="2328"/>
      <c r="AV2" s="2328"/>
      <c r="AW2" s="2328"/>
      <c r="AX2" s="2328"/>
      <c r="AY2" s="2328"/>
      <c r="AZ2" s="2328"/>
      <c r="BA2" s="2328"/>
      <c r="BB2" s="2328"/>
      <c r="BC2" s="2328"/>
      <c r="BD2" s="2328"/>
      <c r="BE2" s="2329"/>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656</v>
      </c>
      <c r="C4" s="1192"/>
      <c r="D4" s="1192"/>
      <c r="E4" s="1192"/>
      <c r="F4" s="1192"/>
      <c r="G4" s="1190"/>
      <c r="H4" s="1190"/>
      <c r="I4" s="1190"/>
      <c r="J4" s="1190"/>
      <c r="K4" s="1190"/>
      <c r="L4" s="2316" t="str">
        <f>IF(Application!H18="","",Application!H18)</f>
        <v>Cypress Place at Garden City II</v>
      </c>
      <c r="M4" s="2317"/>
      <c r="N4" s="2317"/>
      <c r="O4" s="2317"/>
      <c r="P4" s="2317"/>
      <c r="Q4" s="2317"/>
      <c r="R4" s="2317"/>
      <c r="S4" s="2317"/>
      <c r="T4" s="2317"/>
      <c r="U4" s="2317"/>
      <c r="V4" s="2317"/>
      <c r="W4" s="2317"/>
      <c r="X4" s="2317"/>
      <c r="Y4" s="2317"/>
      <c r="Z4" s="2317"/>
      <c r="AA4" s="2317"/>
      <c r="AB4" s="2317"/>
      <c r="AC4" s="2318"/>
      <c r="AD4" s="1190"/>
      <c r="AE4" s="1190"/>
      <c r="AF4" s="2312" t="s">
        <v>2454</v>
      </c>
      <c r="AG4" s="2312"/>
      <c r="AH4" s="2312"/>
      <c r="AI4" s="2312"/>
      <c r="AJ4" s="2312"/>
      <c r="AK4" s="2312"/>
      <c r="AL4" s="2312"/>
      <c r="AM4" s="2312"/>
      <c r="AN4" s="2312"/>
      <c r="AO4" s="2312"/>
      <c r="AP4" s="2313"/>
      <c r="AQ4" s="2314"/>
      <c r="AR4" s="2314"/>
      <c r="AS4" s="2314"/>
      <c r="AT4" s="2314"/>
      <c r="AU4" s="2314"/>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12" t="s">
        <v>2453</v>
      </c>
      <c r="AG5" s="2312"/>
      <c r="AH5" s="2312"/>
      <c r="AI5" s="2312"/>
      <c r="AJ5" s="2312"/>
      <c r="AK5" s="2312"/>
      <c r="AL5" s="2312"/>
      <c r="AM5" s="2312"/>
      <c r="AN5" s="2312"/>
      <c r="AO5" s="2312"/>
      <c r="AP5" s="2313"/>
      <c r="AQ5" s="2314"/>
      <c r="AR5" s="2314"/>
      <c r="AS5" s="2314"/>
      <c r="AT5" s="2314"/>
      <c r="AU5" s="2314"/>
      <c r="AV5" s="1190"/>
      <c r="AW5" s="1190"/>
      <c r="AX5" s="1190"/>
      <c r="AY5" s="1190"/>
      <c r="AZ5" s="1190"/>
      <c r="BA5" s="1190"/>
      <c r="BB5" s="1190"/>
      <c r="BC5" s="1190"/>
      <c r="BD5" s="1190"/>
      <c r="BE5" s="1191"/>
    </row>
    <row r="6" spans="1:65" ht="15.75" customHeight="1" thickBot="1">
      <c r="A6" s="1189"/>
      <c r="B6" s="1192" t="s">
        <v>2452</v>
      </c>
      <c r="C6" s="1190"/>
      <c r="D6" s="1190"/>
      <c r="E6" s="1190"/>
      <c r="F6" s="1190"/>
      <c r="G6" s="1190"/>
      <c r="H6" s="1190"/>
      <c r="I6" s="1190"/>
      <c r="J6" s="1190"/>
      <c r="K6" s="1190"/>
      <c r="L6" s="2316" t="str">
        <f>IF(Application!H16="","",Application!H16)</f>
        <v>People's Self-Help Housing Corporation</v>
      </c>
      <c r="M6" s="2317"/>
      <c r="N6" s="2317"/>
      <c r="O6" s="2317"/>
      <c r="P6" s="2317"/>
      <c r="Q6" s="2317"/>
      <c r="R6" s="2317"/>
      <c r="S6" s="2317"/>
      <c r="T6" s="2317"/>
      <c r="U6" s="2317"/>
      <c r="V6" s="2317"/>
      <c r="W6" s="2317"/>
      <c r="X6" s="2317"/>
      <c r="Y6" s="2317"/>
      <c r="Z6" s="2317"/>
      <c r="AA6" s="2317"/>
      <c r="AB6" s="2317"/>
      <c r="AC6" s="2318"/>
      <c r="AD6" s="1190"/>
      <c r="AE6" s="1190"/>
      <c r="AF6" s="2319" t="s">
        <v>2451</v>
      </c>
      <c r="AG6" s="2319"/>
      <c r="AH6" s="2319"/>
      <c r="AI6" s="2319"/>
      <c r="AJ6" s="2319"/>
      <c r="AK6" s="2319"/>
      <c r="AL6" s="2319"/>
      <c r="AM6" s="2319"/>
      <c r="AN6" s="2319"/>
      <c r="AO6" s="2319"/>
      <c r="AP6" s="2320"/>
      <c r="AQ6" s="2320"/>
      <c r="AR6" s="2320"/>
      <c r="AS6" s="2320"/>
      <c r="AT6" s="2320"/>
      <c r="AU6" s="2320"/>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19" t="s">
        <v>2450</v>
      </c>
      <c r="AG7" s="2319"/>
      <c r="AH7" s="2319"/>
      <c r="AI7" s="2319"/>
      <c r="AJ7" s="2319"/>
      <c r="AK7" s="2319"/>
      <c r="AL7" s="2319"/>
      <c r="AM7" s="2319"/>
      <c r="AN7" s="2319"/>
      <c r="AO7" s="2319"/>
      <c r="AP7" s="2320"/>
      <c r="AQ7" s="2320"/>
      <c r="AR7" s="2320"/>
      <c r="AS7" s="2320"/>
      <c r="AT7" s="2320"/>
      <c r="AU7" s="2320"/>
      <c r="AV7" s="1190"/>
      <c r="AW7" s="1190"/>
      <c r="AX7" s="1190"/>
      <c r="AY7" s="1190"/>
      <c r="AZ7" s="1190"/>
      <c r="BA7" s="1190"/>
      <c r="BB7" s="1190"/>
      <c r="BC7" s="1190"/>
      <c r="BD7" s="1190"/>
      <c r="BE7" s="1191"/>
    </row>
    <row r="8" spans="1:65" thickBot="1">
      <c r="A8" s="1189"/>
      <c r="B8" s="1192" t="s">
        <v>2449</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21" t="str">
        <f>Application!T197</f>
        <v>No</v>
      </c>
      <c r="AC8" s="2322"/>
      <c r="AD8" s="2323"/>
      <c r="AE8" s="1190"/>
      <c r="AF8" s="2319" t="s">
        <v>2448</v>
      </c>
      <c r="AG8" s="2319"/>
      <c r="AH8" s="2319"/>
      <c r="AI8" s="2319"/>
      <c r="AJ8" s="2319"/>
      <c r="AK8" s="2319"/>
      <c r="AL8" s="2319"/>
      <c r="AM8" s="2319"/>
      <c r="AN8" s="2319"/>
      <c r="AO8" s="2319"/>
      <c r="AP8" s="2320" t="s">
        <v>2098</v>
      </c>
      <c r="AQ8" s="2320"/>
      <c r="AR8" s="2320"/>
      <c r="AS8" s="2320"/>
      <c r="AT8" s="2320"/>
      <c r="AU8" s="2320"/>
      <c r="AV8" s="1190"/>
      <c r="AW8" s="1190"/>
      <c r="AX8" s="1190"/>
      <c r="AY8" s="1190"/>
      <c r="AZ8" s="1190"/>
      <c r="BA8" s="1190"/>
      <c r="BB8" s="1190"/>
      <c r="BC8" s="1190"/>
      <c r="BD8" s="1190"/>
      <c r="BE8" s="1191"/>
      <c r="BM8" s="1187" t="s">
        <v>1983</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12" t="s">
        <v>2447</v>
      </c>
      <c r="AG9" s="2312"/>
      <c r="AH9" s="2312"/>
      <c r="AI9" s="2312"/>
      <c r="AJ9" s="2312"/>
      <c r="AK9" s="2312"/>
      <c r="AL9" s="2312"/>
      <c r="AM9" s="2312"/>
      <c r="AN9" s="2312"/>
      <c r="AO9" s="2312"/>
      <c r="AP9" s="2313"/>
      <c r="AQ9" s="2314"/>
      <c r="AR9" s="2314"/>
      <c r="AS9" s="2314"/>
      <c r="AT9" s="2314"/>
      <c r="AU9" s="2314"/>
      <c r="AV9" s="1190"/>
      <c r="AW9" s="1190"/>
      <c r="AX9" s="1190"/>
      <c r="AY9" s="1190"/>
      <c r="AZ9" s="1190"/>
      <c r="BA9" s="1190"/>
      <c r="BB9" s="1190"/>
      <c r="BC9" s="1190"/>
      <c r="BD9" s="1190"/>
      <c r="BE9" s="1191"/>
      <c r="BM9" s="1187" t="s">
        <v>2446</v>
      </c>
    </row>
    <row r="10" spans="1:65" ht="15">
      <c r="A10" s="1189"/>
      <c r="B10" s="1192" t="s">
        <v>2445</v>
      </c>
      <c r="C10" s="1192"/>
      <c r="D10" s="1192"/>
      <c r="E10" s="1192"/>
      <c r="F10" s="1192"/>
      <c r="G10" s="1192"/>
      <c r="H10" s="1192"/>
      <c r="I10" s="1192"/>
      <c r="J10" s="1192"/>
      <c r="K10" s="1192"/>
      <c r="L10" s="1192"/>
      <c r="M10" s="1190"/>
      <c r="N10" s="2315">
        <f>Application!AO627</f>
        <v>4629000</v>
      </c>
      <c r="O10" s="2315"/>
      <c r="P10" s="2315"/>
      <c r="Q10" s="2315"/>
      <c r="R10" s="2315"/>
      <c r="S10" s="2315"/>
      <c r="T10" s="2315"/>
      <c r="U10" s="1190"/>
      <c r="V10" s="1190"/>
      <c r="W10" s="1190"/>
      <c r="X10" s="1193"/>
      <c r="Y10" s="1193"/>
      <c r="Z10" s="1193"/>
      <c r="AA10" s="1193"/>
      <c r="AB10" s="1193"/>
      <c r="AC10" s="1193"/>
      <c r="AD10" s="1193"/>
      <c r="AE10" s="1193"/>
      <c r="AF10" s="2312" t="s">
        <v>2444</v>
      </c>
      <c r="AG10" s="2312"/>
      <c r="AH10" s="2312"/>
      <c r="AI10" s="2312"/>
      <c r="AJ10" s="2312"/>
      <c r="AK10" s="2312"/>
      <c r="AL10" s="2312"/>
      <c r="AM10" s="2312"/>
      <c r="AN10" s="2312"/>
      <c r="AO10" s="2312"/>
      <c r="AP10" s="2313"/>
      <c r="AQ10" s="2314"/>
      <c r="AR10" s="2314"/>
      <c r="AS10" s="2314"/>
      <c r="AT10" s="2314"/>
      <c r="AU10" s="2314"/>
      <c r="AV10" s="1193"/>
      <c r="AW10" s="1193"/>
      <c r="AX10" s="1190"/>
      <c r="AY10" s="1190"/>
      <c r="AZ10" s="1190"/>
      <c r="BA10" s="1190"/>
      <c r="BB10" s="1190"/>
      <c r="BC10" s="1190"/>
      <c r="BD10" s="1190"/>
      <c r="BE10" s="1191"/>
      <c r="BM10" s="1187" t="s">
        <v>2443</v>
      </c>
    </row>
    <row r="11" spans="1:65" ht="15">
      <c r="A11" s="1189"/>
      <c r="B11" s="1192" t="s">
        <v>2442</v>
      </c>
      <c r="C11" s="1192"/>
      <c r="D11" s="1192"/>
      <c r="E11" s="1192"/>
      <c r="F11" s="1192"/>
      <c r="G11" s="1192"/>
      <c r="H11" s="1192"/>
      <c r="I11" s="1192"/>
      <c r="J11" s="1192"/>
      <c r="K11" s="1192"/>
      <c r="L11" s="1192"/>
      <c r="M11" s="1190"/>
      <c r="N11" s="2315">
        <f>Application!AA934</f>
        <v>0</v>
      </c>
      <c r="O11" s="2315"/>
      <c r="P11" s="2315"/>
      <c r="Q11" s="2315"/>
      <c r="R11" s="2315"/>
      <c r="S11" s="2315"/>
      <c r="T11" s="2315"/>
      <c r="U11" s="1190"/>
      <c r="V11" s="1190"/>
      <c r="W11" s="1190"/>
      <c r="X11" s="1193"/>
      <c r="Y11" s="1193"/>
      <c r="Z11" s="1193"/>
      <c r="AA11" s="1193"/>
      <c r="AB11" s="1193"/>
      <c r="AC11" s="1193"/>
      <c r="AD11" s="1193"/>
      <c r="AE11" s="1193"/>
      <c r="AF11" s="2312" t="s">
        <v>2441</v>
      </c>
      <c r="AG11" s="2312"/>
      <c r="AH11" s="2312"/>
      <c r="AI11" s="2312"/>
      <c r="AJ11" s="2312"/>
      <c r="AK11" s="2312"/>
      <c r="AL11" s="2312"/>
      <c r="AM11" s="2312"/>
      <c r="AN11" s="2312"/>
      <c r="AO11" s="2312"/>
      <c r="AP11" s="2313"/>
      <c r="AQ11" s="2314"/>
      <c r="AR11" s="2314"/>
      <c r="AS11" s="2314"/>
      <c r="AT11" s="2314"/>
      <c r="AU11" s="2314"/>
      <c r="AV11" s="1193"/>
      <c r="AW11" s="1193"/>
      <c r="AX11" s="1190"/>
      <c r="AY11" s="1190"/>
      <c r="AZ11" s="1190"/>
      <c r="BA11" s="1190"/>
      <c r="BB11" s="1190"/>
      <c r="BC11" s="1190"/>
      <c r="BD11" s="1190"/>
      <c r="BE11" s="1191"/>
      <c r="BM11" s="1187" t="s">
        <v>2098</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2440</v>
      </c>
    </row>
    <row r="13" spans="1:65" thickBot="1">
      <c r="A13" s="1190"/>
      <c r="B13" s="2303" t="s">
        <v>2439</v>
      </c>
      <c r="C13" s="2304"/>
      <c r="D13" s="2304"/>
      <c r="E13" s="2304"/>
      <c r="F13" s="2304"/>
      <c r="G13" s="2304"/>
      <c r="H13" s="2304"/>
      <c r="I13" s="2304"/>
      <c r="J13" s="2304"/>
      <c r="K13" s="2304"/>
      <c r="L13" s="2304"/>
      <c r="M13" s="2304"/>
      <c r="N13" s="2304"/>
      <c r="O13" s="2304"/>
      <c r="P13" s="2305"/>
      <c r="Q13" s="2306" t="s">
        <v>545</v>
      </c>
      <c r="R13" s="2307"/>
      <c r="S13" s="2307"/>
      <c r="T13" s="2308"/>
      <c r="U13" s="1193"/>
      <c r="V13" s="1190"/>
      <c r="W13" s="1190"/>
      <c r="X13" s="1190"/>
      <c r="Y13" s="1190"/>
      <c r="Z13" s="1190"/>
      <c r="AA13" s="2293" t="s">
        <v>2438</v>
      </c>
      <c r="AB13" s="2293"/>
      <c r="AC13" s="2293"/>
      <c r="AD13" s="2293"/>
      <c r="AE13" s="2293"/>
      <c r="AF13" s="2293"/>
      <c r="AG13" s="2293"/>
      <c r="AH13" s="2293"/>
      <c r="AI13" s="2293"/>
      <c r="AJ13" s="2293"/>
      <c r="AK13" s="2293"/>
      <c r="AL13" s="2293"/>
      <c r="AM13" s="2293"/>
      <c r="AN13" s="2293"/>
      <c r="AO13" s="2309">
        <f>Application!W473</f>
        <v>3</v>
      </c>
      <c r="AP13" s="2310"/>
      <c r="AQ13" s="2310"/>
      <c r="AR13" s="2310"/>
      <c r="AS13" s="2310"/>
      <c r="AT13" s="1193"/>
      <c r="AU13" s="1193"/>
      <c r="AV13" s="1193"/>
      <c r="AW13" s="1193"/>
      <c r="AX13" s="1193"/>
      <c r="AY13" s="1193"/>
      <c r="AZ13" s="1193"/>
      <c r="BA13" s="1193"/>
      <c r="BB13" s="1193"/>
      <c r="BC13" s="1193"/>
      <c r="BD13" s="1193"/>
      <c r="BE13" s="1194"/>
      <c r="BM13" s="1187" t="s">
        <v>2437</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11" t="s">
        <v>2436</v>
      </c>
      <c r="AB14" s="2311"/>
      <c r="AC14" s="2311"/>
      <c r="AD14" s="2311"/>
      <c r="AE14" s="2311"/>
      <c r="AF14" s="2311"/>
      <c r="AG14" s="2311"/>
      <c r="AH14" s="2311"/>
      <c r="AI14" s="2311"/>
      <c r="AJ14" s="2311"/>
      <c r="AK14" s="2311"/>
      <c r="AL14" s="2311"/>
      <c r="AM14" s="2311"/>
      <c r="AN14" s="2311"/>
      <c r="AO14" s="2294"/>
      <c r="AP14" s="2295"/>
      <c r="AQ14" s="2295"/>
      <c r="AR14" s="2295"/>
      <c r="AS14" s="2295"/>
      <c r="AT14" s="1193"/>
      <c r="AU14" s="1193"/>
      <c r="AV14" s="1193"/>
      <c r="AW14" s="1193"/>
      <c r="AX14" s="1193"/>
      <c r="AY14" s="1193"/>
      <c r="AZ14" s="1193"/>
      <c r="BA14" s="1193"/>
      <c r="BB14" s="1193"/>
      <c r="BC14" s="1193"/>
      <c r="BD14" s="1193"/>
      <c r="BE14" s="1194"/>
    </row>
    <row r="15" spans="1:65" thickBot="1">
      <c r="A15" s="1190"/>
      <c r="B15" s="2288" t="s">
        <v>2435</v>
      </c>
      <c r="C15" s="2289"/>
      <c r="D15" s="2289"/>
      <c r="E15" s="2289"/>
      <c r="F15" s="2289"/>
      <c r="G15" s="2289"/>
      <c r="H15" s="2289"/>
      <c r="I15" s="2289"/>
      <c r="J15" s="2289"/>
      <c r="K15" s="2289"/>
      <c r="L15" s="2289"/>
      <c r="M15" s="2289"/>
      <c r="N15" s="2289"/>
      <c r="O15" s="2289"/>
      <c r="P15" s="2289"/>
      <c r="Q15" s="2289"/>
      <c r="R15" s="2290"/>
      <c r="S15" s="2291" t="str">
        <f>IF(Application!AB214="","",Application!AB214)</f>
        <v/>
      </c>
      <c r="T15" s="2291"/>
      <c r="U15" s="2291"/>
      <c r="V15" s="2291"/>
      <c r="W15" s="2292"/>
      <c r="X15" s="1193"/>
      <c r="Y15" s="1190"/>
      <c r="Z15" s="1190"/>
      <c r="AA15" s="2293" t="s">
        <v>2434</v>
      </c>
      <c r="AB15" s="2293"/>
      <c r="AC15" s="2293"/>
      <c r="AD15" s="2293"/>
      <c r="AE15" s="2293"/>
      <c r="AF15" s="2293"/>
      <c r="AG15" s="2293"/>
      <c r="AH15" s="2293"/>
      <c r="AI15" s="2293"/>
      <c r="AJ15" s="2293"/>
      <c r="AK15" s="2293"/>
      <c r="AL15" s="2293"/>
      <c r="AM15" s="2293"/>
      <c r="AN15" s="2293"/>
      <c r="AO15" s="2294"/>
      <c r="AP15" s="2295"/>
      <c r="AQ15" s="2295"/>
      <c r="AR15" s="2295"/>
      <c r="AS15" s="2295"/>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101" t="s">
        <v>2433</v>
      </c>
      <c r="C17" s="2102"/>
      <c r="D17" s="2102"/>
      <c r="E17" s="2102"/>
      <c r="F17" s="2102"/>
      <c r="G17" s="2102"/>
      <c r="H17" s="2102"/>
      <c r="I17" s="2102"/>
      <c r="J17" s="2102"/>
      <c r="K17" s="2102"/>
      <c r="L17" s="2102"/>
      <c r="M17" s="2102"/>
      <c r="N17" s="2102"/>
      <c r="O17" s="2102"/>
      <c r="P17" s="2102"/>
      <c r="Q17" s="2102"/>
      <c r="R17" s="2102"/>
      <c r="S17" s="2102"/>
      <c r="T17" s="2102"/>
      <c r="U17" s="2102"/>
      <c r="V17" s="2102"/>
      <c r="W17" s="2102"/>
      <c r="X17" s="2102"/>
      <c r="Y17" s="2102"/>
      <c r="Z17" s="2102"/>
      <c r="AA17" s="2102"/>
      <c r="AB17" s="2102"/>
      <c r="AC17" s="2102"/>
      <c r="AD17" s="2102"/>
      <c r="AE17" s="2102"/>
      <c r="AF17" s="2102"/>
      <c r="AG17" s="2102"/>
      <c r="AH17" s="2102"/>
      <c r="AI17" s="2102"/>
      <c r="AJ17" s="2102"/>
      <c r="AK17" s="2102"/>
      <c r="AL17" s="2102"/>
      <c r="AM17" s="2102"/>
      <c r="AN17" s="2102"/>
      <c r="AO17" s="2102"/>
      <c r="AP17" s="2102"/>
      <c r="AQ17" s="2102"/>
      <c r="AR17" s="2102"/>
      <c r="AS17" s="2102"/>
      <c r="AT17" s="2102"/>
      <c r="AU17" s="2102"/>
      <c r="AV17" s="2102"/>
      <c r="AW17" s="2102"/>
      <c r="AX17" s="2102"/>
      <c r="AY17" s="2103"/>
      <c r="AZ17" s="1190"/>
      <c r="BA17" s="1190"/>
      <c r="BB17" s="1190"/>
      <c r="BC17" s="1190"/>
      <c r="BD17" s="1190"/>
      <c r="BE17" s="1194"/>
      <c r="BF17" s="1188"/>
    </row>
    <row r="18" spans="1:58" ht="15.75" customHeight="1">
      <c r="A18" s="1190"/>
      <c r="B18" s="2296" t="s">
        <v>2432</v>
      </c>
      <c r="C18" s="2297"/>
      <c r="D18" s="2297"/>
      <c r="E18" s="2297"/>
      <c r="F18" s="2297"/>
      <c r="G18" s="2297"/>
      <c r="H18" s="2297"/>
      <c r="I18" s="2298"/>
      <c r="J18" s="2299" t="s">
        <v>1586</v>
      </c>
      <c r="K18" s="2300"/>
      <c r="L18" s="2300"/>
      <c r="M18" s="2300"/>
      <c r="N18" s="2300"/>
      <c r="O18" s="2301"/>
      <c r="P18" s="2299" t="s">
        <v>323</v>
      </c>
      <c r="Q18" s="2300"/>
      <c r="R18" s="2300"/>
      <c r="S18" s="2300"/>
      <c r="T18" s="2300"/>
      <c r="U18" s="2301"/>
      <c r="V18" s="2299" t="s">
        <v>324</v>
      </c>
      <c r="W18" s="2300"/>
      <c r="X18" s="2300"/>
      <c r="Y18" s="2300"/>
      <c r="Z18" s="2300"/>
      <c r="AA18" s="2301"/>
      <c r="AB18" s="2299" t="s">
        <v>163</v>
      </c>
      <c r="AC18" s="2300"/>
      <c r="AD18" s="2300"/>
      <c r="AE18" s="2300"/>
      <c r="AF18" s="2300"/>
      <c r="AG18" s="2301"/>
      <c r="AH18" s="2299" t="s">
        <v>164</v>
      </c>
      <c r="AI18" s="2300"/>
      <c r="AJ18" s="2300"/>
      <c r="AK18" s="2300"/>
      <c r="AL18" s="2300"/>
      <c r="AM18" s="2301"/>
      <c r="AN18" s="2299" t="s">
        <v>165</v>
      </c>
      <c r="AO18" s="2300"/>
      <c r="AP18" s="2300"/>
      <c r="AQ18" s="2300"/>
      <c r="AR18" s="2300"/>
      <c r="AS18" s="2301"/>
      <c r="AT18" s="2299" t="s">
        <v>2431</v>
      </c>
      <c r="AU18" s="2300"/>
      <c r="AV18" s="2300"/>
      <c r="AW18" s="2300"/>
      <c r="AX18" s="2300"/>
      <c r="AY18" s="2302"/>
      <c r="AZ18" s="1190"/>
      <c r="BA18" s="1190"/>
      <c r="BB18" s="1190"/>
      <c r="BC18" s="1190"/>
      <c r="BD18" s="1190"/>
      <c r="BE18" s="1194"/>
    </row>
    <row r="19" spans="1:58" ht="15">
      <c r="A19" s="1190"/>
      <c r="B19" s="2282">
        <v>0.3</v>
      </c>
      <c r="C19" s="2283"/>
      <c r="D19" s="2283"/>
      <c r="E19" s="2283"/>
      <c r="F19" s="2283"/>
      <c r="G19" s="2283"/>
      <c r="H19" s="2283"/>
      <c r="I19" s="2284"/>
      <c r="J19" s="2285">
        <f t="shared" ref="J19:J24" si="0">SUM(P19:AS19)</f>
        <v>11</v>
      </c>
      <c r="K19" s="2286"/>
      <c r="L19" s="2286"/>
      <c r="M19" s="2286"/>
      <c r="N19" s="2286"/>
      <c r="O19" s="2287"/>
      <c r="P19" s="2285" cm="1">
        <f t="array" ref="P19">SUMPRODUCT((Application!$B$718:$B$752 = 'CalHFA Addendum'!P$18)*(Application!$AC$718:$AC$752 = 'CalHFA Addendum'!$B19),Application!$G$718:$G$752)</f>
        <v>0</v>
      </c>
      <c r="Q19" s="2286"/>
      <c r="R19" s="2286"/>
      <c r="S19" s="2286"/>
      <c r="T19" s="2286"/>
      <c r="U19" s="2287"/>
      <c r="V19" s="2285" cm="1">
        <f t="array" ref="V19">SUMPRODUCT((Application!$B$714:$B$738 = 'CalHFA Addendum'!V$18)*(Application!$AC$714:$AC$738 = 'CalHFA Addendum'!$B19),Application!$G$714:$G$738)</f>
        <v>6</v>
      </c>
      <c r="W19" s="2286"/>
      <c r="X19" s="2286"/>
      <c r="Y19" s="2286"/>
      <c r="Z19" s="2286"/>
      <c r="AA19" s="2287"/>
      <c r="AB19" s="2285" cm="1">
        <f t="array" ref="AB19">SUMPRODUCT((Application!$B$714:$B$738 = 'CalHFA Addendum'!AB$18)*(Application!$AC$714:$AC$738 = 'CalHFA Addendum'!$B19),Application!$G$714:$G$738)</f>
        <v>3</v>
      </c>
      <c r="AC19" s="2286"/>
      <c r="AD19" s="2286"/>
      <c r="AE19" s="2286"/>
      <c r="AF19" s="2286"/>
      <c r="AG19" s="2287"/>
      <c r="AH19" s="2285" cm="1">
        <f t="array" ref="AH19">SUMPRODUCT((Application!$B$714:$B$738 = 'CalHFA Addendum'!AH$18)*(Application!$AC$714:$AC$738 = 'CalHFA Addendum'!$B19),Application!$G$714:$G$738)</f>
        <v>2</v>
      </c>
      <c r="AI19" s="2286"/>
      <c r="AJ19" s="2286"/>
      <c r="AK19" s="2286"/>
      <c r="AL19" s="2286"/>
      <c r="AM19" s="2287"/>
      <c r="AN19" s="2285" cm="1">
        <f t="array" ref="AN19">SUMPRODUCT((Application!$B$714:$B$738 = 'CalHFA Addendum'!AN$18)*(Application!$AC$714:$AC$738 = 'CalHFA Addendum'!$B19),Application!$G$714:$G$738)</f>
        <v>0</v>
      </c>
      <c r="AO19" s="2286"/>
      <c r="AP19" s="2286"/>
      <c r="AQ19" s="2286"/>
      <c r="AR19" s="2286"/>
      <c r="AS19" s="2287"/>
      <c r="AT19" s="2270">
        <f t="shared" ref="AT19:AT29" si="1">J19/$J$29</f>
        <v>0.26829268292682928</v>
      </c>
      <c r="AU19" s="2271"/>
      <c r="AV19" s="2271"/>
      <c r="AW19" s="2271"/>
      <c r="AX19" s="2271"/>
      <c r="AY19" s="2272"/>
      <c r="AZ19" s="1195"/>
      <c r="BA19" s="1190"/>
      <c r="BB19" s="1190"/>
      <c r="BC19" s="1190"/>
      <c r="BD19" s="1190"/>
      <c r="BE19" s="1194"/>
    </row>
    <row r="20" spans="1:58" ht="15" customHeight="1">
      <c r="A20" s="1190"/>
      <c r="B20" s="2282">
        <v>0.4</v>
      </c>
      <c r="C20" s="2283"/>
      <c r="D20" s="2283"/>
      <c r="E20" s="2283"/>
      <c r="F20" s="2283"/>
      <c r="G20" s="2283"/>
      <c r="H20" s="2283"/>
      <c r="I20" s="2284"/>
      <c r="J20" s="2285">
        <f t="shared" si="0"/>
        <v>10</v>
      </c>
      <c r="K20" s="2286"/>
      <c r="L20" s="2286"/>
      <c r="M20" s="2286"/>
      <c r="N20" s="2286"/>
      <c r="O20" s="2287"/>
      <c r="P20" s="2285" cm="1">
        <f t="array" ref="P20">SUMPRODUCT((Application!$B$718:$B$752 = 'CalHFA Addendum'!P$18)*(Application!$AC$718:$AC$752 = 'CalHFA Addendum'!$B20),Application!$G$718:$G$752)</f>
        <v>0</v>
      </c>
      <c r="Q20" s="2286"/>
      <c r="R20" s="2286"/>
      <c r="S20" s="2286"/>
      <c r="T20" s="2286"/>
      <c r="U20" s="2287"/>
      <c r="V20" s="2285" cm="1">
        <f t="array" ref="V20">SUMPRODUCT((Application!$B$714:$B$738 = 'CalHFA Addendum'!V$18)*(Application!$AC$714:$AC$738 = 'CalHFA Addendum'!$B20),Application!$G$714:$G$738)</f>
        <v>4</v>
      </c>
      <c r="W20" s="2286"/>
      <c r="X20" s="2286"/>
      <c r="Y20" s="2286"/>
      <c r="Z20" s="2286"/>
      <c r="AA20" s="2287"/>
      <c r="AB20" s="2285" cm="1">
        <f t="array" ref="AB20">SUMPRODUCT((Application!$B$714:$B$738 = 'CalHFA Addendum'!AB$18)*(Application!$AC$714:$AC$738 = 'CalHFA Addendum'!$B20),Application!$G$714:$G$738)</f>
        <v>4</v>
      </c>
      <c r="AC20" s="2286"/>
      <c r="AD20" s="2286"/>
      <c r="AE20" s="2286"/>
      <c r="AF20" s="2286"/>
      <c r="AG20" s="2287"/>
      <c r="AH20" s="2285" cm="1">
        <f t="array" ref="AH20">SUMPRODUCT((Application!$B$714:$B$738 = 'CalHFA Addendum'!AH$18)*(Application!$AC$714:$AC$738 = 'CalHFA Addendum'!$B20),Application!$G$714:$G$738)</f>
        <v>2</v>
      </c>
      <c r="AI20" s="2286"/>
      <c r="AJ20" s="2286"/>
      <c r="AK20" s="2286"/>
      <c r="AL20" s="2286"/>
      <c r="AM20" s="2287"/>
      <c r="AN20" s="2285" cm="1">
        <f t="array" ref="AN20">SUMPRODUCT((Application!$B$714:$B$738 = 'CalHFA Addendum'!AN$18)*(Application!$AC$714:$AC$738 = 'CalHFA Addendum'!$B20),Application!$G$714:$G$738)</f>
        <v>0</v>
      </c>
      <c r="AO20" s="2286"/>
      <c r="AP20" s="2286"/>
      <c r="AQ20" s="2286"/>
      <c r="AR20" s="2286"/>
      <c r="AS20" s="2287"/>
      <c r="AT20" s="2270">
        <f t="shared" si="1"/>
        <v>0.24390243902439024</v>
      </c>
      <c r="AU20" s="2271"/>
      <c r="AV20" s="2271"/>
      <c r="AW20" s="2271"/>
      <c r="AX20" s="2271"/>
      <c r="AY20" s="2272"/>
      <c r="AZ20" s="1190"/>
      <c r="BA20" s="1190"/>
      <c r="BB20" s="1190"/>
      <c r="BC20" s="1190"/>
      <c r="BD20" s="1190"/>
      <c r="BE20" s="1194"/>
    </row>
    <row r="21" spans="1:58" ht="15">
      <c r="A21" s="1190"/>
      <c r="B21" s="2282">
        <v>0.5</v>
      </c>
      <c r="C21" s="2283"/>
      <c r="D21" s="2283"/>
      <c r="E21" s="2283"/>
      <c r="F21" s="2283"/>
      <c r="G21" s="2283"/>
      <c r="H21" s="2283"/>
      <c r="I21" s="2284"/>
      <c r="J21" s="2285">
        <f t="shared" si="0"/>
        <v>16</v>
      </c>
      <c r="K21" s="2286"/>
      <c r="L21" s="2286"/>
      <c r="M21" s="2286"/>
      <c r="N21" s="2286"/>
      <c r="O21" s="2287"/>
      <c r="P21" s="2285" cm="1">
        <f t="array" ref="P21">SUMPRODUCT((Application!$B$714:$B$738 = 'CalHFA Addendum'!P$18)*(Application!$AC$714:$AC$738 = 'CalHFA Addendum'!$B21),Application!$G$714:$G$738)</f>
        <v>0</v>
      </c>
      <c r="Q21" s="2286"/>
      <c r="R21" s="2286"/>
      <c r="S21" s="2286"/>
      <c r="T21" s="2286"/>
      <c r="U21" s="2287"/>
      <c r="V21" s="2285" cm="1">
        <f t="array" ref="V21">SUMPRODUCT((Application!$B$714:$B$738 = 'CalHFA Addendum'!V$18)*(Application!$AC$714:$AC$738 = 'CalHFA Addendum'!$B21),Application!$G$714:$G$738)</f>
        <v>0</v>
      </c>
      <c r="W21" s="2286"/>
      <c r="X21" s="2286"/>
      <c r="Y21" s="2286"/>
      <c r="Z21" s="2286"/>
      <c r="AA21" s="2287"/>
      <c r="AB21" s="2285" cm="1">
        <f t="array" ref="AB21">SUMPRODUCT((Application!$B$714:$B$738 = 'CalHFA Addendum'!AB$18)*(Application!$AC$714:$AC$738 = 'CalHFA Addendum'!$B21),Application!$G$714:$G$738)</f>
        <v>10</v>
      </c>
      <c r="AC21" s="2286"/>
      <c r="AD21" s="2286"/>
      <c r="AE21" s="2286"/>
      <c r="AF21" s="2286"/>
      <c r="AG21" s="2287"/>
      <c r="AH21" s="2285" cm="1">
        <f t="array" ref="AH21">SUMPRODUCT((Application!$B$714:$B$738 = 'CalHFA Addendum'!AH$18)*(Application!$AC$714:$AC$738 = 'CalHFA Addendum'!$B21),Application!$G$714:$G$738)</f>
        <v>6</v>
      </c>
      <c r="AI21" s="2286"/>
      <c r="AJ21" s="2286"/>
      <c r="AK21" s="2286"/>
      <c r="AL21" s="2286"/>
      <c r="AM21" s="2287"/>
      <c r="AN21" s="2285" cm="1">
        <f t="array" ref="AN21">SUMPRODUCT((Application!$B$714:$B$738 = 'CalHFA Addendum'!AN$18)*(Application!$AC$714:$AC$738 = 'CalHFA Addendum'!$B21),Application!$G$714:$G$738)</f>
        <v>0</v>
      </c>
      <c r="AO21" s="2286"/>
      <c r="AP21" s="2286"/>
      <c r="AQ21" s="2286"/>
      <c r="AR21" s="2286"/>
      <c r="AS21" s="2287"/>
      <c r="AT21" s="2270">
        <f t="shared" si="1"/>
        <v>0.3902439024390244</v>
      </c>
      <c r="AU21" s="2271"/>
      <c r="AV21" s="2271"/>
      <c r="AW21" s="2271"/>
      <c r="AX21" s="2271"/>
      <c r="AY21" s="2272"/>
      <c r="AZ21" s="1190"/>
      <c r="BA21" s="1190"/>
      <c r="BB21" s="1190"/>
      <c r="BC21" s="1190"/>
      <c r="BD21" s="1190"/>
      <c r="BE21" s="1194"/>
    </row>
    <row r="22" spans="1:58" ht="15">
      <c r="A22" s="1190"/>
      <c r="B22" s="2282">
        <v>0.6</v>
      </c>
      <c r="C22" s="2283"/>
      <c r="D22" s="2283"/>
      <c r="E22" s="2283"/>
      <c r="F22" s="2283"/>
      <c r="G22" s="2283"/>
      <c r="H22" s="2283"/>
      <c r="I22" s="2284"/>
      <c r="J22" s="2285">
        <f t="shared" si="0"/>
        <v>3</v>
      </c>
      <c r="K22" s="2286"/>
      <c r="L22" s="2286"/>
      <c r="M22" s="2286"/>
      <c r="N22" s="2286"/>
      <c r="O22" s="2287"/>
      <c r="P22" s="2285" cm="1">
        <f t="array" ref="P22">SUMPRODUCT((Application!$B$714:$B$738 = 'CalHFA Addendum'!P$18)*(Application!$AC$714:$AC$738 = 'CalHFA Addendum'!$B22),Application!$G$714:$G$738)</f>
        <v>0</v>
      </c>
      <c r="Q22" s="2286"/>
      <c r="R22" s="2286"/>
      <c r="S22" s="2286"/>
      <c r="T22" s="2286"/>
      <c r="U22" s="2287"/>
      <c r="V22" s="2285" cm="1">
        <f t="array" ref="V22">SUMPRODUCT((Application!$B$714:$B$738 = 'CalHFA Addendum'!V$18)*(Application!$AC$714:$AC$738 = 'CalHFA Addendum'!$B22),Application!$G$714:$G$738)</f>
        <v>0</v>
      </c>
      <c r="W22" s="2286"/>
      <c r="X22" s="2286"/>
      <c r="Y22" s="2286"/>
      <c r="Z22" s="2286"/>
      <c r="AA22" s="2287"/>
      <c r="AB22" s="2285" cm="1">
        <f t="array" ref="AB22">SUMPRODUCT((Application!$B$714:$B$738 = 'CalHFA Addendum'!AB$18)*(Application!$AC$714:$AC$738 = 'CalHFA Addendum'!$B22),Application!$G$714:$G$738)</f>
        <v>0</v>
      </c>
      <c r="AC22" s="2286"/>
      <c r="AD22" s="2286"/>
      <c r="AE22" s="2286"/>
      <c r="AF22" s="2286"/>
      <c r="AG22" s="2287"/>
      <c r="AH22" s="2285" cm="1">
        <f t="array" ref="AH22">SUMPRODUCT((Application!$B$714:$B$738 = 'CalHFA Addendum'!AH$18)*(Application!$AC$714:$AC$738 = 'CalHFA Addendum'!$B22),Application!$G$714:$G$738)</f>
        <v>3</v>
      </c>
      <c r="AI22" s="2286"/>
      <c r="AJ22" s="2286"/>
      <c r="AK22" s="2286"/>
      <c r="AL22" s="2286"/>
      <c r="AM22" s="2287"/>
      <c r="AN22" s="2285" cm="1">
        <f t="array" ref="AN22">SUMPRODUCT((Application!$B$714:$B$738 = 'CalHFA Addendum'!AN$18)*(Application!$AC$714:$AC$738 = 'CalHFA Addendum'!$B22),Application!$G$714:$G$738)</f>
        <v>0</v>
      </c>
      <c r="AO22" s="2286"/>
      <c r="AP22" s="2286"/>
      <c r="AQ22" s="2286"/>
      <c r="AR22" s="2286"/>
      <c r="AS22" s="2287"/>
      <c r="AT22" s="2270">
        <f t="shared" si="1"/>
        <v>7.3170731707317069E-2</v>
      </c>
      <c r="AU22" s="2271"/>
      <c r="AV22" s="2271"/>
      <c r="AW22" s="2271"/>
      <c r="AX22" s="2271"/>
      <c r="AY22" s="2272"/>
      <c r="AZ22" s="1190"/>
      <c r="BA22" s="1190"/>
      <c r="BB22" s="1190"/>
      <c r="BC22" s="1190"/>
      <c r="BD22" s="1190"/>
      <c r="BE22" s="1194"/>
    </row>
    <row r="23" spans="1:58" ht="15">
      <c r="A23" s="1190"/>
      <c r="B23" s="2282">
        <v>0.7</v>
      </c>
      <c r="C23" s="2283"/>
      <c r="D23" s="2283"/>
      <c r="E23" s="2283"/>
      <c r="F23" s="2283"/>
      <c r="G23" s="2283"/>
      <c r="H23" s="2283"/>
      <c r="I23" s="2284"/>
      <c r="J23" s="2285">
        <f t="shared" si="0"/>
        <v>0</v>
      </c>
      <c r="K23" s="2286"/>
      <c r="L23" s="2286"/>
      <c r="M23" s="2286"/>
      <c r="N23" s="2286"/>
      <c r="O23" s="2287"/>
      <c r="P23" s="2285" cm="1">
        <f t="array" ref="P23">SUMPRODUCT((Application!$B$714:$B$738 = 'CalHFA Addendum'!P$18)*(Application!$AC$714:$AC$738 = 'CalHFA Addendum'!$B23),Application!$G$714:$G$738)</f>
        <v>0</v>
      </c>
      <c r="Q23" s="2286"/>
      <c r="R23" s="2286"/>
      <c r="S23" s="2286"/>
      <c r="T23" s="2286"/>
      <c r="U23" s="2287"/>
      <c r="V23" s="2285" cm="1">
        <f t="array" ref="V23">SUMPRODUCT((Application!$B$714:$B$738 = 'CalHFA Addendum'!V$18)*(Application!$AC$714:$AC$738 = 'CalHFA Addendum'!$B23),Application!$G$714:$G$738)</f>
        <v>0</v>
      </c>
      <c r="W23" s="2286"/>
      <c r="X23" s="2286"/>
      <c r="Y23" s="2286"/>
      <c r="Z23" s="2286"/>
      <c r="AA23" s="2287"/>
      <c r="AB23" s="2285" cm="1">
        <f t="array" ref="AB23">SUMPRODUCT((Application!$B$714:$B$738 = 'CalHFA Addendum'!AB$18)*(Application!$AC$714:$AC$738 = 'CalHFA Addendum'!$B23),Application!$G$714:$G$738)</f>
        <v>0</v>
      </c>
      <c r="AC23" s="2286"/>
      <c r="AD23" s="2286"/>
      <c r="AE23" s="2286"/>
      <c r="AF23" s="2286"/>
      <c r="AG23" s="2287"/>
      <c r="AH23" s="2285" cm="1">
        <f t="array" ref="AH23">SUMPRODUCT((Application!$B$714:$B$738 = 'CalHFA Addendum'!AH$18)*(Application!$AC$714:$AC$738 = 'CalHFA Addendum'!$B23),Application!$G$714:$G$738)</f>
        <v>0</v>
      </c>
      <c r="AI23" s="2286"/>
      <c r="AJ23" s="2286"/>
      <c r="AK23" s="2286"/>
      <c r="AL23" s="2286"/>
      <c r="AM23" s="2287"/>
      <c r="AN23" s="2285" cm="1">
        <f t="array" ref="AN23">SUMPRODUCT((Application!$B$714:$B$738 = 'CalHFA Addendum'!AN$18)*(Application!$AC$714:$AC$738 = 'CalHFA Addendum'!$B23),Application!$G$714:$G$738)</f>
        <v>0</v>
      </c>
      <c r="AO23" s="2286"/>
      <c r="AP23" s="2286"/>
      <c r="AQ23" s="2286"/>
      <c r="AR23" s="2286"/>
      <c r="AS23" s="2287"/>
      <c r="AT23" s="2270">
        <f t="shared" si="1"/>
        <v>0</v>
      </c>
      <c r="AU23" s="2271"/>
      <c r="AV23" s="2271"/>
      <c r="AW23" s="2271"/>
      <c r="AX23" s="2271"/>
      <c r="AY23" s="2272"/>
      <c r="AZ23" s="1190"/>
      <c r="BA23" s="1190"/>
      <c r="BB23" s="1190"/>
      <c r="BC23" s="1190"/>
      <c r="BD23" s="1190"/>
      <c r="BE23" s="1194"/>
    </row>
    <row r="24" spans="1:58" ht="15">
      <c r="A24" s="1190"/>
      <c r="B24" s="2282">
        <v>0.8</v>
      </c>
      <c r="C24" s="2283"/>
      <c r="D24" s="2283"/>
      <c r="E24" s="2283"/>
      <c r="F24" s="2283"/>
      <c r="G24" s="2283"/>
      <c r="H24" s="2283"/>
      <c r="I24" s="2284"/>
      <c r="J24" s="2285">
        <f t="shared" si="0"/>
        <v>0</v>
      </c>
      <c r="K24" s="2286"/>
      <c r="L24" s="2286"/>
      <c r="M24" s="2286"/>
      <c r="N24" s="2286"/>
      <c r="O24" s="2287"/>
      <c r="P24" s="2285" cm="1">
        <f t="array" ref="P24">SUMPRODUCT((Application!$B$714:$B$738 = 'CalHFA Addendum'!P$18)*(Application!$AC$714:$AC$738 = 'CalHFA Addendum'!$B24),Application!$G$714:$G$738)</f>
        <v>0</v>
      </c>
      <c r="Q24" s="2286"/>
      <c r="R24" s="2286"/>
      <c r="S24" s="2286"/>
      <c r="T24" s="2286"/>
      <c r="U24" s="2287"/>
      <c r="V24" s="2285" cm="1">
        <f t="array" ref="V24">SUMPRODUCT((Application!$B$714:$B$738 = 'CalHFA Addendum'!V$18)*(Application!$AC$714:$AC$738 = 'CalHFA Addendum'!$B24),Application!$G$714:$G$738)</f>
        <v>0</v>
      </c>
      <c r="W24" s="2286"/>
      <c r="X24" s="2286"/>
      <c r="Y24" s="2286"/>
      <c r="Z24" s="2286"/>
      <c r="AA24" s="2287"/>
      <c r="AB24" s="2285" cm="1">
        <f t="array" ref="AB24">SUMPRODUCT((Application!$B$714:$B$738 = 'CalHFA Addendum'!AB$18)*(Application!$AC$714:$AC$738 = 'CalHFA Addendum'!$B24),Application!$G$714:$G$738)</f>
        <v>0</v>
      </c>
      <c r="AC24" s="2286"/>
      <c r="AD24" s="2286"/>
      <c r="AE24" s="2286"/>
      <c r="AF24" s="2286"/>
      <c r="AG24" s="2287"/>
      <c r="AH24" s="2285" cm="1">
        <f t="array" ref="AH24">SUMPRODUCT((Application!$B$714:$B$738 = 'CalHFA Addendum'!AH$18)*(Application!$AC$714:$AC$738 = 'CalHFA Addendum'!$B24),Application!$G$714:$G$738)</f>
        <v>0</v>
      </c>
      <c r="AI24" s="2286"/>
      <c r="AJ24" s="2286"/>
      <c r="AK24" s="2286"/>
      <c r="AL24" s="2286"/>
      <c r="AM24" s="2287"/>
      <c r="AN24" s="2285" cm="1">
        <f t="array" ref="AN24">SUMPRODUCT((Application!$B$714:$B$738 = 'CalHFA Addendum'!AN$18)*(Application!$AC$714:$AC$738 = 'CalHFA Addendum'!$B24),Application!$G$714:$G$738)</f>
        <v>0</v>
      </c>
      <c r="AO24" s="2286"/>
      <c r="AP24" s="2286"/>
      <c r="AQ24" s="2286"/>
      <c r="AR24" s="2286"/>
      <c r="AS24" s="2287"/>
      <c r="AT24" s="2270">
        <f t="shared" si="1"/>
        <v>0</v>
      </c>
      <c r="AU24" s="2271"/>
      <c r="AV24" s="2271"/>
      <c r="AW24" s="2271"/>
      <c r="AX24" s="2271"/>
      <c r="AY24" s="2272"/>
      <c r="AZ24" s="1190"/>
      <c r="BA24" s="1190"/>
      <c r="BB24" s="1190"/>
      <c r="BC24" s="1190"/>
      <c r="BD24" s="1190"/>
      <c r="BE24" s="1194"/>
    </row>
    <row r="25" spans="1:58" ht="15">
      <c r="A25" s="1190"/>
      <c r="B25" s="2282">
        <v>0.9</v>
      </c>
      <c r="C25" s="2283"/>
      <c r="D25" s="2283"/>
      <c r="E25" s="2283"/>
      <c r="F25" s="2283"/>
      <c r="G25" s="2283"/>
      <c r="H25" s="2283"/>
      <c r="I25" s="2284"/>
      <c r="J25" s="2267"/>
      <c r="K25" s="2268"/>
      <c r="L25" s="2268"/>
      <c r="M25" s="2268"/>
      <c r="N25" s="2268"/>
      <c r="O25" s="2269"/>
      <c r="P25" s="2267"/>
      <c r="Q25" s="2268"/>
      <c r="R25" s="2268"/>
      <c r="S25" s="2268"/>
      <c r="T25" s="2268"/>
      <c r="U25" s="2269"/>
      <c r="V25" s="2267"/>
      <c r="W25" s="2268"/>
      <c r="X25" s="2268"/>
      <c r="Y25" s="2268"/>
      <c r="Z25" s="2268"/>
      <c r="AA25" s="2269"/>
      <c r="AB25" s="2267"/>
      <c r="AC25" s="2268"/>
      <c r="AD25" s="2268"/>
      <c r="AE25" s="2268"/>
      <c r="AF25" s="2268"/>
      <c r="AG25" s="2269"/>
      <c r="AH25" s="2267"/>
      <c r="AI25" s="2268"/>
      <c r="AJ25" s="2268"/>
      <c r="AK25" s="2268"/>
      <c r="AL25" s="2268"/>
      <c r="AM25" s="2269"/>
      <c r="AN25" s="2267"/>
      <c r="AO25" s="2268"/>
      <c r="AP25" s="2268"/>
      <c r="AQ25" s="2268"/>
      <c r="AR25" s="2268"/>
      <c r="AS25" s="2269"/>
      <c r="AT25" s="2270">
        <f t="shared" si="1"/>
        <v>0</v>
      </c>
      <c r="AU25" s="2271"/>
      <c r="AV25" s="2271"/>
      <c r="AW25" s="2271"/>
      <c r="AX25" s="2271"/>
      <c r="AY25" s="2272"/>
      <c r="AZ25" s="1190"/>
      <c r="BA25" s="1190"/>
      <c r="BB25" s="1190"/>
      <c r="BC25" s="1190"/>
      <c r="BD25" s="1190"/>
      <c r="BE25" s="1194"/>
    </row>
    <row r="26" spans="1:58" ht="15">
      <c r="A26" s="1190"/>
      <c r="B26" s="2282">
        <v>1</v>
      </c>
      <c r="C26" s="2283"/>
      <c r="D26" s="2283"/>
      <c r="E26" s="2283"/>
      <c r="F26" s="2283"/>
      <c r="G26" s="2283"/>
      <c r="H26" s="2283"/>
      <c r="I26" s="2284"/>
      <c r="J26" s="2267"/>
      <c r="K26" s="2268"/>
      <c r="L26" s="2268"/>
      <c r="M26" s="2268"/>
      <c r="N26" s="2268"/>
      <c r="O26" s="2269"/>
      <c r="P26" s="2267"/>
      <c r="Q26" s="2268"/>
      <c r="R26" s="2268"/>
      <c r="S26" s="2268"/>
      <c r="T26" s="2268"/>
      <c r="U26" s="2269"/>
      <c r="V26" s="2267"/>
      <c r="W26" s="2268"/>
      <c r="X26" s="2268"/>
      <c r="Y26" s="2268"/>
      <c r="Z26" s="2268"/>
      <c r="AA26" s="2269"/>
      <c r="AB26" s="2267"/>
      <c r="AC26" s="2268"/>
      <c r="AD26" s="2268"/>
      <c r="AE26" s="2268"/>
      <c r="AF26" s="2268"/>
      <c r="AG26" s="2269"/>
      <c r="AH26" s="2267"/>
      <c r="AI26" s="2268"/>
      <c r="AJ26" s="2268"/>
      <c r="AK26" s="2268"/>
      <c r="AL26" s="2268"/>
      <c r="AM26" s="2269"/>
      <c r="AN26" s="2267"/>
      <c r="AO26" s="2268"/>
      <c r="AP26" s="2268"/>
      <c r="AQ26" s="2268"/>
      <c r="AR26" s="2268"/>
      <c r="AS26" s="2269"/>
      <c r="AT26" s="2270">
        <f t="shared" si="1"/>
        <v>0</v>
      </c>
      <c r="AU26" s="2271"/>
      <c r="AV26" s="2271"/>
      <c r="AW26" s="2271"/>
      <c r="AX26" s="2271"/>
      <c r="AY26" s="2272"/>
      <c r="AZ26" s="1190"/>
      <c r="BA26" s="1190"/>
      <c r="BB26" s="1190"/>
      <c r="BC26" s="1190"/>
      <c r="BD26" s="1190"/>
      <c r="BE26" s="1194"/>
    </row>
    <row r="27" spans="1:58" ht="15">
      <c r="A27" s="1190"/>
      <c r="B27" s="2282">
        <v>1.2</v>
      </c>
      <c r="C27" s="2283"/>
      <c r="D27" s="2283"/>
      <c r="E27" s="2283"/>
      <c r="F27" s="2283"/>
      <c r="G27" s="2283"/>
      <c r="H27" s="2283"/>
      <c r="I27" s="2284"/>
      <c r="J27" s="2267"/>
      <c r="K27" s="2268"/>
      <c r="L27" s="2268"/>
      <c r="M27" s="2268"/>
      <c r="N27" s="2268"/>
      <c r="O27" s="2269"/>
      <c r="P27" s="2267"/>
      <c r="Q27" s="2268"/>
      <c r="R27" s="2268"/>
      <c r="S27" s="2268"/>
      <c r="T27" s="2268"/>
      <c r="U27" s="2269"/>
      <c r="V27" s="2267"/>
      <c r="W27" s="2268"/>
      <c r="X27" s="2268"/>
      <c r="Y27" s="2268"/>
      <c r="Z27" s="2268"/>
      <c r="AA27" s="2269"/>
      <c r="AB27" s="2267"/>
      <c r="AC27" s="2268"/>
      <c r="AD27" s="2268"/>
      <c r="AE27" s="2268"/>
      <c r="AF27" s="2268"/>
      <c r="AG27" s="2269"/>
      <c r="AH27" s="2267"/>
      <c r="AI27" s="2268"/>
      <c r="AJ27" s="2268"/>
      <c r="AK27" s="2268"/>
      <c r="AL27" s="2268"/>
      <c r="AM27" s="2269"/>
      <c r="AN27" s="2267"/>
      <c r="AO27" s="2268"/>
      <c r="AP27" s="2268"/>
      <c r="AQ27" s="2268"/>
      <c r="AR27" s="2268"/>
      <c r="AS27" s="2269"/>
      <c r="AT27" s="2270">
        <f t="shared" si="1"/>
        <v>0</v>
      </c>
      <c r="AU27" s="2271"/>
      <c r="AV27" s="2271"/>
      <c r="AW27" s="2271"/>
      <c r="AX27" s="2271"/>
      <c r="AY27" s="2272"/>
      <c r="AZ27" s="1190"/>
      <c r="BA27" s="1190"/>
      <c r="BB27" s="1190"/>
      <c r="BC27" s="1190"/>
      <c r="BD27" s="1190"/>
      <c r="BE27" s="1194"/>
    </row>
    <row r="28" spans="1:58" thickBot="1">
      <c r="A28" s="1190"/>
      <c r="B28" s="2273" t="s">
        <v>2430</v>
      </c>
      <c r="C28" s="2274"/>
      <c r="D28" s="2274"/>
      <c r="E28" s="2274"/>
      <c r="F28" s="2274"/>
      <c r="G28" s="2274"/>
      <c r="H28" s="2274"/>
      <c r="I28" s="2275"/>
      <c r="J28" s="2276">
        <f>SUM(P28:AS28)</f>
        <v>1</v>
      </c>
      <c r="K28" s="2277"/>
      <c r="L28" s="2277"/>
      <c r="M28" s="2277"/>
      <c r="N28" s="2277"/>
      <c r="O28" s="2278"/>
      <c r="P28" s="2276">
        <f>_xlfn.IFNA(VLOOKUP(P$18,Application!$J$773:$S$776,6,FALSE), 0)</f>
        <v>0</v>
      </c>
      <c r="Q28" s="2277"/>
      <c r="R28" s="2277"/>
      <c r="S28" s="2277"/>
      <c r="T28" s="2277"/>
      <c r="U28" s="2278"/>
      <c r="V28" s="2276">
        <f>_xlfn.IFNA(VLOOKUP(V$18,Application!$J$773:$S$776,6,FALSE), 0)</f>
        <v>0</v>
      </c>
      <c r="W28" s="2277"/>
      <c r="X28" s="2277"/>
      <c r="Y28" s="2277"/>
      <c r="Z28" s="2277"/>
      <c r="AA28" s="2278"/>
      <c r="AB28" s="2276">
        <f>_xlfn.IFNA(VLOOKUP(AB$18,Application!$J$773:$S$776,6,FALSE), 0)</f>
        <v>0</v>
      </c>
      <c r="AC28" s="2277"/>
      <c r="AD28" s="2277"/>
      <c r="AE28" s="2277"/>
      <c r="AF28" s="2277"/>
      <c r="AG28" s="2278"/>
      <c r="AH28" s="2276">
        <f>_xlfn.IFNA(VLOOKUP(AH$18,Application!$J$773:$S$776,6,FALSE), 0)</f>
        <v>1</v>
      </c>
      <c r="AI28" s="2277"/>
      <c r="AJ28" s="2277"/>
      <c r="AK28" s="2277"/>
      <c r="AL28" s="2277"/>
      <c r="AM28" s="2278"/>
      <c r="AN28" s="2276">
        <f>_xlfn.IFNA(VLOOKUP(AN$18,Application!$J$773:$S$776,6,FALSE), 0)</f>
        <v>0</v>
      </c>
      <c r="AO28" s="2277"/>
      <c r="AP28" s="2277"/>
      <c r="AQ28" s="2277"/>
      <c r="AR28" s="2277"/>
      <c r="AS28" s="2278"/>
      <c r="AT28" s="2279">
        <f t="shared" si="1"/>
        <v>2.4390243902439025E-2</v>
      </c>
      <c r="AU28" s="2280"/>
      <c r="AV28" s="2280"/>
      <c r="AW28" s="2280"/>
      <c r="AX28" s="2280"/>
      <c r="AY28" s="2281"/>
      <c r="AZ28" s="1190"/>
      <c r="BA28" s="1190"/>
      <c r="BB28" s="1190"/>
      <c r="BC28" s="1190"/>
      <c r="BD28" s="1190"/>
      <c r="BE28" s="1194"/>
    </row>
    <row r="29" spans="1:58" thickBot="1">
      <c r="A29" s="1190"/>
      <c r="B29" s="2256" t="s">
        <v>1586</v>
      </c>
      <c r="C29" s="2229"/>
      <c r="D29" s="2229"/>
      <c r="E29" s="2229"/>
      <c r="F29" s="2229"/>
      <c r="G29" s="2229"/>
      <c r="H29" s="2229"/>
      <c r="I29" s="2230"/>
      <c r="J29" s="2228">
        <f>SUM(J19:O28)</f>
        <v>41</v>
      </c>
      <c r="K29" s="2229"/>
      <c r="L29" s="2229"/>
      <c r="M29" s="2229"/>
      <c r="N29" s="2229"/>
      <c r="O29" s="2230"/>
      <c r="P29" s="2228">
        <f>SUM(P19:U28)</f>
        <v>0</v>
      </c>
      <c r="Q29" s="2229"/>
      <c r="R29" s="2229"/>
      <c r="S29" s="2229"/>
      <c r="T29" s="2229"/>
      <c r="U29" s="2230"/>
      <c r="V29" s="2228">
        <f>SUM(V19:AA28)</f>
        <v>10</v>
      </c>
      <c r="W29" s="2229"/>
      <c r="X29" s="2229"/>
      <c r="Y29" s="2229"/>
      <c r="Z29" s="2229"/>
      <c r="AA29" s="2230"/>
      <c r="AB29" s="2228">
        <f>SUM(AB19:AG28)</f>
        <v>17</v>
      </c>
      <c r="AC29" s="2229"/>
      <c r="AD29" s="2229"/>
      <c r="AE29" s="2229"/>
      <c r="AF29" s="2229"/>
      <c r="AG29" s="2230"/>
      <c r="AH29" s="2228">
        <f>SUM(AH19:AM28)</f>
        <v>14</v>
      </c>
      <c r="AI29" s="2229"/>
      <c r="AJ29" s="2229"/>
      <c r="AK29" s="2229"/>
      <c r="AL29" s="2229"/>
      <c r="AM29" s="2230"/>
      <c r="AN29" s="2228">
        <f>SUM(AN19:AS28)</f>
        <v>0</v>
      </c>
      <c r="AO29" s="2229"/>
      <c r="AP29" s="2229"/>
      <c r="AQ29" s="2229"/>
      <c r="AR29" s="2229"/>
      <c r="AS29" s="2230"/>
      <c r="AT29" s="2231">
        <f t="shared" si="1"/>
        <v>1</v>
      </c>
      <c r="AU29" s="2232"/>
      <c r="AV29" s="2232"/>
      <c r="AW29" s="2232"/>
      <c r="AX29" s="2232"/>
      <c r="AY29" s="2233"/>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34" t="s">
        <v>2429</v>
      </c>
      <c r="C31" s="2235"/>
      <c r="D31" s="2235"/>
      <c r="E31" s="2235"/>
      <c r="F31" s="2235"/>
      <c r="G31" s="2235"/>
      <c r="H31" s="2235"/>
      <c r="I31" s="2235"/>
      <c r="J31" s="2235"/>
      <c r="K31" s="2235"/>
      <c r="L31" s="2235"/>
      <c r="M31" s="2235"/>
      <c r="N31" s="2235"/>
      <c r="O31" s="2235"/>
      <c r="P31" s="2235"/>
      <c r="Q31" s="2235"/>
      <c r="R31" s="2235"/>
      <c r="S31" s="2235"/>
      <c r="T31" s="2235"/>
      <c r="U31" s="2235"/>
      <c r="V31" s="2235"/>
      <c r="W31" s="2235"/>
      <c r="X31" s="2235"/>
      <c r="Y31" s="2235"/>
      <c r="Z31" s="2235"/>
      <c r="AA31" s="2235"/>
      <c r="AB31" s="2235"/>
      <c r="AC31" s="2235"/>
      <c r="AD31" s="2235"/>
      <c r="AE31" s="2235"/>
      <c r="AF31" s="2235"/>
      <c r="AG31" s="2235"/>
      <c r="AH31" s="2235"/>
      <c r="AI31" s="2235"/>
      <c r="AJ31" s="2235"/>
      <c r="AK31" s="2235"/>
      <c r="AL31" s="2235"/>
      <c r="AM31" s="2235"/>
      <c r="AN31" s="2235"/>
      <c r="AO31" s="2235"/>
      <c r="AP31" s="2235"/>
      <c r="AQ31" s="2235"/>
      <c r="AR31" s="2235"/>
      <c r="AS31" s="2235"/>
      <c r="AT31" s="2235"/>
      <c r="AU31" s="2235"/>
      <c r="AV31" s="2235"/>
      <c r="AW31" s="2235"/>
      <c r="AX31" s="2235"/>
      <c r="AY31" s="2235"/>
      <c r="AZ31" s="2235"/>
      <c r="BA31" s="2235"/>
      <c r="BB31" s="2235"/>
      <c r="BC31" s="2235"/>
      <c r="BD31" s="2236"/>
      <c r="BE31" s="1194"/>
    </row>
    <row r="32" spans="1:58" thickBot="1">
      <c r="A32" s="1190"/>
      <c r="B32" s="2237" t="s">
        <v>2428</v>
      </c>
      <c r="C32" s="2238"/>
      <c r="D32" s="2238"/>
      <c r="E32" s="2238"/>
      <c r="F32" s="2238"/>
      <c r="G32" s="2238"/>
      <c r="H32" s="2238"/>
      <c r="I32" s="2238"/>
      <c r="J32" s="2241" t="s">
        <v>2427</v>
      </c>
      <c r="K32" s="2242"/>
      <c r="L32" s="2242"/>
      <c r="M32" s="2242"/>
      <c r="N32" s="2241" t="s">
        <v>2426</v>
      </c>
      <c r="O32" s="2242"/>
      <c r="P32" s="2242"/>
      <c r="Q32" s="2244"/>
      <c r="R32" s="2246" t="s">
        <v>2425</v>
      </c>
      <c r="S32" s="2247"/>
      <c r="T32" s="2247"/>
      <c r="U32" s="2247"/>
      <c r="V32" s="2247"/>
      <c r="W32" s="2247"/>
      <c r="X32" s="2247"/>
      <c r="Y32" s="2247"/>
      <c r="Z32" s="2247"/>
      <c r="AA32" s="2247"/>
      <c r="AB32" s="2247"/>
      <c r="AC32" s="2247"/>
      <c r="AD32" s="2247"/>
      <c r="AE32" s="2247"/>
      <c r="AF32" s="2247"/>
      <c r="AG32" s="2247"/>
      <c r="AH32" s="2247"/>
      <c r="AI32" s="2247"/>
      <c r="AJ32" s="2247"/>
      <c r="AK32" s="2247"/>
      <c r="AL32" s="2247"/>
      <c r="AM32" s="2247"/>
      <c r="AN32" s="2247"/>
      <c r="AO32" s="2247"/>
      <c r="AP32" s="2247"/>
      <c r="AQ32" s="2247"/>
      <c r="AR32" s="2247"/>
      <c r="AS32" s="2247"/>
      <c r="AT32" s="2247"/>
      <c r="AU32" s="2247"/>
      <c r="AV32" s="2247"/>
      <c r="AW32" s="2247"/>
      <c r="AX32" s="2247"/>
      <c r="AY32" s="2247"/>
      <c r="AZ32" s="2247"/>
      <c r="BA32" s="2247"/>
      <c r="BB32" s="2247"/>
      <c r="BC32" s="2247"/>
      <c r="BD32" s="2248"/>
      <c r="BE32" s="1194"/>
    </row>
    <row r="33" spans="1:58" ht="15" customHeight="1">
      <c r="A33" s="1190"/>
      <c r="B33" s="2239"/>
      <c r="C33" s="2240"/>
      <c r="D33" s="2240"/>
      <c r="E33" s="2240"/>
      <c r="F33" s="2240"/>
      <c r="G33" s="2240"/>
      <c r="H33" s="2240"/>
      <c r="I33" s="2240"/>
      <c r="J33" s="2243"/>
      <c r="K33" s="2243"/>
      <c r="L33" s="2243"/>
      <c r="M33" s="2243"/>
      <c r="N33" s="2243"/>
      <c r="O33" s="2243"/>
      <c r="P33" s="2243"/>
      <c r="Q33" s="2245"/>
      <c r="R33" s="2249" t="s">
        <v>2424</v>
      </c>
      <c r="S33" s="2250"/>
      <c r="T33" s="2250"/>
      <c r="U33" s="2250"/>
      <c r="V33" s="2250"/>
      <c r="W33" s="2250"/>
      <c r="X33" s="2250"/>
      <c r="Y33" s="2250"/>
      <c r="Z33" s="2250"/>
      <c r="AA33" s="2250"/>
      <c r="AB33" s="2250"/>
      <c r="AC33" s="2250"/>
      <c r="AD33" s="2250"/>
      <c r="AE33" s="2250"/>
      <c r="AF33" s="2250"/>
      <c r="AG33" s="2250"/>
      <c r="AH33" s="2250"/>
      <c r="AI33" s="2250"/>
      <c r="AJ33" s="2250"/>
      <c r="AK33" s="2250"/>
      <c r="AL33" s="2250"/>
      <c r="AM33" s="2250"/>
      <c r="AN33" s="2250"/>
      <c r="AO33" s="2250"/>
      <c r="AP33" s="2250"/>
      <c r="AQ33" s="2250"/>
      <c r="AR33" s="2250"/>
      <c r="AS33" s="2250"/>
      <c r="AT33" s="2250"/>
      <c r="AU33" s="2250"/>
      <c r="AV33" s="2250"/>
      <c r="AW33" s="2250"/>
      <c r="AX33" s="2250"/>
      <c r="AY33" s="2250"/>
      <c r="AZ33" s="2250"/>
      <c r="BA33" s="2250"/>
      <c r="BB33" s="2250"/>
      <c r="BC33" s="2250"/>
      <c r="BD33" s="2251"/>
      <c r="BE33" s="1194"/>
    </row>
    <row r="34" spans="1:58" ht="15.75" customHeight="1" thickBot="1">
      <c r="A34" s="1190"/>
      <c r="B34" s="2239"/>
      <c r="C34" s="2240"/>
      <c r="D34" s="2240"/>
      <c r="E34" s="2240"/>
      <c r="F34" s="2240"/>
      <c r="G34" s="2240"/>
      <c r="H34" s="2240"/>
      <c r="I34" s="2240"/>
      <c r="J34" s="2243"/>
      <c r="K34" s="2243"/>
      <c r="L34" s="2243"/>
      <c r="M34" s="2243"/>
      <c r="N34" s="2243"/>
      <c r="O34" s="2243"/>
      <c r="P34" s="2243"/>
      <c r="Q34" s="2245"/>
      <c r="R34" s="2252"/>
      <c r="S34" s="2253"/>
      <c r="T34" s="2253"/>
      <c r="U34" s="2253"/>
      <c r="V34" s="2253"/>
      <c r="W34" s="2253"/>
      <c r="X34" s="2253"/>
      <c r="Y34" s="2253"/>
      <c r="Z34" s="2253"/>
      <c r="AA34" s="2253"/>
      <c r="AB34" s="2253"/>
      <c r="AC34" s="2253"/>
      <c r="AD34" s="2253"/>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2253"/>
      <c r="BB34" s="2253"/>
      <c r="BC34" s="2253"/>
      <c r="BD34" s="2254"/>
      <c r="BE34" s="1194"/>
    </row>
    <row r="35" spans="1:58" ht="15.75" customHeight="1">
      <c r="A35" s="1190"/>
      <c r="B35" s="2239"/>
      <c r="C35" s="2240"/>
      <c r="D35" s="2240"/>
      <c r="E35" s="2240"/>
      <c r="F35" s="2240"/>
      <c r="G35" s="2240"/>
      <c r="H35" s="2240"/>
      <c r="I35" s="2240"/>
      <c r="J35" s="2243"/>
      <c r="K35" s="2243"/>
      <c r="L35" s="2243"/>
      <c r="M35" s="2243"/>
      <c r="N35" s="2243"/>
      <c r="O35" s="2243"/>
      <c r="P35" s="2243"/>
      <c r="Q35" s="2243"/>
      <c r="R35" s="2255">
        <v>0.3</v>
      </c>
      <c r="S35" s="2255"/>
      <c r="T35" s="2255"/>
      <c r="U35" s="2255"/>
      <c r="V35" s="2255">
        <v>0.4</v>
      </c>
      <c r="W35" s="2255"/>
      <c r="X35" s="2255"/>
      <c r="Y35" s="2255"/>
      <c r="Z35" s="2255">
        <v>0.5</v>
      </c>
      <c r="AA35" s="2255"/>
      <c r="AB35" s="2255"/>
      <c r="AC35" s="2255"/>
      <c r="AD35" s="2255">
        <v>0.6</v>
      </c>
      <c r="AE35" s="2255"/>
      <c r="AF35" s="2255"/>
      <c r="AG35" s="2255"/>
      <c r="AH35" s="2255">
        <v>0.7</v>
      </c>
      <c r="AI35" s="2255"/>
      <c r="AJ35" s="2255"/>
      <c r="AK35" s="2255"/>
      <c r="AL35" s="2260">
        <v>0.8</v>
      </c>
      <c r="AM35" s="2261"/>
      <c r="AN35" s="2261"/>
      <c r="AO35" s="2262"/>
      <c r="AP35" s="2263">
        <v>1.2</v>
      </c>
      <c r="AQ35" s="2264"/>
      <c r="AR35" s="2265"/>
      <c r="AS35" s="2257" t="s">
        <v>2423</v>
      </c>
      <c r="AT35" s="2258"/>
      <c r="AU35" s="2258"/>
      <c r="AV35" s="2258"/>
      <c r="AW35" s="2258"/>
      <c r="AX35" s="2266"/>
      <c r="AY35" s="2257" t="s">
        <v>2422</v>
      </c>
      <c r="AZ35" s="2258"/>
      <c r="BA35" s="2258"/>
      <c r="BB35" s="2258"/>
      <c r="BC35" s="2258"/>
      <c r="BD35" s="2259"/>
      <c r="BE35" s="1194"/>
    </row>
    <row r="36" spans="1:58" ht="15.75" customHeight="1">
      <c r="A36" s="1190"/>
      <c r="B36" s="2161" t="s">
        <v>2421</v>
      </c>
      <c r="C36" s="2162"/>
      <c r="D36" s="2162"/>
      <c r="E36" s="2162"/>
      <c r="F36" s="2162"/>
      <c r="G36" s="2162"/>
      <c r="H36" s="2162"/>
      <c r="I36" s="2162"/>
      <c r="J36" s="2226" t="s">
        <v>2420</v>
      </c>
      <c r="K36" s="2226"/>
      <c r="L36" s="2226"/>
      <c r="M36" s="2226"/>
      <c r="N36" s="2226">
        <v>55</v>
      </c>
      <c r="O36" s="2226"/>
      <c r="P36" s="2226"/>
      <c r="Q36" s="2226"/>
      <c r="R36" s="2227"/>
      <c r="S36" s="2227"/>
      <c r="T36" s="2227"/>
      <c r="U36" s="2227"/>
      <c r="V36" s="2227"/>
      <c r="W36" s="2227"/>
      <c r="X36" s="2227"/>
      <c r="Y36" s="2227"/>
      <c r="Z36" s="2227"/>
      <c r="AA36" s="2227"/>
      <c r="AB36" s="2227"/>
      <c r="AC36" s="2227"/>
      <c r="AD36" s="2227"/>
      <c r="AE36" s="2227"/>
      <c r="AF36" s="2227"/>
      <c r="AG36" s="2227"/>
      <c r="AH36" s="2227"/>
      <c r="AI36" s="2227"/>
      <c r="AJ36" s="2227"/>
      <c r="AK36" s="2227"/>
      <c r="AL36" s="2211"/>
      <c r="AM36" s="2212"/>
      <c r="AN36" s="2212"/>
      <c r="AO36" s="2213"/>
      <c r="AP36" s="2211"/>
      <c r="AQ36" s="2212"/>
      <c r="AR36" s="2213"/>
      <c r="AS36" s="2214">
        <f t="shared" ref="AS36:AS47" si="2">SUM(R36:AR36)</f>
        <v>0</v>
      </c>
      <c r="AT36" s="2215"/>
      <c r="AU36" s="2215"/>
      <c r="AV36" s="2215"/>
      <c r="AW36" s="2215"/>
      <c r="AX36" s="2216"/>
      <c r="AY36" s="2217">
        <f t="shared" ref="AY36:AY47" si="3">AS36/$J$29</f>
        <v>0</v>
      </c>
      <c r="AZ36" s="2218"/>
      <c r="BA36" s="2218"/>
      <c r="BB36" s="2218"/>
      <c r="BC36" s="2218"/>
      <c r="BD36" s="2219"/>
      <c r="BE36" s="1194"/>
    </row>
    <row r="37" spans="1:58" ht="15.75" customHeight="1">
      <c r="A37" s="1190"/>
      <c r="B37" s="2161" t="s">
        <v>2419</v>
      </c>
      <c r="C37" s="2162"/>
      <c r="D37" s="2162"/>
      <c r="E37" s="2162"/>
      <c r="F37" s="2162"/>
      <c r="G37" s="2162"/>
      <c r="H37" s="2162"/>
      <c r="I37" s="2162"/>
      <c r="J37" s="2226" t="s">
        <v>2418</v>
      </c>
      <c r="K37" s="2226"/>
      <c r="L37" s="2226"/>
      <c r="M37" s="2226"/>
      <c r="N37" s="2226">
        <v>55</v>
      </c>
      <c r="O37" s="2226"/>
      <c r="P37" s="2226"/>
      <c r="Q37" s="2226"/>
      <c r="R37" s="2227"/>
      <c r="S37" s="2227"/>
      <c r="T37" s="2227"/>
      <c r="U37" s="2227"/>
      <c r="V37" s="2227"/>
      <c r="W37" s="2227"/>
      <c r="X37" s="2227"/>
      <c r="Y37" s="2227"/>
      <c r="Z37" s="2227"/>
      <c r="AA37" s="2227"/>
      <c r="AB37" s="2227"/>
      <c r="AC37" s="2227"/>
      <c r="AD37" s="2227"/>
      <c r="AE37" s="2227"/>
      <c r="AF37" s="2227"/>
      <c r="AG37" s="2227"/>
      <c r="AH37" s="2227"/>
      <c r="AI37" s="2227"/>
      <c r="AJ37" s="2227"/>
      <c r="AK37" s="2227"/>
      <c r="AL37" s="2211"/>
      <c r="AM37" s="2212"/>
      <c r="AN37" s="2212"/>
      <c r="AO37" s="2213"/>
      <c r="AP37" s="2211"/>
      <c r="AQ37" s="2212"/>
      <c r="AR37" s="2213"/>
      <c r="AS37" s="2214">
        <f t="shared" si="2"/>
        <v>0</v>
      </c>
      <c r="AT37" s="2215"/>
      <c r="AU37" s="2215"/>
      <c r="AV37" s="2215"/>
      <c r="AW37" s="2215"/>
      <c r="AX37" s="2216"/>
      <c r="AY37" s="2217">
        <f t="shared" si="3"/>
        <v>0</v>
      </c>
      <c r="AZ37" s="2218"/>
      <c r="BA37" s="2218"/>
      <c r="BB37" s="2218"/>
      <c r="BC37" s="2218"/>
      <c r="BD37" s="2219"/>
      <c r="BE37" s="1194"/>
    </row>
    <row r="38" spans="1:58" ht="15.75" customHeight="1">
      <c r="A38" s="1190"/>
      <c r="B38" s="2161" t="s">
        <v>2417</v>
      </c>
      <c r="C38" s="2162"/>
      <c r="D38" s="2162"/>
      <c r="E38" s="2162"/>
      <c r="F38" s="2162"/>
      <c r="G38" s="2162"/>
      <c r="H38" s="2162"/>
      <c r="I38" s="2162"/>
      <c r="J38" s="2226" t="s">
        <v>2416</v>
      </c>
      <c r="K38" s="2226"/>
      <c r="L38" s="2226"/>
      <c r="M38" s="2226"/>
      <c r="N38" s="2226">
        <v>55</v>
      </c>
      <c r="O38" s="2226"/>
      <c r="P38" s="2226"/>
      <c r="Q38" s="2226"/>
      <c r="R38" s="2227"/>
      <c r="S38" s="2227"/>
      <c r="T38" s="2227"/>
      <c r="U38" s="2227"/>
      <c r="V38" s="2227"/>
      <c r="W38" s="2227"/>
      <c r="X38" s="2227"/>
      <c r="Y38" s="2227"/>
      <c r="Z38" s="2227"/>
      <c r="AA38" s="2227"/>
      <c r="AB38" s="2227"/>
      <c r="AC38" s="2227"/>
      <c r="AD38" s="2227"/>
      <c r="AE38" s="2227"/>
      <c r="AF38" s="2227"/>
      <c r="AG38" s="2227"/>
      <c r="AH38" s="2227"/>
      <c r="AI38" s="2227"/>
      <c r="AJ38" s="2227"/>
      <c r="AK38" s="2227"/>
      <c r="AL38" s="2211"/>
      <c r="AM38" s="2212"/>
      <c r="AN38" s="2212"/>
      <c r="AO38" s="2213"/>
      <c r="AP38" s="2211"/>
      <c r="AQ38" s="2212"/>
      <c r="AR38" s="2213"/>
      <c r="AS38" s="2214">
        <f t="shared" si="2"/>
        <v>0</v>
      </c>
      <c r="AT38" s="2215"/>
      <c r="AU38" s="2215"/>
      <c r="AV38" s="2215"/>
      <c r="AW38" s="2215"/>
      <c r="AX38" s="2216"/>
      <c r="AY38" s="2217">
        <f t="shared" si="3"/>
        <v>0</v>
      </c>
      <c r="AZ38" s="2218"/>
      <c r="BA38" s="2218"/>
      <c r="BB38" s="2218"/>
      <c r="BC38" s="2218"/>
      <c r="BD38" s="2219"/>
      <c r="BE38" s="1194"/>
    </row>
    <row r="39" spans="1:58" ht="15.75" customHeight="1">
      <c r="A39" s="1190"/>
      <c r="B39" s="2161" t="s">
        <v>2415</v>
      </c>
      <c r="C39" s="2162"/>
      <c r="D39" s="2162"/>
      <c r="E39" s="2162"/>
      <c r="F39" s="2162"/>
      <c r="G39" s="2162"/>
      <c r="H39" s="2162"/>
      <c r="I39" s="2162"/>
      <c r="J39" s="2226"/>
      <c r="K39" s="2226"/>
      <c r="L39" s="2226"/>
      <c r="M39" s="2226"/>
      <c r="N39" s="2226"/>
      <c r="O39" s="2226"/>
      <c r="P39" s="2226"/>
      <c r="Q39" s="2226"/>
      <c r="R39" s="2227"/>
      <c r="S39" s="2227"/>
      <c r="T39" s="2227"/>
      <c r="U39" s="2227"/>
      <c r="V39" s="2227"/>
      <c r="W39" s="2227"/>
      <c r="X39" s="2227"/>
      <c r="Y39" s="2227"/>
      <c r="Z39" s="2227"/>
      <c r="AA39" s="2227"/>
      <c r="AB39" s="2227"/>
      <c r="AC39" s="2227"/>
      <c r="AD39" s="2227"/>
      <c r="AE39" s="2227"/>
      <c r="AF39" s="2227"/>
      <c r="AG39" s="2227"/>
      <c r="AH39" s="2227"/>
      <c r="AI39" s="2227"/>
      <c r="AJ39" s="2227"/>
      <c r="AK39" s="2227"/>
      <c r="AL39" s="2211"/>
      <c r="AM39" s="2212"/>
      <c r="AN39" s="2212"/>
      <c r="AO39" s="2213"/>
      <c r="AP39" s="2211"/>
      <c r="AQ39" s="2212"/>
      <c r="AR39" s="2213"/>
      <c r="AS39" s="2214">
        <f t="shared" si="2"/>
        <v>0</v>
      </c>
      <c r="AT39" s="2215"/>
      <c r="AU39" s="2215"/>
      <c r="AV39" s="2215"/>
      <c r="AW39" s="2215"/>
      <c r="AX39" s="2216"/>
      <c r="AY39" s="2217">
        <f t="shared" si="3"/>
        <v>0</v>
      </c>
      <c r="AZ39" s="2218"/>
      <c r="BA39" s="2218"/>
      <c r="BB39" s="2218"/>
      <c r="BC39" s="2218"/>
      <c r="BD39" s="2219"/>
      <c r="BE39" s="1194"/>
    </row>
    <row r="40" spans="1:58" ht="15.75" customHeight="1">
      <c r="A40" s="1190"/>
      <c r="B40" s="2161" t="s">
        <v>2415</v>
      </c>
      <c r="C40" s="2162"/>
      <c r="D40" s="2162"/>
      <c r="E40" s="2162"/>
      <c r="F40" s="2162"/>
      <c r="G40" s="2162"/>
      <c r="H40" s="2162"/>
      <c r="I40" s="2162"/>
      <c r="J40" s="2226"/>
      <c r="K40" s="2226"/>
      <c r="L40" s="2226"/>
      <c r="M40" s="2226"/>
      <c r="N40" s="2226"/>
      <c r="O40" s="2226"/>
      <c r="P40" s="2226"/>
      <c r="Q40" s="2226"/>
      <c r="R40" s="2227"/>
      <c r="S40" s="2227"/>
      <c r="T40" s="2227"/>
      <c r="U40" s="2227"/>
      <c r="V40" s="2227"/>
      <c r="W40" s="2227"/>
      <c r="X40" s="2227"/>
      <c r="Y40" s="2227"/>
      <c r="Z40" s="2227"/>
      <c r="AA40" s="2227"/>
      <c r="AB40" s="2227"/>
      <c r="AC40" s="2227"/>
      <c r="AD40" s="2227"/>
      <c r="AE40" s="2227"/>
      <c r="AF40" s="2227"/>
      <c r="AG40" s="2227"/>
      <c r="AH40" s="2227"/>
      <c r="AI40" s="2227"/>
      <c r="AJ40" s="2227"/>
      <c r="AK40" s="2227"/>
      <c r="AL40" s="2211"/>
      <c r="AM40" s="2212"/>
      <c r="AN40" s="2212"/>
      <c r="AO40" s="2213"/>
      <c r="AP40" s="2211"/>
      <c r="AQ40" s="2212"/>
      <c r="AR40" s="2213"/>
      <c r="AS40" s="2214">
        <f t="shared" si="2"/>
        <v>0</v>
      </c>
      <c r="AT40" s="2215"/>
      <c r="AU40" s="2215"/>
      <c r="AV40" s="2215"/>
      <c r="AW40" s="2215"/>
      <c r="AX40" s="2216"/>
      <c r="AY40" s="2217">
        <f t="shared" si="3"/>
        <v>0</v>
      </c>
      <c r="AZ40" s="2218"/>
      <c r="BA40" s="2218"/>
      <c r="BB40" s="2218"/>
      <c r="BC40" s="2218"/>
      <c r="BD40" s="2219"/>
      <c r="BE40" s="1194"/>
    </row>
    <row r="41" spans="1:58" ht="15.75" customHeight="1">
      <c r="A41" s="1190"/>
      <c r="B41" s="2161" t="s">
        <v>2414</v>
      </c>
      <c r="C41" s="2162"/>
      <c r="D41" s="2162"/>
      <c r="E41" s="2162"/>
      <c r="F41" s="2162"/>
      <c r="G41" s="2162"/>
      <c r="H41" s="2162"/>
      <c r="I41" s="2162"/>
      <c r="J41" s="2226"/>
      <c r="K41" s="2226"/>
      <c r="L41" s="2226"/>
      <c r="M41" s="2226"/>
      <c r="N41" s="2226"/>
      <c r="O41" s="2226"/>
      <c r="P41" s="2226"/>
      <c r="Q41" s="2226"/>
      <c r="R41" s="2227"/>
      <c r="S41" s="2227"/>
      <c r="T41" s="2227"/>
      <c r="U41" s="2227"/>
      <c r="V41" s="2227"/>
      <c r="W41" s="2227"/>
      <c r="X41" s="2227"/>
      <c r="Y41" s="2227"/>
      <c r="Z41" s="2227"/>
      <c r="AA41" s="2227"/>
      <c r="AB41" s="2227"/>
      <c r="AC41" s="2227"/>
      <c r="AD41" s="2227"/>
      <c r="AE41" s="2227"/>
      <c r="AF41" s="2227"/>
      <c r="AG41" s="2227"/>
      <c r="AH41" s="2227"/>
      <c r="AI41" s="2227"/>
      <c r="AJ41" s="2227"/>
      <c r="AK41" s="2227"/>
      <c r="AL41" s="2211"/>
      <c r="AM41" s="2212"/>
      <c r="AN41" s="2212"/>
      <c r="AO41" s="2213"/>
      <c r="AP41" s="2211"/>
      <c r="AQ41" s="2212"/>
      <c r="AR41" s="2213"/>
      <c r="AS41" s="2214">
        <f t="shared" si="2"/>
        <v>0</v>
      </c>
      <c r="AT41" s="2215"/>
      <c r="AU41" s="2215"/>
      <c r="AV41" s="2215"/>
      <c r="AW41" s="2215"/>
      <c r="AX41" s="2216"/>
      <c r="AY41" s="2217">
        <f t="shared" si="3"/>
        <v>0</v>
      </c>
      <c r="AZ41" s="2218"/>
      <c r="BA41" s="2218"/>
      <c r="BB41" s="2218"/>
      <c r="BC41" s="2218"/>
      <c r="BD41" s="2219"/>
      <c r="BE41" s="1194"/>
    </row>
    <row r="42" spans="1:58" ht="15.75" customHeight="1">
      <c r="A42" s="1190"/>
      <c r="B42" s="2161" t="s">
        <v>2414</v>
      </c>
      <c r="C42" s="2162"/>
      <c r="D42" s="2162"/>
      <c r="E42" s="2162"/>
      <c r="F42" s="2162"/>
      <c r="G42" s="2162"/>
      <c r="H42" s="2162"/>
      <c r="I42" s="2162"/>
      <c r="J42" s="2226"/>
      <c r="K42" s="2226"/>
      <c r="L42" s="2226"/>
      <c r="M42" s="2226"/>
      <c r="N42" s="2226"/>
      <c r="O42" s="2226"/>
      <c r="P42" s="2226"/>
      <c r="Q42" s="2226"/>
      <c r="R42" s="2227"/>
      <c r="S42" s="2227"/>
      <c r="T42" s="2227"/>
      <c r="U42" s="2227"/>
      <c r="V42" s="2227"/>
      <c r="W42" s="2227"/>
      <c r="X42" s="2227"/>
      <c r="Y42" s="2227"/>
      <c r="Z42" s="2227"/>
      <c r="AA42" s="2227"/>
      <c r="AB42" s="2227"/>
      <c r="AC42" s="2227"/>
      <c r="AD42" s="2227"/>
      <c r="AE42" s="2227"/>
      <c r="AF42" s="2227"/>
      <c r="AG42" s="2227"/>
      <c r="AH42" s="2227"/>
      <c r="AI42" s="2227"/>
      <c r="AJ42" s="2227"/>
      <c r="AK42" s="2227"/>
      <c r="AL42" s="2211"/>
      <c r="AM42" s="2212"/>
      <c r="AN42" s="2212"/>
      <c r="AO42" s="2213"/>
      <c r="AP42" s="2211"/>
      <c r="AQ42" s="2212"/>
      <c r="AR42" s="2213"/>
      <c r="AS42" s="2214">
        <f t="shared" si="2"/>
        <v>0</v>
      </c>
      <c r="AT42" s="2215"/>
      <c r="AU42" s="2215"/>
      <c r="AV42" s="2215"/>
      <c r="AW42" s="2215"/>
      <c r="AX42" s="2216"/>
      <c r="AY42" s="2217">
        <f t="shared" si="3"/>
        <v>0</v>
      </c>
      <c r="AZ42" s="2218"/>
      <c r="BA42" s="2218"/>
      <c r="BB42" s="2218"/>
      <c r="BC42" s="2218"/>
      <c r="BD42" s="2219"/>
      <c r="BE42" s="1194"/>
    </row>
    <row r="43" spans="1:58" ht="15.75" customHeight="1">
      <c r="A43" s="1190"/>
      <c r="B43" s="2166" t="s">
        <v>2413</v>
      </c>
      <c r="C43" s="2167"/>
      <c r="D43" s="2167"/>
      <c r="E43" s="2167"/>
      <c r="F43" s="2167"/>
      <c r="G43" s="2167"/>
      <c r="H43" s="2167"/>
      <c r="I43" s="2167"/>
      <c r="J43" s="2226"/>
      <c r="K43" s="2226"/>
      <c r="L43" s="2226"/>
      <c r="M43" s="2226"/>
      <c r="N43" s="2226"/>
      <c r="O43" s="2226"/>
      <c r="P43" s="2226"/>
      <c r="Q43" s="2226"/>
      <c r="R43" s="2227"/>
      <c r="S43" s="2227"/>
      <c r="T43" s="2227"/>
      <c r="U43" s="2227"/>
      <c r="V43" s="2227"/>
      <c r="W43" s="2227"/>
      <c r="X43" s="2227"/>
      <c r="Y43" s="2227"/>
      <c r="Z43" s="2227"/>
      <c r="AA43" s="2227"/>
      <c r="AB43" s="2227"/>
      <c r="AC43" s="2227"/>
      <c r="AD43" s="2227"/>
      <c r="AE43" s="2227"/>
      <c r="AF43" s="2227"/>
      <c r="AG43" s="2227"/>
      <c r="AH43" s="2227"/>
      <c r="AI43" s="2227"/>
      <c r="AJ43" s="2227"/>
      <c r="AK43" s="2227"/>
      <c r="AL43" s="2211"/>
      <c r="AM43" s="2212"/>
      <c r="AN43" s="2212"/>
      <c r="AO43" s="2213"/>
      <c r="AP43" s="2211"/>
      <c r="AQ43" s="2212"/>
      <c r="AR43" s="2213"/>
      <c r="AS43" s="2214">
        <f t="shared" si="2"/>
        <v>0</v>
      </c>
      <c r="AT43" s="2215"/>
      <c r="AU43" s="2215"/>
      <c r="AV43" s="2215"/>
      <c r="AW43" s="2215"/>
      <c r="AX43" s="2216"/>
      <c r="AY43" s="2217">
        <f t="shared" si="3"/>
        <v>0</v>
      </c>
      <c r="AZ43" s="2218"/>
      <c r="BA43" s="2218"/>
      <c r="BB43" s="2218"/>
      <c r="BC43" s="2218"/>
      <c r="BD43" s="2219"/>
      <c r="BE43" s="1194"/>
    </row>
    <row r="44" spans="1:58" ht="15.75" customHeight="1">
      <c r="A44" s="1190"/>
      <c r="B44" s="2166" t="s">
        <v>2412</v>
      </c>
      <c r="C44" s="2167"/>
      <c r="D44" s="2167"/>
      <c r="E44" s="2167"/>
      <c r="F44" s="2167"/>
      <c r="G44" s="2167"/>
      <c r="H44" s="2167"/>
      <c r="I44" s="2167"/>
      <c r="J44" s="2226"/>
      <c r="K44" s="2226"/>
      <c r="L44" s="2226"/>
      <c r="M44" s="2226"/>
      <c r="N44" s="2226"/>
      <c r="O44" s="2226"/>
      <c r="P44" s="2226"/>
      <c r="Q44" s="2226"/>
      <c r="R44" s="2227"/>
      <c r="S44" s="2227"/>
      <c r="T44" s="2227"/>
      <c r="U44" s="2227"/>
      <c r="V44" s="2227"/>
      <c r="W44" s="2227"/>
      <c r="X44" s="2227"/>
      <c r="Y44" s="2227"/>
      <c r="Z44" s="2227"/>
      <c r="AA44" s="2227"/>
      <c r="AB44" s="2227"/>
      <c r="AC44" s="2227"/>
      <c r="AD44" s="2227"/>
      <c r="AE44" s="2227"/>
      <c r="AF44" s="2227"/>
      <c r="AG44" s="2227"/>
      <c r="AH44" s="2227"/>
      <c r="AI44" s="2227"/>
      <c r="AJ44" s="2227"/>
      <c r="AK44" s="2227"/>
      <c r="AL44" s="2211"/>
      <c r="AM44" s="2212"/>
      <c r="AN44" s="2212"/>
      <c r="AO44" s="2213"/>
      <c r="AP44" s="2211"/>
      <c r="AQ44" s="2212"/>
      <c r="AR44" s="2213"/>
      <c r="AS44" s="2214">
        <f t="shared" si="2"/>
        <v>0</v>
      </c>
      <c r="AT44" s="2215"/>
      <c r="AU44" s="2215"/>
      <c r="AV44" s="2215"/>
      <c r="AW44" s="2215"/>
      <c r="AX44" s="2216"/>
      <c r="AY44" s="2217">
        <f t="shared" si="3"/>
        <v>0</v>
      </c>
      <c r="AZ44" s="2218"/>
      <c r="BA44" s="2218"/>
      <c r="BB44" s="2218"/>
      <c r="BC44" s="2218"/>
      <c r="BD44" s="2219"/>
      <c r="BE44" s="1194"/>
    </row>
    <row r="45" spans="1:58" ht="15.75" customHeight="1">
      <c r="A45" s="1190"/>
      <c r="B45" s="2166" t="s">
        <v>2411</v>
      </c>
      <c r="C45" s="2167"/>
      <c r="D45" s="2167"/>
      <c r="E45" s="2167"/>
      <c r="F45" s="2167"/>
      <c r="G45" s="2167"/>
      <c r="H45" s="2167"/>
      <c r="I45" s="2167"/>
      <c r="J45" s="2226"/>
      <c r="K45" s="2226"/>
      <c r="L45" s="2226"/>
      <c r="M45" s="2226"/>
      <c r="N45" s="2226"/>
      <c r="O45" s="2226"/>
      <c r="P45" s="2226"/>
      <c r="Q45" s="2226"/>
      <c r="R45" s="2227"/>
      <c r="S45" s="2227"/>
      <c r="T45" s="2227"/>
      <c r="U45" s="2227"/>
      <c r="V45" s="2227"/>
      <c r="W45" s="2227"/>
      <c r="X45" s="2227"/>
      <c r="Y45" s="2227"/>
      <c r="Z45" s="2227"/>
      <c r="AA45" s="2227"/>
      <c r="AB45" s="2227"/>
      <c r="AC45" s="2227"/>
      <c r="AD45" s="2227"/>
      <c r="AE45" s="2227"/>
      <c r="AF45" s="2227"/>
      <c r="AG45" s="2227"/>
      <c r="AH45" s="2227"/>
      <c r="AI45" s="2227"/>
      <c r="AJ45" s="2227"/>
      <c r="AK45" s="2227"/>
      <c r="AL45" s="2211"/>
      <c r="AM45" s="2212"/>
      <c r="AN45" s="2212"/>
      <c r="AO45" s="2213"/>
      <c r="AP45" s="2211"/>
      <c r="AQ45" s="2212"/>
      <c r="AR45" s="2213"/>
      <c r="AS45" s="2214">
        <f t="shared" si="2"/>
        <v>0</v>
      </c>
      <c r="AT45" s="2215"/>
      <c r="AU45" s="2215"/>
      <c r="AV45" s="2215"/>
      <c r="AW45" s="2215"/>
      <c r="AX45" s="2216"/>
      <c r="AY45" s="2217">
        <f t="shared" si="3"/>
        <v>0</v>
      </c>
      <c r="AZ45" s="2218"/>
      <c r="BA45" s="2218"/>
      <c r="BB45" s="2218"/>
      <c r="BC45" s="2218"/>
      <c r="BD45" s="2219"/>
      <c r="BE45" s="1194"/>
    </row>
    <row r="46" spans="1:58" ht="15.75" customHeight="1">
      <c r="A46" s="1190"/>
      <c r="B46" s="2166" t="s">
        <v>2335</v>
      </c>
      <c r="C46" s="2167"/>
      <c r="D46" s="2167"/>
      <c r="E46" s="2167"/>
      <c r="F46" s="2167"/>
      <c r="G46" s="2167"/>
      <c r="H46" s="2167"/>
      <c r="I46" s="2167"/>
      <c r="J46" s="2226"/>
      <c r="K46" s="2226"/>
      <c r="L46" s="2226"/>
      <c r="M46" s="2226"/>
      <c r="N46" s="2226">
        <v>99</v>
      </c>
      <c r="O46" s="2226"/>
      <c r="P46" s="2226"/>
      <c r="Q46" s="2226"/>
      <c r="R46" s="2227"/>
      <c r="S46" s="2227"/>
      <c r="T46" s="2227"/>
      <c r="U46" s="2227"/>
      <c r="V46" s="2227"/>
      <c r="W46" s="2227"/>
      <c r="X46" s="2227"/>
      <c r="Y46" s="2227"/>
      <c r="Z46" s="2227"/>
      <c r="AA46" s="2227"/>
      <c r="AB46" s="2227"/>
      <c r="AC46" s="2227"/>
      <c r="AD46" s="2227"/>
      <c r="AE46" s="2227"/>
      <c r="AF46" s="2227"/>
      <c r="AG46" s="2227"/>
      <c r="AH46" s="2227"/>
      <c r="AI46" s="2227"/>
      <c r="AJ46" s="2227"/>
      <c r="AK46" s="2227"/>
      <c r="AL46" s="2211"/>
      <c r="AM46" s="2212"/>
      <c r="AN46" s="2212"/>
      <c r="AO46" s="2213"/>
      <c r="AP46" s="2211"/>
      <c r="AQ46" s="2212"/>
      <c r="AR46" s="2213"/>
      <c r="AS46" s="2214">
        <f t="shared" si="2"/>
        <v>0</v>
      </c>
      <c r="AT46" s="2215"/>
      <c r="AU46" s="2215"/>
      <c r="AV46" s="2215"/>
      <c r="AW46" s="2215"/>
      <c r="AX46" s="2216"/>
      <c r="AY46" s="2217">
        <f t="shared" si="3"/>
        <v>0</v>
      </c>
      <c r="AZ46" s="2218"/>
      <c r="BA46" s="2218"/>
      <c r="BB46" s="2218"/>
      <c r="BC46" s="2218"/>
      <c r="BD46" s="2219"/>
      <c r="BE46" s="1194"/>
    </row>
    <row r="47" spans="1:58" ht="15.75" customHeight="1" thickBot="1">
      <c r="A47" s="1190"/>
      <c r="B47" s="2220" t="s">
        <v>299</v>
      </c>
      <c r="C47" s="2221"/>
      <c r="D47" s="2221"/>
      <c r="E47" s="2221"/>
      <c r="F47" s="2221"/>
      <c r="G47" s="2221"/>
      <c r="H47" s="2221"/>
      <c r="I47" s="2221"/>
      <c r="J47" s="2222"/>
      <c r="K47" s="2222"/>
      <c r="L47" s="2222"/>
      <c r="M47" s="2222"/>
      <c r="N47" s="2222"/>
      <c r="O47" s="2222"/>
      <c r="P47" s="2222"/>
      <c r="Q47" s="2222"/>
      <c r="R47" s="2207"/>
      <c r="S47" s="2207"/>
      <c r="T47" s="2207"/>
      <c r="U47" s="2207"/>
      <c r="V47" s="2207"/>
      <c r="W47" s="2207"/>
      <c r="X47" s="2207"/>
      <c r="Y47" s="2207"/>
      <c r="Z47" s="2207"/>
      <c r="AA47" s="2207"/>
      <c r="AB47" s="2207"/>
      <c r="AC47" s="2207"/>
      <c r="AD47" s="2207"/>
      <c r="AE47" s="2207"/>
      <c r="AF47" s="2207"/>
      <c r="AG47" s="2207"/>
      <c r="AH47" s="2207"/>
      <c r="AI47" s="2207"/>
      <c r="AJ47" s="2207"/>
      <c r="AK47" s="2207"/>
      <c r="AL47" s="2208"/>
      <c r="AM47" s="2209"/>
      <c r="AN47" s="2209"/>
      <c r="AO47" s="2210"/>
      <c r="AP47" s="2208"/>
      <c r="AQ47" s="2209"/>
      <c r="AR47" s="2210"/>
      <c r="AS47" s="2214">
        <f t="shared" si="2"/>
        <v>0</v>
      </c>
      <c r="AT47" s="2215"/>
      <c r="AU47" s="2215"/>
      <c r="AV47" s="2215"/>
      <c r="AW47" s="2215"/>
      <c r="AX47" s="2216"/>
      <c r="AY47" s="2223">
        <f t="shared" si="3"/>
        <v>0</v>
      </c>
      <c r="AZ47" s="2224"/>
      <c r="BA47" s="2224"/>
      <c r="BB47" s="2224"/>
      <c r="BC47" s="2224"/>
      <c r="BD47" s="2225"/>
      <c r="BE47" s="1194"/>
    </row>
    <row r="48" spans="1:58" ht="15.75" customHeight="1">
      <c r="A48" s="1190"/>
      <c r="B48" s="1196" t="s">
        <v>2410</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2409</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73" t="s">
        <v>2408</v>
      </c>
      <c r="C50" s="2029"/>
      <c r="D50" s="2029"/>
      <c r="E50" s="2029"/>
      <c r="F50" s="2029"/>
      <c r="G50" s="2029"/>
      <c r="H50" s="2029"/>
      <c r="I50" s="2029"/>
      <c r="J50" s="2029"/>
      <c r="K50" s="2029"/>
      <c r="L50" s="2029"/>
      <c r="M50" s="2029"/>
      <c r="N50" s="2029"/>
      <c r="O50" s="2029"/>
      <c r="P50" s="2029"/>
      <c r="Q50" s="2029"/>
      <c r="R50" s="2029"/>
      <c r="S50" s="2029"/>
      <c r="T50" s="2029"/>
      <c r="U50" s="2029"/>
      <c r="V50" s="2029"/>
      <c r="W50" s="2029"/>
      <c r="X50" s="2029"/>
      <c r="Y50" s="2029"/>
      <c r="Z50" s="2029"/>
      <c r="AA50" s="2029"/>
      <c r="AB50" s="2029"/>
      <c r="AC50" s="2029"/>
      <c r="AD50" s="2029"/>
      <c r="AE50" s="2029"/>
      <c r="AF50" s="2029"/>
      <c r="AG50" s="2029"/>
      <c r="AH50" s="2029"/>
      <c r="AI50" s="2029"/>
      <c r="AJ50" s="2029"/>
      <c r="AK50" s="2029"/>
      <c r="AL50" s="2029"/>
      <c r="AM50" s="2029"/>
      <c r="AN50" s="2029"/>
      <c r="AO50" s="2030"/>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6" t="s">
        <v>2401</v>
      </c>
      <c r="C51" s="2104"/>
      <c r="D51" s="2104"/>
      <c r="E51" s="2104"/>
      <c r="F51" s="2104"/>
      <c r="G51" s="2104"/>
      <c r="H51" s="2104"/>
      <c r="I51" s="2104"/>
      <c r="J51" s="2104" t="s">
        <v>2407</v>
      </c>
      <c r="K51" s="2104"/>
      <c r="L51" s="2104"/>
      <c r="M51" s="2104"/>
      <c r="N51" s="2104"/>
      <c r="O51" s="2104"/>
      <c r="P51" s="2104"/>
      <c r="Q51" s="2104"/>
      <c r="R51" s="2205" t="s">
        <v>2406</v>
      </c>
      <c r="S51" s="2205"/>
      <c r="T51" s="2205"/>
      <c r="U51" s="2205"/>
      <c r="V51" s="2205"/>
      <c r="W51" s="2205"/>
      <c r="X51" s="2205"/>
      <c r="Y51" s="2205"/>
      <c r="Z51" s="2205" t="s">
        <v>2405</v>
      </c>
      <c r="AA51" s="2205"/>
      <c r="AB51" s="2205"/>
      <c r="AC51" s="2205"/>
      <c r="AD51" s="2205"/>
      <c r="AE51" s="2205"/>
      <c r="AF51" s="2205"/>
      <c r="AG51" s="2205"/>
      <c r="AH51" s="2205" t="s">
        <v>2404</v>
      </c>
      <c r="AI51" s="2205"/>
      <c r="AJ51" s="2205"/>
      <c r="AK51" s="2205"/>
      <c r="AL51" s="2205"/>
      <c r="AM51" s="2205"/>
      <c r="AN51" s="2205"/>
      <c r="AO51" s="2206"/>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6" t="s">
        <v>2403</v>
      </c>
      <c r="C52" s="2167"/>
      <c r="D52" s="2167"/>
      <c r="E52" s="2167"/>
      <c r="F52" s="2167"/>
      <c r="G52" s="2167"/>
      <c r="H52" s="2167"/>
      <c r="I52" s="2167"/>
      <c r="J52" s="1990">
        <v>0</v>
      </c>
      <c r="K52" s="1990"/>
      <c r="L52" s="1990"/>
      <c r="M52" s="1990"/>
      <c r="N52" s="1990"/>
      <c r="O52" s="1990"/>
      <c r="P52" s="1990"/>
      <c r="Q52" s="1990"/>
      <c r="R52" s="2197">
        <v>0</v>
      </c>
      <c r="S52" s="2197"/>
      <c r="T52" s="2197"/>
      <c r="U52" s="2197"/>
      <c r="V52" s="2197"/>
      <c r="W52" s="2197"/>
      <c r="X52" s="2197"/>
      <c r="Y52" s="2197"/>
      <c r="Z52" s="2198">
        <v>0</v>
      </c>
      <c r="AA52" s="2198"/>
      <c r="AB52" s="2198"/>
      <c r="AC52" s="2198"/>
      <c r="AD52" s="2198"/>
      <c r="AE52" s="2198"/>
      <c r="AF52" s="2198"/>
      <c r="AG52" s="2198"/>
      <c r="AH52" s="2199"/>
      <c r="AI52" s="2199"/>
      <c r="AJ52" s="2199"/>
      <c r="AK52" s="2199"/>
      <c r="AL52" s="2199"/>
      <c r="AM52" s="2199"/>
      <c r="AN52" s="2199"/>
      <c r="AO52" s="2200"/>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6" t="s">
        <v>2402</v>
      </c>
      <c r="C53" s="2167"/>
      <c r="D53" s="2167"/>
      <c r="E53" s="2167"/>
      <c r="F53" s="2167"/>
      <c r="G53" s="2167"/>
      <c r="H53" s="2167"/>
      <c r="I53" s="2167"/>
      <c r="J53" s="1990">
        <v>0</v>
      </c>
      <c r="K53" s="1990"/>
      <c r="L53" s="1990"/>
      <c r="M53" s="1990"/>
      <c r="N53" s="1990"/>
      <c r="O53" s="1990"/>
      <c r="P53" s="1990"/>
      <c r="Q53" s="1990"/>
      <c r="R53" s="2197">
        <v>0</v>
      </c>
      <c r="S53" s="2197"/>
      <c r="T53" s="2197"/>
      <c r="U53" s="2197"/>
      <c r="V53" s="2197"/>
      <c r="W53" s="2197"/>
      <c r="X53" s="2197"/>
      <c r="Y53" s="2197"/>
      <c r="Z53" s="2198">
        <v>0</v>
      </c>
      <c r="AA53" s="2198"/>
      <c r="AB53" s="2198"/>
      <c r="AC53" s="2198"/>
      <c r="AD53" s="2198"/>
      <c r="AE53" s="2198"/>
      <c r="AF53" s="2198"/>
      <c r="AG53" s="2198"/>
      <c r="AH53" s="2199"/>
      <c r="AI53" s="2199"/>
      <c r="AJ53" s="2199"/>
      <c r="AK53" s="2199"/>
      <c r="AL53" s="2199"/>
      <c r="AM53" s="2199"/>
      <c r="AN53" s="2199"/>
      <c r="AO53" s="2200"/>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6"/>
      <c r="C54" s="2167"/>
      <c r="D54" s="2167"/>
      <c r="E54" s="2167"/>
      <c r="F54" s="2167"/>
      <c r="G54" s="2167"/>
      <c r="H54" s="2167"/>
      <c r="I54" s="2167"/>
      <c r="J54" s="1990"/>
      <c r="K54" s="1990"/>
      <c r="L54" s="1990"/>
      <c r="M54" s="1990"/>
      <c r="N54" s="1990"/>
      <c r="O54" s="1990"/>
      <c r="P54" s="1990"/>
      <c r="Q54" s="1990"/>
      <c r="R54" s="2197"/>
      <c r="S54" s="2197"/>
      <c r="T54" s="2197"/>
      <c r="U54" s="2197"/>
      <c r="V54" s="2197"/>
      <c r="W54" s="2197"/>
      <c r="X54" s="2197"/>
      <c r="Y54" s="2197"/>
      <c r="Z54" s="2198"/>
      <c r="AA54" s="2198"/>
      <c r="AB54" s="2198"/>
      <c r="AC54" s="2198"/>
      <c r="AD54" s="2198"/>
      <c r="AE54" s="2198"/>
      <c r="AF54" s="2198"/>
      <c r="AG54" s="2198"/>
      <c r="AH54" s="2199"/>
      <c r="AI54" s="2199"/>
      <c r="AJ54" s="2199"/>
      <c r="AK54" s="2199"/>
      <c r="AL54" s="2199"/>
      <c r="AM54" s="2199"/>
      <c r="AN54" s="2199"/>
      <c r="AO54" s="2200"/>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6"/>
      <c r="C55" s="2167"/>
      <c r="D55" s="2167"/>
      <c r="E55" s="2167"/>
      <c r="F55" s="2167"/>
      <c r="G55" s="2167"/>
      <c r="H55" s="2167"/>
      <c r="I55" s="2167"/>
      <c r="J55" s="1990"/>
      <c r="K55" s="1990"/>
      <c r="L55" s="1990"/>
      <c r="M55" s="1990"/>
      <c r="N55" s="1990"/>
      <c r="O55" s="1990"/>
      <c r="P55" s="1990"/>
      <c r="Q55" s="1990"/>
      <c r="R55" s="2197"/>
      <c r="S55" s="2197"/>
      <c r="T55" s="2197"/>
      <c r="U55" s="2197"/>
      <c r="V55" s="2197"/>
      <c r="W55" s="2197"/>
      <c r="X55" s="2197"/>
      <c r="Y55" s="2197"/>
      <c r="Z55" s="2198"/>
      <c r="AA55" s="2198"/>
      <c r="AB55" s="2198"/>
      <c r="AC55" s="2198"/>
      <c r="AD55" s="2198"/>
      <c r="AE55" s="2198"/>
      <c r="AF55" s="2198"/>
      <c r="AG55" s="2198"/>
      <c r="AH55" s="2199"/>
      <c r="AI55" s="2199"/>
      <c r="AJ55" s="2199"/>
      <c r="AK55" s="2199"/>
      <c r="AL55" s="2199"/>
      <c r="AM55" s="2199"/>
      <c r="AN55" s="2199"/>
      <c r="AO55" s="2200"/>
      <c r="AP55" s="1192"/>
      <c r="AQ55" s="1192"/>
      <c r="AR55" s="1192"/>
      <c r="AS55" s="1192"/>
      <c r="AT55" s="1192" t="s">
        <v>249</v>
      </c>
      <c r="AU55" s="1192"/>
      <c r="AV55" s="1192"/>
      <c r="AW55" s="1192"/>
      <c r="AX55" s="1190"/>
      <c r="AY55" s="1190"/>
      <c r="AZ55" s="1190"/>
      <c r="BA55" s="1190"/>
      <c r="BB55" s="1190"/>
      <c r="BC55" s="1190"/>
      <c r="BD55" s="1190"/>
      <c r="BE55" s="1194"/>
    </row>
    <row r="56" spans="1:77" ht="15.75" customHeight="1">
      <c r="A56" s="1190"/>
      <c r="B56" s="2166"/>
      <c r="C56" s="2167"/>
      <c r="D56" s="2167"/>
      <c r="E56" s="2167"/>
      <c r="F56" s="2167"/>
      <c r="G56" s="2167"/>
      <c r="H56" s="2167"/>
      <c r="I56" s="2167"/>
      <c r="J56" s="1990"/>
      <c r="K56" s="1990"/>
      <c r="L56" s="1990"/>
      <c r="M56" s="1990"/>
      <c r="N56" s="1990"/>
      <c r="O56" s="1990"/>
      <c r="P56" s="1990"/>
      <c r="Q56" s="1990"/>
      <c r="R56" s="2197"/>
      <c r="S56" s="2197"/>
      <c r="T56" s="2197"/>
      <c r="U56" s="2197"/>
      <c r="V56" s="2197"/>
      <c r="W56" s="2197"/>
      <c r="X56" s="2197"/>
      <c r="Y56" s="2197"/>
      <c r="Z56" s="2198"/>
      <c r="AA56" s="2198"/>
      <c r="AB56" s="2198"/>
      <c r="AC56" s="2198"/>
      <c r="AD56" s="2198"/>
      <c r="AE56" s="2198"/>
      <c r="AF56" s="2198"/>
      <c r="AG56" s="2198"/>
      <c r="AH56" s="2199"/>
      <c r="AI56" s="2199"/>
      <c r="AJ56" s="2199"/>
      <c r="AK56" s="2199"/>
      <c r="AL56" s="2199"/>
      <c r="AM56" s="2199"/>
      <c r="AN56" s="2199"/>
      <c r="AO56" s="2200"/>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4" t="s">
        <v>1586</v>
      </c>
      <c r="C57" s="2135"/>
      <c r="D57" s="2135"/>
      <c r="E57" s="2135"/>
      <c r="F57" s="2135"/>
      <c r="G57" s="2135"/>
      <c r="H57" s="2135"/>
      <c r="I57" s="2135"/>
      <c r="J57" s="2135"/>
      <c r="K57" s="2135"/>
      <c r="L57" s="2135"/>
      <c r="M57" s="2135"/>
      <c r="N57" s="2135"/>
      <c r="O57" s="2135"/>
      <c r="P57" s="2135"/>
      <c r="Q57" s="2135"/>
      <c r="R57" s="2201">
        <f>SUM(R52:Y56)</f>
        <v>0</v>
      </c>
      <c r="S57" s="2201"/>
      <c r="T57" s="2201"/>
      <c r="U57" s="2201"/>
      <c r="V57" s="2201"/>
      <c r="W57" s="2201"/>
      <c r="X57" s="2201"/>
      <c r="Y57" s="2201"/>
      <c r="Z57" s="2202">
        <f>SUM(Z52:AG56)</f>
        <v>0</v>
      </c>
      <c r="AA57" s="2202"/>
      <c r="AB57" s="2202"/>
      <c r="AC57" s="2202"/>
      <c r="AD57" s="2202"/>
      <c r="AE57" s="2202"/>
      <c r="AF57" s="2202"/>
      <c r="AG57" s="2202"/>
      <c r="AH57" s="2203"/>
      <c r="AI57" s="2203"/>
      <c r="AJ57" s="2203"/>
      <c r="AK57" s="2203"/>
      <c r="AL57" s="2203"/>
      <c r="AM57" s="2203"/>
      <c r="AN57" s="2203"/>
      <c r="AO57" s="2204"/>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4" t="s">
        <v>2401</v>
      </c>
      <c r="C59" s="2195"/>
      <c r="D59" s="2195"/>
      <c r="E59" s="2195"/>
      <c r="F59" s="2195"/>
      <c r="G59" s="2195"/>
      <c r="H59" s="2195"/>
      <c r="I59" s="2196"/>
      <c r="J59" s="2102" t="s">
        <v>2400</v>
      </c>
      <c r="K59" s="2102"/>
      <c r="L59" s="2102"/>
      <c r="M59" s="2102"/>
      <c r="N59" s="2102"/>
      <c r="O59" s="2102"/>
      <c r="P59" s="2102"/>
      <c r="Q59" s="2102"/>
      <c r="R59" s="2102"/>
      <c r="S59" s="2102"/>
      <c r="T59" s="2102"/>
      <c r="U59" s="2102"/>
      <c r="V59" s="2102"/>
      <c r="W59" s="2102"/>
      <c r="X59" s="2102"/>
      <c r="Y59" s="2102"/>
      <c r="Z59" s="2102"/>
      <c r="AA59" s="2102"/>
      <c r="AB59" s="2102"/>
      <c r="AC59" s="2102"/>
      <c r="AD59" s="2102"/>
      <c r="AE59" s="2102"/>
      <c r="AF59" s="2102"/>
      <c r="AG59" s="2102"/>
      <c r="AH59" s="2102"/>
      <c r="AI59" s="2102"/>
      <c r="AJ59" s="2102"/>
      <c r="AK59" s="2102"/>
      <c r="AL59" s="2102"/>
      <c r="AM59" s="2102"/>
      <c r="AN59" s="2102"/>
      <c r="AO59" s="2102"/>
      <c r="AP59" s="2102"/>
      <c r="AQ59" s="2102"/>
      <c r="AR59" s="2102"/>
      <c r="AS59" s="2102"/>
      <c r="AT59" s="2102"/>
      <c r="AU59" s="2102"/>
      <c r="AV59" s="2102"/>
      <c r="AW59" s="2103"/>
      <c r="AX59" s="1190"/>
      <c r="AY59" s="1190"/>
      <c r="AZ59" s="1190"/>
      <c r="BA59" s="1190"/>
      <c r="BB59" s="1190"/>
      <c r="BC59" s="1190"/>
      <c r="BD59" s="1190"/>
      <c r="BE59" s="1194"/>
    </row>
    <row r="60" spans="1:77" ht="15.75" customHeight="1">
      <c r="A60" s="1190"/>
      <c r="B60" s="2186" t="str">
        <f>IF(B52="", "", B52)</f>
        <v>Services Company 1</v>
      </c>
      <c r="C60" s="2187"/>
      <c r="D60" s="2187"/>
      <c r="E60" s="2187"/>
      <c r="F60" s="2187"/>
      <c r="G60" s="2187"/>
      <c r="H60" s="2187"/>
      <c r="I60" s="2188"/>
      <c r="J60" s="2189"/>
      <c r="K60" s="1993"/>
      <c r="L60" s="1993"/>
      <c r="M60" s="1993"/>
      <c r="N60" s="1993"/>
      <c r="O60" s="1993"/>
      <c r="P60" s="1993"/>
      <c r="Q60" s="1993"/>
      <c r="R60" s="1993"/>
      <c r="S60" s="1993"/>
      <c r="T60" s="1993"/>
      <c r="U60" s="1993"/>
      <c r="V60" s="1993"/>
      <c r="W60" s="1993"/>
      <c r="X60" s="1993"/>
      <c r="Y60" s="1993"/>
      <c r="Z60" s="1993"/>
      <c r="AA60" s="1993"/>
      <c r="AB60" s="1993"/>
      <c r="AC60" s="1993"/>
      <c r="AD60" s="1993"/>
      <c r="AE60" s="1993"/>
      <c r="AF60" s="1993"/>
      <c r="AG60" s="1993"/>
      <c r="AH60" s="1993"/>
      <c r="AI60" s="1993"/>
      <c r="AJ60" s="1993"/>
      <c r="AK60" s="1993"/>
      <c r="AL60" s="1993"/>
      <c r="AM60" s="1993"/>
      <c r="AN60" s="1993"/>
      <c r="AO60" s="1993"/>
      <c r="AP60" s="1993"/>
      <c r="AQ60" s="1993"/>
      <c r="AR60" s="1993"/>
      <c r="AS60" s="1993"/>
      <c r="AT60" s="1993"/>
      <c r="AU60" s="1993"/>
      <c r="AV60" s="1993"/>
      <c r="AW60" s="1994"/>
      <c r="AX60" s="1190"/>
      <c r="AY60" s="1190"/>
      <c r="AZ60" s="1190"/>
      <c r="BA60" s="1190"/>
      <c r="BB60" s="1190"/>
      <c r="BC60" s="1190"/>
      <c r="BD60" s="1190"/>
      <c r="BE60" s="1194"/>
    </row>
    <row r="61" spans="1:77" ht="15.75" customHeight="1">
      <c r="A61" s="1190"/>
      <c r="B61" s="2186" t="str">
        <f>IF(B53="", "", B53)</f>
        <v>Services Company 2</v>
      </c>
      <c r="C61" s="2187"/>
      <c r="D61" s="2187"/>
      <c r="E61" s="2187"/>
      <c r="F61" s="2187"/>
      <c r="G61" s="2187"/>
      <c r="H61" s="2187"/>
      <c r="I61" s="2188"/>
      <c r="J61" s="2189"/>
      <c r="K61" s="1993"/>
      <c r="L61" s="1993"/>
      <c r="M61" s="1993"/>
      <c r="N61" s="1993"/>
      <c r="O61" s="1993"/>
      <c r="P61" s="1993"/>
      <c r="Q61" s="1993"/>
      <c r="R61" s="1993"/>
      <c r="S61" s="1993"/>
      <c r="T61" s="1993"/>
      <c r="U61" s="1993"/>
      <c r="V61" s="1993"/>
      <c r="W61" s="1993"/>
      <c r="X61" s="1993"/>
      <c r="Y61" s="1993"/>
      <c r="Z61" s="1993"/>
      <c r="AA61" s="1993"/>
      <c r="AB61" s="1993"/>
      <c r="AC61" s="1993"/>
      <c r="AD61" s="1993"/>
      <c r="AE61" s="1993"/>
      <c r="AF61" s="1993"/>
      <c r="AG61" s="1993"/>
      <c r="AH61" s="1993"/>
      <c r="AI61" s="1993"/>
      <c r="AJ61" s="1993"/>
      <c r="AK61" s="1993"/>
      <c r="AL61" s="1993"/>
      <c r="AM61" s="1993"/>
      <c r="AN61" s="1993"/>
      <c r="AO61" s="1993"/>
      <c r="AP61" s="1993"/>
      <c r="AQ61" s="1993"/>
      <c r="AR61" s="1993"/>
      <c r="AS61" s="1993"/>
      <c r="AT61" s="1993"/>
      <c r="AU61" s="1993"/>
      <c r="AV61" s="1993"/>
      <c r="AW61" s="1994"/>
      <c r="AX61" s="1190"/>
      <c r="AY61" s="1190"/>
      <c r="AZ61" s="1190"/>
      <c r="BA61" s="1190"/>
      <c r="BB61" s="1190"/>
      <c r="BC61" s="1190"/>
      <c r="BD61" s="1190"/>
      <c r="BE61" s="1194"/>
    </row>
    <row r="62" spans="1:77" ht="15.75" customHeight="1">
      <c r="A62" s="1190"/>
      <c r="B62" s="2186" t="str">
        <f>IF(B54="", "", B54)</f>
        <v/>
      </c>
      <c r="C62" s="2187"/>
      <c r="D62" s="2187"/>
      <c r="E62" s="2187"/>
      <c r="F62" s="2187"/>
      <c r="G62" s="2187"/>
      <c r="H62" s="2187"/>
      <c r="I62" s="2188"/>
      <c r="J62" s="2189"/>
      <c r="K62" s="1993"/>
      <c r="L62" s="1993"/>
      <c r="M62" s="1993"/>
      <c r="N62" s="1993"/>
      <c r="O62" s="1993"/>
      <c r="P62" s="1993"/>
      <c r="Q62" s="1993"/>
      <c r="R62" s="1993"/>
      <c r="S62" s="1993"/>
      <c r="T62" s="1993"/>
      <c r="U62" s="1993"/>
      <c r="V62" s="1993"/>
      <c r="W62" s="1993"/>
      <c r="X62" s="1993"/>
      <c r="Y62" s="1993"/>
      <c r="Z62" s="1993"/>
      <c r="AA62" s="1993"/>
      <c r="AB62" s="1993"/>
      <c r="AC62" s="1993"/>
      <c r="AD62" s="1993"/>
      <c r="AE62" s="1993"/>
      <c r="AF62" s="1993"/>
      <c r="AG62" s="1993"/>
      <c r="AH62" s="1993"/>
      <c r="AI62" s="1993"/>
      <c r="AJ62" s="1993"/>
      <c r="AK62" s="1993"/>
      <c r="AL62" s="1993"/>
      <c r="AM62" s="1993"/>
      <c r="AN62" s="1993"/>
      <c r="AO62" s="1993"/>
      <c r="AP62" s="1993"/>
      <c r="AQ62" s="1993"/>
      <c r="AR62" s="1993"/>
      <c r="AS62" s="1993"/>
      <c r="AT62" s="1993"/>
      <c r="AU62" s="1993"/>
      <c r="AV62" s="1993"/>
      <c r="AW62" s="1994"/>
      <c r="AX62" s="1190"/>
      <c r="AY62" s="1190"/>
      <c r="AZ62" s="1190"/>
      <c r="BA62" s="1190"/>
      <c r="BB62" s="1190"/>
      <c r="BC62" s="1190"/>
      <c r="BD62" s="1190"/>
      <c r="BE62" s="1194"/>
    </row>
    <row r="63" spans="1:77" ht="15.75" customHeight="1">
      <c r="A63" s="1190"/>
      <c r="B63" s="2186" t="str">
        <f>IF(B55="", "", B55)</f>
        <v/>
      </c>
      <c r="C63" s="2187"/>
      <c r="D63" s="2187"/>
      <c r="E63" s="2187"/>
      <c r="F63" s="2187"/>
      <c r="G63" s="2187"/>
      <c r="H63" s="2187"/>
      <c r="I63" s="2188"/>
      <c r="J63" s="2189"/>
      <c r="K63" s="1993"/>
      <c r="L63" s="1993"/>
      <c r="M63" s="1993"/>
      <c r="N63" s="1993"/>
      <c r="O63" s="1993"/>
      <c r="P63" s="1993"/>
      <c r="Q63" s="1993"/>
      <c r="R63" s="1993"/>
      <c r="S63" s="1993"/>
      <c r="T63" s="1993"/>
      <c r="U63" s="1993"/>
      <c r="V63" s="1993"/>
      <c r="W63" s="1993"/>
      <c r="X63" s="1993"/>
      <c r="Y63" s="1993"/>
      <c r="Z63" s="1993"/>
      <c r="AA63" s="1993"/>
      <c r="AB63" s="1993"/>
      <c r="AC63" s="1993"/>
      <c r="AD63" s="1993"/>
      <c r="AE63" s="1993"/>
      <c r="AF63" s="1993"/>
      <c r="AG63" s="1993"/>
      <c r="AH63" s="1993"/>
      <c r="AI63" s="1993"/>
      <c r="AJ63" s="1993"/>
      <c r="AK63" s="1993"/>
      <c r="AL63" s="1993"/>
      <c r="AM63" s="1993"/>
      <c r="AN63" s="1993"/>
      <c r="AO63" s="1993"/>
      <c r="AP63" s="1993"/>
      <c r="AQ63" s="1993"/>
      <c r="AR63" s="1993"/>
      <c r="AS63" s="1993"/>
      <c r="AT63" s="1993"/>
      <c r="AU63" s="1993"/>
      <c r="AV63" s="1993"/>
      <c r="AW63" s="1994"/>
      <c r="AX63" s="1190"/>
      <c r="AY63" s="1190"/>
      <c r="AZ63" s="1190"/>
      <c r="BA63" s="1190"/>
      <c r="BB63" s="1190"/>
      <c r="BC63" s="1190"/>
      <c r="BD63" s="1190"/>
      <c r="BE63" s="1194"/>
    </row>
    <row r="64" spans="1:77" ht="15.75" customHeight="1" thickBot="1">
      <c r="A64" s="1190"/>
      <c r="B64" s="2190" t="str">
        <f>IF(B56="", "", B56)</f>
        <v/>
      </c>
      <c r="C64" s="2191"/>
      <c r="D64" s="2191"/>
      <c r="E64" s="2191"/>
      <c r="F64" s="2191"/>
      <c r="G64" s="2191"/>
      <c r="H64" s="2191"/>
      <c r="I64" s="2192"/>
      <c r="J64" s="2193"/>
      <c r="K64" s="2176"/>
      <c r="L64" s="2176"/>
      <c r="M64" s="2176"/>
      <c r="N64" s="2176"/>
      <c r="O64" s="2176"/>
      <c r="P64" s="2176"/>
      <c r="Q64" s="2176"/>
      <c r="R64" s="2176"/>
      <c r="S64" s="2176"/>
      <c r="T64" s="2176"/>
      <c r="U64" s="2176"/>
      <c r="V64" s="2176"/>
      <c r="W64" s="2176"/>
      <c r="X64" s="2176"/>
      <c r="Y64" s="2176"/>
      <c r="Z64" s="2176"/>
      <c r="AA64" s="2176"/>
      <c r="AB64" s="2176"/>
      <c r="AC64" s="2176"/>
      <c r="AD64" s="2176"/>
      <c r="AE64" s="2176"/>
      <c r="AF64" s="2176"/>
      <c r="AG64" s="2176"/>
      <c r="AH64" s="2176"/>
      <c r="AI64" s="2176"/>
      <c r="AJ64" s="2176"/>
      <c r="AK64" s="2176"/>
      <c r="AL64" s="2176"/>
      <c r="AM64" s="2176"/>
      <c r="AN64" s="2176"/>
      <c r="AO64" s="2176"/>
      <c r="AP64" s="2176"/>
      <c r="AQ64" s="2176"/>
      <c r="AR64" s="2176"/>
      <c r="AS64" s="2176"/>
      <c r="AT64" s="2176"/>
      <c r="AU64" s="2176"/>
      <c r="AV64" s="2176"/>
      <c r="AW64" s="2177"/>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2399</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101" t="s">
        <v>2398</v>
      </c>
      <c r="C68" s="2102"/>
      <c r="D68" s="2102"/>
      <c r="E68" s="2102"/>
      <c r="F68" s="2102"/>
      <c r="G68" s="2102"/>
      <c r="H68" s="2102"/>
      <c r="I68" s="2102"/>
      <c r="J68" s="2102"/>
      <c r="K68" s="2102"/>
      <c r="L68" s="2102"/>
      <c r="M68" s="2102"/>
      <c r="N68" s="2102"/>
      <c r="O68" s="2102"/>
      <c r="P68" s="2102"/>
      <c r="Q68" s="2102"/>
      <c r="R68" s="2102"/>
      <c r="S68" s="2102"/>
      <c r="T68" s="2102"/>
      <c r="U68" s="2102"/>
      <c r="V68" s="2102"/>
      <c r="W68" s="2102"/>
      <c r="X68" s="2102"/>
      <c r="Y68" s="2102"/>
      <c r="Z68" s="2102"/>
      <c r="AA68" s="2103"/>
      <c r="AB68" s="1190"/>
      <c r="AC68" s="2027" t="s">
        <v>2397</v>
      </c>
      <c r="AD68" s="2028"/>
      <c r="AE68" s="2028"/>
      <c r="AF68" s="2028"/>
      <c r="AG68" s="2028"/>
      <c r="AH68" s="2028"/>
      <c r="AI68" s="2028"/>
      <c r="AJ68" s="2028"/>
      <c r="AK68" s="2028"/>
      <c r="AL68" s="2028"/>
      <c r="AM68" s="2028"/>
      <c r="AN68" s="2028"/>
      <c r="AO68" s="2028"/>
      <c r="AP68" s="2028"/>
      <c r="AQ68" s="2028"/>
      <c r="AR68" s="2028"/>
      <c r="AS68" s="2028"/>
      <c r="AT68" s="2028"/>
      <c r="AU68" s="2028"/>
      <c r="AV68" s="2178" t="s">
        <v>669</v>
      </c>
      <c r="AW68" s="2084"/>
      <c r="AX68" s="2084"/>
      <c r="AY68" s="2084"/>
      <c r="AZ68" s="2084"/>
      <c r="BA68" s="2084"/>
      <c r="BB68" s="2084"/>
      <c r="BC68" s="2085"/>
      <c r="BD68" s="1190"/>
      <c r="BE68" s="1194"/>
      <c r="BM68" s="1199" t="s">
        <v>2396</v>
      </c>
    </row>
    <row r="69" spans="1:94" ht="15.75" customHeight="1" thickTop="1" thickBot="1">
      <c r="A69" s="1190"/>
      <c r="B69" s="2179" t="s">
        <v>2395</v>
      </c>
      <c r="C69" s="2180"/>
      <c r="D69" s="2180"/>
      <c r="E69" s="2180"/>
      <c r="F69" s="2180"/>
      <c r="G69" s="2180"/>
      <c r="H69" s="2180"/>
      <c r="I69" s="2180"/>
      <c r="J69" s="2180"/>
      <c r="K69" s="2180"/>
      <c r="L69" s="2180"/>
      <c r="M69" s="2180"/>
      <c r="N69" s="2180"/>
      <c r="O69" s="2181" t="s">
        <v>2394</v>
      </c>
      <c r="P69" s="2182"/>
      <c r="Q69" s="2182"/>
      <c r="R69" s="2182"/>
      <c r="S69" s="2182"/>
      <c r="T69" s="2182"/>
      <c r="U69" s="2182"/>
      <c r="V69" s="2182"/>
      <c r="W69" s="2182"/>
      <c r="X69" s="2182"/>
      <c r="Y69" s="2182"/>
      <c r="Z69" s="2182"/>
      <c r="AA69" s="2183"/>
      <c r="AB69" s="1190"/>
      <c r="AC69" s="2184" t="s">
        <v>2393</v>
      </c>
      <c r="AD69" s="2185"/>
      <c r="AE69" s="2185"/>
      <c r="AF69" s="2185"/>
      <c r="AG69" s="2185"/>
      <c r="AH69" s="2185"/>
      <c r="AI69" s="2185"/>
      <c r="AJ69" s="2185"/>
      <c r="AK69" s="2185"/>
      <c r="AL69" s="2185"/>
      <c r="AM69" s="2185"/>
      <c r="AN69" s="2185"/>
      <c r="AO69" s="2185"/>
      <c r="AP69" s="2185"/>
      <c r="AQ69" s="2185"/>
      <c r="AR69" s="2185"/>
      <c r="AS69" s="2185"/>
      <c r="AT69" s="2185"/>
      <c r="AU69" s="2185"/>
      <c r="AV69" s="2178" t="s">
        <v>669</v>
      </c>
      <c r="AW69" s="2084"/>
      <c r="AX69" s="2084"/>
      <c r="AY69" s="2084"/>
      <c r="AZ69" s="2084"/>
      <c r="BA69" s="2084"/>
      <c r="BB69" s="2084"/>
      <c r="BC69" s="2085"/>
      <c r="BD69" s="1190"/>
      <c r="BE69" s="1194"/>
      <c r="BM69" s="1200" t="s">
        <v>545</v>
      </c>
    </row>
    <row r="70" spans="1:94" ht="15.75" customHeight="1">
      <c r="A70" s="1190"/>
      <c r="B70" s="2161" t="s">
        <v>2392</v>
      </c>
      <c r="C70" s="2162"/>
      <c r="D70" s="2162"/>
      <c r="E70" s="2162"/>
      <c r="F70" s="2162"/>
      <c r="G70" s="2162"/>
      <c r="H70" s="2162"/>
      <c r="I70" s="2162"/>
      <c r="J70" s="2162"/>
      <c r="K70" s="2162"/>
      <c r="L70" s="2162"/>
      <c r="M70" s="2162"/>
      <c r="N70" s="2162"/>
      <c r="O70" s="2035">
        <v>0</v>
      </c>
      <c r="P70" s="2035"/>
      <c r="Q70" s="2035"/>
      <c r="R70" s="2035"/>
      <c r="S70" s="2035"/>
      <c r="T70" s="2035"/>
      <c r="U70" s="2035"/>
      <c r="V70" s="2035"/>
      <c r="W70" s="2035"/>
      <c r="X70" s="2035"/>
      <c r="Y70" s="2035"/>
      <c r="Z70" s="2035"/>
      <c r="AA70" s="2163"/>
      <c r="AB70" s="1190"/>
      <c r="AC70" s="2073" t="s">
        <v>2391</v>
      </c>
      <c r="AD70" s="2029"/>
      <c r="AE70" s="2029"/>
      <c r="AF70" s="2172"/>
      <c r="AG70" s="2172"/>
      <c r="AH70" s="2172"/>
      <c r="AI70" s="2172"/>
      <c r="AJ70" s="2172"/>
      <c r="AK70" s="2172"/>
      <c r="AL70" s="2172"/>
      <c r="AM70" s="2172"/>
      <c r="AN70" s="2172"/>
      <c r="AO70" s="2172"/>
      <c r="AP70" s="2172"/>
      <c r="AQ70" s="2172"/>
      <c r="AR70" s="2172"/>
      <c r="AS70" s="2172"/>
      <c r="AT70" s="2172"/>
      <c r="AU70" s="2173"/>
      <c r="AV70" s="1190"/>
      <c r="AW70" s="1190"/>
      <c r="AX70" s="1190"/>
      <c r="AY70" s="1190"/>
      <c r="AZ70" s="1190"/>
      <c r="BA70" s="1190"/>
      <c r="BB70" s="1190"/>
      <c r="BC70" s="1190"/>
      <c r="BD70" s="1190"/>
      <c r="BE70" s="1194"/>
      <c r="BM70" s="1201" t="s">
        <v>669</v>
      </c>
    </row>
    <row r="71" spans="1:94" ht="15.75" customHeight="1" thickBot="1">
      <c r="A71" s="1190"/>
      <c r="B71" s="2161" t="s">
        <v>2390</v>
      </c>
      <c r="C71" s="2162"/>
      <c r="D71" s="2162"/>
      <c r="E71" s="2162"/>
      <c r="F71" s="2162"/>
      <c r="G71" s="2162"/>
      <c r="H71" s="2162"/>
      <c r="I71" s="2162"/>
      <c r="J71" s="2162"/>
      <c r="K71" s="2162"/>
      <c r="L71" s="2162"/>
      <c r="M71" s="2162"/>
      <c r="N71" s="2162"/>
      <c r="O71" s="2035">
        <v>0</v>
      </c>
      <c r="P71" s="2035"/>
      <c r="Q71" s="2035"/>
      <c r="R71" s="2035"/>
      <c r="S71" s="2035"/>
      <c r="T71" s="2035"/>
      <c r="U71" s="2035"/>
      <c r="V71" s="2035"/>
      <c r="W71" s="2035"/>
      <c r="X71" s="2035"/>
      <c r="Y71" s="2035"/>
      <c r="Z71" s="2035"/>
      <c r="AA71" s="2163"/>
      <c r="AB71" s="1190"/>
      <c r="AC71" s="2174" t="s">
        <v>2389</v>
      </c>
      <c r="AD71" s="2175"/>
      <c r="AE71" s="2175"/>
      <c r="AF71" s="2176"/>
      <c r="AG71" s="2176"/>
      <c r="AH71" s="2176"/>
      <c r="AI71" s="2176"/>
      <c r="AJ71" s="2176"/>
      <c r="AK71" s="2176"/>
      <c r="AL71" s="2176"/>
      <c r="AM71" s="2176"/>
      <c r="AN71" s="2176"/>
      <c r="AO71" s="2176"/>
      <c r="AP71" s="2176"/>
      <c r="AQ71" s="2176"/>
      <c r="AR71" s="2176"/>
      <c r="AS71" s="2176"/>
      <c r="AT71" s="2176"/>
      <c r="AU71" s="2177"/>
      <c r="AV71" s="1190"/>
      <c r="AW71" s="1190"/>
      <c r="AX71" s="1190"/>
      <c r="AY71" s="1190"/>
      <c r="AZ71" s="1190"/>
      <c r="BA71" s="1190"/>
      <c r="BB71" s="1190"/>
      <c r="BC71" s="1190"/>
      <c r="BD71" s="1190"/>
      <c r="BE71" s="1194"/>
      <c r="BM71" s="1187" t="s">
        <v>2388</v>
      </c>
    </row>
    <row r="72" spans="1:94" ht="15.75" customHeight="1">
      <c r="A72" s="1190"/>
      <c r="B72" s="2161" t="s">
        <v>2387</v>
      </c>
      <c r="C72" s="2162"/>
      <c r="D72" s="2162"/>
      <c r="E72" s="2162"/>
      <c r="F72" s="2162"/>
      <c r="G72" s="2162"/>
      <c r="H72" s="2162"/>
      <c r="I72" s="2162"/>
      <c r="J72" s="2162"/>
      <c r="K72" s="2162"/>
      <c r="L72" s="2162"/>
      <c r="M72" s="2162"/>
      <c r="N72" s="2162"/>
      <c r="O72" s="2035">
        <v>0</v>
      </c>
      <c r="P72" s="2035"/>
      <c r="Q72" s="2035"/>
      <c r="R72" s="2035"/>
      <c r="S72" s="2035"/>
      <c r="T72" s="2035"/>
      <c r="U72" s="2035"/>
      <c r="V72" s="2035"/>
      <c r="W72" s="2035"/>
      <c r="X72" s="2035"/>
      <c r="Y72" s="2035"/>
      <c r="Z72" s="2035"/>
      <c r="AA72" s="2163"/>
      <c r="AB72" s="1190"/>
      <c r="AC72" s="2164" t="s">
        <v>2386</v>
      </c>
      <c r="AD72" s="2165"/>
      <c r="AE72" s="2165"/>
      <c r="AF72" s="2165"/>
      <c r="AG72" s="2165"/>
      <c r="AH72" s="2165"/>
      <c r="AI72" s="2165"/>
      <c r="AJ72" s="2165"/>
      <c r="AK72" s="2165"/>
      <c r="AL72" s="2165"/>
      <c r="AM72" s="2165"/>
      <c r="AN72" s="2165"/>
      <c r="AO72" s="2165"/>
      <c r="AP72" s="2165"/>
      <c r="AQ72" s="2165"/>
      <c r="AR72" s="2165"/>
      <c r="AS72" s="2165"/>
      <c r="AT72" s="2165"/>
      <c r="AU72" s="2165"/>
      <c r="AV72" s="2029"/>
      <c r="AW72" s="2029"/>
      <c r="AX72" s="2029"/>
      <c r="AY72" s="2029"/>
      <c r="AZ72" s="2029"/>
      <c r="BA72" s="2029"/>
      <c r="BB72" s="2029"/>
      <c r="BC72" s="2030"/>
      <c r="BD72" s="1190"/>
      <c r="BE72" s="1194"/>
    </row>
    <row r="73" spans="1:94" ht="15.75" customHeight="1">
      <c r="A73" s="1190"/>
      <c r="B73" s="2166" t="s">
        <v>2385</v>
      </c>
      <c r="C73" s="2167"/>
      <c r="D73" s="2167"/>
      <c r="E73" s="2167"/>
      <c r="F73" s="2167"/>
      <c r="G73" s="2167"/>
      <c r="H73" s="2167"/>
      <c r="I73" s="2167"/>
      <c r="J73" s="2167"/>
      <c r="K73" s="2167"/>
      <c r="L73" s="2167"/>
      <c r="M73" s="2167"/>
      <c r="N73" s="2167"/>
      <c r="O73" s="2035">
        <v>0</v>
      </c>
      <c r="P73" s="2035"/>
      <c r="Q73" s="2035"/>
      <c r="R73" s="2035"/>
      <c r="S73" s="2035"/>
      <c r="T73" s="2035"/>
      <c r="U73" s="2035"/>
      <c r="V73" s="2035"/>
      <c r="W73" s="2035"/>
      <c r="X73" s="2035"/>
      <c r="Y73" s="2035"/>
      <c r="Z73" s="2035"/>
      <c r="AA73" s="2163"/>
      <c r="AB73" s="1190"/>
      <c r="AC73" s="2044" t="s">
        <v>2330</v>
      </c>
      <c r="AD73" s="2045"/>
      <c r="AE73" s="2045"/>
      <c r="AF73" s="2045"/>
      <c r="AG73" s="2045"/>
      <c r="AH73" s="2045"/>
      <c r="AI73" s="2045"/>
      <c r="AJ73" s="2045"/>
      <c r="AK73" s="2045"/>
      <c r="AL73" s="2045"/>
      <c r="AM73" s="2045"/>
      <c r="AN73" s="2045"/>
      <c r="AO73" s="2045"/>
      <c r="AP73" s="2045"/>
      <c r="AQ73" s="2045"/>
      <c r="AR73" s="2045"/>
      <c r="AS73" s="2045"/>
      <c r="AT73" s="2045"/>
      <c r="AU73" s="2045"/>
      <c r="AV73" s="2045"/>
      <c r="AW73" s="2045"/>
      <c r="AX73" s="2045"/>
      <c r="AY73" s="2045"/>
      <c r="AZ73" s="2045"/>
      <c r="BA73" s="2045"/>
      <c r="BB73" s="2045"/>
      <c r="BC73" s="2046"/>
      <c r="BD73" s="1190"/>
      <c r="BE73" s="1194"/>
      <c r="CK73" s="1188"/>
      <c r="CL73" s="1188"/>
      <c r="CM73" s="1188"/>
      <c r="CN73" s="1188"/>
      <c r="CO73" s="1188"/>
      <c r="CP73" s="1188"/>
    </row>
    <row r="74" spans="1:94" ht="15.75" customHeight="1">
      <c r="A74" s="1190"/>
      <c r="B74" s="1989"/>
      <c r="C74" s="1990"/>
      <c r="D74" s="1990"/>
      <c r="E74" s="1990"/>
      <c r="F74" s="1990"/>
      <c r="G74" s="1990"/>
      <c r="H74" s="1990"/>
      <c r="I74" s="1990"/>
      <c r="J74" s="1990"/>
      <c r="K74" s="1990"/>
      <c r="L74" s="1990"/>
      <c r="M74" s="1990"/>
      <c r="N74" s="1990"/>
      <c r="O74" s="2035"/>
      <c r="P74" s="2035"/>
      <c r="Q74" s="2035"/>
      <c r="R74" s="2035"/>
      <c r="S74" s="2035"/>
      <c r="T74" s="2035"/>
      <c r="U74" s="2035"/>
      <c r="V74" s="2035"/>
      <c r="W74" s="2035"/>
      <c r="X74" s="2035"/>
      <c r="Y74" s="2035"/>
      <c r="Z74" s="2035"/>
      <c r="AA74" s="2163"/>
      <c r="AB74" s="1190"/>
      <c r="AC74" s="2044"/>
      <c r="AD74" s="2045"/>
      <c r="AE74" s="2045"/>
      <c r="AF74" s="2045"/>
      <c r="AG74" s="2045"/>
      <c r="AH74" s="2045"/>
      <c r="AI74" s="2045"/>
      <c r="AJ74" s="2045"/>
      <c r="AK74" s="2045"/>
      <c r="AL74" s="2045"/>
      <c r="AM74" s="2045"/>
      <c r="AN74" s="2045"/>
      <c r="AO74" s="2045"/>
      <c r="AP74" s="2045"/>
      <c r="AQ74" s="2045"/>
      <c r="AR74" s="2045"/>
      <c r="AS74" s="2045"/>
      <c r="AT74" s="2045"/>
      <c r="AU74" s="2045"/>
      <c r="AV74" s="2045"/>
      <c r="AW74" s="2045"/>
      <c r="AX74" s="2045"/>
      <c r="AY74" s="2045"/>
      <c r="AZ74" s="2045"/>
      <c r="BA74" s="2045"/>
      <c r="BB74" s="2045"/>
      <c r="BC74" s="2046"/>
      <c r="BD74" s="1190"/>
      <c r="BE74" s="1194"/>
      <c r="CK74" s="1188"/>
      <c r="CL74" s="1188"/>
      <c r="CM74" s="1188"/>
      <c r="CN74" s="1188"/>
      <c r="CO74" s="1188"/>
      <c r="CP74" s="1188"/>
    </row>
    <row r="75" spans="1:94" ht="15.75" customHeight="1" thickBot="1">
      <c r="A75" s="1190"/>
      <c r="B75" s="2168" t="s">
        <v>124</v>
      </c>
      <c r="C75" s="2169"/>
      <c r="D75" s="2169"/>
      <c r="E75" s="2169"/>
      <c r="F75" s="2169"/>
      <c r="G75" s="2169"/>
      <c r="H75" s="2169"/>
      <c r="I75" s="2169"/>
      <c r="J75" s="2169"/>
      <c r="K75" s="2169"/>
      <c r="L75" s="2169"/>
      <c r="M75" s="2169"/>
      <c r="N75" s="2169"/>
      <c r="O75" s="2170">
        <f>SUM(O70:AA74)</f>
        <v>0</v>
      </c>
      <c r="P75" s="2170"/>
      <c r="Q75" s="2170"/>
      <c r="R75" s="2170"/>
      <c r="S75" s="2170"/>
      <c r="T75" s="2170"/>
      <c r="U75" s="2170"/>
      <c r="V75" s="2170"/>
      <c r="W75" s="2170"/>
      <c r="X75" s="2170"/>
      <c r="Y75" s="2170"/>
      <c r="Z75" s="2170"/>
      <c r="AA75" s="2171"/>
      <c r="AB75" s="1190"/>
      <c r="AC75" s="2044"/>
      <c r="AD75" s="2045"/>
      <c r="AE75" s="2045"/>
      <c r="AF75" s="2045"/>
      <c r="AG75" s="2045"/>
      <c r="AH75" s="2045"/>
      <c r="AI75" s="2045"/>
      <c r="AJ75" s="2045"/>
      <c r="AK75" s="2045"/>
      <c r="AL75" s="2045"/>
      <c r="AM75" s="2045"/>
      <c r="AN75" s="2045"/>
      <c r="AO75" s="2045"/>
      <c r="AP75" s="2045"/>
      <c r="AQ75" s="2045"/>
      <c r="AR75" s="2045"/>
      <c r="AS75" s="2045"/>
      <c r="AT75" s="2045"/>
      <c r="AU75" s="2045"/>
      <c r="AV75" s="2045"/>
      <c r="AW75" s="2045"/>
      <c r="AX75" s="2045"/>
      <c r="AY75" s="2045"/>
      <c r="AZ75" s="2045"/>
      <c r="BA75" s="2045"/>
      <c r="BB75" s="2045"/>
      <c r="BC75" s="2046"/>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4"/>
      <c r="AD76" s="2045"/>
      <c r="AE76" s="2045"/>
      <c r="AF76" s="2045"/>
      <c r="AG76" s="2045"/>
      <c r="AH76" s="2045"/>
      <c r="AI76" s="2045"/>
      <c r="AJ76" s="2045"/>
      <c r="AK76" s="2045"/>
      <c r="AL76" s="2045"/>
      <c r="AM76" s="2045"/>
      <c r="AN76" s="2045"/>
      <c r="AO76" s="2045"/>
      <c r="AP76" s="2045"/>
      <c r="AQ76" s="2045"/>
      <c r="AR76" s="2045"/>
      <c r="AS76" s="2045"/>
      <c r="AT76" s="2045"/>
      <c r="AU76" s="2045"/>
      <c r="AV76" s="2045"/>
      <c r="AW76" s="2045"/>
      <c r="AX76" s="2045"/>
      <c r="AY76" s="2045"/>
      <c r="AZ76" s="2045"/>
      <c r="BA76" s="2045"/>
      <c r="BB76" s="2045"/>
      <c r="BC76" s="2046"/>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7"/>
      <c r="AD77" s="2048"/>
      <c r="AE77" s="2048"/>
      <c r="AF77" s="2048"/>
      <c r="AG77" s="2048"/>
      <c r="AH77" s="2048"/>
      <c r="AI77" s="2048"/>
      <c r="AJ77" s="2048"/>
      <c r="AK77" s="2048"/>
      <c r="AL77" s="2048"/>
      <c r="AM77" s="2048"/>
      <c r="AN77" s="2048"/>
      <c r="AO77" s="2048"/>
      <c r="AP77" s="2048"/>
      <c r="AQ77" s="2048"/>
      <c r="AR77" s="2048"/>
      <c r="AS77" s="2048"/>
      <c r="AT77" s="2048"/>
      <c r="AU77" s="2048"/>
      <c r="AV77" s="2048"/>
      <c r="AW77" s="2048"/>
      <c r="AX77" s="2048"/>
      <c r="AY77" s="2048"/>
      <c r="AZ77" s="2048"/>
      <c r="BA77" s="2048"/>
      <c r="BB77" s="2048"/>
      <c r="BC77" s="2049"/>
      <c r="BD77" s="1190"/>
      <c r="BE77" s="1194"/>
      <c r="CK77" s="1188"/>
      <c r="CL77" s="1188"/>
      <c r="CM77" s="1188"/>
      <c r="CN77" s="1188"/>
      <c r="CO77" s="1188"/>
      <c r="CP77" s="1188"/>
    </row>
    <row r="78" spans="1:94" ht="15.75" customHeight="1" thickBot="1">
      <c r="A78" s="1190"/>
      <c r="B78" s="1202" t="s">
        <v>2384</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2283</v>
      </c>
      <c r="C79" s="1206"/>
      <c r="D79" s="1206"/>
      <c r="E79" s="1207"/>
      <c r="F79" s="2146"/>
      <c r="G79" s="2147"/>
      <c r="H79" s="2147"/>
      <c r="I79" s="2147"/>
      <c r="J79" s="2147"/>
      <c r="K79" s="2147"/>
      <c r="L79" s="2147"/>
      <c r="M79" s="2147"/>
      <c r="N79" s="2147"/>
      <c r="O79" s="2147"/>
      <c r="P79" s="2147"/>
      <c r="Q79" s="2147"/>
      <c r="R79" s="2147"/>
      <c r="S79" s="2147"/>
      <c r="T79" s="2148"/>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49" t="s">
        <v>2383</v>
      </c>
      <c r="C80" s="2150"/>
      <c r="D80" s="2150"/>
      <c r="E80" s="2150"/>
      <c r="F80" s="2150"/>
      <c r="G80" s="2150"/>
      <c r="H80" s="2150"/>
      <c r="I80" s="2150"/>
      <c r="J80" s="2150"/>
      <c r="K80" s="2150"/>
      <c r="L80" s="2150"/>
      <c r="M80" s="2150"/>
      <c r="N80" s="2150"/>
      <c r="O80" s="2150"/>
      <c r="P80" s="2150"/>
      <c r="Q80" s="2150"/>
      <c r="R80" s="2152" t="str">
        <f>IFERROR(INDEX(BR96:BR98,MATCH(F79,$BQ$96:$BQ$98,0))/SUM($BR$96:$BR$98),"")</f>
        <v/>
      </c>
      <c r="S80" s="2153"/>
      <c r="T80" s="2154"/>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5" t="s">
        <v>2382</v>
      </c>
      <c r="C81" s="2156"/>
      <c r="D81" s="2156"/>
      <c r="E81" s="2156"/>
      <c r="F81" s="2156"/>
      <c r="G81" s="2156"/>
      <c r="H81" s="2156"/>
      <c r="I81" s="2156"/>
      <c r="J81" s="2156"/>
      <c r="K81" s="2156"/>
      <c r="L81" s="2156"/>
      <c r="M81" s="2156"/>
      <c r="N81" s="2156"/>
      <c r="O81" s="2156"/>
      <c r="P81" s="2156"/>
      <c r="Q81" s="2156"/>
      <c r="R81" s="2137" t="s">
        <v>2188</v>
      </c>
      <c r="S81" s="2138"/>
      <c r="T81" s="2139"/>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8" t="s">
        <v>2381</v>
      </c>
      <c r="C83" s="2159"/>
      <c r="D83" s="2159"/>
      <c r="E83" s="2159"/>
      <c r="F83" s="2159"/>
      <c r="G83" s="2159"/>
      <c r="H83" s="2159"/>
      <c r="I83" s="2159"/>
      <c r="J83" s="2159"/>
      <c r="K83" s="2159"/>
      <c r="L83" s="2159"/>
      <c r="M83" s="2159"/>
      <c r="N83" s="2159"/>
      <c r="O83" s="2159"/>
      <c r="P83" s="2159"/>
      <c r="Q83" s="2159"/>
      <c r="R83" s="2159"/>
      <c r="S83" s="2159"/>
      <c r="T83" s="2159"/>
      <c r="U83" s="2159"/>
      <c r="V83" s="2159"/>
      <c r="W83" s="2159"/>
      <c r="X83" s="2159"/>
      <c r="Y83" s="2159"/>
      <c r="Z83" s="2159"/>
      <c r="AA83" s="2159"/>
      <c r="AB83" s="2159"/>
      <c r="AC83" s="2159"/>
      <c r="AD83" s="2159"/>
      <c r="AE83" s="2159"/>
      <c r="AF83" s="2159"/>
      <c r="AG83" s="2159"/>
      <c r="AH83" s="2160"/>
      <c r="AI83" s="1190"/>
      <c r="AJ83" s="2125" t="s">
        <v>2380</v>
      </c>
      <c r="AK83" s="2126"/>
      <c r="AL83" s="2126"/>
      <c r="AM83" s="2126"/>
      <c r="AN83" s="2126"/>
      <c r="AO83" s="2126"/>
      <c r="AP83" s="2126"/>
      <c r="AQ83" s="2126"/>
      <c r="AR83" s="2126"/>
      <c r="AS83" s="2126"/>
      <c r="AT83" s="2126"/>
      <c r="AU83" s="2126"/>
      <c r="AV83" s="2126"/>
      <c r="AW83" s="2126"/>
      <c r="AX83" s="2126"/>
      <c r="AY83" s="2142" t="s">
        <v>545</v>
      </c>
      <c r="AZ83" s="2142"/>
      <c r="BA83" s="2142"/>
      <c r="BB83" s="2143"/>
      <c r="BC83" s="1190"/>
      <c r="BD83" s="1190"/>
      <c r="BE83" s="1194"/>
      <c r="CK83" s="1188"/>
      <c r="CL83" s="1188"/>
      <c r="CM83" s="1188"/>
      <c r="CN83" s="1188"/>
      <c r="CO83" s="1188"/>
      <c r="CP83" s="1188"/>
    </row>
    <row r="84" spans="1:94" ht="15.75" customHeight="1">
      <c r="A84" s="1190"/>
      <c r="B84" s="2136"/>
      <c r="C84" s="2104"/>
      <c r="D84" s="2104"/>
      <c r="E84" s="2104"/>
      <c r="F84" s="2104"/>
      <c r="G84" s="2104"/>
      <c r="H84" s="2104"/>
      <c r="I84" s="2104" t="s">
        <v>2370</v>
      </c>
      <c r="J84" s="2104"/>
      <c r="K84" s="2104"/>
      <c r="L84" s="2104"/>
      <c r="M84" s="2104"/>
      <c r="N84" s="2104"/>
      <c r="O84" s="2104" t="s">
        <v>2346</v>
      </c>
      <c r="P84" s="2104"/>
      <c r="Q84" s="2104"/>
      <c r="R84" s="2104"/>
      <c r="S84" s="2104"/>
      <c r="T84" s="2104"/>
      <c r="U84" s="2104"/>
      <c r="V84" s="2140" t="s">
        <v>2345</v>
      </c>
      <c r="W84" s="2140"/>
      <c r="X84" s="2140"/>
      <c r="Y84" s="2140"/>
      <c r="Z84" s="2140"/>
      <c r="AA84" s="2140"/>
      <c r="AB84" s="2074" t="s">
        <v>2369</v>
      </c>
      <c r="AC84" s="2074"/>
      <c r="AD84" s="2074"/>
      <c r="AE84" s="2074"/>
      <c r="AF84" s="2074"/>
      <c r="AG84" s="2074"/>
      <c r="AH84" s="2141"/>
      <c r="AI84" s="1190"/>
      <c r="AJ84" s="2128"/>
      <c r="AK84" s="2129"/>
      <c r="AL84" s="2129"/>
      <c r="AM84" s="2129"/>
      <c r="AN84" s="2129"/>
      <c r="AO84" s="2129"/>
      <c r="AP84" s="2129"/>
      <c r="AQ84" s="2129"/>
      <c r="AR84" s="2129"/>
      <c r="AS84" s="2129"/>
      <c r="AT84" s="2129"/>
      <c r="AU84" s="2129"/>
      <c r="AV84" s="2129"/>
      <c r="AW84" s="2129"/>
      <c r="AX84" s="2129"/>
      <c r="AY84" s="2144"/>
      <c r="AZ84" s="2144"/>
      <c r="BA84" s="2144"/>
      <c r="BB84" s="2145"/>
      <c r="BC84" s="1190"/>
      <c r="BD84" s="1190"/>
      <c r="BE84" s="1194"/>
      <c r="CK84" s="1188"/>
      <c r="CL84" s="1188"/>
      <c r="CM84" s="1188"/>
      <c r="CN84" s="1188"/>
      <c r="CO84" s="1188"/>
      <c r="CP84" s="1188"/>
    </row>
    <row r="85" spans="1:94" ht="15.75" customHeight="1">
      <c r="A85" s="1190"/>
      <c r="B85" s="2136"/>
      <c r="C85" s="2104"/>
      <c r="D85" s="2104"/>
      <c r="E85" s="2104"/>
      <c r="F85" s="2104"/>
      <c r="G85" s="2104"/>
      <c r="H85" s="2104"/>
      <c r="I85" s="2104"/>
      <c r="J85" s="2104"/>
      <c r="K85" s="2104"/>
      <c r="L85" s="2104"/>
      <c r="M85" s="2104"/>
      <c r="N85" s="2104"/>
      <c r="O85" s="2104"/>
      <c r="P85" s="2104"/>
      <c r="Q85" s="2104"/>
      <c r="R85" s="2104"/>
      <c r="S85" s="2104"/>
      <c r="T85" s="2104"/>
      <c r="U85" s="2104"/>
      <c r="V85" s="2140"/>
      <c r="W85" s="2140"/>
      <c r="X85" s="2140"/>
      <c r="Y85" s="2140"/>
      <c r="Z85" s="2140"/>
      <c r="AA85" s="2140"/>
      <c r="AB85" s="2074"/>
      <c r="AC85" s="2074"/>
      <c r="AD85" s="2074"/>
      <c r="AE85" s="2074"/>
      <c r="AF85" s="2074"/>
      <c r="AG85" s="2074"/>
      <c r="AH85" s="2141"/>
      <c r="AI85" s="1190"/>
      <c r="AJ85" s="2128"/>
      <c r="AK85" s="2129"/>
      <c r="AL85" s="2129"/>
      <c r="AM85" s="2129"/>
      <c r="AN85" s="2129"/>
      <c r="AO85" s="2129"/>
      <c r="AP85" s="2129"/>
      <c r="AQ85" s="2129"/>
      <c r="AR85" s="2129"/>
      <c r="AS85" s="2129"/>
      <c r="AT85" s="2129"/>
      <c r="AU85" s="2129"/>
      <c r="AV85" s="2129"/>
      <c r="AW85" s="2129"/>
      <c r="AX85" s="2129"/>
      <c r="AY85" s="2144"/>
      <c r="AZ85" s="2144"/>
      <c r="BA85" s="2144"/>
      <c r="BB85" s="2145"/>
      <c r="BC85" s="1190"/>
      <c r="BD85" s="1190"/>
      <c r="BE85" s="1194"/>
      <c r="CK85" s="1188"/>
      <c r="CL85" s="1188"/>
      <c r="CM85" s="1188"/>
      <c r="CN85" s="1188"/>
      <c r="CO85" s="1188"/>
      <c r="CP85" s="1188"/>
    </row>
    <row r="86" spans="1:94" ht="15.75" customHeight="1">
      <c r="A86" s="1190"/>
      <c r="B86" s="2136" t="s">
        <v>2368</v>
      </c>
      <c r="C86" s="2104"/>
      <c r="D86" s="2104"/>
      <c r="E86" s="2104"/>
      <c r="F86" s="2104"/>
      <c r="G86" s="2104"/>
      <c r="H86" s="2104"/>
      <c r="I86" s="2077">
        <v>0</v>
      </c>
      <c r="J86" s="2077"/>
      <c r="K86" s="2077"/>
      <c r="L86" s="2077"/>
      <c r="M86" s="2077"/>
      <c r="N86" s="2077"/>
      <c r="O86" s="2077">
        <v>0</v>
      </c>
      <c r="P86" s="2077"/>
      <c r="Q86" s="2077"/>
      <c r="R86" s="2077"/>
      <c r="S86" s="2077"/>
      <c r="T86" s="2077"/>
      <c r="U86" s="2077"/>
      <c r="V86" s="2077">
        <v>0</v>
      </c>
      <c r="W86" s="2077"/>
      <c r="X86" s="2077"/>
      <c r="Y86" s="2077"/>
      <c r="Z86" s="2077"/>
      <c r="AA86" s="2077"/>
      <c r="AB86" s="2077">
        <v>0</v>
      </c>
      <c r="AC86" s="2077"/>
      <c r="AD86" s="2077"/>
      <c r="AE86" s="2077"/>
      <c r="AF86" s="2077"/>
      <c r="AG86" s="2077"/>
      <c r="AH86" s="2078"/>
      <c r="AI86" s="1190"/>
      <c r="AJ86" s="2128"/>
      <c r="AK86" s="2129"/>
      <c r="AL86" s="2129"/>
      <c r="AM86" s="2129"/>
      <c r="AN86" s="2129"/>
      <c r="AO86" s="2129"/>
      <c r="AP86" s="2129"/>
      <c r="AQ86" s="2129"/>
      <c r="AR86" s="2129"/>
      <c r="AS86" s="2129"/>
      <c r="AT86" s="2129"/>
      <c r="AU86" s="2129"/>
      <c r="AV86" s="2129"/>
      <c r="AW86" s="2129"/>
      <c r="AX86" s="2129"/>
      <c r="AY86" s="2144"/>
      <c r="AZ86" s="2144"/>
      <c r="BA86" s="2144"/>
      <c r="BB86" s="2145"/>
      <c r="BC86" s="1190"/>
      <c r="BD86" s="1190"/>
      <c r="BE86" s="1194"/>
      <c r="CK86" s="1188"/>
      <c r="CL86" s="1188"/>
      <c r="CM86" s="1188"/>
      <c r="CN86" s="1188"/>
      <c r="CO86" s="1188"/>
      <c r="CP86" s="1188"/>
    </row>
    <row r="87" spans="1:94" ht="15.75" customHeight="1">
      <c r="A87" s="1190"/>
      <c r="B87" s="2136" t="s">
        <v>2367</v>
      </c>
      <c r="C87" s="2104"/>
      <c r="D87" s="2104"/>
      <c r="E87" s="2104"/>
      <c r="F87" s="2104"/>
      <c r="G87" s="2104"/>
      <c r="H87" s="2104"/>
      <c r="I87" s="2077">
        <v>0</v>
      </c>
      <c r="J87" s="2077"/>
      <c r="K87" s="2077"/>
      <c r="L87" s="2077"/>
      <c r="M87" s="2077"/>
      <c r="N87" s="2077"/>
      <c r="O87" s="2077">
        <v>0</v>
      </c>
      <c r="P87" s="2077"/>
      <c r="Q87" s="2077"/>
      <c r="R87" s="2077"/>
      <c r="S87" s="2077"/>
      <c r="T87" s="2077"/>
      <c r="U87" s="2077"/>
      <c r="V87" s="2077">
        <v>0</v>
      </c>
      <c r="W87" s="2077"/>
      <c r="X87" s="2077"/>
      <c r="Y87" s="2077"/>
      <c r="Z87" s="2077"/>
      <c r="AA87" s="2077"/>
      <c r="AB87" s="2077">
        <v>0</v>
      </c>
      <c r="AC87" s="2077"/>
      <c r="AD87" s="2077"/>
      <c r="AE87" s="2077"/>
      <c r="AF87" s="2077"/>
      <c r="AG87" s="2077"/>
      <c r="AH87" s="2078"/>
      <c r="AI87" s="1190"/>
      <c r="AJ87" s="2044" t="s">
        <v>2374</v>
      </c>
      <c r="AK87" s="2045"/>
      <c r="AL87" s="2045"/>
      <c r="AM87" s="2045"/>
      <c r="AN87" s="2045"/>
      <c r="AO87" s="2045"/>
      <c r="AP87" s="2045"/>
      <c r="AQ87" s="2045"/>
      <c r="AR87" s="2045"/>
      <c r="AS87" s="2045"/>
      <c r="AT87" s="2045"/>
      <c r="AU87" s="2045"/>
      <c r="AV87" s="2045"/>
      <c r="AW87" s="2045"/>
      <c r="AX87" s="2045"/>
      <c r="AY87" s="2045"/>
      <c r="AZ87" s="2045"/>
      <c r="BA87" s="2045"/>
      <c r="BB87" s="2046"/>
      <c r="BC87" s="1190"/>
      <c r="BD87" s="1190"/>
      <c r="BE87" s="1194"/>
      <c r="CK87" s="1188"/>
      <c r="CL87" s="1188"/>
      <c r="CM87" s="1188"/>
      <c r="CN87" s="1188"/>
      <c r="CO87" s="1188"/>
      <c r="CP87" s="1188"/>
    </row>
    <row r="88" spans="1:94" ht="15.75" customHeight="1" thickBot="1">
      <c r="A88" s="1190"/>
      <c r="B88" s="2134" t="s">
        <v>2366</v>
      </c>
      <c r="C88" s="2135"/>
      <c r="D88" s="2135"/>
      <c r="E88" s="2135"/>
      <c r="F88" s="2135"/>
      <c r="G88" s="2135"/>
      <c r="H88" s="2135"/>
      <c r="I88" s="2071">
        <v>0</v>
      </c>
      <c r="J88" s="2071"/>
      <c r="K88" s="2071"/>
      <c r="L88" s="2071"/>
      <c r="M88" s="2071"/>
      <c r="N88" s="2071"/>
      <c r="O88" s="2071">
        <v>0</v>
      </c>
      <c r="P88" s="2071"/>
      <c r="Q88" s="2071"/>
      <c r="R88" s="2071"/>
      <c r="S88" s="2071"/>
      <c r="T88" s="2071"/>
      <c r="U88" s="2071"/>
      <c r="V88" s="2071">
        <v>0</v>
      </c>
      <c r="W88" s="2071"/>
      <c r="X88" s="2071"/>
      <c r="Y88" s="2071"/>
      <c r="Z88" s="2071"/>
      <c r="AA88" s="2071"/>
      <c r="AB88" s="2071">
        <v>0</v>
      </c>
      <c r="AC88" s="2071"/>
      <c r="AD88" s="2071"/>
      <c r="AE88" s="2071"/>
      <c r="AF88" s="2071"/>
      <c r="AG88" s="2071"/>
      <c r="AH88" s="2072"/>
      <c r="AI88" s="1190"/>
      <c r="AJ88" s="2047"/>
      <c r="AK88" s="2048"/>
      <c r="AL88" s="2048"/>
      <c r="AM88" s="2048"/>
      <c r="AN88" s="2048"/>
      <c r="AO88" s="2048"/>
      <c r="AP88" s="2048"/>
      <c r="AQ88" s="2048"/>
      <c r="AR88" s="2048"/>
      <c r="AS88" s="2048"/>
      <c r="AT88" s="2048"/>
      <c r="AU88" s="2048"/>
      <c r="AV88" s="2048"/>
      <c r="AW88" s="2048"/>
      <c r="AX88" s="2048"/>
      <c r="AY88" s="2048"/>
      <c r="AZ88" s="2048"/>
      <c r="BA88" s="2048"/>
      <c r="BB88" s="2049"/>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2379</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2283</v>
      </c>
      <c r="C92" s="1212"/>
      <c r="D92" s="1213"/>
      <c r="E92" s="1214"/>
      <c r="F92" s="2146"/>
      <c r="G92" s="2147"/>
      <c r="H92" s="2147"/>
      <c r="I92" s="2147"/>
      <c r="J92" s="2147"/>
      <c r="K92" s="2147"/>
      <c r="L92" s="2147"/>
      <c r="M92" s="2147"/>
      <c r="N92" s="2147"/>
      <c r="O92" s="2147"/>
      <c r="P92" s="2147"/>
      <c r="Q92" s="2147"/>
      <c r="R92" s="2147"/>
      <c r="S92" s="2147"/>
      <c r="T92" s="2148"/>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49" t="s">
        <v>2378</v>
      </c>
      <c r="C93" s="2150"/>
      <c r="D93" s="2150"/>
      <c r="E93" s="2150"/>
      <c r="F93" s="2150"/>
      <c r="G93" s="2150"/>
      <c r="H93" s="2150"/>
      <c r="I93" s="2150"/>
      <c r="J93" s="2150"/>
      <c r="K93" s="2150"/>
      <c r="L93" s="2150"/>
      <c r="M93" s="2150"/>
      <c r="N93" s="2150"/>
      <c r="O93" s="2150"/>
      <c r="P93" s="2150"/>
      <c r="Q93" s="2151"/>
      <c r="R93" s="2152" t="str">
        <f>IFERROR(INDEX(BR96:BR98,MATCH(F92,$BQ$96:$BQ$98,0))/SUM($BR$96:$BR$98),"")</f>
        <v/>
      </c>
      <c r="S93" s="2153"/>
      <c r="T93" s="2154"/>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5" t="s">
        <v>2377</v>
      </c>
      <c r="C94" s="2156"/>
      <c r="D94" s="2156"/>
      <c r="E94" s="2156"/>
      <c r="F94" s="2156"/>
      <c r="G94" s="2156"/>
      <c r="H94" s="2156"/>
      <c r="I94" s="2156"/>
      <c r="J94" s="2156"/>
      <c r="K94" s="2156"/>
      <c r="L94" s="2156"/>
      <c r="M94" s="2156"/>
      <c r="N94" s="2156"/>
      <c r="O94" s="2156"/>
      <c r="P94" s="2156"/>
      <c r="Q94" s="2157"/>
      <c r="R94" s="2137" t="s">
        <v>2188</v>
      </c>
      <c r="S94" s="2138"/>
      <c r="T94" s="2139"/>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8" t="s">
        <v>2376</v>
      </c>
      <c r="C96" s="2159"/>
      <c r="D96" s="2159"/>
      <c r="E96" s="2159"/>
      <c r="F96" s="2159"/>
      <c r="G96" s="2159"/>
      <c r="H96" s="2159"/>
      <c r="I96" s="2159"/>
      <c r="J96" s="2159"/>
      <c r="K96" s="2159"/>
      <c r="L96" s="2159"/>
      <c r="M96" s="2159"/>
      <c r="N96" s="2159"/>
      <c r="O96" s="2159"/>
      <c r="P96" s="2159"/>
      <c r="Q96" s="2159"/>
      <c r="R96" s="2159"/>
      <c r="S96" s="2159"/>
      <c r="T96" s="2159"/>
      <c r="U96" s="2159"/>
      <c r="V96" s="2159"/>
      <c r="W96" s="2159"/>
      <c r="X96" s="2159"/>
      <c r="Y96" s="2159"/>
      <c r="Z96" s="2159"/>
      <c r="AA96" s="2159"/>
      <c r="AB96" s="2159"/>
      <c r="AC96" s="2159"/>
      <c r="AD96" s="2159"/>
      <c r="AE96" s="2159"/>
      <c r="AF96" s="2159"/>
      <c r="AG96" s="2159"/>
      <c r="AH96" s="2160"/>
      <c r="AI96" s="1190"/>
      <c r="AJ96" s="2125" t="s">
        <v>2375</v>
      </c>
      <c r="AK96" s="2126"/>
      <c r="AL96" s="2126"/>
      <c r="AM96" s="2126"/>
      <c r="AN96" s="2126"/>
      <c r="AO96" s="2126"/>
      <c r="AP96" s="2126"/>
      <c r="AQ96" s="2126"/>
      <c r="AR96" s="2126"/>
      <c r="AS96" s="2126"/>
      <c r="AT96" s="2126"/>
      <c r="AU96" s="2126"/>
      <c r="AV96" s="2126"/>
      <c r="AW96" s="2126"/>
      <c r="AX96" s="2126"/>
      <c r="AY96" s="2142" t="s">
        <v>545</v>
      </c>
      <c r="AZ96" s="2142"/>
      <c r="BA96" s="2142"/>
      <c r="BB96" s="2143"/>
      <c r="BC96" s="1190"/>
      <c r="BD96" s="1190"/>
      <c r="BE96" s="1194"/>
      <c r="BQ96" s="1256" t="str">
        <f>Application!M243&amp;IF(TRIM(Application!AA249)&lt;&gt;""," ("&amp;Application!AA249&amp;")","")</f>
        <v>Cypress Place at Garden City II LLC (People's Self-Help Housing Corporation)</v>
      </c>
      <c r="BR96" s="1259">
        <f>Application!AH246</f>
        <v>0.01</v>
      </c>
      <c r="CM96" s="1188"/>
      <c r="CN96" s="1188"/>
      <c r="CO96" s="1188"/>
      <c r="CP96" s="1188"/>
    </row>
    <row r="97" spans="1:94" ht="15.75" customHeight="1">
      <c r="A97" s="1190"/>
      <c r="B97" s="2136"/>
      <c r="C97" s="2104"/>
      <c r="D97" s="2104"/>
      <c r="E97" s="2104"/>
      <c r="F97" s="2104"/>
      <c r="G97" s="2104"/>
      <c r="H97" s="2104"/>
      <c r="I97" s="2104" t="s">
        <v>2370</v>
      </c>
      <c r="J97" s="2104"/>
      <c r="K97" s="2104"/>
      <c r="L97" s="2104"/>
      <c r="M97" s="2104"/>
      <c r="N97" s="2104"/>
      <c r="O97" s="2104" t="s">
        <v>2346</v>
      </c>
      <c r="P97" s="2104"/>
      <c r="Q97" s="2104"/>
      <c r="R97" s="2104"/>
      <c r="S97" s="2104"/>
      <c r="T97" s="2104"/>
      <c r="U97" s="2104"/>
      <c r="V97" s="2140" t="s">
        <v>2345</v>
      </c>
      <c r="W97" s="2140"/>
      <c r="X97" s="2140"/>
      <c r="Y97" s="2140"/>
      <c r="Z97" s="2140"/>
      <c r="AA97" s="2140"/>
      <c r="AB97" s="2074" t="s">
        <v>2369</v>
      </c>
      <c r="AC97" s="2074"/>
      <c r="AD97" s="2074"/>
      <c r="AE97" s="2074"/>
      <c r="AF97" s="2074"/>
      <c r="AG97" s="2074"/>
      <c r="AH97" s="2141"/>
      <c r="AI97" s="1190"/>
      <c r="AJ97" s="2128"/>
      <c r="AK97" s="2129"/>
      <c r="AL97" s="2129"/>
      <c r="AM97" s="2129"/>
      <c r="AN97" s="2129"/>
      <c r="AO97" s="2129"/>
      <c r="AP97" s="2129"/>
      <c r="AQ97" s="2129"/>
      <c r="AR97" s="2129"/>
      <c r="AS97" s="2129"/>
      <c r="AT97" s="2129"/>
      <c r="AU97" s="2129"/>
      <c r="AV97" s="2129"/>
      <c r="AW97" s="2129"/>
      <c r="AX97" s="2129"/>
      <c r="AY97" s="2144"/>
      <c r="AZ97" s="2144"/>
      <c r="BA97" s="2144"/>
      <c r="BB97" s="2145"/>
      <c r="BC97" s="1190"/>
      <c r="BD97" s="1190"/>
      <c r="BE97" s="1194"/>
      <c r="BQ97" s="1256" t="str">
        <f>Application!M251&amp;IF(TRIM(Application!AA257)&lt;&gt;""," ("&amp;Application!AA257&amp;")","")</f>
        <v>N/A</v>
      </c>
      <c r="BR97" s="1259">
        <f>Application!AH254</f>
        <v>0</v>
      </c>
      <c r="CM97" s="1188"/>
      <c r="CN97" s="1188"/>
      <c r="CO97" s="1188"/>
      <c r="CP97" s="1188"/>
    </row>
    <row r="98" spans="1:94" ht="15.75" customHeight="1">
      <c r="A98" s="1190"/>
      <c r="B98" s="2136"/>
      <c r="C98" s="2104"/>
      <c r="D98" s="2104"/>
      <c r="E98" s="2104"/>
      <c r="F98" s="2104"/>
      <c r="G98" s="2104"/>
      <c r="H98" s="2104"/>
      <c r="I98" s="2104"/>
      <c r="J98" s="2104"/>
      <c r="K98" s="2104"/>
      <c r="L98" s="2104"/>
      <c r="M98" s="2104"/>
      <c r="N98" s="2104"/>
      <c r="O98" s="2104"/>
      <c r="P98" s="2104"/>
      <c r="Q98" s="2104"/>
      <c r="R98" s="2104"/>
      <c r="S98" s="2104"/>
      <c r="T98" s="2104"/>
      <c r="U98" s="2104"/>
      <c r="V98" s="2140"/>
      <c r="W98" s="2140"/>
      <c r="X98" s="2140"/>
      <c r="Y98" s="2140"/>
      <c r="Z98" s="2140"/>
      <c r="AA98" s="2140"/>
      <c r="AB98" s="2074"/>
      <c r="AC98" s="2074"/>
      <c r="AD98" s="2074"/>
      <c r="AE98" s="2074"/>
      <c r="AF98" s="2074"/>
      <c r="AG98" s="2074"/>
      <c r="AH98" s="2141"/>
      <c r="AI98" s="1190"/>
      <c r="AJ98" s="2128"/>
      <c r="AK98" s="2129"/>
      <c r="AL98" s="2129"/>
      <c r="AM98" s="2129"/>
      <c r="AN98" s="2129"/>
      <c r="AO98" s="2129"/>
      <c r="AP98" s="2129"/>
      <c r="AQ98" s="2129"/>
      <c r="AR98" s="2129"/>
      <c r="AS98" s="2129"/>
      <c r="AT98" s="2129"/>
      <c r="AU98" s="2129"/>
      <c r="AV98" s="2129"/>
      <c r="AW98" s="2129"/>
      <c r="AX98" s="2129"/>
      <c r="AY98" s="2144"/>
      <c r="AZ98" s="2144"/>
      <c r="BA98" s="2144"/>
      <c r="BB98" s="2145"/>
      <c r="BC98" s="1190"/>
      <c r="BD98" s="1190"/>
      <c r="BE98" s="1194"/>
      <c r="BQ98" s="1256" t="str">
        <f>Application!M259&amp;IF(TRIM(Application!AA265)&lt;&gt;""," ("&amp;Application!AA265&amp;")","")</f>
        <v>N/A</v>
      </c>
      <c r="BR98" s="1259">
        <f>Application!AH262</f>
        <v>0</v>
      </c>
      <c r="CM98" s="1188"/>
      <c r="CN98" s="1188"/>
      <c r="CO98" s="1188"/>
      <c r="CP98" s="1188"/>
    </row>
    <row r="99" spans="1:94" ht="15.75" customHeight="1">
      <c r="A99" s="1190"/>
      <c r="B99" s="2136" t="s">
        <v>2368</v>
      </c>
      <c r="C99" s="2104"/>
      <c r="D99" s="2104"/>
      <c r="E99" s="2104"/>
      <c r="F99" s="2104"/>
      <c r="G99" s="2104"/>
      <c r="H99" s="2104"/>
      <c r="I99" s="2077">
        <v>0</v>
      </c>
      <c r="J99" s="2077"/>
      <c r="K99" s="2077"/>
      <c r="L99" s="2077"/>
      <c r="M99" s="2077"/>
      <c r="N99" s="2077"/>
      <c r="O99" s="2077">
        <v>0</v>
      </c>
      <c r="P99" s="2077"/>
      <c r="Q99" s="2077"/>
      <c r="R99" s="2077"/>
      <c r="S99" s="2077"/>
      <c r="T99" s="2077"/>
      <c r="U99" s="2077"/>
      <c r="V99" s="2077">
        <v>0</v>
      </c>
      <c r="W99" s="2077"/>
      <c r="X99" s="2077"/>
      <c r="Y99" s="2077"/>
      <c r="Z99" s="2077"/>
      <c r="AA99" s="2077"/>
      <c r="AB99" s="2077">
        <v>0</v>
      </c>
      <c r="AC99" s="2077"/>
      <c r="AD99" s="2077"/>
      <c r="AE99" s="2077"/>
      <c r="AF99" s="2077"/>
      <c r="AG99" s="2077"/>
      <c r="AH99" s="2078"/>
      <c r="AI99" s="1190"/>
      <c r="AJ99" s="2128"/>
      <c r="AK99" s="2129"/>
      <c r="AL99" s="2129"/>
      <c r="AM99" s="2129"/>
      <c r="AN99" s="2129"/>
      <c r="AO99" s="2129"/>
      <c r="AP99" s="2129"/>
      <c r="AQ99" s="2129"/>
      <c r="AR99" s="2129"/>
      <c r="AS99" s="2129"/>
      <c r="AT99" s="2129"/>
      <c r="AU99" s="2129"/>
      <c r="AV99" s="2129"/>
      <c r="AW99" s="2129"/>
      <c r="AX99" s="2129"/>
      <c r="AY99" s="2144"/>
      <c r="AZ99" s="2144"/>
      <c r="BA99" s="2144"/>
      <c r="BB99" s="2145"/>
      <c r="BC99" s="1190"/>
      <c r="BD99" s="1190"/>
      <c r="BE99" s="1194"/>
      <c r="CM99" s="1188"/>
      <c r="CN99" s="1188"/>
      <c r="CO99" s="1188"/>
      <c r="CP99" s="1188"/>
    </row>
    <row r="100" spans="1:94" ht="15.75" customHeight="1">
      <c r="A100" s="1190"/>
      <c r="B100" s="2136" t="s">
        <v>2367</v>
      </c>
      <c r="C100" s="2104"/>
      <c r="D100" s="2104"/>
      <c r="E100" s="2104"/>
      <c r="F100" s="2104"/>
      <c r="G100" s="2104"/>
      <c r="H100" s="2104"/>
      <c r="I100" s="2077">
        <v>0</v>
      </c>
      <c r="J100" s="2077"/>
      <c r="K100" s="2077"/>
      <c r="L100" s="2077"/>
      <c r="M100" s="2077"/>
      <c r="N100" s="2077"/>
      <c r="O100" s="2077">
        <v>0</v>
      </c>
      <c r="P100" s="2077"/>
      <c r="Q100" s="2077"/>
      <c r="R100" s="2077"/>
      <c r="S100" s="2077"/>
      <c r="T100" s="2077"/>
      <c r="U100" s="2077"/>
      <c r="V100" s="2077">
        <v>0</v>
      </c>
      <c r="W100" s="2077"/>
      <c r="X100" s="2077"/>
      <c r="Y100" s="2077"/>
      <c r="Z100" s="2077"/>
      <c r="AA100" s="2077"/>
      <c r="AB100" s="2077">
        <v>0</v>
      </c>
      <c r="AC100" s="2077"/>
      <c r="AD100" s="2077"/>
      <c r="AE100" s="2077"/>
      <c r="AF100" s="2077"/>
      <c r="AG100" s="2077"/>
      <c r="AH100" s="2078"/>
      <c r="AI100" s="1190"/>
      <c r="AJ100" s="2044" t="s">
        <v>2374</v>
      </c>
      <c r="AK100" s="2045"/>
      <c r="AL100" s="2045"/>
      <c r="AM100" s="2045"/>
      <c r="AN100" s="2045"/>
      <c r="AO100" s="2045"/>
      <c r="AP100" s="2045"/>
      <c r="AQ100" s="2045"/>
      <c r="AR100" s="2045"/>
      <c r="AS100" s="2045"/>
      <c r="AT100" s="2045"/>
      <c r="AU100" s="2045"/>
      <c r="AV100" s="2045"/>
      <c r="AW100" s="2045"/>
      <c r="AX100" s="2045"/>
      <c r="AY100" s="2045"/>
      <c r="AZ100" s="2045"/>
      <c r="BA100" s="2045"/>
      <c r="BB100" s="2046"/>
      <c r="BC100" s="1190"/>
      <c r="BD100" s="1190"/>
      <c r="BE100" s="1194"/>
      <c r="CM100" s="1188"/>
      <c r="CN100" s="1188"/>
      <c r="CO100" s="1188"/>
      <c r="CP100" s="1188"/>
    </row>
    <row r="101" spans="1:94" ht="15.75" customHeight="1" thickBot="1">
      <c r="A101" s="1190"/>
      <c r="B101" s="2134" t="s">
        <v>2366</v>
      </c>
      <c r="C101" s="2135"/>
      <c r="D101" s="2135"/>
      <c r="E101" s="2135"/>
      <c r="F101" s="2135"/>
      <c r="G101" s="2135"/>
      <c r="H101" s="2135"/>
      <c r="I101" s="2071">
        <v>0</v>
      </c>
      <c r="J101" s="2071"/>
      <c r="K101" s="2071"/>
      <c r="L101" s="2071"/>
      <c r="M101" s="2071"/>
      <c r="N101" s="2071"/>
      <c r="O101" s="2071">
        <v>0</v>
      </c>
      <c r="P101" s="2071"/>
      <c r="Q101" s="2071"/>
      <c r="R101" s="2071"/>
      <c r="S101" s="2071"/>
      <c r="T101" s="2071"/>
      <c r="U101" s="2071"/>
      <c r="V101" s="2071">
        <v>0</v>
      </c>
      <c r="W101" s="2071"/>
      <c r="X101" s="2071"/>
      <c r="Y101" s="2071"/>
      <c r="Z101" s="2071"/>
      <c r="AA101" s="2071"/>
      <c r="AB101" s="2071">
        <v>0</v>
      </c>
      <c r="AC101" s="2071"/>
      <c r="AD101" s="2071"/>
      <c r="AE101" s="2071"/>
      <c r="AF101" s="2071"/>
      <c r="AG101" s="2071"/>
      <c r="AH101" s="2072"/>
      <c r="AI101" s="1190"/>
      <c r="AJ101" s="2047"/>
      <c r="AK101" s="2048"/>
      <c r="AL101" s="2048"/>
      <c r="AM101" s="2048"/>
      <c r="AN101" s="2048"/>
      <c r="AO101" s="2048"/>
      <c r="AP101" s="2048"/>
      <c r="AQ101" s="2048"/>
      <c r="AR101" s="2048"/>
      <c r="AS101" s="2048"/>
      <c r="AT101" s="2048"/>
      <c r="AU101" s="2048"/>
      <c r="AV101" s="2048"/>
      <c r="AW101" s="2048"/>
      <c r="AX101" s="2048"/>
      <c r="AY101" s="2048"/>
      <c r="AZ101" s="2048"/>
      <c r="BA101" s="2048"/>
      <c r="BB101" s="2049"/>
      <c r="BC101" s="1190"/>
      <c r="BD101" s="1190"/>
      <c r="BE101" s="1194"/>
      <c r="BQ101" s="1256" t="str">
        <f>Application!AA335</f>
        <v xml:space="preserve">The Duncan Group </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N/A</v>
      </c>
      <c r="CM102" s="1188"/>
      <c r="CN102" s="1188"/>
      <c r="CO102" s="1188"/>
      <c r="CP102" s="1188"/>
    </row>
    <row r="103" spans="1:94" ht="15.75" customHeight="1" thickBot="1">
      <c r="A103" s="1190"/>
      <c r="B103" s="1209" t="s">
        <v>2373</v>
      </c>
      <c r="C103" s="1203"/>
      <c r="D103" s="1204"/>
      <c r="E103" s="1204"/>
      <c r="F103" s="1215"/>
      <c r="G103" s="1215"/>
      <c r="H103" s="1215"/>
      <c r="I103" s="1215"/>
      <c r="J103" s="1215"/>
      <c r="K103" s="1215"/>
      <c r="L103" s="1215"/>
      <c r="M103" s="1215"/>
      <c r="N103" s="1215"/>
      <c r="O103" s="1216"/>
      <c r="P103" s="1215"/>
      <c r="Q103" s="1215"/>
      <c r="R103" s="1216"/>
      <c r="S103" s="1190" t="s">
        <v>249</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2283</v>
      </c>
      <c r="C104" s="1212"/>
      <c r="D104" s="1217"/>
      <c r="E104" s="1218"/>
      <c r="F104" s="2098"/>
      <c r="G104" s="2099"/>
      <c r="H104" s="2099"/>
      <c r="I104" s="2099"/>
      <c r="J104" s="2099"/>
      <c r="K104" s="2099"/>
      <c r="L104" s="2099"/>
      <c r="M104" s="2099"/>
      <c r="N104" s="2099"/>
      <c r="O104" s="2099"/>
      <c r="P104" s="2099"/>
      <c r="Q104" s="2099"/>
      <c r="R104" s="2100"/>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2372</v>
      </c>
      <c r="C105" s="1220"/>
      <c r="D105" s="1221"/>
      <c r="E105" s="1221"/>
      <c r="F105" s="1221"/>
      <c r="G105" s="1221"/>
      <c r="H105" s="1221"/>
      <c r="I105" s="1221"/>
      <c r="J105" s="1221"/>
      <c r="K105" s="1221"/>
      <c r="L105" s="1222"/>
      <c r="M105" s="1221"/>
      <c r="N105" s="1222"/>
      <c r="O105" s="2137" t="str">
        <f>IFERROR(INDEX(BR96:BR98,MATCH(F104,$BQ$96:$BQ$98,0))/SUM($BR$96:$BR$98),"")</f>
        <v/>
      </c>
      <c r="P105" s="2138"/>
      <c r="Q105" s="2138"/>
      <c r="R105" s="2139"/>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7" t="s">
        <v>2371</v>
      </c>
      <c r="C107" s="2028"/>
      <c r="D107" s="2028"/>
      <c r="E107" s="2028"/>
      <c r="F107" s="2028"/>
      <c r="G107" s="2028"/>
      <c r="H107" s="2028"/>
      <c r="I107" s="2028"/>
      <c r="J107" s="2028"/>
      <c r="K107" s="2028"/>
      <c r="L107" s="2028"/>
      <c r="M107" s="2028"/>
      <c r="N107" s="2028"/>
      <c r="O107" s="2028"/>
      <c r="P107" s="2028"/>
      <c r="Q107" s="2028"/>
      <c r="R107" s="2028"/>
      <c r="S107" s="2028"/>
      <c r="T107" s="2028"/>
      <c r="U107" s="2028"/>
      <c r="V107" s="2028"/>
      <c r="W107" s="2028"/>
      <c r="X107" s="2028"/>
      <c r="Y107" s="2028"/>
      <c r="Z107" s="2028"/>
      <c r="AA107" s="2028"/>
      <c r="AB107" s="2028"/>
      <c r="AC107" s="2028"/>
      <c r="AD107" s="2028"/>
      <c r="AE107" s="2028"/>
      <c r="AF107" s="2028"/>
      <c r="AG107" s="2028"/>
      <c r="AH107" s="2037"/>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6"/>
      <c r="C108" s="2104"/>
      <c r="D108" s="2104"/>
      <c r="E108" s="2104"/>
      <c r="F108" s="2104"/>
      <c r="G108" s="2104"/>
      <c r="H108" s="2104"/>
      <c r="I108" s="2104" t="s">
        <v>2370</v>
      </c>
      <c r="J108" s="2104"/>
      <c r="K108" s="2104"/>
      <c r="L108" s="2104"/>
      <c r="M108" s="2104"/>
      <c r="N108" s="2104"/>
      <c r="O108" s="2104" t="s">
        <v>2346</v>
      </c>
      <c r="P108" s="2104"/>
      <c r="Q108" s="2104"/>
      <c r="R108" s="2104"/>
      <c r="S108" s="2104"/>
      <c r="T108" s="2104"/>
      <c r="U108" s="2104"/>
      <c r="V108" s="2140" t="s">
        <v>2345</v>
      </c>
      <c r="W108" s="2140"/>
      <c r="X108" s="2140"/>
      <c r="Y108" s="2140"/>
      <c r="Z108" s="2140"/>
      <c r="AA108" s="2140"/>
      <c r="AB108" s="2074" t="s">
        <v>2369</v>
      </c>
      <c r="AC108" s="2074"/>
      <c r="AD108" s="2074"/>
      <c r="AE108" s="2074"/>
      <c r="AF108" s="2074"/>
      <c r="AG108" s="2074"/>
      <c r="AH108" s="2141"/>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6"/>
      <c r="C109" s="2104"/>
      <c r="D109" s="2104"/>
      <c r="E109" s="2104"/>
      <c r="F109" s="2104"/>
      <c r="G109" s="2104"/>
      <c r="H109" s="2104"/>
      <c r="I109" s="2104"/>
      <c r="J109" s="2104"/>
      <c r="K109" s="2104"/>
      <c r="L109" s="2104"/>
      <c r="M109" s="2104"/>
      <c r="N109" s="2104"/>
      <c r="O109" s="2104"/>
      <c r="P109" s="2104"/>
      <c r="Q109" s="2104"/>
      <c r="R109" s="2104"/>
      <c r="S109" s="2104"/>
      <c r="T109" s="2104"/>
      <c r="U109" s="2104"/>
      <c r="V109" s="2140"/>
      <c r="W109" s="2140"/>
      <c r="X109" s="2140"/>
      <c r="Y109" s="2140"/>
      <c r="Z109" s="2140"/>
      <c r="AA109" s="2140"/>
      <c r="AB109" s="2074"/>
      <c r="AC109" s="2074"/>
      <c r="AD109" s="2074"/>
      <c r="AE109" s="2074"/>
      <c r="AF109" s="2074"/>
      <c r="AG109" s="2074"/>
      <c r="AH109" s="2141"/>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6" t="s">
        <v>2368</v>
      </c>
      <c r="C110" s="2104"/>
      <c r="D110" s="2104"/>
      <c r="E110" s="2104"/>
      <c r="F110" s="2104"/>
      <c r="G110" s="2104"/>
      <c r="H110" s="2104"/>
      <c r="I110" s="2077">
        <v>0</v>
      </c>
      <c r="J110" s="2077"/>
      <c r="K110" s="2077"/>
      <c r="L110" s="2077"/>
      <c r="M110" s="2077"/>
      <c r="N110" s="2077"/>
      <c r="O110" s="2077">
        <v>0</v>
      </c>
      <c r="P110" s="2077"/>
      <c r="Q110" s="2077"/>
      <c r="R110" s="2077"/>
      <c r="S110" s="2077"/>
      <c r="T110" s="2077"/>
      <c r="U110" s="2077"/>
      <c r="V110" s="2077">
        <v>0</v>
      </c>
      <c r="W110" s="2077"/>
      <c r="X110" s="2077"/>
      <c r="Y110" s="2077"/>
      <c r="Z110" s="2077"/>
      <c r="AA110" s="2077"/>
      <c r="AB110" s="2077">
        <v>0</v>
      </c>
      <c r="AC110" s="2077"/>
      <c r="AD110" s="2077"/>
      <c r="AE110" s="2077"/>
      <c r="AF110" s="2077"/>
      <c r="AG110" s="2077"/>
      <c r="AH110" s="2078"/>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6" t="s">
        <v>2367</v>
      </c>
      <c r="C111" s="2104"/>
      <c r="D111" s="2104"/>
      <c r="E111" s="2104"/>
      <c r="F111" s="2104"/>
      <c r="G111" s="2104"/>
      <c r="H111" s="2104"/>
      <c r="I111" s="2077">
        <v>0</v>
      </c>
      <c r="J111" s="2077"/>
      <c r="K111" s="2077"/>
      <c r="L111" s="2077"/>
      <c r="M111" s="2077"/>
      <c r="N111" s="2077"/>
      <c r="O111" s="2077">
        <v>0</v>
      </c>
      <c r="P111" s="2077"/>
      <c r="Q111" s="2077"/>
      <c r="R111" s="2077"/>
      <c r="S111" s="2077"/>
      <c r="T111" s="2077"/>
      <c r="U111" s="2077"/>
      <c r="V111" s="2077">
        <v>0</v>
      </c>
      <c r="W111" s="2077"/>
      <c r="X111" s="2077"/>
      <c r="Y111" s="2077"/>
      <c r="Z111" s="2077"/>
      <c r="AA111" s="2077"/>
      <c r="AB111" s="2077">
        <v>0</v>
      </c>
      <c r="AC111" s="2077"/>
      <c r="AD111" s="2077"/>
      <c r="AE111" s="2077"/>
      <c r="AF111" s="2077"/>
      <c r="AG111" s="2077"/>
      <c r="AH111" s="2078"/>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4" t="s">
        <v>2366</v>
      </c>
      <c r="C112" s="2135"/>
      <c r="D112" s="2135"/>
      <c r="E112" s="2135"/>
      <c r="F112" s="2135"/>
      <c r="G112" s="2135"/>
      <c r="H112" s="2135"/>
      <c r="I112" s="2071">
        <v>0</v>
      </c>
      <c r="J112" s="2071"/>
      <c r="K112" s="2071"/>
      <c r="L112" s="2071"/>
      <c r="M112" s="2071"/>
      <c r="N112" s="2071"/>
      <c r="O112" s="2071">
        <v>0</v>
      </c>
      <c r="P112" s="2071"/>
      <c r="Q112" s="2071"/>
      <c r="R112" s="2071"/>
      <c r="S112" s="2071"/>
      <c r="T112" s="2071"/>
      <c r="U112" s="2071"/>
      <c r="V112" s="2071">
        <v>0</v>
      </c>
      <c r="W112" s="2071"/>
      <c r="X112" s="2071"/>
      <c r="Y112" s="2071"/>
      <c r="Z112" s="2071"/>
      <c r="AA112" s="2071"/>
      <c r="AB112" s="2071">
        <v>0</v>
      </c>
      <c r="AC112" s="2071"/>
      <c r="AD112" s="2071"/>
      <c r="AE112" s="2071"/>
      <c r="AF112" s="2071"/>
      <c r="AG112" s="2071"/>
      <c r="AH112" s="2072"/>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249</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2365</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2283</v>
      </c>
      <c r="C115" s="1212"/>
      <c r="D115" s="1217"/>
      <c r="E115" s="1218"/>
      <c r="F115" s="2098"/>
      <c r="G115" s="2099"/>
      <c r="H115" s="2099"/>
      <c r="I115" s="2099"/>
      <c r="J115" s="2099"/>
      <c r="K115" s="2099"/>
      <c r="L115" s="2099"/>
      <c r="M115" s="2099"/>
      <c r="N115" s="2099"/>
      <c r="O115" s="2099"/>
      <c r="P115" s="2099"/>
      <c r="Q115" s="2099"/>
      <c r="R115" s="2100"/>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09" t="s">
        <v>2364</v>
      </c>
      <c r="C117" s="2110"/>
      <c r="D117" s="2110"/>
      <c r="E117" s="2110"/>
      <c r="F117" s="2110"/>
      <c r="G117" s="2110"/>
      <c r="H117" s="2110"/>
      <c r="I117" s="2110"/>
      <c r="J117" s="2110"/>
      <c r="K117" s="2110"/>
      <c r="L117" s="2110"/>
      <c r="M117" s="2110"/>
      <c r="N117" s="2110"/>
      <c r="O117" s="2110"/>
      <c r="P117" s="2110"/>
      <c r="Q117" s="2110"/>
      <c r="R117" s="2110"/>
      <c r="S117" s="2110"/>
      <c r="T117" s="2110"/>
      <c r="U117" s="2113" t="s">
        <v>545</v>
      </c>
      <c r="V117" s="2113"/>
      <c r="W117" s="2113"/>
      <c r="X117" s="2114"/>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1"/>
      <c r="C118" s="2112"/>
      <c r="D118" s="2112"/>
      <c r="E118" s="2112"/>
      <c r="F118" s="2112"/>
      <c r="G118" s="2112"/>
      <c r="H118" s="2112"/>
      <c r="I118" s="2112"/>
      <c r="J118" s="2112"/>
      <c r="K118" s="2112"/>
      <c r="L118" s="2112"/>
      <c r="M118" s="2112"/>
      <c r="N118" s="2112"/>
      <c r="O118" s="2112"/>
      <c r="P118" s="2112"/>
      <c r="Q118" s="2112"/>
      <c r="R118" s="2112"/>
      <c r="S118" s="2112"/>
      <c r="T118" s="2112"/>
      <c r="U118" s="2115"/>
      <c r="V118" s="2115"/>
      <c r="W118" s="2115"/>
      <c r="X118" s="2116"/>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1"/>
      <c r="C119" s="2112"/>
      <c r="D119" s="2112"/>
      <c r="E119" s="2112"/>
      <c r="F119" s="2112"/>
      <c r="G119" s="2112"/>
      <c r="H119" s="2112"/>
      <c r="I119" s="2112"/>
      <c r="J119" s="2112"/>
      <c r="K119" s="2112"/>
      <c r="L119" s="2112"/>
      <c r="M119" s="2112"/>
      <c r="N119" s="2112"/>
      <c r="O119" s="2112"/>
      <c r="P119" s="2112"/>
      <c r="Q119" s="2112"/>
      <c r="R119" s="2112"/>
      <c r="S119" s="2112"/>
      <c r="T119" s="2112"/>
      <c r="U119" s="2115"/>
      <c r="V119" s="2115"/>
      <c r="W119" s="2115"/>
      <c r="X119" s="2116"/>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1"/>
      <c r="C120" s="2112"/>
      <c r="D120" s="2112"/>
      <c r="E120" s="2112"/>
      <c r="F120" s="2112"/>
      <c r="G120" s="2112"/>
      <c r="H120" s="2112"/>
      <c r="I120" s="2112"/>
      <c r="J120" s="2112"/>
      <c r="K120" s="2112"/>
      <c r="L120" s="2112"/>
      <c r="M120" s="2112"/>
      <c r="N120" s="2112"/>
      <c r="O120" s="2112"/>
      <c r="P120" s="2112"/>
      <c r="Q120" s="2112"/>
      <c r="R120" s="2112"/>
      <c r="S120" s="2112"/>
      <c r="T120" s="2112"/>
      <c r="U120" s="2115"/>
      <c r="V120" s="2115"/>
      <c r="W120" s="2115"/>
      <c r="X120" s="2116"/>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7" t="s">
        <v>2364</v>
      </c>
      <c r="C121" s="2118"/>
      <c r="D121" s="2118"/>
      <c r="E121" s="2118"/>
      <c r="F121" s="2118"/>
      <c r="G121" s="2118"/>
      <c r="H121" s="2118"/>
      <c r="I121" s="2118"/>
      <c r="J121" s="2118"/>
      <c r="K121" s="2118"/>
      <c r="L121" s="2118"/>
      <c r="M121" s="2118"/>
      <c r="N121" s="2118"/>
      <c r="O121" s="2118"/>
      <c r="P121" s="2118"/>
      <c r="Q121" s="2118"/>
      <c r="R121" s="2118"/>
      <c r="S121" s="2118"/>
      <c r="T121" s="2118"/>
      <c r="U121" s="2121" t="s">
        <v>545</v>
      </c>
      <c r="V121" s="2121"/>
      <c r="W121" s="2121"/>
      <c r="X121" s="2122"/>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19"/>
      <c r="C122" s="2120"/>
      <c r="D122" s="2120"/>
      <c r="E122" s="2120"/>
      <c r="F122" s="2120"/>
      <c r="G122" s="2120"/>
      <c r="H122" s="2120"/>
      <c r="I122" s="2120"/>
      <c r="J122" s="2120"/>
      <c r="K122" s="2120"/>
      <c r="L122" s="2120"/>
      <c r="M122" s="2120"/>
      <c r="N122" s="2120"/>
      <c r="O122" s="2120"/>
      <c r="P122" s="2120"/>
      <c r="Q122" s="2120"/>
      <c r="R122" s="2120"/>
      <c r="S122" s="2120"/>
      <c r="T122" s="2120"/>
      <c r="U122" s="2123"/>
      <c r="V122" s="2123"/>
      <c r="W122" s="2123"/>
      <c r="X122" s="2124"/>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2363</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5" t="s">
        <v>2362</v>
      </c>
      <c r="Y125" s="2126"/>
      <c r="Z125" s="2126"/>
      <c r="AA125" s="2126"/>
      <c r="AB125" s="2126"/>
      <c r="AC125" s="2126"/>
      <c r="AD125" s="2126"/>
      <c r="AE125" s="2126"/>
      <c r="AF125" s="2126"/>
      <c r="AG125" s="2126"/>
      <c r="AH125" s="2126"/>
      <c r="AI125" s="2126"/>
      <c r="AJ125" s="2126"/>
      <c r="AK125" s="2126"/>
      <c r="AL125" s="2126"/>
      <c r="AM125" s="2126"/>
      <c r="AN125" s="2126"/>
      <c r="AO125" s="2126"/>
      <c r="AP125" s="2126"/>
      <c r="AQ125" s="2126"/>
      <c r="AR125" s="2126"/>
      <c r="AS125" s="2126"/>
      <c r="AT125" s="2126"/>
      <c r="AU125" s="2126"/>
      <c r="AV125" s="2126"/>
      <c r="AW125" s="2126"/>
      <c r="AX125" s="2126"/>
      <c r="AY125" s="2126"/>
      <c r="AZ125" s="2126"/>
      <c r="BA125" s="2126"/>
      <c r="BB125" s="2126"/>
      <c r="BC125" s="2126"/>
      <c r="BD125" s="2127"/>
      <c r="BE125" s="1194"/>
    </row>
    <row r="126" spans="1:57" ht="15.75" customHeight="1">
      <c r="A126" s="1190"/>
      <c r="B126" s="2131" t="s">
        <v>1576</v>
      </c>
      <c r="C126" s="2132"/>
      <c r="D126" s="2132"/>
      <c r="E126" s="2132"/>
      <c r="F126" s="2132"/>
      <c r="G126" s="2132"/>
      <c r="H126" s="2132"/>
      <c r="I126" s="2132"/>
      <c r="J126" s="2132"/>
      <c r="K126" s="2132"/>
      <c r="L126" s="2132"/>
      <c r="M126" s="2132"/>
      <c r="N126" s="2132"/>
      <c r="O126" s="2132"/>
      <c r="P126" s="2132"/>
      <c r="Q126" s="2132"/>
      <c r="R126" s="2132"/>
      <c r="S126" s="2132"/>
      <c r="T126" s="2132"/>
      <c r="U126" s="2133"/>
      <c r="V126" s="1190"/>
      <c r="W126" s="1190"/>
      <c r="X126" s="2128"/>
      <c r="Y126" s="2129"/>
      <c r="Z126" s="2129"/>
      <c r="AA126" s="2129"/>
      <c r="AB126" s="2129"/>
      <c r="AC126" s="2129"/>
      <c r="AD126" s="2129"/>
      <c r="AE126" s="2129"/>
      <c r="AF126" s="2129"/>
      <c r="AG126" s="2129"/>
      <c r="AH126" s="2129"/>
      <c r="AI126" s="2129"/>
      <c r="AJ126" s="2129"/>
      <c r="AK126" s="2129"/>
      <c r="AL126" s="2129"/>
      <c r="AM126" s="2129"/>
      <c r="AN126" s="2129"/>
      <c r="AO126" s="2129"/>
      <c r="AP126" s="2129"/>
      <c r="AQ126" s="2129"/>
      <c r="AR126" s="2129"/>
      <c r="AS126" s="2129"/>
      <c r="AT126" s="2129"/>
      <c r="AU126" s="2129"/>
      <c r="AV126" s="2129"/>
      <c r="AW126" s="2129"/>
      <c r="AX126" s="2129"/>
      <c r="AY126" s="2129"/>
      <c r="AZ126" s="2129"/>
      <c r="BA126" s="2129"/>
      <c r="BB126" s="2129"/>
      <c r="BC126" s="2129"/>
      <c r="BD126" s="2130"/>
      <c r="BE126" s="1194"/>
    </row>
    <row r="127" spans="1:57" ht="15.75" customHeight="1">
      <c r="A127" s="1190"/>
      <c r="B127" s="2041"/>
      <c r="C127" s="2042"/>
      <c r="D127" s="2042"/>
      <c r="E127" s="2042"/>
      <c r="F127" s="2042"/>
      <c r="G127" s="2042"/>
      <c r="H127" s="2042"/>
      <c r="I127" s="2104" t="s">
        <v>2361</v>
      </c>
      <c r="J127" s="2104"/>
      <c r="K127" s="2104"/>
      <c r="L127" s="2104"/>
      <c r="M127" s="2104"/>
      <c r="N127" s="2104"/>
      <c r="O127" s="2105" t="s">
        <v>2360</v>
      </c>
      <c r="P127" s="2105"/>
      <c r="Q127" s="2105"/>
      <c r="R127" s="2105"/>
      <c r="S127" s="2105"/>
      <c r="T127" s="2105"/>
      <c r="U127" s="2106"/>
      <c r="V127" s="1190"/>
      <c r="W127" s="1190"/>
      <c r="X127" s="2044" t="s">
        <v>2330</v>
      </c>
      <c r="Y127" s="2045"/>
      <c r="Z127" s="2045"/>
      <c r="AA127" s="2045"/>
      <c r="AB127" s="2045"/>
      <c r="AC127" s="2045"/>
      <c r="AD127" s="2045"/>
      <c r="AE127" s="2045"/>
      <c r="AF127" s="2045"/>
      <c r="AG127" s="2045"/>
      <c r="AH127" s="2045"/>
      <c r="AI127" s="2045"/>
      <c r="AJ127" s="2045"/>
      <c r="AK127" s="2045"/>
      <c r="AL127" s="2045"/>
      <c r="AM127" s="2045"/>
      <c r="AN127" s="2045"/>
      <c r="AO127" s="2045"/>
      <c r="AP127" s="2045"/>
      <c r="AQ127" s="2045"/>
      <c r="AR127" s="2045"/>
      <c r="AS127" s="2045"/>
      <c r="AT127" s="2045"/>
      <c r="AU127" s="2045"/>
      <c r="AV127" s="2045"/>
      <c r="AW127" s="2045"/>
      <c r="AX127" s="2045"/>
      <c r="AY127" s="2045"/>
      <c r="AZ127" s="2045"/>
      <c r="BA127" s="2045"/>
      <c r="BB127" s="2045"/>
      <c r="BC127" s="2045"/>
      <c r="BD127" s="2046"/>
      <c r="BE127" s="1194"/>
    </row>
    <row r="128" spans="1:57" ht="15.75" customHeight="1">
      <c r="A128" s="1190"/>
      <c r="B128" s="2075" t="s">
        <v>2344</v>
      </c>
      <c r="C128" s="2076"/>
      <c r="D128" s="2076"/>
      <c r="E128" s="2076"/>
      <c r="F128" s="2076"/>
      <c r="G128" s="2076"/>
      <c r="H128" s="2076"/>
      <c r="I128" s="2077">
        <v>0</v>
      </c>
      <c r="J128" s="2077"/>
      <c r="K128" s="2077"/>
      <c r="L128" s="2077"/>
      <c r="M128" s="2077"/>
      <c r="N128" s="2077"/>
      <c r="O128" s="2077">
        <v>0</v>
      </c>
      <c r="P128" s="2077"/>
      <c r="Q128" s="2077"/>
      <c r="R128" s="2077"/>
      <c r="S128" s="2077"/>
      <c r="T128" s="2077"/>
      <c r="U128" s="2078"/>
      <c r="V128" s="1190"/>
      <c r="W128" s="1190"/>
      <c r="X128" s="2044"/>
      <c r="Y128" s="2045"/>
      <c r="Z128" s="2045"/>
      <c r="AA128" s="2045"/>
      <c r="AB128" s="2045"/>
      <c r="AC128" s="2045"/>
      <c r="AD128" s="2045"/>
      <c r="AE128" s="2045"/>
      <c r="AF128" s="2045"/>
      <c r="AG128" s="2045"/>
      <c r="AH128" s="2045"/>
      <c r="AI128" s="2045"/>
      <c r="AJ128" s="2045"/>
      <c r="AK128" s="2045"/>
      <c r="AL128" s="2045"/>
      <c r="AM128" s="2045"/>
      <c r="AN128" s="2045"/>
      <c r="AO128" s="2045"/>
      <c r="AP128" s="2045"/>
      <c r="AQ128" s="2045"/>
      <c r="AR128" s="2045"/>
      <c r="AS128" s="2045"/>
      <c r="AT128" s="2045"/>
      <c r="AU128" s="2045"/>
      <c r="AV128" s="2045"/>
      <c r="AW128" s="2045"/>
      <c r="AX128" s="2045"/>
      <c r="AY128" s="2045"/>
      <c r="AZ128" s="2045"/>
      <c r="BA128" s="2045"/>
      <c r="BB128" s="2045"/>
      <c r="BC128" s="2045"/>
      <c r="BD128" s="2046"/>
      <c r="BE128" s="1194"/>
    </row>
    <row r="129" spans="1:57" ht="15.75" customHeight="1" thickBot="1">
      <c r="A129" s="1190"/>
      <c r="B129" s="2069" t="s">
        <v>2343</v>
      </c>
      <c r="C129" s="2070"/>
      <c r="D129" s="2070"/>
      <c r="E129" s="2070"/>
      <c r="F129" s="2070"/>
      <c r="G129" s="2070"/>
      <c r="H129" s="2070"/>
      <c r="I129" s="2071">
        <v>0</v>
      </c>
      <c r="J129" s="2071"/>
      <c r="K129" s="2071"/>
      <c r="L129" s="2071"/>
      <c r="M129" s="2071"/>
      <c r="N129" s="2071"/>
      <c r="O129" s="2107"/>
      <c r="P129" s="2107"/>
      <c r="Q129" s="2107"/>
      <c r="R129" s="2107"/>
      <c r="S129" s="2107"/>
      <c r="T129" s="2107"/>
      <c r="U129" s="2108"/>
      <c r="V129" s="1190"/>
      <c r="W129" s="1190"/>
      <c r="X129" s="2044"/>
      <c r="Y129" s="2045"/>
      <c r="Z129" s="2045"/>
      <c r="AA129" s="2045"/>
      <c r="AB129" s="2045"/>
      <c r="AC129" s="2045"/>
      <c r="AD129" s="2045"/>
      <c r="AE129" s="2045"/>
      <c r="AF129" s="2045"/>
      <c r="AG129" s="2045"/>
      <c r="AH129" s="2045"/>
      <c r="AI129" s="2045"/>
      <c r="AJ129" s="2045"/>
      <c r="AK129" s="2045"/>
      <c r="AL129" s="2045"/>
      <c r="AM129" s="2045"/>
      <c r="AN129" s="2045"/>
      <c r="AO129" s="2045"/>
      <c r="AP129" s="2045"/>
      <c r="AQ129" s="2045"/>
      <c r="AR129" s="2045"/>
      <c r="AS129" s="2045"/>
      <c r="AT129" s="2045"/>
      <c r="AU129" s="2045"/>
      <c r="AV129" s="2045"/>
      <c r="AW129" s="2045"/>
      <c r="AX129" s="2045"/>
      <c r="AY129" s="2045"/>
      <c r="AZ129" s="2045"/>
      <c r="BA129" s="2045"/>
      <c r="BB129" s="2045"/>
      <c r="BC129" s="2045"/>
      <c r="BD129" s="2046"/>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4"/>
      <c r="Y130" s="2045"/>
      <c r="Z130" s="2045"/>
      <c r="AA130" s="2045"/>
      <c r="AB130" s="2045"/>
      <c r="AC130" s="2045"/>
      <c r="AD130" s="2045"/>
      <c r="AE130" s="2045"/>
      <c r="AF130" s="2045"/>
      <c r="AG130" s="2045"/>
      <c r="AH130" s="2045"/>
      <c r="AI130" s="2045"/>
      <c r="AJ130" s="2045"/>
      <c r="AK130" s="2045"/>
      <c r="AL130" s="2045"/>
      <c r="AM130" s="2045"/>
      <c r="AN130" s="2045"/>
      <c r="AO130" s="2045"/>
      <c r="AP130" s="2045"/>
      <c r="AQ130" s="2045"/>
      <c r="AR130" s="2045"/>
      <c r="AS130" s="2045"/>
      <c r="AT130" s="2045"/>
      <c r="AU130" s="2045"/>
      <c r="AV130" s="2045"/>
      <c r="AW130" s="2045"/>
      <c r="AX130" s="2045"/>
      <c r="AY130" s="2045"/>
      <c r="AZ130" s="2045"/>
      <c r="BA130" s="2045"/>
      <c r="BB130" s="2045"/>
      <c r="BC130" s="2045"/>
      <c r="BD130" s="2046"/>
      <c r="BE130" s="1194"/>
    </row>
    <row r="131" spans="1:57" ht="15.75" customHeight="1" thickBot="1">
      <c r="A131" s="1190"/>
      <c r="B131" s="1209" t="s">
        <v>2359</v>
      </c>
      <c r="C131" s="1210"/>
      <c r="D131" s="1210"/>
      <c r="E131" s="1210"/>
      <c r="F131" s="1210"/>
      <c r="G131" s="1210"/>
      <c r="H131" s="1210"/>
      <c r="I131" s="1210"/>
      <c r="J131" s="1210"/>
      <c r="K131" s="1210"/>
      <c r="L131" s="1210"/>
      <c r="M131" s="1210"/>
      <c r="N131" s="1210"/>
      <c r="O131" s="1210"/>
      <c r="P131" s="1211"/>
      <c r="Q131" s="1195" t="s">
        <v>249</v>
      </c>
      <c r="R131" s="1195" t="s">
        <v>249</v>
      </c>
      <c r="S131" s="1190"/>
      <c r="T131" s="1190"/>
      <c r="U131" s="1190"/>
      <c r="V131" s="1190" t="s">
        <v>249</v>
      </c>
      <c r="W131" s="1190"/>
      <c r="X131" s="2044"/>
      <c r="Y131" s="2045"/>
      <c r="Z131" s="2045"/>
      <c r="AA131" s="2045"/>
      <c r="AB131" s="2045"/>
      <c r="AC131" s="2045"/>
      <c r="AD131" s="2045"/>
      <c r="AE131" s="2045"/>
      <c r="AF131" s="2045"/>
      <c r="AG131" s="2045"/>
      <c r="AH131" s="2045"/>
      <c r="AI131" s="2045"/>
      <c r="AJ131" s="2045"/>
      <c r="AK131" s="2045"/>
      <c r="AL131" s="2045"/>
      <c r="AM131" s="2045"/>
      <c r="AN131" s="2045"/>
      <c r="AO131" s="2045"/>
      <c r="AP131" s="2045"/>
      <c r="AQ131" s="2045"/>
      <c r="AR131" s="2045"/>
      <c r="AS131" s="2045"/>
      <c r="AT131" s="2045"/>
      <c r="AU131" s="2045"/>
      <c r="AV131" s="2045"/>
      <c r="AW131" s="2045"/>
      <c r="AX131" s="2045"/>
      <c r="AY131" s="2045"/>
      <c r="AZ131" s="2045"/>
      <c r="BA131" s="2045"/>
      <c r="BB131" s="2045"/>
      <c r="BC131" s="2045"/>
      <c r="BD131" s="2046"/>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4"/>
      <c r="Y132" s="2045"/>
      <c r="Z132" s="2045"/>
      <c r="AA132" s="2045"/>
      <c r="AB132" s="2045"/>
      <c r="AC132" s="2045"/>
      <c r="AD132" s="2045"/>
      <c r="AE132" s="2045"/>
      <c r="AF132" s="2045"/>
      <c r="AG132" s="2045"/>
      <c r="AH132" s="2045"/>
      <c r="AI132" s="2045"/>
      <c r="AJ132" s="2045"/>
      <c r="AK132" s="2045"/>
      <c r="AL132" s="2045"/>
      <c r="AM132" s="2045"/>
      <c r="AN132" s="2045"/>
      <c r="AO132" s="2045"/>
      <c r="AP132" s="2045"/>
      <c r="AQ132" s="2045"/>
      <c r="AR132" s="2045"/>
      <c r="AS132" s="2045"/>
      <c r="AT132" s="2045"/>
      <c r="AU132" s="2045"/>
      <c r="AV132" s="2045"/>
      <c r="AW132" s="2045"/>
      <c r="AX132" s="2045"/>
      <c r="AY132" s="2045"/>
      <c r="AZ132" s="2045"/>
      <c r="BA132" s="2045"/>
      <c r="BB132" s="2045"/>
      <c r="BC132" s="2045"/>
      <c r="BD132" s="2046"/>
      <c r="BE132" s="1194"/>
    </row>
    <row r="133" spans="1:57" ht="15.75" customHeight="1">
      <c r="A133" s="1190"/>
      <c r="B133" s="2101" t="s">
        <v>2358</v>
      </c>
      <c r="C133" s="2102"/>
      <c r="D133" s="2102"/>
      <c r="E133" s="2102"/>
      <c r="F133" s="2102"/>
      <c r="G133" s="2102"/>
      <c r="H133" s="2102"/>
      <c r="I133" s="2102"/>
      <c r="J133" s="2102"/>
      <c r="K133" s="2102"/>
      <c r="L133" s="2102"/>
      <c r="M133" s="2102"/>
      <c r="N133" s="2102"/>
      <c r="O133" s="2102"/>
      <c r="P133" s="2102"/>
      <c r="Q133" s="2102"/>
      <c r="R133" s="2102"/>
      <c r="S133" s="2102"/>
      <c r="T133" s="2102"/>
      <c r="U133" s="2103"/>
      <c r="V133" s="1190"/>
      <c r="W133" s="1190"/>
      <c r="X133" s="2044"/>
      <c r="Y133" s="2045"/>
      <c r="Z133" s="2045"/>
      <c r="AA133" s="2045"/>
      <c r="AB133" s="2045"/>
      <c r="AC133" s="2045"/>
      <c r="AD133" s="2045"/>
      <c r="AE133" s="2045"/>
      <c r="AF133" s="2045"/>
      <c r="AG133" s="2045"/>
      <c r="AH133" s="2045"/>
      <c r="AI133" s="2045"/>
      <c r="AJ133" s="2045"/>
      <c r="AK133" s="2045"/>
      <c r="AL133" s="2045"/>
      <c r="AM133" s="2045"/>
      <c r="AN133" s="2045"/>
      <c r="AO133" s="2045"/>
      <c r="AP133" s="2045"/>
      <c r="AQ133" s="2045"/>
      <c r="AR133" s="2045"/>
      <c r="AS133" s="2045"/>
      <c r="AT133" s="2045"/>
      <c r="AU133" s="2045"/>
      <c r="AV133" s="2045"/>
      <c r="AW133" s="2045"/>
      <c r="AX133" s="2045"/>
      <c r="AY133" s="2045"/>
      <c r="AZ133" s="2045"/>
      <c r="BA133" s="2045"/>
      <c r="BB133" s="2045"/>
      <c r="BC133" s="2045"/>
      <c r="BD133" s="2046"/>
      <c r="BE133" s="1194"/>
    </row>
    <row r="134" spans="1:57" ht="15.75" customHeight="1">
      <c r="A134" s="1190"/>
      <c r="B134" s="2041"/>
      <c r="C134" s="2042"/>
      <c r="D134" s="2042"/>
      <c r="E134" s="2042"/>
      <c r="F134" s="2042"/>
      <c r="G134" s="2042"/>
      <c r="H134" s="2042"/>
      <c r="I134" s="2079" t="s">
        <v>2346</v>
      </c>
      <c r="J134" s="2079"/>
      <c r="K134" s="2079"/>
      <c r="L134" s="2079"/>
      <c r="M134" s="2079"/>
      <c r="N134" s="2079"/>
      <c r="O134" s="2079"/>
      <c r="P134" s="2079" t="s">
        <v>2345</v>
      </c>
      <c r="Q134" s="2079"/>
      <c r="R134" s="2079"/>
      <c r="S134" s="2079"/>
      <c r="T134" s="2079"/>
      <c r="U134" s="2080"/>
      <c r="V134" s="1190"/>
      <c r="W134" s="1190"/>
      <c r="X134" s="2044"/>
      <c r="Y134" s="2045"/>
      <c r="Z134" s="2045"/>
      <c r="AA134" s="2045"/>
      <c r="AB134" s="2045"/>
      <c r="AC134" s="2045"/>
      <c r="AD134" s="2045"/>
      <c r="AE134" s="2045"/>
      <c r="AF134" s="2045"/>
      <c r="AG134" s="2045"/>
      <c r="AH134" s="2045"/>
      <c r="AI134" s="2045"/>
      <c r="AJ134" s="2045"/>
      <c r="AK134" s="2045"/>
      <c r="AL134" s="2045"/>
      <c r="AM134" s="2045"/>
      <c r="AN134" s="2045"/>
      <c r="AO134" s="2045"/>
      <c r="AP134" s="2045"/>
      <c r="AQ134" s="2045"/>
      <c r="AR134" s="2045"/>
      <c r="AS134" s="2045"/>
      <c r="AT134" s="2045"/>
      <c r="AU134" s="2045"/>
      <c r="AV134" s="2045"/>
      <c r="AW134" s="2045"/>
      <c r="AX134" s="2045"/>
      <c r="AY134" s="2045"/>
      <c r="AZ134" s="2045"/>
      <c r="BA134" s="2045"/>
      <c r="BB134" s="2045"/>
      <c r="BC134" s="2045"/>
      <c r="BD134" s="2046"/>
      <c r="BE134" s="1194"/>
    </row>
    <row r="135" spans="1:57" ht="15.75" customHeight="1">
      <c r="A135" s="1190"/>
      <c r="B135" s="2041"/>
      <c r="C135" s="2042"/>
      <c r="D135" s="2042"/>
      <c r="E135" s="2042"/>
      <c r="F135" s="2042"/>
      <c r="G135" s="2042"/>
      <c r="H135" s="2042"/>
      <c r="I135" s="2079"/>
      <c r="J135" s="2079"/>
      <c r="K135" s="2079"/>
      <c r="L135" s="2079"/>
      <c r="M135" s="2079"/>
      <c r="N135" s="2079"/>
      <c r="O135" s="2079"/>
      <c r="P135" s="2079"/>
      <c r="Q135" s="2079"/>
      <c r="R135" s="2079"/>
      <c r="S135" s="2079"/>
      <c r="T135" s="2079"/>
      <c r="U135" s="2080"/>
      <c r="V135" s="1190"/>
      <c r="W135" s="1190"/>
      <c r="X135" s="2044"/>
      <c r="Y135" s="2045"/>
      <c r="Z135" s="2045"/>
      <c r="AA135" s="2045"/>
      <c r="AB135" s="2045"/>
      <c r="AC135" s="2045"/>
      <c r="AD135" s="2045"/>
      <c r="AE135" s="2045"/>
      <c r="AF135" s="2045"/>
      <c r="AG135" s="2045"/>
      <c r="AH135" s="2045"/>
      <c r="AI135" s="2045"/>
      <c r="AJ135" s="2045"/>
      <c r="AK135" s="2045"/>
      <c r="AL135" s="2045"/>
      <c r="AM135" s="2045"/>
      <c r="AN135" s="2045"/>
      <c r="AO135" s="2045"/>
      <c r="AP135" s="2045"/>
      <c r="AQ135" s="2045"/>
      <c r="AR135" s="2045"/>
      <c r="AS135" s="2045"/>
      <c r="AT135" s="2045"/>
      <c r="AU135" s="2045"/>
      <c r="AV135" s="2045"/>
      <c r="AW135" s="2045"/>
      <c r="AX135" s="2045"/>
      <c r="AY135" s="2045"/>
      <c r="AZ135" s="2045"/>
      <c r="BA135" s="2045"/>
      <c r="BB135" s="2045"/>
      <c r="BC135" s="2045"/>
      <c r="BD135" s="2046"/>
      <c r="BE135" s="1194"/>
    </row>
    <row r="136" spans="1:57" ht="15.75" customHeight="1">
      <c r="A136" s="1190"/>
      <c r="B136" s="2075" t="s">
        <v>2344</v>
      </c>
      <c r="C136" s="2076"/>
      <c r="D136" s="2076"/>
      <c r="E136" s="2076"/>
      <c r="F136" s="2076"/>
      <c r="G136" s="2076"/>
      <c r="H136" s="2076"/>
      <c r="I136" s="2077">
        <v>0</v>
      </c>
      <c r="J136" s="2077"/>
      <c r="K136" s="2077"/>
      <c r="L136" s="2077"/>
      <c r="M136" s="2077"/>
      <c r="N136" s="2077"/>
      <c r="O136" s="2077"/>
      <c r="P136" s="2077">
        <v>0</v>
      </c>
      <c r="Q136" s="2077"/>
      <c r="R136" s="2077"/>
      <c r="S136" s="2077"/>
      <c r="T136" s="2077"/>
      <c r="U136" s="2078"/>
      <c r="V136" s="1190"/>
      <c r="W136" s="1190"/>
      <c r="X136" s="2044"/>
      <c r="Y136" s="2045"/>
      <c r="Z136" s="2045"/>
      <c r="AA136" s="2045"/>
      <c r="AB136" s="2045"/>
      <c r="AC136" s="2045"/>
      <c r="AD136" s="2045"/>
      <c r="AE136" s="2045"/>
      <c r="AF136" s="2045"/>
      <c r="AG136" s="2045"/>
      <c r="AH136" s="2045"/>
      <c r="AI136" s="2045"/>
      <c r="AJ136" s="2045"/>
      <c r="AK136" s="2045"/>
      <c r="AL136" s="2045"/>
      <c r="AM136" s="2045"/>
      <c r="AN136" s="2045"/>
      <c r="AO136" s="2045"/>
      <c r="AP136" s="2045"/>
      <c r="AQ136" s="2045"/>
      <c r="AR136" s="2045"/>
      <c r="AS136" s="2045"/>
      <c r="AT136" s="2045"/>
      <c r="AU136" s="2045"/>
      <c r="AV136" s="2045"/>
      <c r="AW136" s="2045"/>
      <c r="AX136" s="2045"/>
      <c r="AY136" s="2045"/>
      <c r="AZ136" s="2045"/>
      <c r="BA136" s="2045"/>
      <c r="BB136" s="2045"/>
      <c r="BC136" s="2045"/>
      <c r="BD136" s="2046"/>
      <c r="BE136" s="1194"/>
    </row>
    <row r="137" spans="1:57" ht="15.75" customHeight="1" thickBot="1">
      <c r="A137" s="1190"/>
      <c r="B137" s="2069" t="s">
        <v>2343</v>
      </c>
      <c r="C137" s="2070"/>
      <c r="D137" s="2070"/>
      <c r="E137" s="2070"/>
      <c r="F137" s="2070"/>
      <c r="G137" s="2070"/>
      <c r="H137" s="2070"/>
      <c r="I137" s="2071">
        <v>0</v>
      </c>
      <c r="J137" s="2071"/>
      <c r="K137" s="2071"/>
      <c r="L137" s="2071"/>
      <c r="M137" s="2071"/>
      <c r="N137" s="2071"/>
      <c r="O137" s="2071"/>
      <c r="P137" s="2071">
        <v>0</v>
      </c>
      <c r="Q137" s="2071"/>
      <c r="R137" s="2071"/>
      <c r="S137" s="2071"/>
      <c r="T137" s="2071"/>
      <c r="U137" s="2072"/>
      <c r="V137" s="1190"/>
      <c r="W137" s="1190"/>
      <c r="X137" s="2047"/>
      <c r="Y137" s="2048"/>
      <c r="Z137" s="2048"/>
      <c r="AA137" s="2048"/>
      <c r="AB137" s="2048"/>
      <c r="AC137" s="2048"/>
      <c r="AD137" s="2048"/>
      <c r="AE137" s="2048"/>
      <c r="AF137" s="2048"/>
      <c r="AG137" s="2048"/>
      <c r="AH137" s="2048"/>
      <c r="AI137" s="2048"/>
      <c r="AJ137" s="2048"/>
      <c r="AK137" s="2048"/>
      <c r="AL137" s="2048"/>
      <c r="AM137" s="2048"/>
      <c r="AN137" s="2048"/>
      <c r="AO137" s="2048"/>
      <c r="AP137" s="2048"/>
      <c r="AQ137" s="2048"/>
      <c r="AR137" s="2048"/>
      <c r="AS137" s="2048"/>
      <c r="AT137" s="2048"/>
      <c r="AU137" s="2048"/>
      <c r="AV137" s="2048"/>
      <c r="AW137" s="2048"/>
      <c r="AX137" s="2048"/>
      <c r="AY137" s="2048"/>
      <c r="AZ137" s="2048"/>
      <c r="BA137" s="2048"/>
      <c r="BB137" s="2048"/>
      <c r="BC137" s="2048"/>
      <c r="BD137" s="2049"/>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6" t="s">
        <v>2357</v>
      </c>
      <c r="C139" s="2097"/>
      <c r="D139" s="2097"/>
      <c r="E139" s="2097"/>
      <c r="F139" s="2097"/>
      <c r="G139" s="2097"/>
      <c r="H139" s="2097"/>
      <c r="I139" s="2097"/>
      <c r="J139" s="2097"/>
      <c r="K139" s="2097"/>
      <c r="L139" s="2097"/>
      <c r="M139" s="2097"/>
      <c r="N139" s="2097"/>
      <c r="O139" s="2097"/>
      <c r="P139" s="2097"/>
      <c r="Q139" s="2097"/>
      <c r="R139" s="2097"/>
      <c r="S139" s="2097"/>
      <c r="T139" s="2097"/>
      <c r="U139" s="2097"/>
      <c r="V139" s="2097"/>
      <c r="W139" s="2097"/>
      <c r="X139" s="2097"/>
      <c r="Y139" s="2097"/>
      <c r="Z139" s="2097"/>
      <c r="AA139" s="2097"/>
      <c r="AB139" s="2097"/>
      <c r="AC139" s="2097"/>
      <c r="AD139" s="2097"/>
      <c r="AE139" s="2097"/>
      <c r="AF139" s="2097"/>
      <c r="AG139" s="2097"/>
      <c r="AH139" s="2084" t="s">
        <v>545</v>
      </c>
      <c r="AI139" s="2084"/>
      <c r="AJ139" s="2084"/>
      <c r="AK139" s="2084"/>
      <c r="AL139" s="2084"/>
      <c r="AM139" s="2084"/>
      <c r="AN139" s="2084"/>
      <c r="AO139" s="2084"/>
      <c r="AP139" s="2084"/>
      <c r="AQ139" s="2084"/>
      <c r="AR139" s="2084"/>
      <c r="AS139" s="2084"/>
      <c r="AT139" s="2084"/>
      <c r="AU139" s="2084"/>
      <c r="AV139" s="2084"/>
      <c r="AW139" s="2084"/>
      <c r="AX139" s="2085"/>
      <c r="AY139" s="1190"/>
      <c r="AZ139" s="1190"/>
      <c r="BA139" s="1190"/>
      <c r="BB139" s="1190"/>
      <c r="BC139" s="1190"/>
      <c r="BD139" s="1190"/>
      <c r="BE139" s="1194"/>
    </row>
    <row r="140" spans="1:57" ht="15.75" customHeight="1" thickBot="1">
      <c r="A140" s="1190"/>
      <c r="B140" s="2081" t="s">
        <v>2356</v>
      </c>
      <c r="C140" s="2082"/>
      <c r="D140" s="2082"/>
      <c r="E140" s="2082"/>
      <c r="F140" s="2082"/>
      <c r="G140" s="2082"/>
      <c r="H140" s="2082"/>
      <c r="I140" s="2082"/>
      <c r="J140" s="2082"/>
      <c r="K140" s="2082"/>
      <c r="L140" s="2082"/>
      <c r="M140" s="2082"/>
      <c r="N140" s="2082"/>
      <c r="O140" s="2082"/>
      <c r="P140" s="2082"/>
      <c r="Q140" s="2082"/>
      <c r="R140" s="2082"/>
      <c r="S140" s="2082"/>
      <c r="T140" s="2082"/>
      <c r="U140" s="2082"/>
      <c r="V140" s="2082"/>
      <c r="W140" s="2082"/>
      <c r="X140" s="2082"/>
      <c r="Y140" s="2082"/>
      <c r="Z140" s="2082"/>
      <c r="AA140" s="2082"/>
      <c r="AB140" s="2082"/>
      <c r="AC140" s="2082"/>
      <c r="AD140" s="2082"/>
      <c r="AE140" s="2082"/>
      <c r="AF140" s="2082"/>
      <c r="AG140" s="2083"/>
      <c r="AH140" s="2098"/>
      <c r="AI140" s="2099"/>
      <c r="AJ140" s="2099"/>
      <c r="AK140" s="2099"/>
      <c r="AL140" s="2099"/>
      <c r="AM140" s="2099"/>
      <c r="AN140" s="2099"/>
      <c r="AO140" s="2099"/>
      <c r="AP140" s="2099"/>
      <c r="AQ140" s="2099"/>
      <c r="AR140" s="2099"/>
      <c r="AS140" s="2099"/>
      <c r="AT140" s="2099"/>
      <c r="AU140" s="2099"/>
      <c r="AV140" s="2099"/>
      <c r="AW140" s="2099"/>
      <c r="AX140" s="2100"/>
      <c r="AY140" s="1190"/>
      <c r="AZ140" s="1190"/>
      <c r="BA140" s="1190"/>
      <c r="BB140" s="1190"/>
      <c r="BC140" s="1190"/>
      <c r="BD140" s="1190"/>
      <c r="BE140" s="1194"/>
    </row>
    <row r="141" spans="1:57" ht="15.75" customHeight="1">
      <c r="A141" s="1190"/>
      <c r="B141" s="2081" t="s">
        <v>2355</v>
      </c>
      <c r="C141" s="2082"/>
      <c r="D141" s="2082"/>
      <c r="E141" s="2082"/>
      <c r="F141" s="2082"/>
      <c r="G141" s="2082"/>
      <c r="H141" s="2082"/>
      <c r="I141" s="2082"/>
      <c r="J141" s="2082"/>
      <c r="K141" s="2082"/>
      <c r="L141" s="2082"/>
      <c r="M141" s="2082"/>
      <c r="N141" s="2082"/>
      <c r="O141" s="2082"/>
      <c r="P141" s="2082"/>
      <c r="Q141" s="2082"/>
      <c r="R141" s="2082"/>
      <c r="S141" s="2082"/>
      <c r="T141" s="2082"/>
      <c r="U141" s="2082"/>
      <c r="V141" s="2082"/>
      <c r="W141" s="2082"/>
      <c r="X141" s="2082"/>
      <c r="Y141" s="2082"/>
      <c r="Z141" s="2082"/>
      <c r="AA141" s="2082"/>
      <c r="AB141" s="2082"/>
      <c r="AC141" s="2082"/>
      <c r="AD141" s="2082"/>
      <c r="AE141" s="2082"/>
      <c r="AF141" s="2082"/>
      <c r="AG141" s="2083"/>
      <c r="AH141" s="2084" t="s">
        <v>545</v>
      </c>
      <c r="AI141" s="2084"/>
      <c r="AJ141" s="2084"/>
      <c r="AK141" s="2084"/>
      <c r="AL141" s="2084"/>
      <c r="AM141" s="2084"/>
      <c r="AN141" s="2084"/>
      <c r="AO141" s="2084"/>
      <c r="AP141" s="2084"/>
      <c r="AQ141" s="2084"/>
      <c r="AR141" s="2084"/>
      <c r="AS141" s="2084"/>
      <c r="AT141" s="2084"/>
      <c r="AU141" s="2084"/>
      <c r="AV141" s="2084"/>
      <c r="AW141" s="2084"/>
      <c r="AX141" s="2085"/>
      <c r="AY141" s="1190"/>
      <c r="AZ141" s="1190"/>
      <c r="BA141" s="1190"/>
      <c r="BB141" s="1190"/>
      <c r="BC141" s="1190"/>
      <c r="BD141" s="1190"/>
      <c r="BE141" s="1194"/>
    </row>
    <row r="142" spans="1:57" ht="15.75" customHeight="1">
      <c r="A142" s="1190"/>
      <c r="B142" s="2086" t="s">
        <v>2354</v>
      </c>
      <c r="C142" s="2087"/>
      <c r="D142" s="2087"/>
      <c r="E142" s="2087"/>
      <c r="F142" s="2087"/>
      <c r="G142" s="2087"/>
      <c r="H142" s="2087"/>
      <c r="I142" s="2087"/>
      <c r="J142" s="2087"/>
      <c r="K142" s="2087"/>
      <c r="L142" s="2087"/>
      <c r="M142" s="2087"/>
      <c r="N142" s="2087"/>
      <c r="O142" s="2087"/>
      <c r="P142" s="2087"/>
      <c r="Q142" s="2087"/>
      <c r="R142" s="2088" t="s">
        <v>2353</v>
      </c>
      <c r="S142" s="2088"/>
      <c r="T142" s="2088"/>
      <c r="U142" s="2088"/>
      <c r="V142" s="2088"/>
      <c r="W142" s="2088"/>
      <c r="X142" s="2088"/>
      <c r="Y142" s="2088"/>
      <c r="Z142" s="2088"/>
      <c r="AA142" s="2088"/>
      <c r="AB142" s="2088"/>
      <c r="AC142" s="2088"/>
      <c r="AD142" s="2088"/>
      <c r="AE142" s="2088"/>
      <c r="AF142" s="2088"/>
      <c r="AG142" s="2088"/>
      <c r="AH142" s="2088"/>
      <c r="AI142" s="2088"/>
      <c r="AJ142" s="2088"/>
      <c r="AK142" s="2088"/>
      <c r="AL142" s="2088"/>
      <c r="AM142" s="2088"/>
      <c r="AN142" s="2088"/>
      <c r="AO142" s="2088"/>
      <c r="AP142" s="2088"/>
      <c r="AQ142" s="2088"/>
      <c r="AR142" s="2088"/>
      <c r="AS142" s="2088"/>
      <c r="AT142" s="2088"/>
      <c r="AU142" s="2088"/>
      <c r="AV142" s="2088"/>
      <c r="AW142" s="2088"/>
      <c r="AX142" s="2089"/>
      <c r="AY142" s="1190"/>
      <c r="AZ142" s="1190"/>
      <c r="BA142" s="1190"/>
      <c r="BB142" s="1190"/>
      <c r="BC142" s="1190" t="s">
        <v>249</v>
      </c>
      <c r="BD142" s="1190"/>
      <c r="BE142" s="1194"/>
    </row>
    <row r="143" spans="1:57" ht="15.75" customHeight="1">
      <c r="A143" s="1190"/>
      <c r="B143" s="2090" t="s">
        <v>2352</v>
      </c>
      <c r="C143" s="2091"/>
      <c r="D143" s="2091"/>
      <c r="E143" s="2091"/>
      <c r="F143" s="2091"/>
      <c r="G143" s="2091"/>
      <c r="H143" s="2091"/>
      <c r="I143" s="2091"/>
      <c r="J143" s="2091"/>
      <c r="K143" s="2091"/>
      <c r="L143" s="2091"/>
      <c r="M143" s="2091"/>
      <c r="N143" s="2091"/>
      <c r="O143" s="2091"/>
      <c r="P143" s="2091"/>
      <c r="Q143" s="2091"/>
      <c r="R143" s="2091"/>
      <c r="S143" s="2091"/>
      <c r="T143" s="2091"/>
      <c r="U143" s="2091"/>
      <c r="V143" s="2091"/>
      <c r="W143" s="2091"/>
      <c r="X143" s="2091"/>
      <c r="Y143" s="2091"/>
      <c r="Z143" s="2091"/>
      <c r="AA143" s="2091"/>
      <c r="AB143" s="2091"/>
      <c r="AC143" s="2091"/>
      <c r="AD143" s="2091"/>
      <c r="AE143" s="2091"/>
      <c r="AF143" s="2091"/>
      <c r="AG143" s="2091"/>
      <c r="AH143" s="2091"/>
      <c r="AI143" s="2091"/>
      <c r="AJ143" s="2091"/>
      <c r="AK143" s="2091"/>
      <c r="AL143" s="2091"/>
      <c r="AM143" s="2091"/>
      <c r="AN143" s="2091"/>
      <c r="AO143" s="2091"/>
      <c r="AP143" s="2091"/>
      <c r="AQ143" s="2091"/>
      <c r="AR143" s="2091"/>
      <c r="AS143" s="2091"/>
      <c r="AT143" s="2091"/>
      <c r="AU143" s="2091"/>
      <c r="AV143" s="2091"/>
      <c r="AW143" s="2091"/>
      <c r="AX143" s="2092"/>
      <c r="AY143" s="1190"/>
      <c r="AZ143" s="1190"/>
      <c r="BA143" s="1190"/>
      <c r="BB143" s="1190"/>
      <c r="BC143" s="1190"/>
      <c r="BD143" s="1190"/>
      <c r="BE143" s="1194"/>
    </row>
    <row r="144" spans="1:57" ht="15.75" customHeight="1">
      <c r="A144" s="1190"/>
      <c r="B144" s="2090"/>
      <c r="C144" s="2091"/>
      <c r="D144" s="2091"/>
      <c r="E144" s="2091"/>
      <c r="F144" s="2091"/>
      <c r="G144" s="2091"/>
      <c r="H144" s="2091"/>
      <c r="I144" s="2091"/>
      <c r="J144" s="2091"/>
      <c r="K144" s="2091"/>
      <c r="L144" s="2091"/>
      <c r="M144" s="2091"/>
      <c r="N144" s="2091"/>
      <c r="O144" s="2091"/>
      <c r="P144" s="2091"/>
      <c r="Q144" s="2091"/>
      <c r="R144" s="2091"/>
      <c r="S144" s="2091"/>
      <c r="T144" s="2091"/>
      <c r="U144" s="2091"/>
      <c r="V144" s="2091"/>
      <c r="W144" s="2091"/>
      <c r="X144" s="2091"/>
      <c r="Y144" s="2091"/>
      <c r="Z144" s="2091"/>
      <c r="AA144" s="2091"/>
      <c r="AB144" s="2091"/>
      <c r="AC144" s="2091"/>
      <c r="AD144" s="2091"/>
      <c r="AE144" s="2091"/>
      <c r="AF144" s="2091"/>
      <c r="AG144" s="2091"/>
      <c r="AH144" s="2091"/>
      <c r="AI144" s="2091"/>
      <c r="AJ144" s="2091"/>
      <c r="AK144" s="2091"/>
      <c r="AL144" s="2091"/>
      <c r="AM144" s="2091"/>
      <c r="AN144" s="2091"/>
      <c r="AO144" s="2091"/>
      <c r="AP144" s="2091"/>
      <c r="AQ144" s="2091"/>
      <c r="AR144" s="2091"/>
      <c r="AS144" s="2091"/>
      <c r="AT144" s="2091"/>
      <c r="AU144" s="2091"/>
      <c r="AV144" s="2091"/>
      <c r="AW144" s="2091"/>
      <c r="AX144" s="2092"/>
      <c r="AY144" s="1190"/>
      <c r="AZ144" s="1190"/>
      <c r="BA144" s="1190"/>
      <c r="BB144" s="1190"/>
      <c r="BC144" s="1190"/>
      <c r="BD144" s="1190"/>
      <c r="BE144" s="1194"/>
    </row>
    <row r="145" spans="1:57" ht="15.75" customHeight="1">
      <c r="A145" s="1190"/>
      <c r="B145" s="2090"/>
      <c r="C145" s="2091"/>
      <c r="D145" s="2091"/>
      <c r="E145" s="2091"/>
      <c r="F145" s="2091"/>
      <c r="G145" s="2091"/>
      <c r="H145" s="2091"/>
      <c r="I145" s="2091"/>
      <c r="J145" s="2091"/>
      <c r="K145" s="2091"/>
      <c r="L145" s="2091"/>
      <c r="M145" s="2091"/>
      <c r="N145" s="2091"/>
      <c r="O145" s="2091"/>
      <c r="P145" s="2091"/>
      <c r="Q145" s="2091"/>
      <c r="R145" s="2091"/>
      <c r="S145" s="2091"/>
      <c r="T145" s="2091"/>
      <c r="U145" s="2091"/>
      <c r="V145" s="2091"/>
      <c r="W145" s="2091"/>
      <c r="X145" s="2091"/>
      <c r="Y145" s="2091"/>
      <c r="Z145" s="2091"/>
      <c r="AA145" s="2091"/>
      <c r="AB145" s="2091"/>
      <c r="AC145" s="2091"/>
      <c r="AD145" s="2091"/>
      <c r="AE145" s="2091"/>
      <c r="AF145" s="2091"/>
      <c r="AG145" s="2091"/>
      <c r="AH145" s="2091"/>
      <c r="AI145" s="2091"/>
      <c r="AJ145" s="2091"/>
      <c r="AK145" s="2091"/>
      <c r="AL145" s="2091"/>
      <c r="AM145" s="2091"/>
      <c r="AN145" s="2091"/>
      <c r="AO145" s="2091"/>
      <c r="AP145" s="2091"/>
      <c r="AQ145" s="2091"/>
      <c r="AR145" s="2091"/>
      <c r="AS145" s="2091"/>
      <c r="AT145" s="2091"/>
      <c r="AU145" s="2091"/>
      <c r="AV145" s="2091"/>
      <c r="AW145" s="2091"/>
      <c r="AX145" s="2092"/>
      <c r="AY145" s="1190"/>
      <c r="AZ145" s="1190"/>
      <c r="BA145" s="1190"/>
      <c r="BB145" s="1190"/>
      <c r="BC145" s="1190"/>
      <c r="BD145" s="1190"/>
      <c r="BE145" s="1194"/>
    </row>
    <row r="146" spans="1:57" ht="15.75" customHeight="1">
      <c r="A146" s="1190"/>
      <c r="B146" s="2090"/>
      <c r="C146" s="2091"/>
      <c r="D146" s="2091"/>
      <c r="E146" s="2091"/>
      <c r="F146" s="2091"/>
      <c r="G146" s="2091"/>
      <c r="H146" s="2091"/>
      <c r="I146" s="2091"/>
      <c r="J146" s="2091"/>
      <c r="K146" s="2091"/>
      <c r="L146" s="2091"/>
      <c r="M146" s="2091"/>
      <c r="N146" s="2091"/>
      <c r="O146" s="2091"/>
      <c r="P146" s="2091"/>
      <c r="Q146" s="2091"/>
      <c r="R146" s="2091"/>
      <c r="S146" s="2091"/>
      <c r="T146" s="2091"/>
      <c r="U146" s="2091"/>
      <c r="V146" s="2091"/>
      <c r="W146" s="2091"/>
      <c r="X146" s="2091"/>
      <c r="Y146" s="2091"/>
      <c r="Z146" s="2091"/>
      <c r="AA146" s="2091"/>
      <c r="AB146" s="2091"/>
      <c r="AC146" s="2091"/>
      <c r="AD146" s="2091"/>
      <c r="AE146" s="2091"/>
      <c r="AF146" s="2091"/>
      <c r="AG146" s="2091"/>
      <c r="AH146" s="2091"/>
      <c r="AI146" s="2091"/>
      <c r="AJ146" s="2091"/>
      <c r="AK146" s="2091"/>
      <c r="AL146" s="2091"/>
      <c r="AM146" s="2091"/>
      <c r="AN146" s="2091"/>
      <c r="AO146" s="2091"/>
      <c r="AP146" s="2091"/>
      <c r="AQ146" s="2091"/>
      <c r="AR146" s="2091"/>
      <c r="AS146" s="2091"/>
      <c r="AT146" s="2091"/>
      <c r="AU146" s="2091"/>
      <c r="AV146" s="2091"/>
      <c r="AW146" s="2091"/>
      <c r="AX146" s="2092"/>
      <c r="AY146" s="1190"/>
      <c r="AZ146" s="1190"/>
      <c r="BA146" s="1190"/>
      <c r="BB146" s="1190"/>
      <c r="BC146" s="1190"/>
      <c r="BD146" s="1190"/>
      <c r="BE146" s="1194"/>
    </row>
    <row r="147" spans="1:57" ht="15.75" customHeight="1">
      <c r="A147" s="1190"/>
      <c r="B147" s="2090"/>
      <c r="C147" s="2091"/>
      <c r="D147" s="2091"/>
      <c r="E147" s="2091"/>
      <c r="F147" s="2091"/>
      <c r="G147" s="2091"/>
      <c r="H147" s="2091"/>
      <c r="I147" s="2091"/>
      <c r="J147" s="2091"/>
      <c r="K147" s="2091"/>
      <c r="L147" s="2091"/>
      <c r="M147" s="2091"/>
      <c r="N147" s="2091"/>
      <c r="O147" s="2091"/>
      <c r="P147" s="2091"/>
      <c r="Q147" s="2091"/>
      <c r="R147" s="2091"/>
      <c r="S147" s="2091"/>
      <c r="T147" s="2091"/>
      <c r="U147" s="2091"/>
      <c r="V147" s="2091"/>
      <c r="W147" s="2091"/>
      <c r="X147" s="2091"/>
      <c r="Y147" s="2091"/>
      <c r="Z147" s="2091"/>
      <c r="AA147" s="2091"/>
      <c r="AB147" s="2091"/>
      <c r="AC147" s="2091"/>
      <c r="AD147" s="2091"/>
      <c r="AE147" s="2091"/>
      <c r="AF147" s="2091"/>
      <c r="AG147" s="2091"/>
      <c r="AH147" s="2091"/>
      <c r="AI147" s="2091"/>
      <c r="AJ147" s="2091"/>
      <c r="AK147" s="2091"/>
      <c r="AL147" s="2091"/>
      <c r="AM147" s="2091"/>
      <c r="AN147" s="2091"/>
      <c r="AO147" s="2091"/>
      <c r="AP147" s="2091"/>
      <c r="AQ147" s="2091"/>
      <c r="AR147" s="2091"/>
      <c r="AS147" s="2091"/>
      <c r="AT147" s="2091"/>
      <c r="AU147" s="2091"/>
      <c r="AV147" s="2091"/>
      <c r="AW147" s="2091"/>
      <c r="AX147" s="2092"/>
      <c r="AY147" s="1190"/>
      <c r="AZ147" s="1190"/>
      <c r="BA147" s="1190"/>
      <c r="BB147" s="1190"/>
      <c r="BC147" s="1190"/>
      <c r="BD147" s="1190"/>
      <c r="BE147" s="1194"/>
    </row>
    <row r="148" spans="1:57" ht="15.75" customHeight="1">
      <c r="A148" s="1190"/>
      <c r="B148" s="2090"/>
      <c r="C148" s="2091"/>
      <c r="D148" s="2091"/>
      <c r="E148" s="2091"/>
      <c r="F148" s="2091"/>
      <c r="G148" s="2091"/>
      <c r="H148" s="2091"/>
      <c r="I148" s="2091"/>
      <c r="J148" s="2091"/>
      <c r="K148" s="2091"/>
      <c r="L148" s="2091"/>
      <c r="M148" s="2091"/>
      <c r="N148" s="2091"/>
      <c r="O148" s="2091"/>
      <c r="P148" s="2091"/>
      <c r="Q148" s="2091"/>
      <c r="R148" s="2091"/>
      <c r="S148" s="2091"/>
      <c r="T148" s="2091"/>
      <c r="U148" s="2091"/>
      <c r="V148" s="2091"/>
      <c r="W148" s="2091"/>
      <c r="X148" s="2091"/>
      <c r="Y148" s="2091"/>
      <c r="Z148" s="2091"/>
      <c r="AA148" s="2091"/>
      <c r="AB148" s="2091"/>
      <c r="AC148" s="2091"/>
      <c r="AD148" s="2091"/>
      <c r="AE148" s="2091"/>
      <c r="AF148" s="2091"/>
      <c r="AG148" s="2091"/>
      <c r="AH148" s="2091"/>
      <c r="AI148" s="2091"/>
      <c r="AJ148" s="2091"/>
      <c r="AK148" s="2091"/>
      <c r="AL148" s="2091"/>
      <c r="AM148" s="2091"/>
      <c r="AN148" s="2091"/>
      <c r="AO148" s="2091"/>
      <c r="AP148" s="2091"/>
      <c r="AQ148" s="2091"/>
      <c r="AR148" s="2091"/>
      <c r="AS148" s="2091"/>
      <c r="AT148" s="2091"/>
      <c r="AU148" s="2091"/>
      <c r="AV148" s="2091"/>
      <c r="AW148" s="2091"/>
      <c r="AX148" s="2092"/>
      <c r="AY148" s="1190"/>
      <c r="AZ148" s="1190"/>
      <c r="BA148" s="1190"/>
      <c r="BB148" s="1190"/>
      <c r="BC148" s="1190"/>
      <c r="BD148" s="1190"/>
      <c r="BE148" s="1194"/>
    </row>
    <row r="149" spans="1:57" ht="15.75" customHeight="1">
      <c r="A149" s="1190"/>
      <c r="B149" s="2090"/>
      <c r="C149" s="2091"/>
      <c r="D149" s="2091"/>
      <c r="E149" s="2091"/>
      <c r="F149" s="2091"/>
      <c r="G149" s="2091"/>
      <c r="H149" s="2091"/>
      <c r="I149" s="2091"/>
      <c r="J149" s="2091"/>
      <c r="K149" s="2091"/>
      <c r="L149" s="2091"/>
      <c r="M149" s="2091"/>
      <c r="N149" s="2091"/>
      <c r="O149" s="2091"/>
      <c r="P149" s="2091"/>
      <c r="Q149" s="2091"/>
      <c r="R149" s="2091"/>
      <c r="S149" s="2091"/>
      <c r="T149" s="2091"/>
      <c r="U149" s="2091"/>
      <c r="V149" s="2091"/>
      <c r="W149" s="2091"/>
      <c r="X149" s="2091"/>
      <c r="Y149" s="2091"/>
      <c r="Z149" s="2091"/>
      <c r="AA149" s="2091"/>
      <c r="AB149" s="2091"/>
      <c r="AC149" s="2091"/>
      <c r="AD149" s="2091"/>
      <c r="AE149" s="2091"/>
      <c r="AF149" s="2091"/>
      <c r="AG149" s="2091"/>
      <c r="AH149" s="2091"/>
      <c r="AI149" s="2091"/>
      <c r="AJ149" s="2091"/>
      <c r="AK149" s="2091"/>
      <c r="AL149" s="2091"/>
      <c r="AM149" s="2091"/>
      <c r="AN149" s="2091"/>
      <c r="AO149" s="2091"/>
      <c r="AP149" s="2091"/>
      <c r="AQ149" s="2091"/>
      <c r="AR149" s="2091"/>
      <c r="AS149" s="2091"/>
      <c r="AT149" s="2091"/>
      <c r="AU149" s="2091"/>
      <c r="AV149" s="2091"/>
      <c r="AW149" s="2091"/>
      <c r="AX149" s="2092"/>
      <c r="AY149" s="1190"/>
      <c r="AZ149" s="1190"/>
      <c r="BA149" s="1190"/>
      <c r="BB149" s="1190"/>
      <c r="BC149" s="1190"/>
      <c r="BD149" s="1190"/>
      <c r="BE149" s="1194"/>
    </row>
    <row r="150" spans="1:57" ht="15.75" customHeight="1">
      <c r="A150" s="1190"/>
      <c r="B150" s="2090"/>
      <c r="C150" s="2091"/>
      <c r="D150" s="2091"/>
      <c r="E150" s="2091"/>
      <c r="F150" s="2091"/>
      <c r="G150" s="2091"/>
      <c r="H150" s="2091"/>
      <c r="I150" s="2091"/>
      <c r="J150" s="2091"/>
      <c r="K150" s="2091"/>
      <c r="L150" s="2091"/>
      <c r="M150" s="2091"/>
      <c r="N150" s="2091"/>
      <c r="O150" s="2091"/>
      <c r="P150" s="2091"/>
      <c r="Q150" s="2091"/>
      <c r="R150" s="2091"/>
      <c r="S150" s="2091"/>
      <c r="T150" s="2091"/>
      <c r="U150" s="2091"/>
      <c r="V150" s="2091"/>
      <c r="W150" s="2091"/>
      <c r="X150" s="2091"/>
      <c r="Y150" s="2091"/>
      <c r="Z150" s="2091"/>
      <c r="AA150" s="2091"/>
      <c r="AB150" s="2091"/>
      <c r="AC150" s="2091"/>
      <c r="AD150" s="2091"/>
      <c r="AE150" s="2091"/>
      <c r="AF150" s="2091"/>
      <c r="AG150" s="2091"/>
      <c r="AH150" s="2091"/>
      <c r="AI150" s="2091"/>
      <c r="AJ150" s="2091"/>
      <c r="AK150" s="2091"/>
      <c r="AL150" s="2091"/>
      <c r="AM150" s="2091"/>
      <c r="AN150" s="2091"/>
      <c r="AO150" s="2091"/>
      <c r="AP150" s="2091"/>
      <c r="AQ150" s="2091"/>
      <c r="AR150" s="2091"/>
      <c r="AS150" s="2091"/>
      <c r="AT150" s="2091"/>
      <c r="AU150" s="2091"/>
      <c r="AV150" s="2091"/>
      <c r="AW150" s="2091"/>
      <c r="AX150" s="2092"/>
      <c r="AY150" s="1190"/>
      <c r="AZ150" s="1190"/>
      <c r="BA150" s="1190"/>
      <c r="BB150" s="1190"/>
      <c r="BC150" s="1190"/>
      <c r="BD150" s="1190"/>
      <c r="BE150" s="1194"/>
    </row>
    <row r="151" spans="1:57" ht="15.75" customHeight="1">
      <c r="A151" s="1190"/>
      <c r="B151" s="2090"/>
      <c r="C151" s="2091"/>
      <c r="D151" s="2091"/>
      <c r="E151" s="2091"/>
      <c r="F151" s="2091"/>
      <c r="G151" s="2091"/>
      <c r="H151" s="2091"/>
      <c r="I151" s="2091"/>
      <c r="J151" s="2091"/>
      <c r="K151" s="2091"/>
      <c r="L151" s="2091"/>
      <c r="M151" s="2091"/>
      <c r="N151" s="2091"/>
      <c r="O151" s="2091"/>
      <c r="P151" s="2091"/>
      <c r="Q151" s="2091"/>
      <c r="R151" s="2091"/>
      <c r="S151" s="2091"/>
      <c r="T151" s="2091"/>
      <c r="U151" s="2091"/>
      <c r="V151" s="2091"/>
      <c r="W151" s="2091"/>
      <c r="X151" s="2091"/>
      <c r="Y151" s="2091"/>
      <c r="Z151" s="2091"/>
      <c r="AA151" s="2091"/>
      <c r="AB151" s="2091"/>
      <c r="AC151" s="2091"/>
      <c r="AD151" s="2091"/>
      <c r="AE151" s="2091"/>
      <c r="AF151" s="2091"/>
      <c r="AG151" s="2091"/>
      <c r="AH151" s="2091"/>
      <c r="AI151" s="2091"/>
      <c r="AJ151" s="2091"/>
      <c r="AK151" s="2091"/>
      <c r="AL151" s="2091"/>
      <c r="AM151" s="2091"/>
      <c r="AN151" s="2091"/>
      <c r="AO151" s="2091"/>
      <c r="AP151" s="2091"/>
      <c r="AQ151" s="2091"/>
      <c r="AR151" s="2091"/>
      <c r="AS151" s="2091"/>
      <c r="AT151" s="2091"/>
      <c r="AU151" s="2091"/>
      <c r="AV151" s="2091"/>
      <c r="AW151" s="2091"/>
      <c r="AX151" s="2092"/>
      <c r="AY151" s="1190"/>
      <c r="AZ151" s="1190"/>
      <c r="BA151" s="1190"/>
      <c r="BB151" s="1190"/>
      <c r="BC151" s="1190"/>
      <c r="BD151" s="1190"/>
      <c r="BE151" s="1194"/>
    </row>
    <row r="152" spans="1:57" ht="15.75" customHeight="1" thickBot="1">
      <c r="A152" s="1190"/>
      <c r="B152" s="2093"/>
      <c r="C152" s="2094"/>
      <c r="D152" s="2094"/>
      <c r="E152" s="2094"/>
      <c r="F152" s="2094"/>
      <c r="G152" s="2094"/>
      <c r="H152" s="2094"/>
      <c r="I152" s="2094"/>
      <c r="J152" s="2094"/>
      <c r="K152" s="2094"/>
      <c r="L152" s="2094"/>
      <c r="M152" s="2094"/>
      <c r="N152" s="2094"/>
      <c r="O152" s="2094"/>
      <c r="P152" s="2094"/>
      <c r="Q152" s="2094"/>
      <c r="R152" s="2094"/>
      <c r="S152" s="2094"/>
      <c r="T152" s="2094"/>
      <c r="U152" s="2094"/>
      <c r="V152" s="2094"/>
      <c r="W152" s="2094"/>
      <c r="X152" s="2094"/>
      <c r="Y152" s="2094"/>
      <c r="Z152" s="2094"/>
      <c r="AA152" s="2094"/>
      <c r="AB152" s="2094"/>
      <c r="AC152" s="2094"/>
      <c r="AD152" s="2094"/>
      <c r="AE152" s="2094"/>
      <c r="AF152" s="2094"/>
      <c r="AG152" s="2094"/>
      <c r="AH152" s="2094"/>
      <c r="AI152" s="2094"/>
      <c r="AJ152" s="2094"/>
      <c r="AK152" s="2094"/>
      <c r="AL152" s="2094"/>
      <c r="AM152" s="2094"/>
      <c r="AN152" s="2094"/>
      <c r="AO152" s="2094"/>
      <c r="AP152" s="2094"/>
      <c r="AQ152" s="2094"/>
      <c r="AR152" s="2094"/>
      <c r="AS152" s="2094"/>
      <c r="AT152" s="2094"/>
      <c r="AU152" s="2094"/>
      <c r="AV152" s="2094"/>
      <c r="AW152" s="2094"/>
      <c r="AX152" s="2095"/>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2351</v>
      </c>
      <c r="C154" s="1210"/>
      <c r="D154" s="1210"/>
      <c r="E154" s="1210"/>
      <c r="F154" s="1210"/>
      <c r="G154" s="1210"/>
      <c r="H154" s="1210"/>
      <c r="I154" s="1210"/>
      <c r="J154" s="1210"/>
      <c r="K154" s="1210"/>
      <c r="L154" s="1210"/>
      <c r="M154" s="1211"/>
      <c r="N154" s="1195"/>
      <c r="O154" s="1195"/>
      <c r="P154" s="1190"/>
      <c r="Q154" s="1190"/>
      <c r="R154" s="1190"/>
      <c r="S154" s="1190"/>
      <c r="T154" s="1190"/>
      <c r="U154" s="1190" t="s">
        <v>249</v>
      </c>
      <c r="V154" s="1190"/>
      <c r="W154" s="1190"/>
      <c r="X154" s="1209" t="s">
        <v>2350</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73" t="s">
        <v>2349</v>
      </c>
      <c r="C156" s="2029"/>
      <c r="D156" s="2029"/>
      <c r="E156" s="2029"/>
      <c r="F156" s="2029"/>
      <c r="G156" s="2029"/>
      <c r="H156" s="2029"/>
      <c r="I156" s="2029"/>
      <c r="J156" s="2029"/>
      <c r="K156" s="2029"/>
      <c r="L156" s="2029"/>
      <c r="M156" s="2029"/>
      <c r="N156" s="2029"/>
      <c r="O156" s="2029"/>
      <c r="P156" s="2029"/>
      <c r="Q156" s="2029"/>
      <c r="R156" s="2029"/>
      <c r="S156" s="2029"/>
      <c r="T156" s="2029"/>
      <c r="U156" s="2030"/>
      <c r="V156" s="1190"/>
      <c r="W156" s="1192"/>
      <c r="X156" s="2073" t="s">
        <v>2348</v>
      </c>
      <c r="Y156" s="2029"/>
      <c r="Z156" s="2029"/>
      <c r="AA156" s="2029"/>
      <c r="AB156" s="2029"/>
      <c r="AC156" s="2029"/>
      <c r="AD156" s="2029"/>
      <c r="AE156" s="2029"/>
      <c r="AF156" s="2029"/>
      <c r="AG156" s="2029"/>
      <c r="AH156" s="2029"/>
      <c r="AI156" s="2029"/>
      <c r="AJ156" s="2029"/>
      <c r="AK156" s="2029"/>
      <c r="AL156" s="2029"/>
      <c r="AM156" s="2029"/>
      <c r="AN156" s="2029"/>
      <c r="AO156" s="2029"/>
      <c r="AP156" s="2029"/>
      <c r="AQ156" s="2030"/>
      <c r="AR156" s="1190"/>
      <c r="AS156" s="1190"/>
      <c r="AT156" s="1190"/>
      <c r="AU156" s="1190"/>
      <c r="AV156" s="1190"/>
      <c r="AW156" s="1190"/>
      <c r="AX156" s="1190"/>
      <c r="AY156" s="1190"/>
      <c r="AZ156" s="1190"/>
      <c r="BA156" s="1190"/>
      <c r="BB156" s="1190"/>
      <c r="BC156" s="1190"/>
      <c r="BD156" s="1190"/>
      <c r="BE156" s="1194"/>
    </row>
    <row r="157" spans="1:57" ht="15.75" customHeight="1">
      <c r="A157" s="1190"/>
      <c r="B157" s="2041"/>
      <c r="C157" s="2042"/>
      <c r="D157" s="2042"/>
      <c r="E157" s="2042"/>
      <c r="F157" s="2042"/>
      <c r="G157" s="2042"/>
      <c r="H157" s="2042"/>
      <c r="I157" s="2079" t="s">
        <v>2346</v>
      </c>
      <c r="J157" s="2079"/>
      <c r="K157" s="2079"/>
      <c r="L157" s="2079"/>
      <c r="M157" s="2079"/>
      <c r="N157" s="2079"/>
      <c r="O157" s="2079"/>
      <c r="P157" s="2079" t="s">
        <v>2347</v>
      </c>
      <c r="Q157" s="2079"/>
      <c r="R157" s="2079"/>
      <c r="S157" s="2079"/>
      <c r="T157" s="2079"/>
      <c r="U157" s="2080"/>
      <c r="V157" s="1190"/>
      <c r="W157" s="1190"/>
      <c r="X157" s="2041"/>
      <c r="Y157" s="2042"/>
      <c r="Z157" s="2042"/>
      <c r="AA157" s="2042"/>
      <c r="AB157" s="2042"/>
      <c r="AC157" s="2042"/>
      <c r="AD157" s="2042"/>
      <c r="AE157" s="2079" t="s">
        <v>2346</v>
      </c>
      <c r="AF157" s="2079"/>
      <c r="AG157" s="2079"/>
      <c r="AH157" s="2079"/>
      <c r="AI157" s="2079"/>
      <c r="AJ157" s="2079"/>
      <c r="AK157" s="2079"/>
      <c r="AL157" s="2079" t="s">
        <v>2345</v>
      </c>
      <c r="AM157" s="2079"/>
      <c r="AN157" s="2079"/>
      <c r="AO157" s="2079"/>
      <c r="AP157" s="2079"/>
      <c r="AQ157" s="2080"/>
      <c r="AR157" s="1190"/>
      <c r="AS157" s="1190"/>
      <c r="AT157" s="1190"/>
      <c r="AU157" s="1190"/>
      <c r="AV157" s="1190"/>
      <c r="AW157" s="1190"/>
      <c r="AX157" s="1190"/>
      <c r="AY157" s="1190"/>
      <c r="AZ157" s="1190"/>
      <c r="BA157" s="1190"/>
      <c r="BB157" s="1190"/>
      <c r="BC157" s="1190"/>
      <c r="BD157" s="1190"/>
      <c r="BE157" s="1194"/>
    </row>
    <row r="158" spans="1:57" ht="15.75" customHeight="1">
      <c r="A158" s="1190"/>
      <c r="B158" s="2041"/>
      <c r="C158" s="2042"/>
      <c r="D158" s="2042"/>
      <c r="E158" s="2042"/>
      <c r="F158" s="2042"/>
      <c r="G158" s="2042"/>
      <c r="H158" s="2042"/>
      <c r="I158" s="2079"/>
      <c r="J158" s="2079"/>
      <c r="K158" s="2079"/>
      <c r="L158" s="2079"/>
      <c r="M158" s="2079"/>
      <c r="N158" s="2079"/>
      <c r="O158" s="2079"/>
      <c r="P158" s="2079"/>
      <c r="Q158" s="2079"/>
      <c r="R158" s="2079"/>
      <c r="S158" s="2079"/>
      <c r="T158" s="2079"/>
      <c r="U158" s="2080"/>
      <c r="V158" s="1190"/>
      <c r="W158" s="1190"/>
      <c r="X158" s="2041"/>
      <c r="Y158" s="2042"/>
      <c r="Z158" s="2042"/>
      <c r="AA158" s="2042"/>
      <c r="AB158" s="2042"/>
      <c r="AC158" s="2042"/>
      <c r="AD158" s="2042"/>
      <c r="AE158" s="2079"/>
      <c r="AF158" s="2079"/>
      <c r="AG158" s="2079"/>
      <c r="AH158" s="2079"/>
      <c r="AI158" s="2079"/>
      <c r="AJ158" s="2079"/>
      <c r="AK158" s="2079"/>
      <c r="AL158" s="2079"/>
      <c r="AM158" s="2079"/>
      <c r="AN158" s="2079"/>
      <c r="AO158" s="2079"/>
      <c r="AP158" s="2079"/>
      <c r="AQ158" s="2080"/>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5" t="s">
        <v>2344</v>
      </c>
      <c r="C159" s="2076"/>
      <c r="D159" s="2076"/>
      <c r="E159" s="2076"/>
      <c r="F159" s="2076"/>
      <c r="G159" s="2076"/>
      <c r="H159" s="2076"/>
      <c r="I159" s="2077">
        <v>0</v>
      </c>
      <c r="J159" s="2077"/>
      <c r="K159" s="2077"/>
      <c r="L159" s="2077"/>
      <c r="M159" s="2077"/>
      <c r="N159" s="2077"/>
      <c r="O159" s="2077"/>
      <c r="P159" s="2077">
        <v>0</v>
      </c>
      <c r="Q159" s="2077"/>
      <c r="R159" s="2077"/>
      <c r="S159" s="2077"/>
      <c r="T159" s="2077"/>
      <c r="U159" s="2078"/>
      <c r="V159" s="1190"/>
      <c r="W159" s="1190"/>
      <c r="X159" s="2069" t="s">
        <v>2344</v>
      </c>
      <c r="Y159" s="2070"/>
      <c r="Z159" s="2070"/>
      <c r="AA159" s="2070"/>
      <c r="AB159" s="2070"/>
      <c r="AC159" s="2070"/>
      <c r="AD159" s="2070"/>
      <c r="AE159" s="2071">
        <v>0</v>
      </c>
      <c r="AF159" s="2071"/>
      <c r="AG159" s="2071"/>
      <c r="AH159" s="2071"/>
      <c r="AI159" s="2071"/>
      <c r="AJ159" s="2071"/>
      <c r="AK159" s="2071"/>
      <c r="AL159" s="2071">
        <v>0</v>
      </c>
      <c r="AM159" s="2071"/>
      <c r="AN159" s="2071"/>
      <c r="AO159" s="2071"/>
      <c r="AP159" s="2071"/>
      <c r="AQ159" s="2072"/>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9" t="s">
        <v>2343</v>
      </c>
      <c r="C160" s="2070"/>
      <c r="D160" s="2070"/>
      <c r="E160" s="2070"/>
      <c r="F160" s="2070"/>
      <c r="G160" s="2070"/>
      <c r="H160" s="2070"/>
      <c r="I160" s="2071">
        <v>0</v>
      </c>
      <c r="J160" s="2071"/>
      <c r="K160" s="2071"/>
      <c r="L160" s="2071"/>
      <c r="M160" s="2071"/>
      <c r="N160" s="2071"/>
      <c r="O160" s="2071"/>
      <c r="P160" s="2071">
        <v>0</v>
      </c>
      <c r="Q160" s="2071"/>
      <c r="R160" s="2071"/>
      <c r="S160" s="2071"/>
      <c r="T160" s="2071"/>
      <c r="U160" s="2072"/>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73" t="s">
        <v>2342</v>
      </c>
      <c r="D162" s="2029"/>
      <c r="E162" s="2029"/>
      <c r="F162" s="2029"/>
      <c r="G162" s="2029"/>
      <c r="H162" s="2029"/>
      <c r="I162" s="2029"/>
      <c r="J162" s="2029"/>
      <c r="K162" s="2029"/>
      <c r="L162" s="2029"/>
      <c r="M162" s="2029"/>
      <c r="N162" s="2029"/>
      <c r="O162" s="2029"/>
      <c r="P162" s="2029"/>
      <c r="Q162" s="2029"/>
      <c r="R162" s="2029"/>
      <c r="S162" s="2029"/>
      <c r="T162" s="2029"/>
      <c r="U162" s="2029"/>
      <c r="V162" s="2029"/>
      <c r="W162" s="2029"/>
      <c r="X162" s="2029"/>
      <c r="Y162" s="2029"/>
      <c r="Z162" s="2029"/>
      <c r="AA162" s="2029"/>
      <c r="AB162" s="2029"/>
      <c r="AC162" s="2029"/>
      <c r="AD162" s="2029"/>
      <c r="AE162" s="2029"/>
      <c r="AF162" s="2029"/>
      <c r="AG162" s="2030"/>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41" t="s">
        <v>2327</v>
      </c>
      <c r="D163" s="2042"/>
      <c r="E163" s="2042"/>
      <c r="F163" s="2042"/>
      <c r="G163" s="2042"/>
      <c r="H163" s="2042"/>
      <c r="I163" s="2042"/>
      <c r="J163" s="2042"/>
      <c r="K163" s="2042"/>
      <c r="L163" s="2042"/>
      <c r="M163" s="2042"/>
      <c r="N163" s="2042"/>
      <c r="O163" s="2042"/>
      <c r="P163" s="2042"/>
      <c r="Q163" s="2042" t="s">
        <v>2341</v>
      </c>
      <c r="R163" s="2042"/>
      <c r="S163" s="2042"/>
      <c r="T163" s="2074" t="s">
        <v>2340</v>
      </c>
      <c r="U163" s="2074"/>
      <c r="V163" s="2074"/>
      <c r="W163" s="2074"/>
      <c r="X163" s="2074"/>
      <c r="Y163" s="2074"/>
      <c r="Z163" s="2074"/>
      <c r="AA163" s="2074"/>
      <c r="AB163" s="2042" t="s">
        <v>2339</v>
      </c>
      <c r="AC163" s="2042"/>
      <c r="AD163" s="2042"/>
      <c r="AE163" s="2042"/>
      <c r="AF163" s="2042"/>
      <c r="AG163" s="2043"/>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6" t="s">
        <v>2338</v>
      </c>
      <c r="D164" s="2057"/>
      <c r="E164" s="2057"/>
      <c r="F164" s="2057"/>
      <c r="G164" s="2057"/>
      <c r="H164" s="2057"/>
      <c r="I164" s="2057"/>
      <c r="J164" s="2057"/>
      <c r="K164" s="2057"/>
      <c r="L164" s="2057"/>
      <c r="M164" s="2057"/>
      <c r="N164" s="2057"/>
      <c r="O164" s="2057"/>
      <c r="P164" s="2057"/>
      <c r="Q164" s="1999">
        <v>55</v>
      </c>
      <c r="R164" s="1999"/>
      <c r="S164" s="1999"/>
      <c r="T164" s="2050"/>
      <c r="U164" s="2050"/>
      <c r="V164" s="2050"/>
      <c r="W164" s="2050"/>
      <c r="X164" s="2050"/>
      <c r="Y164" s="2050"/>
      <c r="Z164" s="2050"/>
      <c r="AA164" s="2050"/>
      <c r="AB164" s="1226"/>
      <c r="AC164" s="1226"/>
      <c r="AD164" s="1226"/>
      <c r="AE164" s="1226"/>
      <c r="AF164" s="1226"/>
      <c r="AG164" s="1227"/>
      <c r="AH164" s="1190"/>
      <c r="AI164" s="1190"/>
      <c r="AJ164" s="1190"/>
      <c r="AK164" s="1190"/>
      <c r="AL164" s="1190"/>
      <c r="AM164" s="1190"/>
      <c r="AN164" s="1190"/>
      <c r="AO164" s="1190"/>
      <c r="AP164" s="1190" t="s">
        <v>249</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6" t="s">
        <v>2337</v>
      </c>
      <c r="D165" s="2057"/>
      <c r="E165" s="2057"/>
      <c r="F165" s="2057"/>
      <c r="G165" s="2057"/>
      <c r="H165" s="2057"/>
      <c r="I165" s="2057"/>
      <c r="J165" s="2057"/>
      <c r="K165" s="2057"/>
      <c r="L165" s="2057"/>
      <c r="M165" s="2057"/>
      <c r="N165" s="2057"/>
      <c r="O165" s="2057"/>
      <c r="P165" s="2057"/>
      <c r="Q165" s="1999">
        <v>55</v>
      </c>
      <c r="R165" s="1999"/>
      <c r="S165" s="1999"/>
      <c r="T165" s="2059"/>
      <c r="U165" s="2059"/>
      <c r="V165" s="2059"/>
      <c r="W165" s="2059"/>
      <c r="X165" s="2059"/>
      <c r="Y165" s="2059"/>
      <c r="Z165" s="2059"/>
      <c r="AA165" s="2059"/>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6" t="s">
        <v>2336</v>
      </c>
      <c r="D166" s="2057"/>
      <c r="E166" s="2057"/>
      <c r="F166" s="2057"/>
      <c r="G166" s="2057"/>
      <c r="H166" s="2057"/>
      <c r="I166" s="2057"/>
      <c r="J166" s="2057"/>
      <c r="K166" s="2057"/>
      <c r="L166" s="2057"/>
      <c r="M166" s="2057"/>
      <c r="N166" s="2057"/>
      <c r="O166" s="2057"/>
      <c r="P166" s="2057"/>
      <c r="Q166" s="1999">
        <v>55</v>
      </c>
      <c r="R166" s="1999"/>
      <c r="S166" s="1999"/>
      <c r="T166" s="2050"/>
      <c r="U166" s="2050"/>
      <c r="V166" s="2050"/>
      <c r="W166" s="2050"/>
      <c r="X166" s="2050"/>
      <c r="Y166" s="2050"/>
      <c r="Z166" s="2050"/>
      <c r="AA166" s="2050"/>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6" t="s">
        <v>2335</v>
      </c>
      <c r="D167" s="2057"/>
      <c r="E167" s="2057"/>
      <c r="F167" s="2057"/>
      <c r="G167" s="2057"/>
      <c r="H167" s="2057"/>
      <c r="I167" s="2057"/>
      <c r="J167" s="2057"/>
      <c r="K167" s="2057"/>
      <c r="L167" s="2057"/>
      <c r="M167" s="2057"/>
      <c r="N167" s="2057"/>
      <c r="O167" s="2057"/>
      <c r="P167" s="2057"/>
      <c r="Q167" s="1999">
        <v>55</v>
      </c>
      <c r="R167" s="1999"/>
      <c r="S167" s="1999"/>
      <c r="T167" s="2050"/>
      <c r="U167" s="2050"/>
      <c r="V167" s="2050"/>
      <c r="W167" s="2050"/>
      <c r="X167" s="2050"/>
      <c r="Y167" s="2050"/>
      <c r="Z167" s="2050"/>
      <c r="AA167" s="2050"/>
      <c r="AB167" s="2060">
        <v>0</v>
      </c>
      <c r="AC167" s="2060"/>
      <c r="AD167" s="2060"/>
      <c r="AE167" s="2060"/>
      <c r="AF167" s="2060"/>
      <c r="AG167" s="2061"/>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6" t="s">
        <v>169</v>
      </c>
      <c r="D168" s="2057"/>
      <c r="E168" s="2057"/>
      <c r="F168" s="2058" t="s">
        <v>2316</v>
      </c>
      <c r="G168" s="2058"/>
      <c r="H168" s="2058"/>
      <c r="I168" s="2058"/>
      <c r="J168" s="2058"/>
      <c r="K168" s="2058"/>
      <c r="L168" s="2058"/>
      <c r="M168" s="2058"/>
      <c r="N168" s="2058"/>
      <c r="O168" s="2058"/>
      <c r="P168" s="2058"/>
      <c r="Q168" s="1999">
        <v>55</v>
      </c>
      <c r="R168" s="1999"/>
      <c r="S168" s="1999"/>
      <c r="T168" s="2059"/>
      <c r="U168" s="2059"/>
      <c r="V168" s="2059"/>
      <c r="W168" s="2059"/>
      <c r="X168" s="2059"/>
      <c r="Y168" s="2059"/>
      <c r="Z168" s="2059"/>
      <c r="AA168" s="2059"/>
      <c r="AB168" s="2060">
        <v>0</v>
      </c>
      <c r="AC168" s="2060"/>
      <c r="AD168" s="2060"/>
      <c r="AE168" s="2060"/>
      <c r="AF168" s="2060"/>
      <c r="AG168" s="2061"/>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6" t="s">
        <v>169</v>
      </c>
      <c r="D169" s="2057"/>
      <c r="E169" s="2057"/>
      <c r="F169" s="2058" t="s">
        <v>2316</v>
      </c>
      <c r="G169" s="2058"/>
      <c r="H169" s="2058"/>
      <c r="I169" s="2058"/>
      <c r="J169" s="2058"/>
      <c r="K169" s="2058"/>
      <c r="L169" s="2058"/>
      <c r="M169" s="2058"/>
      <c r="N169" s="2058"/>
      <c r="O169" s="2058"/>
      <c r="P169" s="2058"/>
      <c r="Q169" s="1999">
        <v>55</v>
      </c>
      <c r="R169" s="1999"/>
      <c r="S169" s="1999"/>
      <c r="T169" s="2059"/>
      <c r="U169" s="2059"/>
      <c r="V169" s="2059"/>
      <c r="W169" s="2059"/>
      <c r="X169" s="2059"/>
      <c r="Y169" s="2059"/>
      <c r="Z169" s="2059"/>
      <c r="AA169" s="2059"/>
      <c r="AB169" s="2060">
        <v>0</v>
      </c>
      <c r="AC169" s="2060"/>
      <c r="AD169" s="2060"/>
      <c r="AE169" s="2060"/>
      <c r="AF169" s="2060"/>
      <c r="AG169" s="2061"/>
      <c r="AH169" s="1190"/>
      <c r="AI169" s="1190"/>
      <c r="AJ169" s="1190"/>
      <c r="AK169" s="1190" t="s">
        <v>249</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62" t="s">
        <v>169</v>
      </c>
      <c r="D170" s="2063"/>
      <c r="E170" s="2063"/>
      <c r="F170" s="2064" t="s">
        <v>2316</v>
      </c>
      <c r="G170" s="2064"/>
      <c r="H170" s="2064"/>
      <c r="I170" s="2064"/>
      <c r="J170" s="2064"/>
      <c r="K170" s="2064"/>
      <c r="L170" s="2064"/>
      <c r="M170" s="2064"/>
      <c r="N170" s="2064"/>
      <c r="O170" s="2064"/>
      <c r="P170" s="2064"/>
      <c r="Q170" s="2065">
        <v>55</v>
      </c>
      <c r="R170" s="2065"/>
      <c r="S170" s="2065"/>
      <c r="T170" s="2066"/>
      <c r="U170" s="2066"/>
      <c r="V170" s="2066"/>
      <c r="W170" s="2066"/>
      <c r="X170" s="2066"/>
      <c r="Y170" s="2066"/>
      <c r="Z170" s="2066"/>
      <c r="AA170" s="2066"/>
      <c r="AB170" s="2067">
        <v>0</v>
      </c>
      <c r="AC170" s="2067"/>
      <c r="AD170" s="2067"/>
      <c r="AE170" s="2067"/>
      <c r="AF170" s="2067"/>
      <c r="AG170" s="2068"/>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7" t="s">
        <v>2334</v>
      </c>
      <c r="D172" s="2028"/>
      <c r="E172" s="2028"/>
      <c r="F172" s="2028"/>
      <c r="G172" s="2028"/>
      <c r="H172" s="2028"/>
      <c r="I172" s="2028"/>
      <c r="J172" s="2028"/>
      <c r="K172" s="2028"/>
      <c r="L172" s="2028"/>
      <c r="M172" s="2028"/>
      <c r="N172" s="2037"/>
      <c r="O172" s="1190"/>
      <c r="P172" s="2038" t="s">
        <v>2333</v>
      </c>
      <c r="Q172" s="2039"/>
      <c r="R172" s="2039"/>
      <c r="S172" s="2039"/>
      <c r="T172" s="2039"/>
      <c r="U172" s="2039"/>
      <c r="V172" s="2039"/>
      <c r="W172" s="2039"/>
      <c r="X172" s="2039"/>
      <c r="Y172" s="2039"/>
      <c r="Z172" s="2039"/>
      <c r="AA172" s="2039"/>
      <c r="AB172" s="2039"/>
      <c r="AC172" s="2039"/>
      <c r="AD172" s="2039"/>
      <c r="AE172" s="2039"/>
      <c r="AF172" s="2039"/>
      <c r="AG172" s="2039"/>
      <c r="AH172" s="2039"/>
      <c r="AI172" s="2039"/>
      <c r="AJ172" s="2039"/>
      <c r="AK172" s="2039"/>
      <c r="AL172" s="2039"/>
      <c r="AM172" s="2039"/>
      <c r="AN172" s="2039"/>
      <c r="AO172" s="2040"/>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41" t="s">
        <v>2332</v>
      </c>
      <c r="D173" s="2042"/>
      <c r="E173" s="2042"/>
      <c r="F173" s="2042"/>
      <c r="G173" s="2042"/>
      <c r="H173" s="2042"/>
      <c r="I173" s="2042" t="s">
        <v>2331</v>
      </c>
      <c r="J173" s="2042"/>
      <c r="K173" s="2042"/>
      <c r="L173" s="2042"/>
      <c r="M173" s="2042"/>
      <c r="N173" s="2043"/>
      <c r="O173" s="1190"/>
      <c r="P173" s="2044" t="s">
        <v>2330</v>
      </c>
      <c r="Q173" s="2045"/>
      <c r="R173" s="2045"/>
      <c r="S173" s="2045"/>
      <c r="T173" s="2045"/>
      <c r="U173" s="2045"/>
      <c r="V173" s="2045"/>
      <c r="W173" s="2045"/>
      <c r="X173" s="2045"/>
      <c r="Y173" s="2045"/>
      <c r="Z173" s="2045"/>
      <c r="AA173" s="2045"/>
      <c r="AB173" s="2045"/>
      <c r="AC173" s="2045"/>
      <c r="AD173" s="2045"/>
      <c r="AE173" s="2045"/>
      <c r="AF173" s="2045"/>
      <c r="AG173" s="2045"/>
      <c r="AH173" s="2045"/>
      <c r="AI173" s="2045"/>
      <c r="AJ173" s="2045"/>
      <c r="AK173" s="2045"/>
      <c r="AL173" s="2045"/>
      <c r="AM173" s="2045"/>
      <c r="AN173" s="2045"/>
      <c r="AO173" s="2046"/>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9"/>
      <c r="D174" s="1990"/>
      <c r="E174" s="1990"/>
      <c r="F174" s="1990"/>
      <c r="G174" s="1990"/>
      <c r="H174" s="1990"/>
      <c r="I174" s="2050"/>
      <c r="J174" s="2050"/>
      <c r="K174" s="2050"/>
      <c r="L174" s="2050"/>
      <c r="M174" s="2050"/>
      <c r="N174" s="2051"/>
      <c r="O174" s="1190"/>
      <c r="P174" s="2044"/>
      <c r="Q174" s="2045"/>
      <c r="R174" s="2045"/>
      <c r="S174" s="2045"/>
      <c r="T174" s="2045"/>
      <c r="U174" s="2045"/>
      <c r="V174" s="2045"/>
      <c r="W174" s="2045"/>
      <c r="X174" s="2045"/>
      <c r="Y174" s="2045"/>
      <c r="Z174" s="2045"/>
      <c r="AA174" s="2045"/>
      <c r="AB174" s="2045"/>
      <c r="AC174" s="2045"/>
      <c r="AD174" s="2045"/>
      <c r="AE174" s="2045"/>
      <c r="AF174" s="2045"/>
      <c r="AG174" s="2045"/>
      <c r="AH174" s="2045"/>
      <c r="AI174" s="2045"/>
      <c r="AJ174" s="2045"/>
      <c r="AK174" s="2045"/>
      <c r="AL174" s="2045"/>
      <c r="AM174" s="2045"/>
      <c r="AN174" s="2045"/>
      <c r="AO174" s="2046"/>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9"/>
      <c r="D175" s="1990"/>
      <c r="E175" s="1990"/>
      <c r="F175" s="1990"/>
      <c r="G175" s="1990"/>
      <c r="H175" s="1990"/>
      <c r="I175" s="2050"/>
      <c r="J175" s="2050"/>
      <c r="K175" s="2050"/>
      <c r="L175" s="2050"/>
      <c r="M175" s="2050"/>
      <c r="N175" s="2051"/>
      <c r="O175" s="1190"/>
      <c r="P175" s="2044"/>
      <c r="Q175" s="2045"/>
      <c r="R175" s="2045"/>
      <c r="S175" s="2045"/>
      <c r="T175" s="2045"/>
      <c r="U175" s="2045"/>
      <c r="V175" s="2045"/>
      <c r="W175" s="2045"/>
      <c r="X175" s="2045"/>
      <c r="Y175" s="2045"/>
      <c r="Z175" s="2045"/>
      <c r="AA175" s="2045"/>
      <c r="AB175" s="2045"/>
      <c r="AC175" s="2045"/>
      <c r="AD175" s="2045"/>
      <c r="AE175" s="2045"/>
      <c r="AF175" s="2045"/>
      <c r="AG175" s="2045"/>
      <c r="AH175" s="2045"/>
      <c r="AI175" s="2045"/>
      <c r="AJ175" s="2045"/>
      <c r="AK175" s="2045"/>
      <c r="AL175" s="2045"/>
      <c r="AM175" s="2045"/>
      <c r="AN175" s="2045"/>
      <c r="AO175" s="2046"/>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9"/>
      <c r="D176" s="1990"/>
      <c r="E176" s="1990"/>
      <c r="F176" s="1990"/>
      <c r="G176" s="1990"/>
      <c r="H176" s="1990"/>
      <c r="I176" s="2050"/>
      <c r="J176" s="2050"/>
      <c r="K176" s="2050"/>
      <c r="L176" s="2050"/>
      <c r="M176" s="2050"/>
      <c r="N176" s="2051"/>
      <c r="O176" s="1190"/>
      <c r="P176" s="2044"/>
      <c r="Q176" s="2045"/>
      <c r="R176" s="2045"/>
      <c r="S176" s="2045"/>
      <c r="T176" s="2045"/>
      <c r="U176" s="2045"/>
      <c r="V176" s="2045"/>
      <c r="W176" s="2045"/>
      <c r="X176" s="2045"/>
      <c r="Y176" s="2045"/>
      <c r="Z176" s="2045"/>
      <c r="AA176" s="2045"/>
      <c r="AB176" s="2045"/>
      <c r="AC176" s="2045"/>
      <c r="AD176" s="2045"/>
      <c r="AE176" s="2045"/>
      <c r="AF176" s="2045"/>
      <c r="AG176" s="2045"/>
      <c r="AH176" s="2045"/>
      <c r="AI176" s="2045"/>
      <c r="AJ176" s="2045"/>
      <c r="AK176" s="2045"/>
      <c r="AL176" s="2045"/>
      <c r="AM176" s="2045"/>
      <c r="AN176" s="2045"/>
      <c r="AO176" s="2046"/>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9"/>
      <c r="D177" s="1990"/>
      <c r="E177" s="1990"/>
      <c r="F177" s="1990"/>
      <c r="G177" s="1990"/>
      <c r="H177" s="1990"/>
      <c r="I177" s="2050"/>
      <c r="J177" s="2050"/>
      <c r="K177" s="2050"/>
      <c r="L177" s="2050"/>
      <c r="M177" s="2050"/>
      <c r="N177" s="2051"/>
      <c r="O177" s="1190"/>
      <c r="P177" s="2044"/>
      <c r="Q177" s="2045"/>
      <c r="R177" s="2045"/>
      <c r="S177" s="2045"/>
      <c r="T177" s="2045"/>
      <c r="U177" s="2045"/>
      <c r="V177" s="2045"/>
      <c r="W177" s="2045"/>
      <c r="X177" s="2045"/>
      <c r="Y177" s="2045"/>
      <c r="Z177" s="2045"/>
      <c r="AA177" s="2045"/>
      <c r="AB177" s="2045"/>
      <c r="AC177" s="2045"/>
      <c r="AD177" s="2045"/>
      <c r="AE177" s="2045"/>
      <c r="AF177" s="2045"/>
      <c r="AG177" s="2045"/>
      <c r="AH177" s="2045"/>
      <c r="AI177" s="2045"/>
      <c r="AJ177" s="2045"/>
      <c r="AK177" s="2045"/>
      <c r="AL177" s="2045"/>
      <c r="AM177" s="2045"/>
      <c r="AN177" s="2045"/>
      <c r="AO177" s="2046"/>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9"/>
      <c r="D178" s="1990"/>
      <c r="E178" s="1990"/>
      <c r="F178" s="1990"/>
      <c r="G178" s="1990"/>
      <c r="H178" s="1990"/>
      <c r="I178" s="2050"/>
      <c r="J178" s="2050"/>
      <c r="K178" s="2050"/>
      <c r="L178" s="2050"/>
      <c r="M178" s="2050"/>
      <c r="N178" s="2051"/>
      <c r="O178" s="1190"/>
      <c r="P178" s="2044"/>
      <c r="Q178" s="2045"/>
      <c r="R178" s="2045"/>
      <c r="S178" s="2045"/>
      <c r="T178" s="2045"/>
      <c r="U178" s="2045"/>
      <c r="V178" s="2045"/>
      <c r="W178" s="2045"/>
      <c r="X178" s="2045"/>
      <c r="Y178" s="2045"/>
      <c r="Z178" s="2045"/>
      <c r="AA178" s="2045"/>
      <c r="AB178" s="2045"/>
      <c r="AC178" s="2045"/>
      <c r="AD178" s="2045"/>
      <c r="AE178" s="2045"/>
      <c r="AF178" s="2045"/>
      <c r="AG178" s="2045"/>
      <c r="AH178" s="2045"/>
      <c r="AI178" s="2045"/>
      <c r="AJ178" s="2045"/>
      <c r="AK178" s="2045"/>
      <c r="AL178" s="2045"/>
      <c r="AM178" s="2045"/>
      <c r="AN178" s="2045"/>
      <c r="AO178" s="2046"/>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9"/>
      <c r="D179" s="1990"/>
      <c r="E179" s="1990"/>
      <c r="F179" s="1990"/>
      <c r="G179" s="1990"/>
      <c r="H179" s="1990"/>
      <c r="I179" s="2050"/>
      <c r="J179" s="2050"/>
      <c r="K179" s="2050"/>
      <c r="L179" s="2050"/>
      <c r="M179" s="2050"/>
      <c r="N179" s="2051"/>
      <c r="O179" s="1190"/>
      <c r="P179" s="2044"/>
      <c r="Q179" s="2045"/>
      <c r="R179" s="2045"/>
      <c r="S179" s="2045"/>
      <c r="T179" s="2045"/>
      <c r="U179" s="2045"/>
      <c r="V179" s="2045"/>
      <c r="W179" s="2045"/>
      <c r="X179" s="2045"/>
      <c r="Y179" s="2045"/>
      <c r="Z179" s="2045"/>
      <c r="AA179" s="2045"/>
      <c r="AB179" s="2045"/>
      <c r="AC179" s="2045"/>
      <c r="AD179" s="2045"/>
      <c r="AE179" s="2045"/>
      <c r="AF179" s="2045"/>
      <c r="AG179" s="2045"/>
      <c r="AH179" s="2045"/>
      <c r="AI179" s="2045"/>
      <c r="AJ179" s="2045"/>
      <c r="AK179" s="2045"/>
      <c r="AL179" s="2045"/>
      <c r="AM179" s="2045"/>
      <c r="AN179" s="2045"/>
      <c r="AO179" s="2046"/>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52"/>
      <c r="D180" s="2053"/>
      <c r="E180" s="2053"/>
      <c r="F180" s="2053"/>
      <c r="G180" s="2053"/>
      <c r="H180" s="2053"/>
      <c r="I180" s="2054"/>
      <c r="J180" s="2054"/>
      <c r="K180" s="2054"/>
      <c r="L180" s="2054"/>
      <c r="M180" s="2054"/>
      <c r="N180" s="2055"/>
      <c r="O180" s="1190"/>
      <c r="P180" s="2047"/>
      <c r="Q180" s="2048"/>
      <c r="R180" s="2048"/>
      <c r="S180" s="2048"/>
      <c r="T180" s="2048"/>
      <c r="U180" s="2048"/>
      <c r="V180" s="2048"/>
      <c r="W180" s="2048"/>
      <c r="X180" s="2048"/>
      <c r="Y180" s="2048"/>
      <c r="Z180" s="2048"/>
      <c r="AA180" s="2048"/>
      <c r="AB180" s="2048"/>
      <c r="AC180" s="2048"/>
      <c r="AD180" s="2048"/>
      <c r="AE180" s="2048"/>
      <c r="AF180" s="2048"/>
      <c r="AG180" s="2048"/>
      <c r="AH180" s="2048"/>
      <c r="AI180" s="2048"/>
      <c r="AJ180" s="2048"/>
      <c r="AK180" s="2048"/>
      <c r="AL180" s="2048"/>
      <c r="AM180" s="2048"/>
      <c r="AN180" s="2048"/>
      <c r="AO180" s="2049"/>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8" t="s">
        <v>2329</v>
      </c>
      <c r="D182" s="2019"/>
      <c r="E182" s="2019"/>
      <c r="F182" s="2019"/>
      <c r="G182" s="2019"/>
      <c r="H182" s="2019"/>
      <c r="I182" s="2019"/>
      <c r="J182" s="2019"/>
      <c r="K182" s="2019"/>
      <c r="L182" s="2019"/>
      <c r="M182" s="2019"/>
      <c r="N182" s="2019"/>
      <c r="O182" s="2019"/>
      <c r="P182" s="2019"/>
      <c r="Q182" s="2019"/>
      <c r="R182" s="2019"/>
      <c r="S182" s="2019"/>
      <c r="T182" s="2019"/>
      <c r="U182" s="2019"/>
      <c r="V182" s="2019"/>
      <c r="W182" s="2019"/>
      <c r="X182" s="2019"/>
      <c r="Y182" s="2019"/>
      <c r="Z182" s="2019"/>
      <c r="AA182" s="2019"/>
      <c r="AB182" s="2019"/>
      <c r="AC182" s="2019"/>
      <c r="AD182" s="2019"/>
      <c r="AE182" s="2020"/>
      <c r="AF182" s="1190"/>
      <c r="AG182" s="1190"/>
      <c r="AH182" s="1903"/>
      <c r="AI182" s="1903"/>
      <c r="AJ182" s="1903"/>
      <c r="AK182" s="1903"/>
      <c r="AL182" s="1903"/>
      <c r="AM182" s="1903"/>
      <c r="AN182" s="1903"/>
      <c r="AO182" s="1903"/>
      <c r="AP182" s="1903"/>
      <c r="AQ182" s="1903"/>
      <c r="AR182" s="1903"/>
      <c r="AS182" s="1903"/>
      <c r="AT182" s="1903"/>
      <c r="AU182" s="1903"/>
      <c r="AV182" s="1903"/>
      <c r="AW182" s="1903"/>
      <c r="AX182" s="1903"/>
      <c r="AY182" s="1903"/>
      <c r="AZ182" s="1903"/>
      <c r="BA182" s="1903"/>
      <c r="BB182" s="1903"/>
      <c r="BC182" s="1903"/>
      <c r="BD182" s="1903"/>
      <c r="BE182" s="1903"/>
    </row>
    <row r="183" spans="1:57" ht="15.75" customHeight="1" thickBot="1">
      <c r="A183" s="1190"/>
      <c r="B183" s="1190"/>
      <c r="C183" s="2021"/>
      <c r="D183" s="2022"/>
      <c r="E183" s="2022"/>
      <c r="F183" s="2022"/>
      <c r="G183" s="2022"/>
      <c r="H183" s="2022"/>
      <c r="I183" s="2022"/>
      <c r="J183" s="2022"/>
      <c r="K183" s="2022"/>
      <c r="L183" s="2022"/>
      <c r="M183" s="2022"/>
      <c r="N183" s="2022"/>
      <c r="O183" s="2022"/>
      <c r="P183" s="2022"/>
      <c r="Q183" s="2022"/>
      <c r="R183" s="2022"/>
      <c r="S183" s="2022"/>
      <c r="T183" s="2022"/>
      <c r="U183" s="2022"/>
      <c r="V183" s="2022"/>
      <c r="W183" s="2022"/>
      <c r="X183" s="2022"/>
      <c r="Y183" s="2022"/>
      <c r="Z183" s="2022"/>
      <c r="AA183" s="2022"/>
      <c r="AB183" s="2022"/>
      <c r="AC183" s="2022"/>
      <c r="AD183" s="2022"/>
      <c r="AE183" s="2023"/>
      <c r="AF183" s="1190"/>
      <c r="AG183" s="1190"/>
      <c r="AH183" s="1903"/>
      <c r="AI183" s="1903"/>
      <c r="AJ183" s="1903"/>
      <c r="AK183" s="1903"/>
      <c r="AL183" s="1903"/>
      <c r="AM183" s="1903"/>
      <c r="AN183" s="1903"/>
      <c r="AO183" s="1903"/>
      <c r="AP183" s="1903"/>
      <c r="AQ183" s="1903"/>
      <c r="AR183" s="1903"/>
      <c r="AS183" s="1903"/>
      <c r="AT183" s="1903"/>
      <c r="AU183" s="1903"/>
      <c r="AV183" s="1903"/>
      <c r="AW183" s="1903"/>
      <c r="AX183" s="1903"/>
      <c r="AY183" s="1903"/>
      <c r="AZ183" s="1903"/>
      <c r="BA183" s="1903"/>
      <c r="BB183" s="1903"/>
      <c r="BC183" s="1903"/>
      <c r="BD183" s="1903"/>
      <c r="BE183" s="1903"/>
    </row>
    <row r="184" spans="1:57" ht="15.75" customHeight="1">
      <c r="A184" s="1190"/>
      <c r="B184" s="1190"/>
      <c r="C184" s="2027" t="s">
        <v>2327</v>
      </c>
      <c r="D184" s="2028"/>
      <c r="E184" s="2028"/>
      <c r="F184" s="2028"/>
      <c r="G184" s="2028"/>
      <c r="H184" s="2028"/>
      <c r="I184" s="2028"/>
      <c r="J184" s="2028"/>
      <c r="K184" s="2028"/>
      <c r="L184" s="2028"/>
      <c r="M184" s="2028"/>
      <c r="N184" s="2028" t="s">
        <v>2328</v>
      </c>
      <c r="O184" s="2028"/>
      <c r="P184" s="2028"/>
      <c r="Q184" s="2028"/>
      <c r="R184" s="2028"/>
      <c r="S184" s="2028"/>
      <c r="T184" s="2028"/>
      <c r="U184" s="2029" t="s">
        <v>2327</v>
      </c>
      <c r="V184" s="2029"/>
      <c r="W184" s="2029"/>
      <c r="X184" s="2029"/>
      <c r="Y184" s="2029"/>
      <c r="Z184" s="2029"/>
      <c r="AA184" s="2029"/>
      <c r="AB184" s="2029"/>
      <c r="AC184" s="2029"/>
      <c r="AD184" s="2029"/>
      <c r="AE184" s="2030"/>
      <c r="AF184" s="1190"/>
      <c r="AG184" s="1190"/>
      <c r="AH184" s="1903"/>
      <c r="AI184" s="1903"/>
      <c r="AJ184" s="1903"/>
      <c r="AK184" s="1903"/>
      <c r="AL184" s="1903"/>
      <c r="AM184" s="1903"/>
      <c r="AN184" s="1903"/>
      <c r="AO184" s="1903"/>
      <c r="AP184" s="1903"/>
      <c r="AQ184" s="1903"/>
      <c r="AR184" s="1903"/>
      <c r="AS184" s="1903"/>
      <c r="AT184" s="1903"/>
      <c r="AU184" s="1903"/>
      <c r="AV184" s="1903"/>
      <c r="AW184" s="1903"/>
      <c r="AX184" s="1903"/>
      <c r="AY184" s="1903"/>
      <c r="AZ184" s="1903"/>
      <c r="BA184" s="1903"/>
      <c r="BB184" s="1903"/>
      <c r="BC184" s="1903"/>
      <c r="BD184" s="1903"/>
      <c r="BE184" s="1903"/>
    </row>
    <row r="185" spans="1:57" ht="15.75" customHeight="1">
      <c r="A185" s="1190"/>
      <c r="B185" s="1190"/>
      <c r="C185" s="2006" t="s">
        <v>2326</v>
      </c>
      <c r="D185" s="2007"/>
      <c r="E185" s="2007"/>
      <c r="F185" s="2007"/>
      <c r="G185" s="2007"/>
      <c r="H185" s="2007"/>
      <c r="I185" s="2007"/>
      <c r="J185" s="2007"/>
      <c r="K185" s="2007"/>
      <c r="L185" s="2007"/>
      <c r="M185" s="2007"/>
      <c r="N185" s="2017">
        <f>'Sources and Uses Budget'!B105</f>
        <v>40811619</v>
      </c>
      <c r="O185" s="2017"/>
      <c r="P185" s="2017"/>
      <c r="Q185" s="2017"/>
      <c r="R185" s="2017"/>
      <c r="S185" s="2017"/>
      <c r="T185" s="2017"/>
      <c r="U185" s="2031"/>
      <c r="V185" s="2031"/>
      <c r="W185" s="2031"/>
      <c r="X185" s="2031"/>
      <c r="Y185" s="2031"/>
      <c r="Z185" s="2031"/>
      <c r="AA185" s="2031"/>
      <c r="AB185" s="2031"/>
      <c r="AC185" s="2031"/>
      <c r="AD185" s="2031"/>
      <c r="AE185" s="2032"/>
      <c r="AF185" s="1190"/>
      <c r="AG185" s="1190"/>
      <c r="AH185" s="1903"/>
      <c r="AI185" s="1903"/>
      <c r="AJ185" s="1903"/>
      <c r="AK185" s="1903"/>
      <c r="AL185" s="1903"/>
      <c r="AM185" s="1903"/>
      <c r="AN185" s="1903"/>
      <c r="AO185" s="1903"/>
      <c r="AP185" s="1903"/>
      <c r="AQ185" s="1903"/>
      <c r="AR185" s="1903"/>
      <c r="AS185" s="1903"/>
      <c r="AT185" s="1903"/>
      <c r="AU185" s="1903"/>
      <c r="AV185" s="1903"/>
      <c r="AW185" s="1903"/>
      <c r="AX185" s="1903"/>
      <c r="AY185" s="1903"/>
      <c r="AZ185" s="1903"/>
      <c r="BA185" s="1903"/>
      <c r="BB185" s="1903"/>
      <c r="BC185" s="1903"/>
      <c r="BD185" s="1903"/>
      <c r="BE185" s="1903"/>
    </row>
    <row r="186" spans="1:57" ht="15.75" customHeight="1">
      <c r="A186" s="1190"/>
      <c r="B186" s="1190"/>
      <c r="C186" s="2006" t="s">
        <v>2325</v>
      </c>
      <c r="D186" s="2007"/>
      <c r="E186" s="2007"/>
      <c r="F186" s="2007"/>
      <c r="G186" s="2007"/>
      <c r="H186" s="2007"/>
      <c r="I186" s="2007"/>
      <c r="J186" s="2007"/>
      <c r="K186" s="2007"/>
      <c r="L186" s="2007"/>
      <c r="M186" s="2007"/>
      <c r="N186" s="2017">
        <f>N185/J29</f>
        <v>995405.3414634146</v>
      </c>
      <c r="O186" s="2017"/>
      <c r="P186" s="2017"/>
      <c r="Q186" s="2017"/>
      <c r="R186" s="2017"/>
      <c r="S186" s="2017"/>
      <c r="T186" s="2017"/>
      <c r="U186" s="1228"/>
      <c r="V186" s="1228"/>
      <c r="W186" s="1228"/>
      <c r="X186" s="1228"/>
      <c r="Y186" s="1228"/>
      <c r="Z186" s="1228"/>
      <c r="AA186" s="1228"/>
      <c r="AB186" s="1228"/>
      <c r="AC186" s="1228"/>
      <c r="AD186" s="1228"/>
      <c r="AE186" s="1229"/>
      <c r="AF186" s="1190"/>
      <c r="AG186" s="1190"/>
      <c r="AH186" s="1903"/>
      <c r="AI186" s="1903"/>
      <c r="AJ186" s="1903"/>
      <c r="AK186" s="1903"/>
      <c r="AL186" s="1903"/>
      <c r="AM186" s="1903"/>
      <c r="AN186" s="1903"/>
      <c r="AO186" s="1903"/>
      <c r="AP186" s="1903"/>
      <c r="AQ186" s="1903"/>
      <c r="AR186" s="1903"/>
      <c r="AS186" s="1903"/>
      <c r="AT186" s="1903"/>
      <c r="AU186" s="1903"/>
      <c r="AV186" s="1903"/>
      <c r="AW186" s="1903"/>
      <c r="AX186" s="1903"/>
      <c r="AY186" s="1903"/>
      <c r="AZ186" s="1903"/>
      <c r="BA186" s="1903"/>
      <c r="BB186" s="1903"/>
      <c r="BC186" s="1903"/>
      <c r="BD186" s="1903"/>
      <c r="BE186" s="1903"/>
    </row>
    <row r="187" spans="1:57" ht="15.75" customHeight="1">
      <c r="A187" s="1190"/>
      <c r="B187" s="1190"/>
      <c r="C187" s="2033" t="s">
        <v>2324</v>
      </c>
      <c r="D187" s="2034"/>
      <c r="E187" s="2034"/>
      <c r="F187" s="2034"/>
      <c r="G187" s="2034"/>
      <c r="H187" s="2034"/>
      <c r="I187" s="2034"/>
      <c r="J187" s="2034"/>
      <c r="K187" s="2034"/>
      <c r="L187" s="2034"/>
      <c r="M187" s="2034"/>
      <c r="N187" s="2035">
        <v>0</v>
      </c>
      <c r="O187" s="2035"/>
      <c r="P187" s="2035"/>
      <c r="Q187" s="2035"/>
      <c r="R187" s="2035"/>
      <c r="S187" s="2035"/>
      <c r="T187" s="2035"/>
      <c r="U187" s="1993"/>
      <c r="V187" s="1993"/>
      <c r="W187" s="1993"/>
      <c r="X187" s="1993"/>
      <c r="Y187" s="1993"/>
      <c r="Z187" s="1993"/>
      <c r="AA187" s="1993"/>
      <c r="AB187" s="1993"/>
      <c r="AC187" s="1993"/>
      <c r="AD187" s="1993"/>
      <c r="AE187" s="1994"/>
      <c r="AF187" s="1190"/>
      <c r="AG187" s="1190"/>
      <c r="AH187" s="1903"/>
      <c r="AI187" s="1903"/>
      <c r="AJ187" s="1903"/>
      <c r="AK187" s="1903"/>
      <c r="AL187" s="1903"/>
      <c r="AM187" s="1903"/>
      <c r="AN187" s="1903"/>
      <c r="AO187" s="1903"/>
      <c r="AP187" s="1903"/>
      <c r="AQ187" s="1903"/>
      <c r="AR187" s="1903"/>
      <c r="AS187" s="1903"/>
      <c r="AT187" s="1903"/>
      <c r="AU187" s="1903"/>
      <c r="AV187" s="1903"/>
      <c r="AW187" s="1903"/>
      <c r="AX187" s="1903"/>
      <c r="AY187" s="1903"/>
      <c r="AZ187" s="1903"/>
      <c r="BA187" s="1903"/>
      <c r="BB187" s="1903"/>
      <c r="BC187" s="1903"/>
      <c r="BD187" s="1903"/>
      <c r="BE187" s="1903"/>
    </row>
    <row r="188" spans="1:57" ht="15.75" customHeight="1" thickBot="1">
      <c r="A188" s="1190"/>
      <c r="B188" s="1190"/>
      <c r="C188" s="2006" t="s">
        <v>2323</v>
      </c>
      <c r="D188" s="2007"/>
      <c r="E188" s="2007"/>
      <c r="F188" s="2007"/>
      <c r="G188" s="2007"/>
      <c r="H188" s="2007"/>
      <c r="I188" s="2007"/>
      <c r="J188" s="2007"/>
      <c r="K188" s="2007"/>
      <c r="L188" s="2007"/>
      <c r="M188" s="2007"/>
      <c r="N188" s="2036">
        <f>SUM('Sources and Uses Budget'!B85:B86)</f>
        <v>1349243</v>
      </c>
      <c r="O188" s="2036"/>
      <c r="P188" s="2036"/>
      <c r="Q188" s="2036"/>
      <c r="R188" s="2036"/>
      <c r="S188" s="2036"/>
      <c r="T188" s="2036"/>
      <c r="U188" s="1993"/>
      <c r="V188" s="1993"/>
      <c r="W188" s="1993"/>
      <c r="X188" s="1993"/>
      <c r="Y188" s="1993"/>
      <c r="Z188" s="1993"/>
      <c r="AA188" s="1993"/>
      <c r="AB188" s="1993"/>
      <c r="AC188" s="1993"/>
      <c r="AD188" s="1993"/>
      <c r="AE188" s="1994"/>
      <c r="AF188" s="1190"/>
      <c r="AG188" s="1190"/>
      <c r="AH188" s="1903"/>
      <c r="AI188" s="1903"/>
      <c r="AJ188" s="1903"/>
      <c r="AK188" s="1903"/>
      <c r="AL188" s="1903"/>
      <c r="AM188" s="1903"/>
      <c r="AN188" s="1903"/>
      <c r="AO188" s="1903"/>
      <c r="AP188" s="1903"/>
      <c r="AQ188" s="1903"/>
      <c r="AR188" s="1903"/>
      <c r="AS188" s="1903"/>
      <c r="AT188" s="1903"/>
      <c r="AU188" s="1903"/>
      <c r="AV188" s="1903"/>
      <c r="AW188" s="1903"/>
      <c r="AX188" s="1903"/>
      <c r="AY188" s="1903"/>
      <c r="AZ188" s="1903"/>
      <c r="BA188" s="1903"/>
      <c r="BB188" s="1903"/>
      <c r="BC188" s="1903"/>
      <c r="BD188" s="1903"/>
      <c r="BE188" s="1903"/>
    </row>
    <row r="189" spans="1:57" ht="15.75" customHeight="1" thickBot="1">
      <c r="A189" s="1190"/>
      <c r="B189" s="1190"/>
      <c r="C189" s="2006" t="s">
        <v>2322</v>
      </c>
      <c r="D189" s="2007"/>
      <c r="E189" s="2007"/>
      <c r="F189" s="2007"/>
      <c r="G189" s="2007"/>
      <c r="H189" s="2007"/>
      <c r="I189" s="2007"/>
      <c r="J189" s="2007"/>
      <c r="K189" s="2007"/>
      <c r="L189" s="2007"/>
      <c r="M189" s="2007"/>
      <c r="N189" s="2036">
        <f>'Sources and Uses Budget'!B8</f>
        <v>1663953</v>
      </c>
      <c r="O189" s="2036"/>
      <c r="P189" s="2036"/>
      <c r="Q189" s="2036"/>
      <c r="R189" s="2036"/>
      <c r="S189" s="2036"/>
      <c r="T189" s="2036"/>
      <c r="U189" s="1993"/>
      <c r="V189" s="1993"/>
      <c r="W189" s="1993"/>
      <c r="X189" s="1993"/>
      <c r="Y189" s="1993"/>
      <c r="Z189" s="1993"/>
      <c r="AA189" s="1993"/>
      <c r="AB189" s="1993"/>
      <c r="AC189" s="1993"/>
      <c r="AD189" s="1993"/>
      <c r="AE189" s="1994"/>
      <c r="AF189" s="1190"/>
      <c r="AG189" s="1190"/>
      <c r="AH189" s="2003" t="s">
        <v>2320</v>
      </c>
      <c r="AI189" s="2004"/>
      <c r="AJ189" s="2004"/>
      <c r="AK189" s="2004"/>
      <c r="AL189" s="2004"/>
      <c r="AM189" s="2004"/>
      <c r="AN189" s="2004"/>
      <c r="AO189" s="2004"/>
      <c r="AP189" s="2004"/>
      <c r="AQ189" s="2004"/>
      <c r="AR189" s="2004"/>
      <c r="AS189" s="2004"/>
      <c r="AT189" s="2004"/>
      <c r="AU189" s="2004"/>
      <c r="AV189" s="2004"/>
      <c r="AW189" s="2004"/>
      <c r="AX189" s="2004"/>
      <c r="AY189" s="2004"/>
      <c r="AZ189" s="2004"/>
      <c r="BA189" s="2004"/>
      <c r="BB189" s="2004"/>
      <c r="BC189" s="2004"/>
      <c r="BD189" s="2004"/>
      <c r="BE189" s="2005"/>
    </row>
    <row r="190" spans="1:57" ht="15.75" customHeight="1">
      <c r="A190" s="1190"/>
      <c r="B190" s="1190"/>
      <c r="C190" s="2006" t="s">
        <v>2321</v>
      </c>
      <c r="D190" s="2007"/>
      <c r="E190" s="2007"/>
      <c r="F190" s="2007"/>
      <c r="G190" s="2007"/>
      <c r="H190" s="2007"/>
      <c r="I190" s="2007"/>
      <c r="J190" s="2007"/>
      <c r="K190" s="2007"/>
      <c r="L190" s="2007"/>
      <c r="M190" s="2007"/>
      <c r="N190" s="1992">
        <v>0</v>
      </c>
      <c r="O190" s="1992"/>
      <c r="P190" s="1992"/>
      <c r="Q190" s="1992"/>
      <c r="R190" s="1992"/>
      <c r="S190" s="1992"/>
      <c r="T190" s="1992"/>
      <c r="U190" s="1993"/>
      <c r="V190" s="1993"/>
      <c r="W190" s="1993"/>
      <c r="X190" s="1993"/>
      <c r="Y190" s="1993"/>
      <c r="Z190" s="1993"/>
      <c r="AA190" s="1993"/>
      <c r="AB190" s="1993"/>
      <c r="AC190" s="1993"/>
      <c r="AD190" s="1993"/>
      <c r="AE190" s="1994"/>
      <c r="AF190" s="1190"/>
      <c r="AG190" s="1190"/>
      <c r="AH190" s="2008" t="s">
        <v>2320</v>
      </c>
      <c r="AI190" s="2009"/>
      <c r="AJ190" s="2009"/>
      <c r="AK190" s="2009"/>
      <c r="AL190" s="2009"/>
      <c r="AM190" s="2009"/>
      <c r="AN190" s="2009"/>
      <c r="AO190" s="2009"/>
      <c r="AP190" s="2009"/>
      <c r="AQ190" s="2009"/>
      <c r="AR190" s="2009"/>
      <c r="AS190" s="2009"/>
      <c r="AT190" s="2009"/>
      <c r="AU190" s="2010">
        <v>0</v>
      </c>
      <c r="AV190" s="2010"/>
      <c r="AW190" s="2010"/>
      <c r="AX190" s="2010"/>
      <c r="AY190" s="2010"/>
      <c r="AZ190" s="2010"/>
      <c r="BA190" s="2010"/>
      <c r="BB190" s="2010"/>
      <c r="BC190" s="2011"/>
      <c r="BD190" s="2012"/>
      <c r="BE190" s="2013"/>
    </row>
    <row r="191" spans="1:57" ht="15.75" customHeight="1">
      <c r="A191" s="1190"/>
      <c r="B191" s="1190"/>
      <c r="C191" s="2006" t="s">
        <v>2319</v>
      </c>
      <c r="D191" s="2007"/>
      <c r="E191" s="2007"/>
      <c r="F191" s="2007"/>
      <c r="G191" s="2007"/>
      <c r="H191" s="2007"/>
      <c r="I191" s="2007"/>
      <c r="J191" s="2007"/>
      <c r="K191" s="2007"/>
      <c r="L191" s="2007"/>
      <c r="M191" s="2007"/>
      <c r="N191" s="1992">
        <v>0</v>
      </c>
      <c r="O191" s="1992"/>
      <c r="P191" s="1992"/>
      <c r="Q191" s="1992"/>
      <c r="R191" s="1992"/>
      <c r="S191" s="1992"/>
      <c r="T191" s="1992"/>
      <c r="U191" s="1993"/>
      <c r="V191" s="1993"/>
      <c r="W191" s="1993"/>
      <c r="X191" s="1993"/>
      <c r="Y191" s="1993"/>
      <c r="Z191" s="1993"/>
      <c r="AA191" s="1993"/>
      <c r="AB191" s="1993"/>
      <c r="AC191" s="1993"/>
      <c r="AD191" s="1993"/>
      <c r="AE191" s="1994"/>
      <c r="AF191" s="1190"/>
      <c r="AG191" s="1190"/>
      <c r="AH191" s="2024" t="s">
        <v>2318</v>
      </c>
      <c r="AI191" s="2025"/>
      <c r="AJ191" s="2025"/>
      <c r="AK191" s="2025"/>
      <c r="AL191" s="2025"/>
      <c r="AM191" s="2025"/>
      <c r="AN191" s="2025"/>
      <c r="AO191" s="2025"/>
      <c r="AP191" s="2025"/>
      <c r="AQ191" s="2025"/>
      <c r="AR191" s="2025"/>
      <c r="AS191" s="2025"/>
      <c r="AT191" s="2025"/>
      <c r="AU191" s="2026"/>
      <c r="AV191" s="2026"/>
      <c r="AW191" s="2026"/>
      <c r="AX191" s="2026"/>
      <c r="AY191" s="2026"/>
      <c r="AZ191" s="2026"/>
      <c r="BA191" s="2026"/>
      <c r="BB191" s="2026"/>
      <c r="BC191" s="2014"/>
      <c r="BD191" s="2015"/>
      <c r="BE191" s="2016"/>
    </row>
    <row r="192" spans="1:57" ht="15.75" customHeight="1">
      <c r="A192" s="1190"/>
      <c r="B192" s="1190"/>
      <c r="C192" s="1998" t="s">
        <v>299</v>
      </c>
      <c r="D192" s="1999"/>
      <c r="E192" s="1991" t="s">
        <v>2316</v>
      </c>
      <c r="F192" s="1991"/>
      <c r="G192" s="1991"/>
      <c r="H192" s="1991"/>
      <c r="I192" s="1991"/>
      <c r="J192" s="1991"/>
      <c r="K192" s="1991"/>
      <c r="L192" s="1991"/>
      <c r="M192" s="1991"/>
      <c r="N192" s="1992">
        <v>0</v>
      </c>
      <c r="O192" s="1992"/>
      <c r="P192" s="1992"/>
      <c r="Q192" s="1992"/>
      <c r="R192" s="1992"/>
      <c r="S192" s="1992"/>
      <c r="T192" s="1992"/>
      <c r="U192" s="1993"/>
      <c r="V192" s="1993"/>
      <c r="W192" s="1993"/>
      <c r="X192" s="1993"/>
      <c r="Y192" s="1993"/>
      <c r="Z192" s="1993"/>
      <c r="AA192" s="1993"/>
      <c r="AB192" s="1993"/>
      <c r="AC192" s="1993"/>
      <c r="AD192" s="1993"/>
      <c r="AE192" s="1994"/>
      <c r="AF192" s="1190"/>
      <c r="AG192" s="1190"/>
      <c r="AH192" s="2000" t="s">
        <v>2317</v>
      </c>
      <c r="AI192" s="2001"/>
      <c r="AJ192" s="2001"/>
      <c r="AK192" s="2001"/>
      <c r="AL192" s="2001"/>
      <c r="AM192" s="2001"/>
      <c r="AN192" s="2001"/>
      <c r="AO192" s="2001"/>
      <c r="AP192" s="2001"/>
      <c r="AQ192" s="2001"/>
      <c r="AR192" s="2001"/>
      <c r="AS192" s="2001"/>
      <c r="AT192" s="2001"/>
      <c r="AU192" s="2002">
        <f>SUM(AU190:BB191)</f>
        <v>0</v>
      </c>
      <c r="AV192" s="2002"/>
      <c r="AW192" s="2002"/>
      <c r="AX192" s="2002"/>
      <c r="AY192" s="2002"/>
      <c r="AZ192" s="2002"/>
      <c r="BA192" s="2002"/>
      <c r="BB192" s="2002"/>
      <c r="BC192" s="2014"/>
      <c r="BD192" s="2015"/>
      <c r="BE192" s="2016"/>
    </row>
    <row r="193" spans="1:57" ht="15.75" customHeight="1" thickBot="1">
      <c r="A193" s="1190"/>
      <c r="B193" s="1190"/>
      <c r="C193" s="1989" t="s">
        <v>299</v>
      </c>
      <c r="D193" s="1990"/>
      <c r="E193" s="1991" t="s">
        <v>2316</v>
      </c>
      <c r="F193" s="1991"/>
      <c r="G193" s="1991"/>
      <c r="H193" s="1991"/>
      <c r="I193" s="1991"/>
      <c r="J193" s="1991"/>
      <c r="K193" s="1991"/>
      <c r="L193" s="1991"/>
      <c r="M193" s="1991"/>
      <c r="N193" s="1992">
        <v>0</v>
      </c>
      <c r="O193" s="1992"/>
      <c r="P193" s="1992"/>
      <c r="Q193" s="1992"/>
      <c r="R193" s="1992"/>
      <c r="S193" s="1992"/>
      <c r="T193" s="1992"/>
      <c r="U193" s="1993"/>
      <c r="V193" s="1993"/>
      <c r="W193" s="1993"/>
      <c r="X193" s="1993"/>
      <c r="Y193" s="1993"/>
      <c r="Z193" s="1993"/>
      <c r="AA193" s="1993"/>
      <c r="AB193" s="1993"/>
      <c r="AC193" s="1993"/>
      <c r="AD193" s="1993"/>
      <c r="AE193" s="1994"/>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5"/>
      <c r="BD193" s="1996"/>
      <c r="BE193" s="1997"/>
    </row>
    <row r="194" spans="1:57" ht="15.75" customHeight="1" thickBot="1">
      <c r="A194" s="1190"/>
      <c r="B194" s="1190"/>
      <c r="C194" s="1977" t="s">
        <v>299</v>
      </c>
      <c r="D194" s="1978"/>
      <c r="E194" s="1979" t="s">
        <v>2316</v>
      </c>
      <c r="F194" s="1979"/>
      <c r="G194" s="1979"/>
      <c r="H194" s="1979"/>
      <c r="I194" s="1979"/>
      <c r="J194" s="1979"/>
      <c r="K194" s="1979"/>
      <c r="L194" s="1979"/>
      <c r="M194" s="1980"/>
      <c r="N194" s="1981">
        <v>0</v>
      </c>
      <c r="O194" s="1981"/>
      <c r="P194" s="1981"/>
      <c r="Q194" s="1981"/>
      <c r="R194" s="1981"/>
      <c r="S194" s="1981"/>
      <c r="T194" s="1982"/>
      <c r="U194" s="1983"/>
      <c r="V194" s="1984"/>
      <c r="W194" s="1984"/>
      <c r="X194" s="1984"/>
      <c r="Y194" s="1984"/>
      <c r="Z194" s="1984"/>
      <c r="AA194" s="1984"/>
      <c r="AB194" s="1984"/>
      <c r="AC194" s="1984"/>
      <c r="AD194" s="1984"/>
      <c r="AE194" s="1985"/>
      <c r="AF194" s="1190"/>
      <c r="AG194" s="1190"/>
      <c r="AH194" s="1986" t="s">
        <v>2315</v>
      </c>
      <c r="AI194" s="1987"/>
      <c r="AJ194" s="1987"/>
      <c r="AK194" s="1987"/>
      <c r="AL194" s="1987"/>
      <c r="AM194" s="1987"/>
      <c r="AN194" s="1987"/>
      <c r="AO194" s="1987"/>
      <c r="AP194" s="1987"/>
      <c r="AQ194" s="1987"/>
      <c r="AR194" s="1987"/>
      <c r="AS194" s="1987"/>
      <c r="AT194" s="1987"/>
      <c r="AU194" s="1988"/>
      <c r="AV194" s="1988"/>
      <c r="AW194" s="1988"/>
      <c r="AX194" s="1988"/>
      <c r="AY194" s="1988"/>
      <c r="AZ194" s="1988"/>
      <c r="BA194" s="1988"/>
      <c r="BB194" s="1988"/>
      <c r="BC194" s="1171"/>
      <c r="BD194" s="1171"/>
      <c r="BE194" s="1232"/>
    </row>
    <row r="195" spans="1:57" ht="15.75" customHeight="1">
      <c r="A195" s="1190"/>
      <c r="B195" s="1190"/>
      <c r="C195" s="1960" t="s">
        <v>2314</v>
      </c>
      <c r="D195" s="1961"/>
      <c r="E195" s="1961"/>
      <c r="F195" s="1961"/>
      <c r="G195" s="1961"/>
      <c r="H195" s="1961"/>
      <c r="I195" s="1961"/>
      <c r="J195" s="1961"/>
      <c r="K195" s="1961"/>
      <c r="L195" s="1961"/>
      <c r="M195" s="1961"/>
      <c r="N195" s="1962">
        <f>SUM(N187:T194)</f>
        <v>3013196</v>
      </c>
      <c r="O195" s="1962"/>
      <c r="P195" s="1962"/>
      <c r="Q195" s="1962"/>
      <c r="R195" s="1962"/>
      <c r="S195" s="1962"/>
      <c r="T195" s="1963"/>
      <c r="U195" s="1190"/>
      <c r="V195" s="1190"/>
      <c r="W195" s="1190"/>
      <c r="X195" s="1190"/>
      <c r="Y195" s="1190"/>
      <c r="Z195" s="1190"/>
      <c r="AA195" s="1190"/>
      <c r="AB195" s="1190"/>
      <c r="AC195" s="1190"/>
      <c r="AD195" s="1190"/>
      <c r="AE195" s="1190"/>
      <c r="AF195" s="1190"/>
      <c r="AG195" s="1190"/>
      <c r="AH195" s="1964" t="s">
        <v>2313</v>
      </c>
      <c r="AI195" s="1965"/>
      <c r="AJ195" s="1965"/>
      <c r="AK195" s="1965"/>
      <c r="AL195" s="1965"/>
      <c r="AM195" s="1965"/>
      <c r="AN195" s="1965"/>
      <c r="AO195" s="1965"/>
      <c r="AP195" s="1965"/>
      <c r="AQ195" s="1965"/>
      <c r="AR195" s="1965"/>
      <c r="AS195" s="1965"/>
      <c r="AT195" s="1965"/>
      <c r="AU195" s="1965"/>
      <c r="AV195" s="1965"/>
      <c r="AW195" s="1965"/>
      <c r="AX195" s="1965"/>
      <c r="AY195" s="1965"/>
      <c r="AZ195" s="1965"/>
      <c r="BA195" s="1965"/>
      <c r="BB195" s="1965"/>
      <c r="BC195" s="1965"/>
      <c r="BD195" s="1965"/>
      <c r="BE195" s="1966"/>
    </row>
    <row r="196" spans="1:57" ht="15.75" customHeight="1" thickBot="1">
      <c r="A196" s="1190"/>
      <c r="B196" s="1190"/>
      <c r="C196" s="1970" t="s">
        <v>2312</v>
      </c>
      <c r="D196" s="1971"/>
      <c r="E196" s="1971"/>
      <c r="F196" s="1971"/>
      <c r="G196" s="1971"/>
      <c r="H196" s="1971"/>
      <c r="I196" s="1971"/>
      <c r="J196" s="1971"/>
      <c r="K196" s="1971"/>
      <c r="L196" s="1971"/>
      <c r="M196" s="1971"/>
      <c r="N196" s="1972">
        <f>(N185-N195)/J29</f>
        <v>921912.75609756098</v>
      </c>
      <c r="O196" s="1973"/>
      <c r="P196" s="1973"/>
      <c r="Q196" s="1973"/>
      <c r="R196" s="1973"/>
      <c r="S196" s="1973"/>
      <c r="T196" s="1974"/>
      <c r="U196" s="1195"/>
      <c r="V196" s="1190"/>
      <c r="W196" s="1190"/>
      <c r="X196" s="1190"/>
      <c r="Y196" s="1190"/>
      <c r="Z196" s="1190"/>
      <c r="AA196" s="1190"/>
      <c r="AB196" s="1190"/>
      <c r="AC196" s="1190"/>
      <c r="AD196" s="1190"/>
      <c r="AE196" s="1190"/>
      <c r="AF196" s="1190"/>
      <c r="AG196" s="1190"/>
      <c r="AH196" s="1967"/>
      <c r="AI196" s="1968"/>
      <c r="AJ196" s="1968"/>
      <c r="AK196" s="1968"/>
      <c r="AL196" s="1968"/>
      <c r="AM196" s="1968"/>
      <c r="AN196" s="1968"/>
      <c r="AO196" s="1968"/>
      <c r="AP196" s="1968"/>
      <c r="AQ196" s="1968"/>
      <c r="AR196" s="1968"/>
      <c r="AS196" s="1968"/>
      <c r="AT196" s="1968"/>
      <c r="AU196" s="1968"/>
      <c r="AV196" s="1968"/>
      <c r="AW196" s="1968"/>
      <c r="AX196" s="1968"/>
      <c r="AY196" s="1968"/>
      <c r="AZ196" s="1968"/>
      <c r="BA196" s="1968"/>
      <c r="BB196" s="1968"/>
      <c r="BC196" s="1968"/>
      <c r="BD196" s="1968"/>
      <c r="BE196" s="1969"/>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5"/>
      <c r="AI197" s="1975"/>
      <c r="AJ197" s="1975"/>
      <c r="AK197" s="1975"/>
      <c r="AL197" s="1975"/>
      <c r="AM197" s="1975"/>
      <c r="AN197" s="1975"/>
      <c r="AO197" s="1975"/>
      <c r="AP197" s="1975"/>
      <c r="AQ197" s="1975"/>
      <c r="AR197" s="1975"/>
      <c r="AS197" s="1976"/>
      <c r="AT197" s="1976"/>
      <c r="AU197" s="1976"/>
      <c r="AV197" s="1976"/>
      <c r="AW197" s="1976"/>
      <c r="AX197" s="1976"/>
      <c r="AY197" s="1976"/>
      <c r="AZ197" s="1976"/>
      <c r="BA197" s="1976"/>
      <c r="BB197" s="1976"/>
      <c r="BC197" s="1976"/>
      <c r="BD197" s="1976"/>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5" t="s">
        <v>2311</v>
      </c>
      <c r="D199" s="1956"/>
      <c r="E199" s="1956"/>
      <c r="F199" s="1956"/>
      <c r="G199" s="1956"/>
      <c r="H199" s="1956"/>
      <c r="I199" s="1956"/>
      <c r="J199" s="1956"/>
      <c r="K199" s="1956"/>
      <c r="L199" s="1956"/>
      <c r="M199" s="1956"/>
      <c r="N199" s="1956"/>
      <c r="O199" s="1956"/>
      <c r="P199" s="1956"/>
      <c r="Q199" s="1956"/>
      <c r="R199" s="1956"/>
      <c r="S199" s="1956"/>
      <c r="T199" s="1956"/>
      <c r="U199" s="1956"/>
      <c r="V199" s="1956"/>
      <c r="W199" s="1956"/>
      <c r="X199" s="1956"/>
      <c r="Y199" s="1956"/>
      <c r="Z199" s="1956"/>
      <c r="AA199" s="1956"/>
      <c r="AB199" s="1956"/>
      <c r="AC199" s="1956"/>
      <c r="AD199" s="1956"/>
      <c r="AE199" s="1957"/>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8" t="s">
        <v>2310</v>
      </c>
      <c r="D200" s="1958"/>
      <c r="E200" s="1958"/>
      <c r="F200" s="1958"/>
      <c r="G200" s="1958"/>
      <c r="H200" s="1958"/>
      <c r="I200" s="1958"/>
      <c r="J200" s="1958"/>
      <c r="K200" s="1958"/>
      <c r="L200" s="1958"/>
      <c r="M200" s="1958"/>
      <c r="N200" s="1958"/>
      <c r="O200" s="1959" t="s">
        <v>2309</v>
      </c>
      <c r="P200" s="1959"/>
      <c r="Q200" s="1959"/>
      <c r="R200" s="1959"/>
      <c r="S200" s="1959"/>
      <c r="T200" s="1959"/>
      <c r="U200" s="1959"/>
      <c r="V200" s="1959"/>
      <c r="W200" s="1959"/>
      <c r="X200" s="1959" t="s">
        <v>2308</v>
      </c>
      <c r="Y200" s="1959"/>
      <c r="Z200" s="1959"/>
      <c r="AA200" s="1959"/>
      <c r="AB200" s="1959"/>
      <c r="AC200" s="1959"/>
      <c r="AD200" s="1959"/>
      <c r="AE200" s="1959"/>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50" t="s">
        <v>2307</v>
      </c>
      <c r="D201" s="1950"/>
      <c r="E201" s="1950"/>
      <c r="F201" s="1950"/>
      <c r="G201" s="1950"/>
      <c r="H201" s="1950"/>
      <c r="I201" s="1950"/>
      <c r="J201" s="1950"/>
      <c r="K201" s="1950"/>
      <c r="L201" s="1950"/>
      <c r="M201" s="1950"/>
      <c r="N201" s="1950"/>
      <c r="O201" s="1951" t="s">
        <v>2306</v>
      </c>
      <c r="P201" s="1951"/>
      <c r="Q201" s="1951"/>
      <c r="R201" s="1951"/>
      <c r="S201" s="1951"/>
      <c r="T201" s="1951"/>
      <c r="U201" s="1951"/>
      <c r="V201" s="1951"/>
      <c r="W201" s="1951"/>
      <c r="X201" s="1952">
        <v>0.03</v>
      </c>
      <c r="Y201" s="1952"/>
      <c r="Z201" s="1952"/>
      <c r="AA201" s="1952"/>
      <c r="AB201" s="1952"/>
      <c r="AC201" s="1952"/>
      <c r="AD201" s="1952"/>
      <c r="AE201" s="1952"/>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50" t="s">
        <v>854</v>
      </c>
      <c r="D202" s="1950"/>
      <c r="E202" s="1950"/>
      <c r="F202" s="1950"/>
      <c r="G202" s="1950"/>
      <c r="H202" s="1950"/>
      <c r="I202" s="1950"/>
      <c r="J202" s="1950"/>
      <c r="K202" s="1950"/>
      <c r="L202" s="1950"/>
      <c r="M202" s="1950"/>
      <c r="N202" s="1950"/>
      <c r="O202" s="1951" t="s">
        <v>2306</v>
      </c>
      <c r="P202" s="1951"/>
      <c r="Q202" s="1951"/>
      <c r="R202" s="1951"/>
      <c r="S202" s="1951"/>
      <c r="T202" s="1951"/>
      <c r="U202" s="1951"/>
      <c r="V202" s="1951"/>
      <c r="W202" s="1951"/>
      <c r="X202" s="1952">
        <v>0.03</v>
      </c>
      <c r="Y202" s="1952"/>
      <c r="Z202" s="1952"/>
      <c r="AA202" s="1952"/>
      <c r="AB202" s="1952"/>
      <c r="AC202" s="1952"/>
      <c r="AD202" s="1952"/>
      <c r="AE202" s="1952"/>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50" t="s">
        <v>2305</v>
      </c>
      <c r="D203" s="1950"/>
      <c r="E203" s="1950"/>
      <c r="F203" s="1950"/>
      <c r="G203" s="1950"/>
      <c r="H203" s="1950"/>
      <c r="I203" s="1950"/>
      <c r="J203" s="1950"/>
      <c r="K203" s="1950"/>
      <c r="L203" s="1950"/>
      <c r="M203" s="1950"/>
      <c r="N203" s="1950"/>
      <c r="O203" s="1953">
        <f>SUM(O201:W202)</f>
        <v>0</v>
      </c>
      <c r="P203" s="1954"/>
      <c r="Q203" s="1954"/>
      <c r="R203" s="1954"/>
      <c r="S203" s="1954"/>
      <c r="T203" s="1954"/>
      <c r="U203" s="1954"/>
      <c r="V203" s="1954"/>
      <c r="W203" s="1954"/>
      <c r="X203" s="1954" t="s">
        <v>2304</v>
      </c>
      <c r="Y203" s="1954"/>
      <c r="Z203" s="1954"/>
      <c r="AA203" s="1954"/>
      <c r="AB203" s="1954"/>
      <c r="AC203" s="1954"/>
      <c r="AD203" s="1954"/>
      <c r="AE203" s="1954"/>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4" t="s">
        <v>2303</v>
      </c>
      <c r="D204" s="1924"/>
      <c r="E204" s="1924"/>
      <c r="F204" s="1924"/>
      <c r="G204" s="1924"/>
      <c r="H204" s="1924"/>
      <c r="I204" s="1924"/>
      <c r="J204" s="1924"/>
      <c r="K204" s="1924"/>
      <c r="L204" s="1924"/>
      <c r="M204" s="1924"/>
      <c r="N204" s="1924"/>
      <c r="O204" s="1924"/>
      <c r="P204" s="1924"/>
      <c r="Q204" s="1924"/>
      <c r="R204" s="1924"/>
      <c r="S204" s="1924"/>
      <c r="T204" s="1924"/>
      <c r="U204" s="1924"/>
      <c r="V204" s="1924"/>
      <c r="W204" s="1924"/>
      <c r="X204" s="1924"/>
      <c r="Y204" s="1924"/>
      <c r="Z204" s="1924"/>
      <c r="AA204" s="1924"/>
      <c r="AB204" s="1924"/>
      <c r="AC204" s="1924"/>
      <c r="AD204" s="1924"/>
      <c r="AE204" s="1924"/>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5" t="s">
        <v>2302</v>
      </c>
      <c r="D206" s="1926"/>
      <c r="E206" s="1926"/>
      <c r="F206" s="1926"/>
      <c r="G206" s="1926"/>
      <c r="H206" s="1926"/>
      <c r="I206" s="1926"/>
      <c r="J206" s="1926"/>
      <c r="K206" s="1926"/>
      <c r="L206" s="1926"/>
      <c r="M206" s="1926"/>
      <c r="N206" s="1926"/>
      <c r="O206" s="1926"/>
      <c r="P206" s="1926"/>
      <c r="Q206" s="1926"/>
      <c r="R206" s="1926"/>
      <c r="S206" s="1926"/>
      <c r="T206" s="1926"/>
      <c r="U206" s="1926"/>
      <c r="V206" s="1926"/>
      <c r="W206" s="1926"/>
      <c r="X206" s="1926"/>
      <c r="Y206" s="1926"/>
      <c r="Z206" s="1926"/>
      <c r="AA206" s="1926"/>
      <c r="AB206" s="1926"/>
      <c r="AC206" s="1926"/>
      <c r="AD206" s="1926"/>
      <c r="AE206" s="1926"/>
      <c r="AF206" s="1926"/>
      <c r="AG206" s="1926"/>
      <c r="AH206" s="1926"/>
      <c r="AI206" s="1926"/>
      <c r="AJ206" s="1926"/>
      <c r="AK206" s="1927"/>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8" t="s">
        <v>2301</v>
      </c>
      <c r="D207" s="1929"/>
      <c r="E207" s="1929"/>
      <c r="F207" s="1930"/>
      <c r="G207" s="1934" t="s">
        <v>2300</v>
      </c>
      <c r="H207" s="1929"/>
      <c r="I207" s="1929"/>
      <c r="J207" s="1929"/>
      <c r="K207" s="1929"/>
      <c r="L207" s="1929"/>
      <c r="M207" s="1929"/>
      <c r="N207" s="1929"/>
      <c r="O207" s="1930"/>
      <c r="P207" s="1936" t="s">
        <v>2299</v>
      </c>
      <c r="Q207" s="1937"/>
      <c r="R207" s="1937"/>
      <c r="S207" s="1937"/>
      <c r="T207" s="1938"/>
      <c r="U207" s="1942" t="s">
        <v>2298</v>
      </c>
      <c r="V207" s="1943"/>
      <c r="W207" s="1943"/>
      <c r="X207" s="1944"/>
      <c r="Y207" s="1942" t="s">
        <v>2297</v>
      </c>
      <c r="Z207" s="1943"/>
      <c r="AA207" s="1943"/>
      <c r="AB207" s="1944"/>
      <c r="AC207" s="1942" t="s">
        <v>2296</v>
      </c>
      <c r="AD207" s="1943"/>
      <c r="AE207" s="1943"/>
      <c r="AF207" s="1944"/>
      <c r="AG207" s="1934" t="s">
        <v>2295</v>
      </c>
      <c r="AH207" s="1929"/>
      <c r="AI207" s="1929"/>
      <c r="AJ207" s="1929"/>
      <c r="AK207" s="1948"/>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31"/>
      <c r="D208" s="1932"/>
      <c r="E208" s="1932"/>
      <c r="F208" s="1933"/>
      <c r="G208" s="1935"/>
      <c r="H208" s="1932"/>
      <c r="I208" s="1932"/>
      <c r="J208" s="1932"/>
      <c r="K208" s="1932"/>
      <c r="L208" s="1932"/>
      <c r="M208" s="1932"/>
      <c r="N208" s="1932"/>
      <c r="O208" s="1933"/>
      <c r="P208" s="1939"/>
      <c r="Q208" s="1940"/>
      <c r="R208" s="1940"/>
      <c r="S208" s="1940"/>
      <c r="T208" s="1941"/>
      <c r="U208" s="1945"/>
      <c r="V208" s="1946"/>
      <c r="W208" s="1946"/>
      <c r="X208" s="1947"/>
      <c r="Y208" s="1945"/>
      <c r="Z208" s="1946"/>
      <c r="AA208" s="1946"/>
      <c r="AB208" s="1947"/>
      <c r="AC208" s="1945"/>
      <c r="AD208" s="1946"/>
      <c r="AE208" s="1946"/>
      <c r="AF208" s="1947"/>
      <c r="AG208" s="1935"/>
      <c r="AH208" s="1932"/>
      <c r="AI208" s="1932"/>
      <c r="AJ208" s="1932"/>
      <c r="AK208" s="1949"/>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7">
        <v>1</v>
      </c>
      <c r="D209" s="1918"/>
      <c r="E209" s="1918"/>
      <c r="F209" s="1918"/>
      <c r="G209" s="1919" t="s">
        <v>1884</v>
      </c>
      <c r="H209" s="1919"/>
      <c r="I209" s="1919"/>
      <c r="J209" s="1919"/>
      <c r="K209" s="1919"/>
      <c r="L209" s="1919"/>
      <c r="M209" s="1919"/>
      <c r="N209" s="1919"/>
      <c r="O209" s="1919"/>
      <c r="P209" s="1920"/>
      <c r="Q209" s="1923"/>
      <c r="R209" s="1923"/>
      <c r="S209" s="1923"/>
      <c r="T209" s="1923"/>
      <c r="U209" s="1921" t="s">
        <v>1884</v>
      </c>
      <c r="V209" s="1921"/>
      <c r="W209" s="1921"/>
      <c r="X209" s="1921"/>
      <c r="Y209" s="1921" t="s">
        <v>1884</v>
      </c>
      <c r="Z209" s="1921"/>
      <c r="AA209" s="1921"/>
      <c r="AB209" s="1921"/>
      <c r="AC209" s="1922" t="s">
        <v>1884</v>
      </c>
      <c r="AD209" s="1922"/>
      <c r="AE209" s="1922"/>
      <c r="AF209" s="1922"/>
      <c r="AG209" s="1906"/>
      <c r="AH209" s="1907"/>
      <c r="AI209" s="1907"/>
      <c r="AJ209" s="1907"/>
      <c r="AK209" s="1908"/>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7">
        <v>2</v>
      </c>
      <c r="D210" s="1918"/>
      <c r="E210" s="1918"/>
      <c r="F210" s="1918"/>
      <c r="G210" s="1919" t="s">
        <v>1884</v>
      </c>
      <c r="H210" s="1919"/>
      <c r="I210" s="1919"/>
      <c r="J210" s="1919"/>
      <c r="K210" s="1919"/>
      <c r="L210" s="1919"/>
      <c r="M210" s="1919"/>
      <c r="N210" s="1919"/>
      <c r="O210" s="1919"/>
      <c r="P210" s="1920"/>
      <c r="Q210" s="1920"/>
      <c r="R210" s="1920"/>
      <c r="S210" s="1920"/>
      <c r="T210" s="1920"/>
      <c r="U210" s="1921" t="s">
        <v>1884</v>
      </c>
      <c r="V210" s="1921"/>
      <c r="W210" s="1921"/>
      <c r="X210" s="1921"/>
      <c r="Y210" s="1921" t="s">
        <v>1884</v>
      </c>
      <c r="Z210" s="1921"/>
      <c r="AA210" s="1921"/>
      <c r="AB210" s="1921"/>
      <c r="AC210" s="1922" t="s">
        <v>1884</v>
      </c>
      <c r="AD210" s="1922"/>
      <c r="AE210" s="1922"/>
      <c r="AF210" s="1922"/>
      <c r="AG210" s="1906"/>
      <c r="AH210" s="1907"/>
      <c r="AI210" s="1907"/>
      <c r="AJ210" s="1907"/>
      <c r="AK210" s="1908"/>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7">
        <v>3</v>
      </c>
      <c r="D211" s="1918"/>
      <c r="E211" s="1918"/>
      <c r="F211" s="1918"/>
      <c r="G211" s="1919" t="s">
        <v>1884</v>
      </c>
      <c r="H211" s="1919"/>
      <c r="I211" s="1919"/>
      <c r="J211" s="1919"/>
      <c r="K211" s="1919"/>
      <c r="L211" s="1919"/>
      <c r="M211" s="1919"/>
      <c r="N211" s="1919"/>
      <c r="O211" s="1919"/>
      <c r="P211" s="1920"/>
      <c r="Q211" s="1920"/>
      <c r="R211" s="1920"/>
      <c r="S211" s="1920"/>
      <c r="T211" s="1920"/>
      <c r="U211" s="1921" t="s">
        <v>1884</v>
      </c>
      <c r="V211" s="1921"/>
      <c r="W211" s="1921"/>
      <c r="X211" s="1921"/>
      <c r="Y211" s="1921" t="s">
        <v>1884</v>
      </c>
      <c r="Z211" s="1921"/>
      <c r="AA211" s="1921"/>
      <c r="AB211" s="1921"/>
      <c r="AC211" s="1922" t="s">
        <v>1884</v>
      </c>
      <c r="AD211" s="1922"/>
      <c r="AE211" s="1922"/>
      <c r="AF211" s="1922"/>
      <c r="AG211" s="1906"/>
      <c r="AH211" s="1907"/>
      <c r="AI211" s="1907"/>
      <c r="AJ211" s="1907"/>
      <c r="AK211" s="1908"/>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7">
        <v>4</v>
      </c>
      <c r="D212" s="1918"/>
      <c r="E212" s="1918"/>
      <c r="F212" s="1918"/>
      <c r="G212" s="1919" t="s">
        <v>1884</v>
      </c>
      <c r="H212" s="1919"/>
      <c r="I212" s="1919"/>
      <c r="J212" s="1919"/>
      <c r="K212" s="1919"/>
      <c r="L212" s="1919"/>
      <c r="M212" s="1919"/>
      <c r="N212" s="1919"/>
      <c r="O212" s="1919"/>
      <c r="P212" s="1920"/>
      <c r="Q212" s="1920"/>
      <c r="R212" s="1920"/>
      <c r="S212" s="1920"/>
      <c r="T212" s="1920"/>
      <c r="U212" s="1921" t="s">
        <v>1884</v>
      </c>
      <c r="V212" s="1921"/>
      <c r="W212" s="1921"/>
      <c r="X212" s="1921"/>
      <c r="Y212" s="1921" t="s">
        <v>1884</v>
      </c>
      <c r="Z212" s="1921"/>
      <c r="AA212" s="1921"/>
      <c r="AB212" s="1921"/>
      <c r="AC212" s="1922" t="s">
        <v>1884</v>
      </c>
      <c r="AD212" s="1922"/>
      <c r="AE212" s="1922"/>
      <c r="AF212" s="1922"/>
      <c r="AG212" s="1906"/>
      <c r="AH212" s="1907"/>
      <c r="AI212" s="1907"/>
      <c r="AJ212" s="1907"/>
      <c r="AK212" s="1908"/>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7">
        <v>5</v>
      </c>
      <c r="D213" s="1918"/>
      <c r="E213" s="1918"/>
      <c r="F213" s="1918"/>
      <c r="G213" s="1919" t="s">
        <v>1884</v>
      </c>
      <c r="H213" s="1919"/>
      <c r="I213" s="1919"/>
      <c r="J213" s="1919"/>
      <c r="K213" s="1919"/>
      <c r="L213" s="1919"/>
      <c r="M213" s="1919"/>
      <c r="N213" s="1919"/>
      <c r="O213" s="1919"/>
      <c r="P213" s="1920"/>
      <c r="Q213" s="1920"/>
      <c r="R213" s="1920"/>
      <c r="S213" s="1920"/>
      <c r="T213" s="1920"/>
      <c r="U213" s="1921" t="s">
        <v>1884</v>
      </c>
      <c r="V213" s="1921"/>
      <c r="W213" s="1921"/>
      <c r="X213" s="1921"/>
      <c r="Y213" s="1921" t="s">
        <v>1884</v>
      </c>
      <c r="Z213" s="1921"/>
      <c r="AA213" s="1921"/>
      <c r="AB213" s="1921"/>
      <c r="AC213" s="1922" t="s">
        <v>1884</v>
      </c>
      <c r="AD213" s="1922"/>
      <c r="AE213" s="1922"/>
      <c r="AF213" s="1922"/>
      <c r="AG213" s="1906"/>
      <c r="AH213" s="1907"/>
      <c r="AI213" s="1907"/>
      <c r="AJ213" s="1907"/>
      <c r="AK213" s="1908"/>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7">
        <v>6</v>
      </c>
      <c r="D214" s="1918"/>
      <c r="E214" s="1918"/>
      <c r="F214" s="1918"/>
      <c r="G214" s="1919" t="s">
        <v>1884</v>
      </c>
      <c r="H214" s="1919"/>
      <c r="I214" s="1919"/>
      <c r="J214" s="1919"/>
      <c r="K214" s="1919"/>
      <c r="L214" s="1919"/>
      <c r="M214" s="1919"/>
      <c r="N214" s="1919"/>
      <c r="O214" s="1919"/>
      <c r="P214" s="1920"/>
      <c r="Q214" s="1920"/>
      <c r="R214" s="1920"/>
      <c r="S214" s="1920"/>
      <c r="T214" s="1920"/>
      <c r="U214" s="1921"/>
      <c r="V214" s="1921"/>
      <c r="W214" s="1921"/>
      <c r="X214" s="1921"/>
      <c r="Y214" s="1921"/>
      <c r="Z214" s="1921"/>
      <c r="AA214" s="1921"/>
      <c r="AB214" s="1921"/>
      <c r="AC214" s="1922" t="s">
        <v>1884</v>
      </c>
      <c r="AD214" s="1922"/>
      <c r="AE214" s="1922"/>
      <c r="AF214" s="1922"/>
      <c r="AG214" s="1906"/>
      <c r="AH214" s="1907"/>
      <c r="AI214" s="1907"/>
      <c r="AJ214" s="1907"/>
      <c r="AK214" s="1908"/>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7">
        <v>7</v>
      </c>
      <c r="D215" s="1918"/>
      <c r="E215" s="1918"/>
      <c r="F215" s="1918"/>
      <c r="G215" s="1919"/>
      <c r="H215" s="1919"/>
      <c r="I215" s="1919"/>
      <c r="J215" s="1919"/>
      <c r="K215" s="1919"/>
      <c r="L215" s="1919"/>
      <c r="M215" s="1919"/>
      <c r="N215" s="1919"/>
      <c r="O215" s="1919"/>
      <c r="P215" s="1920"/>
      <c r="Q215" s="1920"/>
      <c r="R215" s="1920"/>
      <c r="S215" s="1920"/>
      <c r="T215" s="1920"/>
      <c r="U215" s="1921"/>
      <c r="V215" s="1921"/>
      <c r="W215" s="1921"/>
      <c r="X215" s="1921"/>
      <c r="Y215" s="1921"/>
      <c r="Z215" s="1921"/>
      <c r="AA215" s="1921"/>
      <c r="AB215" s="1921"/>
      <c r="AC215" s="1922" t="s">
        <v>1884</v>
      </c>
      <c r="AD215" s="1922"/>
      <c r="AE215" s="1922"/>
      <c r="AF215" s="1922"/>
      <c r="AG215" s="1906"/>
      <c r="AH215" s="1907"/>
      <c r="AI215" s="1907"/>
      <c r="AJ215" s="1907"/>
      <c r="AK215" s="1908"/>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9" t="s">
        <v>2294</v>
      </c>
      <c r="D216" s="1910"/>
      <c r="E216" s="1910"/>
      <c r="F216" s="1910"/>
      <c r="G216" s="1910"/>
      <c r="H216" s="1910"/>
      <c r="I216" s="1910"/>
      <c r="J216" s="1910"/>
      <c r="K216" s="1910"/>
      <c r="L216" s="1910"/>
      <c r="M216" s="1910"/>
      <c r="N216" s="1910"/>
      <c r="O216" s="1910"/>
      <c r="P216" s="1911"/>
      <c r="Q216" s="1911"/>
      <c r="R216" s="1911"/>
      <c r="S216" s="1911"/>
      <c r="T216" s="1911"/>
      <c r="U216" s="1912">
        <f>-SUM(U209:U215)</f>
        <v>0</v>
      </c>
      <c r="V216" s="1912"/>
      <c r="W216" s="1912"/>
      <c r="X216" s="1912"/>
      <c r="Y216" s="1912">
        <f>-SUM(Y209:Y215)</f>
        <v>0</v>
      </c>
      <c r="Z216" s="1912"/>
      <c r="AA216" s="1912"/>
      <c r="AB216" s="1912"/>
      <c r="AC216" s="1913">
        <f>-SUM(AC209:AC215)</f>
        <v>0</v>
      </c>
      <c r="AD216" s="1913"/>
      <c r="AE216" s="1913"/>
      <c r="AF216" s="1913"/>
      <c r="AG216" s="1914"/>
      <c r="AH216" s="1915"/>
      <c r="AI216" s="1915"/>
      <c r="AJ216" s="1915"/>
      <c r="AK216" s="1916"/>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2293</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93" t="s">
        <v>2292</v>
      </c>
      <c r="C221" s="1894"/>
      <c r="D221" s="1894"/>
      <c r="E221" s="1894"/>
      <c r="F221" s="1894"/>
      <c r="G221" s="1894"/>
      <c r="H221" s="1894"/>
      <c r="I221" s="1894"/>
      <c r="J221" s="1894"/>
      <c r="K221" s="1894"/>
      <c r="L221" s="1894"/>
      <c r="M221" s="1894"/>
      <c r="N221" s="1894"/>
      <c r="O221" s="1894"/>
      <c r="P221" s="1894"/>
      <c r="Q221" s="1894"/>
      <c r="R221" s="1894"/>
      <c r="S221" s="1894"/>
      <c r="T221" s="1894"/>
      <c r="U221" s="1894"/>
      <c r="V221" s="1894"/>
      <c r="W221" s="1894"/>
      <c r="X221" s="1894"/>
      <c r="Y221" s="1894"/>
      <c r="Z221" s="1894"/>
      <c r="AA221" s="1894"/>
      <c r="AB221" s="1894"/>
      <c r="AC221" s="1894"/>
      <c r="AD221" s="1894"/>
      <c r="AE221" s="1894"/>
      <c r="AF221" s="1894"/>
      <c r="AG221" s="1894"/>
      <c r="AH221" s="1894"/>
      <c r="AI221" s="1894"/>
      <c r="AJ221" s="1894"/>
      <c r="AK221" s="1894"/>
      <c r="AL221" s="1894"/>
      <c r="AM221" s="1894"/>
      <c r="AN221" s="1894"/>
      <c r="AO221" s="1894"/>
      <c r="AP221" s="1894"/>
      <c r="AQ221" s="1894"/>
      <c r="AR221" s="1894"/>
      <c r="AS221" s="1894"/>
      <c r="AT221" s="1894"/>
      <c r="AU221" s="1894"/>
      <c r="AV221" s="1894"/>
      <c r="AW221" s="1894"/>
      <c r="AX221" s="1894"/>
      <c r="AY221" s="1894"/>
      <c r="AZ221" s="1894"/>
      <c r="BA221" s="1894"/>
      <c r="BB221" s="1894"/>
      <c r="BC221" s="1894"/>
      <c r="BD221" s="1895"/>
      <c r="BE221" s="1194"/>
    </row>
    <row r="222" spans="1:57" ht="15.75" customHeight="1">
      <c r="A222" s="1190"/>
      <c r="B222" s="1896"/>
      <c r="C222" s="1897"/>
      <c r="D222" s="1897"/>
      <c r="E222" s="1897"/>
      <c r="F222" s="1897"/>
      <c r="G222" s="1897"/>
      <c r="H222" s="1897"/>
      <c r="I222" s="1897"/>
      <c r="J222" s="1897"/>
      <c r="K222" s="1897"/>
      <c r="L222" s="1897"/>
      <c r="M222" s="1897"/>
      <c r="N222" s="1897"/>
      <c r="O222" s="1897"/>
      <c r="P222" s="1897"/>
      <c r="Q222" s="1897"/>
      <c r="R222" s="1897"/>
      <c r="S222" s="1897"/>
      <c r="T222" s="1897"/>
      <c r="U222" s="1897"/>
      <c r="V222" s="1897"/>
      <c r="W222" s="1897"/>
      <c r="X222" s="1897"/>
      <c r="Y222" s="1897"/>
      <c r="Z222" s="1897"/>
      <c r="AA222" s="1897"/>
      <c r="AB222" s="1897"/>
      <c r="AC222" s="1897"/>
      <c r="AD222" s="1897"/>
      <c r="AE222" s="1897"/>
      <c r="AF222" s="1897"/>
      <c r="AG222" s="1897"/>
      <c r="AH222" s="1897"/>
      <c r="AI222" s="1897"/>
      <c r="AJ222" s="1897"/>
      <c r="AK222" s="1897"/>
      <c r="AL222" s="1897"/>
      <c r="AM222" s="1897"/>
      <c r="AN222" s="1897"/>
      <c r="AO222" s="1897"/>
      <c r="AP222" s="1897"/>
      <c r="AQ222" s="1897"/>
      <c r="AR222" s="1897"/>
      <c r="AS222" s="1897"/>
      <c r="AT222" s="1897"/>
      <c r="AU222" s="1897"/>
      <c r="AV222" s="1897"/>
      <c r="AW222" s="1897"/>
      <c r="AX222" s="1897"/>
      <c r="AY222" s="1897"/>
      <c r="AZ222" s="1897"/>
      <c r="BA222" s="1897"/>
      <c r="BB222" s="1897"/>
      <c r="BC222" s="1897"/>
      <c r="BD222" s="1898"/>
      <c r="BE222" s="1194"/>
    </row>
    <row r="223" spans="1:57" ht="15.75" customHeight="1">
      <c r="A223" s="1190"/>
      <c r="B223" s="1899" t="s">
        <v>2291</v>
      </c>
      <c r="C223" s="1900"/>
      <c r="D223" s="1900"/>
      <c r="E223" s="1900"/>
      <c r="F223" s="1900"/>
      <c r="G223" s="1900"/>
      <c r="H223" s="1900"/>
      <c r="I223" s="1900"/>
      <c r="J223" s="1900"/>
      <c r="K223" s="1900"/>
      <c r="L223" s="1900"/>
      <c r="M223" s="1900"/>
      <c r="N223" s="1900"/>
      <c r="O223" s="1900"/>
      <c r="P223" s="1900"/>
      <c r="Q223" s="1900"/>
      <c r="R223" s="1900"/>
      <c r="S223" s="1900"/>
      <c r="T223" s="1900"/>
      <c r="U223" s="1900"/>
      <c r="V223" s="1900"/>
      <c r="W223" s="1900"/>
      <c r="X223" s="1900"/>
      <c r="Y223" s="1900"/>
      <c r="Z223" s="1900"/>
      <c r="AA223" s="1900"/>
      <c r="AB223" s="1900"/>
      <c r="AC223" s="1900"/>
      <c r="AD223" s="1900"/>
      <c r="AE223" s="1900"/>
      <c r="AF223" s="1900"/>
      <c r="AG223" s="1900"/>
      <c r="AH223" s="1900"/>
      <c r="AI223" s="1900"/>
      <c r="AJ223" s="1900"/>
      <c r="AK223" s="1900"/>
      <c r="AL223" s="1900"/>
      <c r="AM223" s="1900"/>
      <c r="AN223" s="1900"/>
      <c r="AO223" s="1900"/>
      <c r="AP223" s="1900"/>
      <c r="AQ223" s="1900"/>
      <c r="AR223" s="1900"/>
      <c r="AS223" s="1900"/>
      <c r="AT223" s="1900"/>
      <c r="AU223" s="1900"/>
      <c r="AV223" s="1900"/>
      <c r="AW223" s="1900"/>
      <c r="AX223" s="1900"/>
      <c r="AY223" s="1900"/>
      <c r="AZ223" s="1900"/>
      <c r="BA223" s="1900"/>
      <c r="BB223" s="1900"/>
      <c r="BC223" s="1900"/>
      <c r="BD223" s="1901"/>
      <c r="BE223" s="1194"/>
    </row>
    <row r="224" spans="1:57" ht="15.75" customHeight="1">
      <c r="A224" s="1190"/>
      <c r="B224" s="1899" t="s">
        <v>2290</v>
      </c>
      <c r="C224" s="1900"/>
      <c r="D224" s="1900"/>
      <c r="E224" s="1900"/>
      <c r="F224" s="1900"/>
      <c r="G224" s="1900"/>
      <c r="H224" s="1900"/>
      <c r="I224" s="1900"/>
      <c r="J224" s="1900"/>
      <c r="K224" s="1900"/>
      <c r="L224" s="1900"/>
      <c r="M224" s="1900"/>
      <c r="N224" s="1900"/>
      <c r="O224" s="1900"/>
      <c r="P224" s="1900"/>
      <c r="Q224" s="1900"/>
      <c r="R224" s="1900"/>
      <c r="S224" s="1900"/>
      <c r="T224" s="1900"/>
      <c r="U224" s="1900"/>
      <c r="V224" s="1900"/>
      <c r="W224" s="1900"/>
      <c r="X224" s="1900"/>
      <c r="Y224" s="1900"/>
      <c r="Z224" s="1900"/>
      <c r="AA224" s="1900"/>
      <c r="AB224" s="1900"/>
      <c r="AC224" s="1900"/>
      <c r="AD224" s="1900"/>
      <c r="AE224" s="1900"/>
      <c r="AF224" s="1900"/>
      <c r="AG224" s="1900"/>
      <c r="AH224" s="1900"/>
      <c r="AI224" s="1900"/>
      <c r="AJ224" s="1900"/>
      <c r="AK224" s="1900"/>
      <c r="AL224" s="1900"/>
      <c r="AM224" s="1900"/>
      <c r="AN224" s="1900"/>
      <c r="AO224" s="1900"/>
      <c r="AP224" s="1900"/>
      <c r="AQ224" s="1900"/>
      <c r="AR224" s="1900"/>
      <c r="AS224" s="1900"/>
      <c r="AT224" s="1900"/>
      <c r="AU224" s="1900"/>
      <c r="AV224" s="1900"/>
      <c r="AW224" s="1900"/>
      <c r="AX224" s="1900"/>
      <c r="AY224" s="1900"/>
      <c r="AZ224" s="1900"/>
      <c r="BA224" s="1900"/>
      <c r="BB224" s="1900"/>
      <c r="BC224" s="1900"/>
      <c r="BD224" s="1901"/>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902" t="s">
        <v>2289</v>
      </c>
      <c r="C226" s="1903"/>
      <c r="D226" s="1903"/>
      <c r="E226" s="1903"/>
      <c r="F226" s="1903"/>
      <c r="G226" s="1903"/>
      <c r="H226" s="1903"/>
      <c r="I226" s="1903"/>
      <c r="J226" s="1903"/>
      <c r="K226" s="1903"/>
      <c r="L226" s="1903"/>
      <c r="M226" s="1903"/>
      <c r="N226" s="1903"/>
      <c r="O226" s="1903"/>
      <c r="P226" s="1903"/>
      <c r="Q226" s="1903"/>
      <c r="R226" s="1903"/>
      <c r="S226" s="1903"/>
      <c r="T226" s="1903"/>
      <c r="U226" s="1903"/>
      <c r="V226" s="1903"/>
      <c r="W226" s="1903"/>
      <c r="X226" s="1903"/>
      <c r="Y226" s="1903"/>
      <c r="Z226" s="1903"/>
      <c r="AA226" s="1903"/>
      <c r="AB226" s="1903"/>
      <c r="AC226" s="1903"/>
      <c r="AD226" s="1903"/>
      <c r="AE226" s="1903"/>
      <c r="AF226" s="1903"/>
      <c r="AG226" s="1903"/>
      <c r="AH226" s="1903"/>
      <c r="AI226" s="1903"/>
      <c r="AJ226" s="1903"/>
      <c r="AK226" s="1903"/>
      <c r="AL226" s="1903"/>
      <c r="AM226" s="1903"/>
      <c r="AN226" s="1903"/>
      <c r="AO226" s="1903"/>
      <c r="AP226" s="1903"/>
      <c r="AQ226" s="1903"/>
      <c r="AR226" s="1903"/>
      <c r="AS226" s="1903"/>
      <c r="AT226" s="1903"/>
      <c r="AU226" s="1903"/>
      <c r="AV226" s="1903"/>
      <c r="AW226" s="1903"/>
      <c r="AX226" s="1903"/>
      <c r="AY226" s="1903"/>
      <c r="AZ226" s="1903"/>
      <c r="BA226" s="1903"/>
      <c r="BB226" s="1903"/>
      <c r="BC226" s="1903"/>
      <c r="BD226" s="1904"/>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2288</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5" t="s">
        <v>2287</v>
      </c>
      <c r="I230" s="1905"/>
      <c r="J230" s="1905"/>
      <c r="K230" s="1905"/>
      <c r="L230" s="1905"/>
      <c r="M230" s="1905"/>
      <c r="N230" s="1905"/>
      <c r="O230" s="1905"/>
      <c r="P230" s="1905"/>
      <c r="Q230" s="1905"/>
      <c r="R230" s="1905"/>
      <c r="S230" s="1905"/>
      <c r="T230" s="1905"/>
      <c r="U230" s="1905"/>
      <c r="V230" s="1905"/>
      <c r="W230" s="1905"/>
      <c r="X230" s="1905"/>
      <c r="Y230" s="1905"/>
      <c r="Z230" s="1905"/>
      <c r="AA230" s="1905"/>
      <c r="AB230" s="1905"/>
      <c r="AC230" s="1905"/>
      <c r="AD230" s="1905"/>
      <c r="AE230" s="1905"/>
      <c r="AF230" s="1905"/>
      <c r="AG230" s="1905"/>
      <c r="AH230" s="1905"/>
      <c r="AI230" s="1905"/>
      <c r="AJ230" s="1905"/>
      <c r="AK230" s="1905"/>
      <c r="AL230" s="1905"/>
      <c r="AM230" s="1905"/>
      <c r="AN230" s="1905"/>
      <c r="AO230" s="1905"/>
      <c r="AP230" s="1905"/>
      <c r="AQ230" s="1905"/>
      <c r="AR230" s="1905"/>
      <c r="AS230" s="1905"/>
      <c r="AT230" s="1905"/>
      <c r="AU230" s="1905"/>
      <c r="AV230" s="1905"/>
      <c r="AW230" s="1905"/>
      <c r="AX230" s="1905"/>
      <c r="AY230" s="1905"/>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8" t="s">
        <v>2286</v>
      </c>
      <c r="I232" s="1888"/>
      <c r="J232" s="1888"/>
      <c r="K232" s="1888"/>
      <c r="L232" s="1888"/>
      <c r="M232" s="1888"/>
      <c r="N232" s="1888"/>
      <c r="O232" s="1888"/>
      <c r="P232" s="1888"/>
      <c r="Q232" s="1888"/>
      <c r="R232" s="1888"/>
      <c r="S232" s="1888"/>
      <c r="T232" s="1888"/>
      <c r="U232" s="1888"/>
      <c r="V232" s="1888"/>
      <c r="W232" s="1888"/>
      <c r="X232" s="1888"/>
      <c r="Y232" s="1888"/>
      <c r="Z232" s="1888"/>
      <c r="AA232" s="1888"/>
      <c r="AB232" s="1888"/>
      <c r="AC232" s="1888"/>
      <c r="AD232" s="1888"/>
      <c r="AE232" s="1888"/>
      <c r="AF232" s="1888"/>
      <c r="AG232" s="1888"/>
      <c r="AH232" s="1888"/>
      <c r="AI232" s="1888"/>
      <c r="AJ232" s="1888"/>
      <c r="AK232" s="1888"/>
      <c r="AL232" s="1888"/>
      <c r="AM232" s="1888"/>
      <c r="AN232" s="1888"/>
      <c r="AO232" s="1888"/>
      <c r="AP232" s="1888"/>
      <c r="AQ232" s="1888"/>
      <c r="AR232" s="1888"/>
      <c r="AS232" s="1888"/>
      <c r="AT232" s="1888"/>
      <c r="AU232" s="1888"/>
      <c r="AV232" s="1888"/>
      <c r="AW232" s="1888"/>
      <c r="AX232" s="1888"/>
      <c r="AY232" s="1888"/>
      <c r="AZ232" s="1888"/>
      <c r="BA232" s="1190"/>
      <c r="BB232" s="1190"/>
      <c r="BC232" s="1190"/>
      <c r="BD232" s="1194"/>
      <c r="BE232" s="1194"/>
    </row>
    <row r="233" spans="1:57" ht="15.75" customHeight="1">
      <c r="A233" s="1190"/>
      <c r="B233" s="1189"/>
      <c r="C233" s="1190"/>
      <c r="D233" s="1190"/>
      <c r="E233" s="1190"/>
      <c r="F233" s="1190"/>
      <c r="G233" s="1190"/>
      <c r="H233" s="1888"/>
      <c r="I233" s="1888"/>
      <c r="J233" s="1888"/>
      <c r="K233" s="1888"/>
      <c r="L233" s="1888"/>
      <c r="M233" s="1888"/>
      <c r="N233" s="1888"/>
      <c r="O233" s="1888"/>
      <c r="P233" s="1888"/>
      <c r="Q233" s="1888"/>
      <c r="R233" s="1888"/>
      <c r="S233" s="1888"/>
      <c r="T233" s="1888"/>
      <c r="U233" s="1888"/>
      <c r="V233" s="1888"/>
      <c r="W233" s="1888"/>
      <c r="X233" s="1888"/>
      <c r="Y233" s="1888"/>
      <c r="Z233" s="1888"/>
      <c r="AA233" s="1888"/>
      <c r="AB233" s="1888"/>
      <c r="AC233" s="1888"/>
      <c r="AD233" s="1888"/>
      <c r="AE233" s="1888"/>
      <c r="AF233" s="1888"/>
      <c r="AG233" s="1888"/>
      <c r="AH233" s="1888"/>
      <c r="AI233" s="1888"/>
      <c r="AJ233" s="1888"/>
      <c r="AK233" s="1888"/>
      <c r="AL233" s="1888"/>
      <c r="AM233" s="1888"/>
      <c r="AN233" s="1888"/>
      <c r="AO233" s="1888"/>
      <c r="AP233" s="1888"/>
      <c r="AQ233" s="1888"/>
      <c r="AR233" s="1888"/>
      <c r="AS233" s="1888"/>
      <c r="AT233" s="1888"/>
      <c r="AU233" s="1888"/>
      <c r="AV233" s="1888"/>
      <c r="AW233" s="1888"/>
      <c r="AX233" s="1888"/>
      <c r="AY233" s="1888"/>
      <c r="AZ233" s="1888"/>
      <c r="BA233" s="1190"/>
      <c r="BB233" s="1190"/>
      <c r="BC233" s="1190"/>
      <c r="BD233" s="1194"/>
      <c r="BE233" s="1194"/>
    </row>
    <row r="234" spans="1:57" ht="15.75" customHeight="1">
      <c r="A234" s="1190"/>
      <c r="B234" s="1189"/>
      <c r="C234" s="1190"/>
      <c r="D234" s="1190"/>
      <c r="E234" s="1190"/>
      <c r="F234" s="1190"/>
      <c r="G234" s="1190"/>
      <c r="H234" s="1888"/>
      <c r="I234" s="1888"/>
      <c r="J234" s="1888"/>
      <c r="K234" s="1888"/>
      <c r="L234" s="1888"/>
      <c r="M234" s="1888"/>
      <c r="N234" s="1888"/>
      <c r="O234" s="1888"/>
      <c r="P234" s="1888"/>
      <c r="Q234" s="1888"/>
      <c r="R234" s="1888"/>
      <c r="S234" s="1888"/>
      <c r="T234" s="1888"/>
      <c r="U234" s="1888"/>
      <c r="V234" s="1888"/>
      <c r="W234" s="1888"/>
      <c r="X234" s="1888"/>
      <c r="Y234" s="1888"/>
      <c r="Z234" s="1888"/>
      <c r="AA234" s="1888"/>
      <c r="AB234" s="1888"/>
      <c r="AC234" s="1888"/>
      <c r="AD234" s="1888"/>
      <c r="AE234" s="1888"/>
      <c r="AF234" s="1888"/>
      <c r="AG234" s="1888"/>
      <c r="AH234" s="1888"/>
      <c r="AI234" s="1888"/>
      <c r="AJ234" s="1888"/>
      <c r="AK234" s="1888"/>
      <c r="AL234" s="1888"/>
      <c r="AM234" s="1888"/>
      <c r="AN234" s="1888"/>
      <c r="AO234" s="1888"/>
      <c r="AP234" s="1888"/>
      <c r="AQ234" s="1888"/>
      <c r="AR234" s="1888"/>
      <c r="AS234" s="1888"/>
      <c r="AT234" s="1888"/>
      <c r="AU234" s="1888"/>
      <c r="AV234" s="1888"/>
      <c r="AW234" s="1888"/>
      <c r="AX234" s="1888"/>
      <c r="AY234" s="1888"/>
      <c r="AZ234" s="1888"/>
      <c r="BA234" s="1190"/>
      <c r="BB234" s="1190"/>
      <c r="BC234" s="1190"/>
      <c r="BD234" s="1194"/>
      <c r="BE234" s="1194"/>
    </row>
    <row r="235" spans="1:57" ht="15.75" customHeight="1">
      <c r="A235" s="1190"/>
      <c r="B235" s="1189"/>
      <c r="C235" s="1190"/>
      <c r="D235" s="1190"/>
      <c r="E235" s="1190"/>
      <c r="F235" s="1190"/>
      <c r="G235" s="1190"/>
      <c r="H235" s="1888"/>
      <c r="I235" s="1888"/>
      <c r="J235" s="1888"/>
      <c r="K235" s="1888"/>
      <c r="L235" s="1888"/>
      <c r="M235" s="1888"/>
      <c r="N235" s="1888"/>
      <c r="O235" s="1888"/>
      <c r="P235" s="1888"/>
      <c r="Q235" s="1888"/>
      <c r="R235" s="1888"/>
      <c r="S235" s="1888"/>
      <c r="T235" s="1888"/>
      <c r="U235" s="1888"/>
      <c r="V235" s="1888"/>
      <c r="W235" s="1888"/>
      <c r="X235" s="1888"/>
      <c r="Y235" s="1888"/>
      <c r="Z235" s="1888"/>
      <c r="AA235" s="1888"/>
      <c r="AB235" s="1888"/>
      <c r="AC235" s="1888"/>
      <c r="AD235" s="1888"/>
      <c r="AE235" s="1888"/>
      <c r="AF235" s="1888"/>
      <c r="AG235" s="1888"/>
      <c r="AH235" s="1888"/>
      <c r="AI235" s="1888"/>
      <c r="AJ235" s="1888"/>
      <c r="AK235" s="1888"/>
      <c r="AL235" s="1888"/>
      <c r="AM235" s="1888"/>
      <c r="AN235" s="1888"/>
      <c r="AO235" s="1888"/>
      <c r="AP235" s="1888"/>
      <c r="AQ235" s="1888"/>
      <c r="AR235" s="1888"/>
      <c r="AS235" s="1888"/>
      <c r="AT235" s="1888"/>
      <c r="AU235" s="1888"/>
      <c r="AV235" s="1888"/>
      <c r="AW235" s="1888"/>
      <c r="AX235" s="1888"/>
      <c r="AY235" s="1888"/>
      <c r="AZ235" s="1888"/>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9" t="s">
        <v>2285</v>
      </c>
      <c r="I237" s="1889"/>
      <c r="J237" s="1889"/>
      <c r="K237" s="1889"/>
      <c r="L237" s="1889"/>
      <c r="M237" s="1889"/>
      <c r="N237" s="1889"/>
      <c r="O237" s="1889"/>
      <c r="P237" s="1889"/>
      <c r="Q237" s="1889"/>
      <c r="R237" s="1889"/>
      <c r="S237" s="1889"/>
      <c r="T237" s="1889"/>
      <c r="U237" s="1889"/>
      <c r="V237" s="1889"/>
      <c r="W237" s="1889"/>
      <c r="X237" s="1889"/>
      <c r="Y237" s="1889"/>
      <c r="Z237" s="1889"/>
      <c r="AA237" s="1889"/>
      <c r="AB237" s="1889"/>
      <c r="AC237" s="1889"/>
      <c r="AD237" s="1889"/>
      <c r="AE237" s="1889"/>
      <c r="AF237" s="1889"/>
      <c r="AG237" s="1889"/>
      <c r="AH237" s="1889"/>
      <c r="AI237" s="1889"/>
      <c r="AJ237" s="1889"/>
      <c r="AK237" s="1889"/>
      <c r="AL237" s="1889"/>
      <c r="AM237" s="1889"/>
      <c r="AN237" s="1889"/>
      <c r="AO237" s="1889"/>
      <c r="AP237" s="1889"/>
      <c r="AQ237" s="1889"/>
      <c r="AR237" s="1889"/>
      <c r="AS237" s="1889"/>
      <c r="AT237" s="1889"/>
      <c r="AU237" s="1889"/>
      <c r="AV237" s="1889"/>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9" t="s">
        <v>2284</v>
      </c>
      <c r="I239" s="1879"/>
      <c r="J239" s="1879"/>
      <c r="K239" s="1879"/>
      <c r="L239" s="1239"/>
      <c r="M239" s="1239"/>
      <c r="N239" s="1239"/>
      <c r="O239" s="1239"/>
      <c r="P239" s="1239"/>
      <c r="Q239" s="1239"/>
      <c r="R239" s="1239"/>
      <c r="S239" s="1890"/>
      <c r="T239" s="1891"/>
      <c r="U239" s="1891"/>
      <c r="V239" s="1891"/>
      <c r="W239" s="1891"/>
      <c r="X239" s="1891"/>
      <c r="Y239" s="1891"/>
      <c r="Z239" s="1891"/>
      <c r="AA239" s="1891"/>
      <c r="AB239" s="1891"/>
      <c r="AC239" s="1891"/>
      <c r="AD239" s="1891"/>
      <c r="AE239" s="1891"/>
      <c r="AF239" s="1891"/>
      <c r="AG239" s="1891"/>
      <c r="AH239" s="1891"/>
      <c r="AI239" s="1891"/>
      <c r="AJ239" s="1892"/>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9" t="s">
        <v>2283</v>
      </c>
      <c r="I241" s="1879"/>
      <c r="J241" s="1879"/>
      <c r="K241" s="1241"/>
      <c r="L241" s="1239"/>
      <c r="M241" s="1239"/>
      <c r="N241" s="1239"/>
      <c r="O241" s="1239"/>
      <c r="P241" s="1239"/>
      <c r="Q241" s="1239"/>
      <c r="R241" s="1239"/>
      <c r="S241" s="1880"/>
      <c r="T241" s="1881"/>
      <c r="U241" s="1881"/>
      <c r="V241" s="1881"/>
      <c r="W241" s="1881"/>
      <c r="X241" s="1881"/>
      <c r="Y241" s="1881"/>
      <c r="Z241" s="1881"/>
      <c r="AA241" s="1881"/>
      <c r="AB241" s="1881"/>
      <c r="AC241" s="1881"/>
      <c r="AD241" s="1881"/>
      <c r="AE241" s="1881"/>
      <c r="AF241" s="1881"/>
      <c r="AG241" s="1881"/>
      <c r="AH241" s="1881"/>
      <c r="AI241" s="1881"/>
      <c r="AJ241" s="1882"/>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9" t="s">
        <v>441</v>
      </c>
      <c r="I243" s="1879"/>
      <c r="J243" s="1241"/>
      <c r="K243" s="1241"/>
      <c r="L243" s="1239"/>
      <c r="M243" s="1239"/>
      <c r="N243" s="1239"/>
      <c r="O243" s="1239"/>
      <c r="P243" s="1239"/>
      <c r="Q243" s="1239"/>
      <c r="R243" s="1239"/>
      <c r="S243" s="1880"/>
      <c r="T243" s="1881"/>
      <c r="U243" s="1881"/>
      <c r="V243" s="1881"/>
      <c r="W243" s="1881"/>
      <c r="X243" s="1881"/>
      <c r="Y243" s="1881"/>
      <c r="Z243" s="1881"/>
      <c r="AA243" s="1881"/>
      <c r="AB243" s="1881"/>
      <c r="AC243" s="1881"/>
      <c r="AD243" s="1881"/>
      <c r="AE243" s="1881"/>
      <c r="AF243" s="1881"/>
      <c r="AG243" s="1881"/>
      <c r="AH243" s="1881"/>
      <c r="AI243" s="1881"/>
      <c r="AJ243" s="1882"/>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83" t="s">
        <v>2282</v>
      </c>
      <c r="I245" s="1883"/>
      <c r="J245" s="1883"/>
      <c r="K245" s="1883"/>
      <c r="L245" s="1883"/>
      <c r="M245" s="1883"/>
      <c r="N245" s="1883"/>
      <c r="O245" s="1883"/>
      <c r="P245" s="1239"/>
      <c r="Q245" s="1239"/>
      <c r="R245" s="1239"/>
      <c r="S245" s="1880"/>
      <c r="T245" s="1881"/>
      <c r="U245" s="1881"/>
      <c r="V245" s="1881"/>
      <c r="W245" s="1881"/>
      <c r="X245" s="1881"/>
      <c r="Y245" s="1881"/>
      <c r="Z245" s="1881"/>
      <c r="AA245" s="1881"/>
      <c r="AB245" s="1881"/>
      <c r="AC245" s="1881"/>
      <c r="AD245" s="1881"/>
      <c r="AE245" s="1881"/>
      <c r="AF245" s="1881"/>
      <c r="AG245" s="1881"/>
      <c r="AH245" s="1881"/>
      <c r="AI245" s="1881"/>
      <c r="AJ245" s="1882"/>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4" t="s">
        <v>2281</v>
      </c>
      <c r="I247" s="1884"/>
      <c r="J247" s="1239"/>
      <c r="K247" s="1239"/>
      <c r="L247" s="1239"/>
      <c r="M247" s="1239"/>
      <c r="N247" s="1239"/>
      <c r="O247" s="1239"/>
      <c r="P247" s="1239"/>
      <c r="Q247" s="1239"/>
      <c r="R247" s="1239"/>
      <c r="S247" s="1885"/>
      <c r="T247" s="1886"/>
      <c r="U247" s="1886"/>
      <c r="V247" s="1886"/>
      <c r="W247" s="1886"/>
      <c r="X247" s="1886"/>
      <c r="Y247" s="1886"/>
      <c r="Z247" s="1886"/>
      <c r="AA247" s="1886"/>
      <c r="AB247" s="1886"/>
      <c r="AC247" s="1886"/>
      <c r="AD247" s="1886"/>
      <c r="AE247" s="1886"/>
      <c r="AF247" s="1886"/>
      <c r="AG247" s="1886"/>
      <c r="AH247" s="1886"/>
      <c r="AI247" s="1886"/>
      <c r="AJ247" s="1887"/>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249</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120" workbookViewId="0">
      <selection activeCell="T11" sqref="T11:X11"/>
    </sheetView>
  </sheetViews>
  <sheetFormatPr defaultColWidth="0" defaultRowHeight="12.95" customHeight="1"/>
  <cols>
    <col min="1" max="1" width="1.42578125" style="402" customWidth="1"/>
    <col min="2" max="2" width="0.85546875" style="402" customWidth="1"/>
    <col min="3" max="18" width="2.42578125" style="402" customWidth="1"/>
    <col min="19" max="19" width="6.28515625" style="402" customWidth="1"/>
    <col min="20" max="39" width="2.7109375" style="402" customWidth="1"/>
    <col min="40" max="40" width="1.42578125" style="402" customWidth="1"/>
    <col min="41" max="256" width="2.42578125" style="402" hidden="1"/>
    <col min="257" max="257" width="1.42578125" style="402" hidden="1" customWidth="1"/>
    <col min="258" max="258" width="0.85546875" style="402" hidden="1" customWidth="1"/>
    <col min="259" max="274" width="2.42578125" style="402" hidden="1" customWidth="1"/>
    <col min="275" max="275" width="4" style="402" hidden="1" customWidth="1"/>
    <col min="276" max="295" width="2.42578125" style="402" hidden="1" customWidth="1"/>
    <col min="296" max="296" width="1.42578125" style="402" hidden="1" customWidth="1"/>
    <col min="297" max="512" width="2.42578125" style="402" hidden="1"/>
    <col min="513" max="513" width="1.42578125" style="402" hidden="1" customWidth="1"/>
    <col min="514" max="514" width="0.85546875" style="402" hidden="1" customWidth="1"/>
    <col min="515" max="530" width="2.42578125" style="402" hidden="1" customWidth="1"/>
    <col min="531" max="531" width="4" style="402" hidden="1" customWidth="1"/>
    <col min="532" max="551" width="2.42578125" style="402" hidden="1" customWidth="1"/>
    <col min="552" max="552" width="1.42578125" style="402" hidden="1" customWidth="1"/>
    <col min="553" max="768" width="2.42578125" style="402" hidden="1"/>
    <col min="769" max="769" width="1.42578125" style="402" hidden="1" customWidth="1"/>
    <col min="770" max="770" width="0.85546875" style="402" hidden="1" customWidth="1"/>
    <col min="771" max="786" width="2.42578125" style="402" hidden="1" customWidth="1"/>
    <col min="787" max="787" width="4" style="402" hidden="1" customWidth="1"/>
    <col min="788" max="807" width="2.42578125" style="402" hidden="1" customWidth="1"/>
    <col min="808" max="808" width="1.42578125" style="402" hidden="1" customWidth="1"/>
    <col min="809" max="1024" width="2.42578125" style="402" hidden="1"/>
    <col min="1025" max="1025" width="1.42578125" style="402" hidden="1" customWidth="1"/>
    <col min="1026" max="1026" width="0.85546875" style="402" hidden="1" customWidth="1"/>
    <col min="1027" max="1042" width="2.42578125" style="402" hidden="1" customWidth="1"/>
    <col min="1043" max="1043" width="4" style="402" hidden="1" customWidth="1"/>
    <col min="1044" max="1063" width="2.42578125" style="402" hidden="1" customWidth="1"/>
    <col min="1064" max="1064" width="1.42578125" style="402" hidden="1" customWidth="1"/>
    <col min="1065" max="1280" width="2.42578125" style="402" hidden="1"/>
    <col min="1281" max="1281" width="1.42578125" style="402" hidden="1" customWidth="1"/>
    <col min="1282" max="1282" width="0.85546875" style="402" hidden="1" customWidth="1"/>
    <col min="1283" max="1298" width="2.42578125" style="402" hidden="1" customWidth="1"/>
    <col min="1299" max="1299" width="4" style="402" hidden="1" customWidth="1"/>
    <col min="1300" max="1319" width="2.42578125" style="402" hidden="1" customWidth="1"/>
    <col min="1320" max="1320" width="1.42578125" style="402" hidden="1" customWidth="1"/>
    <col min="1321" max="1536" width="2.42578125" style="402" hidden="1"/>
    <col min="1537" max="1537" width="1.42578125" style="402" hidden="1" customWidth="1"/>
    <col min="1538" max="1538" width="0.85546875" style="402" hidden="1" customWidth="1"/>
    <col min="1539" max="1554" width="2.42578125" style="402" hidden="1" customWidth="1"/>
    <col min="1555" max="1555" width="4" style="402" hidden="1" customWidth="1"/>
    <col min="1556" max="1575" width="2.42578125" style="402" hidden="1" customWidth="1"/>
    <col min="1576" max="1576" width="1.42578125" style="402" hidden="1" customWidth="1"/>
    <col min="1577" max="1792" width="2.42578125" style="402" hidden="1"/>
    <col min="1793" max="1793" width="1.42578125" style="402" hidden="1" customWidth="1"/>
    <col min="1794" max="1794" width="0.85546875" style="402" hidden="1" customWidth="1"/>
    <col min="1795" max="1810" width="2.42578125" style="402" hidden="1" customWidth="1"/>
    <col min="1811" max="1811" width="4" style="402" hidden="1" customWidth="1"/>
    <col min="1812" max="1831" width="2.42578125" style="402" hidden="1" customWidth="1"/>
    <col min="1832" max="1832" width="1.42578125" style="402" hidden="1" customWidth="1"/>
    <col min="1833" max="2048" width="2.42578125" style="402" hidden="1"/>
    <col min="2049" max="2049" width="1.42578125" style="402" hidden="1" customWidth="1"/>
    <col min="2050" max="2050" width="0.85546875" style="402" hidden="1" customWidth="1"/>
    <col min="2051" max="2066" width="2.42578125" style="402" hidden="1" customWidth="1"/>
    <col min="2067" max="2067" width="4" style="402" hidden="1" customWidth="1"/>
    <col min="2068" max="2087" width="2.42578125" style="402" hidden="1" customWidth="1"/>
    <col min="2088" max="2088" width="1.42578125" style="402" hidden="1" customWidth="1"/>
    <col min="2089" max="2304" width="2.42578125" style="402" hidden="1"/>
    <col min="2305" max="2305" width="1.42578125" style="402" hidden="1" customWidth="1"/>
    <col min="2306" max="2306" width="0.85546875" style="402" hidden="1" customWidth="1"/>
    <col min="2307" max="2322" width="2.42578125" style="402" hidden="1" customWidth="1"/>
    <col min="2323" max="2323" width="4" style="402" hidden="1" customWidth="1"/>
    <col min="2324" max="2343" width="2.42578125" style="402" hidden="1" customWidth="1"/>
    <col min="2344" max="2344" width="1.42578125" style="402" hidden="1" customWidth="1"/>
    <col min="2345" max="2560" width="2.42578125" style="402" hidden="1"/>
    <col min="2561" max="2561" width="1.42578125" style="402" hidden="1" customWidth="1"/>
    <col min="2562" max="2562" width="0.85546875" style="402" hidden="1" customWidth="1"/>
    <col min="2563" max="2578" width="2.42578125" style="402" hidden="1" customWidth="1"/>
    <col min="2579" max="2579" width="4" style="402" hidden="1" customWidth="1"/>
    <col min="2580" max="2599" width="2.42578125" style="402" hidden="1" customWidth="1"/>
    <col min="2600" max="2600" width="1.42578125" style="402" hidden="1" customWidth="1"/>
    <col min="2601" max="2816" width="2.42578125" style="402" hidden="1"/>
    <col min="2817" max="2817" width="1.42578125" style="402" hidden="1" customWidth="1"/>
    <col min="2818" max="2818" width="0.85546875" style="402" hidden="1" customWidth="1"/>
    <col min="2819" max="2834" width="2.42578125" style="402" hidden="1" customWidth="1"/>
    <col min="2835" max="2835" width="4" style="402" hidden="1" customWidth="1"/>
    <col min="2836" max="2855" width="2.42578125" style="402" hidden="1" customWidth="1"/>
    <col min="2856" max="2856" width="1.42578125" style="402" hidden="1" customWidth="1"/>
    <col min="2857" max="3072" width="2.42578125" style="402" hidden="1"/>
    <col min="3073" max="3073" width="1.42578125" style="402" hidden="1" customWidth="1"/>
    <col min="3074" max="3074" width="0.85546875" style="402" hidden="1" customWidth="1"/>
    <col min="3075" max="3090" width="2.42578125" style="402" hidden="1" customWidth="1"/>
    <col min="3091" max="3091" width="4" style="402" hidden="1" customWidth="1"/>
    <col min="3092" max="3111" width="2.42578125" style="402" hidden="1" customWidth="1"/>
    <col min="3112" max="3112" width="1.42578125" style="402" hidden="1" customWidth="1"/>
    <col min="3113" max="3328" width="2.42578125" style="402" hidden="1"/>
    <col min="3329" max="3329" width="1.42578125" style="402" hidden="1" customWidth="1"/>
    <col min="3330" max="3330" width="0.85546875" style="402" hidden="1" customWidth="1"/>
    <col min="3331" max="3346" width="2.42578125" style="402" hidden="1" customWidth="1"/>
    <col min="3347" max="3347" width="4" style="402" hidden="1" customWidth="1"/>
    <col min="3348" max="3367" width="2.42578125" style="402" hidden="1" customWidth="1"/>
    <col min="3368" max="3368" width="1.42578125" style="402" hidden="1" customWidth="1"/>
    <col min="3369" max="3584" width="2.42578125" style="402" hidden="1"/>
    <col min="3585" max="3585" width="1.42578125" style="402" hidden="1" customWidth="1"/>
    <col min="3586" max="3586" width="0.85546875" style="402" hidden="1" customWidth="1"/>
    <col min="3587" max="3602" width="2.42578125" style="402" hidden="1" customWidth="1"/>
    <col min="3603" max="3603" width="4" style="402" hidden="1" customWidth="1"/>
    <col min="3604" max="3623" width="2.42578125" style="402" hidden="1" customWidth="1"/>
    <col min="3624" max="3624" width="1.42578125" style="402" hidden="1" customWidth="1"/>
    <col min="3625" max="3840" width="2.42578125" style="402" hidden="1"/>
    <col min="3841" max="3841" width="1.42578125" style="402" hidden="1" customWidth="1"/>
    <col min="3842" max="3842" width="0.85546875" style="402" hidden="1" customWidth="1"/>
    <col min="3843" max="3858" width="2.42578125" style="402" hidden="1" customWidth="1"/>
    <col min="3859" max="3859" width="4" style="402" hidden="1" customWidth="1"/>
    <col min="3860" max="3879" width="2.42578125" style="402" hidden="1" customWidth="1"/>
    <col min="3880" max="3880" width="1.42578125" style="402" hidden="1" customWidth="1"/>
    <col min="3881" max="4096" width="2.42578125" style="402" hidden="1"/>
    <col min="4097" max="4097" width="1.42578125" style="402" hidden="1" customWidth="1"/>
    <col min="4098" max="4098" width="0.85546875" style="402" hidden="1" customWidth="1"/>
    <col min="4099" max="4114" width="2.42578125" style="402" hidden="1" customWidth="1"/>
    <col min="4115" max="4115" width="4" style="402" hidden="1" customWidth="1"/>
    <col min="4116" max="4135" width="2.42578125" style="402" hidden="1" customWidth="1"/>
    <col min="4136" max="4136" width="1.42578125" style="402" hidden="1" customWidth="1"/>
    <col min="4137" max="4352" width="2.42578125" style="402" hidden="1"/>
    <col min="4353" max="4353" width="1.42578125" style="402" hidden="1" customWidth="1"/>
    <col min="4354" max="4354" width="0.85546875" style="402" hidden="1" customWidth="1"/>
    <col min="4355" max="4370" width="2.42578125" style="402" hidden="1" customWidth="1"/>
    <col min="4371" max="4371" width="4" style="402" hidden="1" customWidth="1"/>
    <col min="4372" max="4391" width="2.42578125" style="402" hidden="1" customWidth="1"/>
    <col min="4392" max="4392" width="1.42578125" style="402" hidden="1" customWidth="1"/>
    <col min="4393" max="4608" width="2.42578125" style="402" hidden="1"/>
    <col min="4609" max="4609" width="1.42578125" style="402" hidden="1" customWidth="1"/>
    <col min="4610" max="4610" width="0.85546875" style="402" hidden="1" customWidth="1"/>
    <col min="4611" max="4626" width="2.42578125" style="402" hidden="1" customWidth="1"/>
    <col min="4627" max="4627" width="4" style="402" hidden="1" customWidth="1"/>
    <col min="4628" max="4647" width="2.42578125" style="402" hidden="1" customWidth="1"/>
    <col min="4648" max="4648" width="1.42578125" style="402" hidden="1" customWidth="1"/>
    <col min="4649" max="4864" width="2.42578125" style="402" hidden="1"/>
    <col min="4865" max="4865" width="1.42578125" style="402" hidden="1" customWidth="1"/>
    <col min="4866" max="4866" width="0.85546875" style="402" hidden="1" customWidth="1"/>
    <col min="4867" max="4882" width="2.42578125" style="402" hidden="1" customWidth="1"/>
    <col min="4883" max="4883" width="4" style="402" hidden="1" customWidth="1"/>
    <col min="4884" max="4903" width="2.42578125" style="402" hidden="1" customWidth="1"/>
    <col min="4904" max="4904" width="1.42578125" style="402" hidden="1" customWidth="1"/>
    <col min="4905" max="5120" width="2.42578125" style="402" hidden="1"/>
    <col min="5121" max="5121" width="1.42578125" style="402" hidden="1" customWidth="1"/>
    <col min="5122" max="5122" width="0.85546875" style="402" hidden="1" customWidth="1"/>
    <col min="5123" max="5138" width="2.42578125" style="402" hidden="1" customWidth="1"/>
    <col min="5139" max="5139" width="4" style="402" hidden="1" customWidth="1"/>
    <col min="5140" max="5159" width="2.42578125" style="402" hidden="1" customWidth="1"/>
    <col min="5160" max="5160" width="1.42578125" style="402" hidden="1" customWidth="1"/>
    <col min="5161" max="5376" width="2.42578125" style="402" hidden="1"/>
    <col min="5377" max="5377" width="1.42578125" style="402" hidden="1" customWidth="1"/>
    <col min="5378" max="5378" width="0.85546875" style="402" hidden="1" customWidth="1"/>
    <col min="5379" max="5394" width="2.42578125" style="402" hidden="1" customWidth="1"/>
    <col min="5395" max="5395" width="4" style="402" hidden="1" customWidth="1"/>
    <col min="5396" max="5415" width="2.42578125" style="402" hidden="1" customWidth="1"/>
    <col min="5416" max="5416" width="1.42578125" style="402" hidden="1" customWidth="1"/>
    <col min="5417" max="5632" width="2.42578125" style="402" hidden="1"/>
    <col min="5633" max="5633" width="1.42578125" style="402" hidden="1" customWidth="1"/>
    <col min="5634" max="5634" width="0.85546875" style="402" hidden="1" customWidth="1"/>
    <col min="5635" max="5650" width="2.42578125" style="402" hidden="1" customWidth="1"/>
    <col min="5651" max="5651" width="4" style="402" hidden="1" customWidth="1"/>
    <col min="5652" max="5671" width="2.42578125" style="402" hidden="1" customWidth="1"/>
    <col min="5672" max="5672" width="1.42578125" style="402" hidden="1" customWidth="1"/>
    <col min="5673" max="5888" width="2.42578125" style="402" hidden="1"/>
    <col min="5889" max="5889" width="1.42578125" style="402" hidden="1" customWidth="1"/>
    <col min="5890" max="5890" width="0.85546875" style="402" hidden="1" customWidth="1"/>
    <col min="5891" max="5906" width="2.42578125" style="402" hidden="1" customWidth="1"/>
    <col min="5907" max="5907" width="4" style="402" hidden="1" customWidth="1"/>
    <col min="5908" max="5927" width="2.42578125" style="402" hidden="1" customWidth="1"/>
    <col min="5928" max="5928" width="1.42578125" style="402" hidden="1" customWidth="1"/>
    <col min="5929" max="6144" width="2.42578125" style="402" hidden="1"/>
    <col min="6145" max="6145" width="1.42578125" style="402" hidden="1" customWidth="1"/>
    <col min="6146" max="6146" width="0.85546875" style="402" hidden="1" customWidth="1"/>
    <col min="6147" max="6162" width="2.42578125" style="402" hidden="1" customWidth="1"/>
    <col min="6163" max="6163" width="4" style="402" hidden="1" customWidth="1"/>
    <col min="6164" max="6183" width="2.42578125" style="402" hidden="1" customWidth="1"/>
    <col min="6184" max="6184" width="1.42578125" style="402" hidden="1" customWidth="1"/>
    <col min="6185" max="6400" width="2.42578125" style="402" hidden="1"/>
    <col min="6401" max="6401" width="1.42578125" style="402" hidden="1" customWidth="1"/>
    <col min="6402" max="6402" width="0.85546875" style="402" hidden="1" customWidth="1"/>
    <col min="6403" max="6418" width="2.42578125" style="402" hidden="1" customWidth="1"/>
    <col min="6419" max="6419" width="4" style="402" hidden="1" customWidth="1"/>
    <col min="6420" max="6439" width="2.42578125" style="402" hidden="1" customWidth="1"/>
    <col min="6440" max="6440" width="1.42578125" style="402" hidden="1" customWidth="1"/>
    <col min="6441" max="6656" width="2.42578125" style="402" hidden="1"/>
    <col min="6657" max="6657" width="1.42578125" style="402" hidden="1" customWidth="1"/>
    <col min="6658" max="6658" width="0.85546875" style="402" hidden="1" customWidth="1"/>
    <col min="6659" max="6674" width="2.42578125" style="402" hidden="1" customWidth="1"/>
    <col min="6675" max="6675" width="4" style="402" hidden="1" customWidth="1"/>
    <col min="6676" max="6695" width="2.42578125" style="402" hidden="1" customWidth="1"/>
    <col min="6696" max="6696" width="1.42578125" style="402" hidden="1" customWidth="1"/>
    <col min="6697" max="6912" width="2.42578125" style="402" hidden="1"/>
    <col min="6913" max="6913" width="1.42578125" style="402" hidden="1" customWidth="1"/>
    <col min="6914" max="6914" width="0.85546875" style="402" hidden="1" customWidth="1"/>
    <col min="6915" max="6930" width="2.42578125" style="402" hidden="1" customWidth="1"/>
    <col min="6931" max="6931" width="4" style="402" hidden="1" customWidth="1"/>
    <col min="6932" max="6951" width="2.42578125" style="402" hidden="1" customWidth="1"/>
    <col min="6952" max="6952" width="1.42578125" style="402" hidden="1" customWidth="1"/>
    <col min="6953" max="7168" width="2.42578125" style="402" hidden="1"/>
    <col min="7169" max="7169" width="1.42578125" style="402" hidden="1" customWidth="1"/>
    <col min="7170" max="7170" width="0.85546875" style="402" hidden="1" customWidth="1"/>
    <col min="7171" max="7186" width="2.42578125" style="402" hidden="1" customWidth="1"/>
    <col min="7187" max="7187" width="4" style="402" hidden="1" customWidth="1"/>
    <col min="7188" max="7207" width="2.42578125" style="402" hidden="1" customWidth="1"/>
    <col min="7208" max="7208" width="1.42578125" style="402" hidden="1" customWidth="1"/>
    <col min="7209" max="7424" width="2.42578125" style="402" hidden="1"/>
    <col min="7425" max="7425" width="1.42578125" style="402" hidden="1" customWidth="1"/>
    <col min="7426" max="7426" width="0.85546875" style="402" hidden="1" customWidth="1"/>
    <col min="7427" max="7442" width="2.42578125" style="402" hidden="1" customWidth="1"/>
    <col min="7443" max="7443" width="4" style="402" hidden="1" customWidth="1"/>
    <col min="7444" max="7463" width="2.42578125" style="402" hidden="1" customWidth="1"/>
    <col min="7464" max="7464" width="1.42578125" style="402" hidden="1" customWidth="1"/>
    <col min="7465" max="7680" width="2.42578125" style="402" hidden="1"/>
    <col min="7681" max="7681" width="1.42578125" style="402" hidden="1" customWidth="1"/>
    <col min="7682" max="7682" width="0.85546875" style="402" hidden="1" customWidth="1"/>
    <col min="7683" max="7698" width="2.42578125" style="402" hidden="1" customWidth="1"/>
    <col min="7699" max="7699" width="4" style="402" hidden="1" customWidth="1"/>
    <col min="7700" max="7719" width="2.42578125" style="402" hidden="1" customWidth="1"/>
    <col min="7720" max="7720" width="1.42578125" style="402" hidden="1" customWidth="1"/>
    <col min="7721" max="7936" width="2.42578125" style="402" hidden="1"/>
    <col min="7937" max="7937" width="1.42578125" style="402" hidden="1" customWidth="1"/>
    <col min="7938" max="7938" width="0.85546875" style="402" hidden="1" customWidth="1"/>
    <col min="7939" max="7954" width="2.42578125" style="402" hidden="1" customWidth="1"/>
    <col min="7955" max="7955" width="4" style="402" hidden="1" customWidth="1"/>
    <col min="7956" max="7975" width="2.42578125" style="402" hidden="1" customWidth="1"/>
    <col min="7976" max="7976" width="1.42578125" style="402" hidden="1" customWidth="1"/>
    <col min="7977" max="8192" width="2.42578125" style="402" hidden="1"/>
    <col min="8193" max="8193" width="1.42578125" style="402" hidden="1" customWidth="1"/>
    <col min="8194" max="8194" width="0.85546875" style="402" hidden="1" customWidth="1"/>
    <col min="8195" max="8210" width="2.42578125" style="402" hidden="1" customWidth="1"/>
    <col min="8211" max="8211" width="4" style="402" hidden="1" customWidth="1"/>
    <col min="8212" max="8231" width="2.42578125" style="402" hidden="1" customWidth="1"/>
    <col min="8232" max="8232" width="1.42578125" style="402" hidden="1" customWidth="1"/>
    <col min="8233" max="8448" width="2.42578125" style="402" hidden="1"/>
    <col min="8449" max="8449" width="1.42578125" style="402" hidden="1" customWidth="1"/>
    <col min="8450" max="8450" width="0.85546875" style="402" hidden="1" customWidth="1"/>
    <col min="8451" max="8466" width="2.42578125" style="402" hidden="1" customWidth="1"/>
    <col min="8467" max="8467" width="4" style="402" hidden="1" customWidth="1"/>
    <col min="8468" max="8487" width="2.42578125" style="402" hidden="1" customWidth="1"/>
    <col min="8488" max="8488" width="1.42578125" style="402" hidden="1" customWidth="1"/>
    <col min="8489" max="8704" width="2.42578125" style="402" hidden="1"/>
    <col min="8705" max="8705" width="1.42578125" style="402" hidden="1" customWidth="1"/>
    <col min="8706" max="8706" width="0.85546875" style="402" hidden="1" customWidth="1"/>
    <col min="8707" max="8722" width="2.42578125" style="402" hidden="1" customWidth="1"/>
    <col min="8723" max="8723" width="4" style="402" hidden="1" customWidth="1"/>
    <col min="8724" max="8743" width="2.42578125" style="402" hidden="1" customWidth="1"/>
    <col min="8744" max="8744" width="1.42578125" style="402" hidden="1" customWidth="1"/>
    <col min="8745" max="8960" width="2.42578125" style="402" hidden="1"/>
    <col min="8961" max="8961" width="1.42578125" style="402" hidden="1" customWidth="1"/>
    <col min="8962" max="8962" width="0.85546875" style="402" hidden="1" customWidth="1"/>
    <col min="8963" max="8978" width="2.42578125" style="402" hidden="1" customWidth="1"/>
    <col min="8979" max="8979" width="4" style="402" hidden="1" customWidth="1"/>
    <col min="8980" max="8999" width="2.42578125" style="402" hidden="1" customWidth="1"/>
    <col min="9000" max="9000" width="1.42578125" style="402" hidden="1" customWidth="1"/>
    <col min="9001" max="9216" width="2.42578125" style="402" hidden="1"/>
    <col min="9217" max="9217" width="1.42578125" style="402" hidden="1" customWidth="1"/>
    <col min="9218" max="9218" width="0.85546875" style="402" hidden="1" customWidth="1"/>
    <col min="9219" max="9234" width="2.42578125" style="402" hidden="1" customWidth="1"/>
    <col min="9235" max="9235" width="4" style="402" hidden="1" customWidth="1"/>
    <col min="9236" max="9255" width="2.42578125" style="402" hidden="1" customWidth="1"/>
    <col min="9256" max="9256" width="1.42578125" style="402" hidden="1" customWidth="1"/>
    <col min="9257" max="9472" width="2.42578125" style="402" hidden="1"/>
    <col min="9473" max="9473" width="1.42578125" style="402" hidden="1" customWidth="1"/>
    <col min="9474" max="9474" width="0.85546875" style="402" hidden="1" customWidth="1"/>
    <col min="9475" max="9490" width="2.42578125" style="402" hidden="1" customWidth="1"/>
    <col min="9491" max="9491" width="4" style="402" hidden="1" customWidth="1"/>
    <col min="9492" max="9511" width="2.42578125" style="402" hidden="1" customWidth="1"/>
    <col min="9512" max="9512" width="1.42578125" style="402" hidden="1" customWidth="1"/>
    <col min="9513" max="9728" width="2.42578125" style="402" hidden="1"/>
    <col min="9729" max="9729" width="1.42578125" style="402" hidden="1" customWidth="1"/>
    <col min="9730" max="9730" width="0.85546875" style="402" hidden="1" customWidth="1"/>
    <col min="9731" max="9746" width="2.42578125" style="402" hidden="1" customWidth="1"/>
    <col min="9747" max="9747" width="4" style="402" hidden="1" customWidth="1"/>
    <col min="9748" max="9767" width="2.42578125" style="402" hidden="1" customWidth="1"/>
    <col min="9768" max="9768" width="1.42578125" style="402" hidden="1" customWidth="1"/>
    <col min="9769" max="9984" width="2.42578125" style="402" hidden="1"/>
    <col min="9985" max="9985" width="1.42578125" style="402" hidden="1" customWidth="1"/>
    <col min="9986" max="9986" width="0.85546875" style="402" hidden="1" customWidth="1"/>
    <col min="9987" max="10002" width="2.42578125" style="402" hidden="1" customWidth="1"/>
    <col min="10003" max="10003" width="4" style="402" hidden="1" customWidth="1"/>
    <col min="10004" max="10023" width="2.42578125" style="402" hidden="1" customWidth="1"/>
    <col min="10024" max="10024" width="1.42578125" style="402" hidden="1" customWidth="1"/>
    <col min="10025" max="10240" width="2.42578125" style="402" hidden="1"/>
    <col min="10241" max="10241" width="1.42578125" style="402" hidden="1" customWidth="1"/>
    <col min="10242" max="10242" width="0.85546875" style="402" hidden="1" customWidth="1"/>
    <col min="10243" max="10258" width="2.42578125" style="402" hidden="1" customWidth="1"/>
    <col min="10259" max="10259" width="4" style="402" hidden="1" customWidth="1"/>
    <col min="10260" max="10279" width="2.42578125" style="402" hidden="1" customWidth="1"/>
    <col min="10280" max="10280" width="1.42578125" style="402" hidden="1" customWidth="1"/>
    <col min="10281" max="10496" width="2.42578125" style="402" hidden="1"/>
    <col min="10497" max="10497" width="1.42578125" style="402" hidden="1" customWidth="1"/>
    <col min="10498" max="10498" width="0.85546875" style="402" hidden="1" customWidth="1"/>
    <col min="10499" max="10514" width="2.42578125" style="402" hidden="1" customWidth="1"/>
    <col min="10515" max="10515" width="4" style="402" hidden="1" customWidth="1"/>
    <col min="10516" max="10535" width="2.42578125" style="402" hidden="1" customWidth="1"/>
    <col min="10536" max="10536" width="1.42578125" style="402" hidden="1" customWidth="1"/>
    <col min="10537" max="10752" width="2.42578125" style="402" hidden="1"/>
    <col min="10753" max="10753" width="1.42578125" style="402" hidden="1" customWidth="1"/>
    <col min="10754" max="10754" width="0.85546875" style="402" hidden="1" customWidth="1"/>
    <col min="10755" max="10770" width="2.42578125" style="402" hidden="1" customWidth="1"/>
    <col min="10771" max="10771" width="4" style="402" hidden="1" customWidth="1"/>
    <col min="10772" max="10791" width="2.42578125" style="402" hidden="1" customWidth="1"/>
    <col min="10792" max="10792" width="1.42578125" style="402" hidden="1" customWidth="1"/>
    <col min="10793" max="11008" width="2.42578125" style="402" hidden="1"/>
    <col min="11009" max="11009" width="1.42578125" style="402" hidden="1" customWidth="1"/>
    <col min="11010" max="11010" width="0.85546875" style="402" hidden="1" customWidth="1"/>
    <col min="11011" max="11026" width="2.42578125" style="402" hidden="1" customWidth="1"/>
    <col min="11027" max="11027" width="4" style="402" hidden="1" customWidth="1"/>
    <col min="11028" max="11047" width="2.42578125" style="402" hidden="1" customWidth="1"/>
    <col min="11048" max="11048" width="1.42578125" style="402" hidden="1" customWidth="1"/>
    <col min="11049" max="11264" width="2.42578125" style="402" hidden="1"/>
    <col min="11265" max="11265" width="1.42578125" style="402" hidden="1" customWidth="1"/>
    <col min="11266" max="11266" width="0.85546875" style="402" hidden="1" customWidth="1"/>
    <col min="11267" max="11282" width="2.42578125" style="402" hidden="1" customWidth="1"/>
    <col min="11283" max="11283" width="4" style="402" hidden="1" customWidth="1"/>
    <col min="11284" max="11303" width="2.42578125" style="402" hidden="1" customWidth="1"/>
    <col min="11304" max="11304" width="1.42578125" style="402" hidden="1" customWidth="1"/>
    <col min="11305" max="11520" width="2.42578125" style="402" hidden="1"/>
    <col min="11521" max="11521" width="1.42578125" style="402" hidden="1" customWidth="1"/>
    <col min="11522" max="11522" width="0.85546875" style="402" hidden="1" customWidth="1"/>
    <col min="11523" max="11538" width="2.42578125" style="402" hidden="1" customWidth="1"/>
    <col min="11539" max="11539" width="4" style="402" hidden="1" customWidth="1"/>
    <col min="11540" max="11559" width="2.42578125" style="402" hidden="1" customWidth="1"/>
    <col min="11560" max="11560" width="1.42578125" style="402" hidden="1" customWidth="1"/>
    <col min="11561" max="11776" width="2.42578125" style="402" hidden="1"/>
    <col min="11777" max="11777" width="1.42578125" style="402" hidden="1" customWidth="1"/>
    <col min="11778" max="11778" width="0.85546875" style="402" hidden="1" customWidth="1"/>
    <col min="11779" max="11794" width="2.42578125" style="402" hidden="1" customWidth="1"/>
    <col min="11795" max="11795" width="4" style="402" hidden="1" customWidth="1"/>
    <col min="11796" max="11815" width="2.42578125" style="402" hidden="1" customWidth="1"/>
    <col min="11816" max="11816" width="1.42578125" style="402" hidden="1" customWidth="1"/>
    <col min="11817" max="12032" width="2.42578125" style="402" hidden="1"/>
    <col min="12033" max="12033" width="1.42578125" style="402" hidden="1" customWidth="1"/>
    <col min="12034" max="12034" width="0.85546875" style="402" hidden="1" customWidth="1"/>
    <col min="12035" max="12050" width="2.42578125" style="402" hidden="1" customWidth="1"/>
    <col min="12051" max="12051" width="4" style="402" hidden="1" customWidth="1"/>
    <col min="12052" max="12071" width="2.42578125" style="402" hidden="1" customWidth="1"/>
    <col min="12072" max="12072" width="1.42578125" style="402" hidden="1" customWidth="1"/>
    <col min="12073" max="12288" width="2.42578125" style="402" hidden="1"/>
    <col min="12289" max="12289" width="1.42578125" style="402" hidden="1" customWidth="1"/>
    <col min="12290" max="12290" width="0.85546875" style="402" hidden="1" customWidth="1"/>
    <col min="12291" max="12306" width="2.42578125" style="402" hidden="1" customWidth="1"/>
    <col min="12307" max="12307" width="4" style="402" hidden="1" customWidth="1"/>
    <col min="12308" max="12327" width="2.42578125" style="402" hidden="1" customWidth="1"/>
    <col min="12328" max="12328" width="1.42578125" style="402" hidden="1" customWidth="1"/>
    <col min="12329" max="12544" width="2.42578125" style="402" hidden="1"/>
    <col min="12545" max="12545" width="1.42578125" style="402" hidden="1" customWidth="1"/>
    <col min="12546" max="12546" width="0.85546875" style="402" hidden="1" customWidth="1"/>
    <col min="12547" max="12562" width="2.42578125" style="402" hidden="1" customWidth="1"/>
    <col min="12563" max="12563" width="4" style="402" hidden="1" customWidth="1"/>
    <col min="12564" max="12583" width="2.42578125" style="402" hidden="1" customWidth="1"/>
    <col min="12584" max="12584" width="1.42578125" style="402" hidden="1" customWidth="1"/>
    <col min="12585" max="12800" width="2.42578125" style="402" hidden="1"/>
    <col min="12801" max="12801" width="1.42578125" style="402" hidden="1" customWidth="1"/>
    <col min="12802" max="12802" width="0.85546875" style="402" hidden="1" customWidth="1"/>
    <col min="12803" max="12818" width="2.42578125" style="402" hidden="1" customWidth="1"/>
    <col min="12819" max="12819" width="4" style="402" hidden="1" customWidth="1"/>
    <col min="12820" max="12839" width="2.42578125" style="402" hidden="1" customWidth="1"/>
    <col min="12840" max="12840" width="1.42578125" style="402" hidden="1" customWidth="1"/>
    <col min="12841" max="13056" width="2.42578125" style="402" hidden="1"/>
    <col min="13057" max="13057" width="1.42578125" style="402" hidden="1" customWidth="1"/>
    <col min="13058" max="13058" width="0.85546875" style="402" hidden="1" customWidth="1"/>
    <col min="13059" max="13074" width="2.42578125" style="402" hidden="1" customWidth="1"/>
    <col min="13075" max="13075" width="4" style="402" hidden="1" customWidth="1"/>
    <col min="13076" max="13095" width="2.42578125" style="402" hidden="1" customWidth="1"/>
    <col min="13096" max="13096" width="1.42578125" style="402" hidden="1" customWidth="1"/>
    <col min="13097" max="13312" width="2.42578125" style="402" hidden="1"/>
    <col min="13313" max="13313" width="1.42578125" style="402" hidden="1" customWidth="1"/>
    <col min="13314" max="13314" width="0.85546875" style="402" hidden="1" customWidth="1"/>
    <col min="13315" max="13330" width="2.42578125" style="402" hidden="1" customWidth="1"/>
    <col min="13331" max="13331" width="4" style="402" hidden="1" customWidth="1"/>
    <col min="13332" max="13351" width="2.42578125" style="402" hidden="1" customWidth="1"/>
    <col min="13352" max="13352" width="1.42578125" style="402" hidden="1" customWidth="1"/>
    <col min="13353" max="13568" width="2.42578125" style="402" hidden="1"/>
    <col min="13569" max="13569" width="1.42578125" style="402" hidden="1" customWidth="1"/>
    <col min="13570" max="13570" width="0.85546875" style="402" hidden="1" customWidth="1"/>
    <col min="13571" max="13586" width="2.42578125" style="402" hidden="1" customWidth="1"/>
    <col min="13587" max="13587" width="4" style="402" hidden="1" customWidth="1"/>
    <col min="13588" max="13607" width="2.42578125" style="402" hidden="1" customWidth="1"/>
    <col min="13608" max="13608" width="1.42578125" style="402" hidden="1" customWidth="1"/>
    <col min="13609" max="13824" width="2.42578125" style="402" hidden="1"/>
    <col min="13825" max="13825" width="1.42578125" style="402" hidden="1" customWidth="1"/>
    <col min="13826" max="13826" width="0.85546875" style="402" hidden="1" customWidth="1"/>
    <col min="13827" max="13842" width="2.42578125" style="402" hidden="1" customWidth="1"/>
    <col min="13843" max="13843" width="4" style="402" hidden="1" customWidth="1"/>
    <col min="13844" max="13863" width="2.42578125" style="402" hidden="1" customWidth="1"/>
    <col min="13864" max="13864" width="1.42578125" style="402" hidden="1" customWidth="1"/>
    <col min="13865" max="14080" width="2.42578125" style="402" hidden="1"/>
    <col min="14081" max="14081" width="1.42578125" style="402" hidden="1" customWidth="1"/>
    <col min="14082" max="14082" width="0.85546875" style="402" hidden="1" customWidth="1"/>
    <col min="14083" max="14098" width="2.42578125" style="402" hidden="1" customWidth="1"/>
    <col min="14099" max="14099" width="4" style="402" hidden="1" customWidth="1"/>
    <col min="14100" max="14119" width="2.42578125" style="402" hidden="1" customWidth="1"/>
    <col min="14120" max="14120" width="1.42578125" style="402" hidden="1" customWidth="1"/>
    <col min="14121" max="14336" width="2.42578125" style="402" hidden="1"/>
    <col min="14337" max="14337" width="1.42578125" style="402" hidden="1" customWidth="1"/>
    <col min="14338" max="14338" width="0.85546875" style="402" hidden="1" customWidth="1"/>
    <col min="14339" max="14354" width="2.42578125" style="402" hidden="1" customWidth="1"/>
    <col min="14355" max="14355" width="4" style="402" hidden="1" customWidth="1"/>
    <col min="14356" max="14375" width="2.42578125" style="402" hidden="1" customWidth="1"/>
    <col min="14376" max="14376" width="1.42578125" style="402" hidden="1" customWidth="1"/>
    <col min="14377" max="14592" width="2.42578125" style="402" hidden="1"/>
    <col min="14593" max="14593" width="1.42578125" style="402" hidden="1" customWidth="1"/>
    <col min="14594" max="14594" width="0.85546875" style="402" hidden="1" customWidth="1"/>
    <col min="14595" max="14610" width="2.42578125" style="402" hidden="1" customWidth="1"/>
    <col min="14611" max="14611" width="4" style="402" hidden="1" customWidth="1"/>
    <col min="14612" max="14631" width="2.42578125" style="402" hidden="1" customWidth="1"/>
    <col min="14632" max="14632" width="1.42578125" style="402" hidden="1" customWidth="1"/>
    <col min="14633" max="14848" width="2.42578125" style="402" hidden="1"/>
    <col min="14849" max="14849" width="1.42578125" style="402" hidden="1" customWidth="1"/>
    <col min="14850" max="14850" width="0.85546875" style="402" hidden="1" customWidth="1"/>
    <col min="14851" max="14866" width="2.42578125" style="402" hidden="1" customWidth="1"/>
    <col min="14867" max="14867" width="4" style="402" hidden="1" customWidth="1"/>
    <col min="14868" max="14887" width="2.42578125" style="402" hidden="1" customWidth="1"/>
    <col min="14888" max="14888" width="1.42578125" style="402" hidden="1" customWidth="1"/>
    <col min="14889" max="15104" width="2.42578125" style="402" hidden="1"/>
    <col min="15105" max="15105" width="1.42578125" style="402" hidden="1" customWidth="1"/>
    <col min="15106" max="15106" width="0.85546875" style="402" hidden="1" customWidth="1"/>
    <col min="15107" max="15122" width="2.42578125" style="402" hidden="1" customWidth="1"/>
    <col min="15123" max="15123" width="4" style="402" hidden="1" customWidth="1"/>
    <col min="15124" max="15143" width="2.42578125" style="402" hidden="1" customWidth="1"/>
    <col min="15144" max="15144" width="1.42578125" style="402" hidden="1" customWidth="1"/>
    <col min="15145" max="15360" width="2.42578125" style="402" hidden="1"/>
    <col min="15361" max="15361" width="1.42578125" style="402" hidden="1" customWidth="1"/>
    <col min="15362" max="15362" width="0.85546875" style="402" hidden="1" customWidth="1"/>
    <col min="15363" max="15378" width="2.42578125" style="402" hidden="1" customWidth="1"/>
    <col min="15379" max="15379" width="4" style="402" hidden="1" customWidth="1"/>
    <col min="15380" max="15399" width="2.42578125" style="402" hidden="1" customWidth="1"/>
    <col min="15400" max="15400" width="1.42578125" style="402" hidden="1" customWidth="1"/>
    <col min="15401" max="15616" width="2.42578125" style="402" hidden="1"/>
    <col min="15617" max="15617" width="1.42578125" style="402" hidden="1" customWidth="1"/>
    <col min="15618" max="15618" width="0.85546875" style="402" hidden="1" customWidth="1"/>
    <col min="15619" max="15634" width="2.42578125" style="402" hidden="1" customWidth="1"/>
    <col min="15635" max="15635" width="4" style="402" hidden="1" customWidth="1"/>
    <col min="15636" max="15655" width="2.42578125" style="402" hidden="1" customWidth="1"/>
    <col min="15656" max="15656" width="1.42578125" style="402" hidden="1" customWidth="1"/>
    <col min="15657" max="15872" width="2.42578125" style="402" hidden="1"/>
    <col min="15873" max="15873" width="1.42578125" style="402" hidden="1" customWidth="1"/>
    <col min="15874" max="15874" width="0.85546875" style="402" hidden="1" customWidth="1"/>
    <col min="15875" max="15890" width="2.42578125" style="402" hidden="1" customWidth="1"/>
    <col min="15891" max="15891" width="4" style="402" hidden="1" customWidth="1"/>
    <col min="15892" max="15911" width="2.42578125" style="402" hidden="1" customWidth="1"/>
    <col min="15912" max="15912" width="1.42578125" style="402" hidden="1" customWidth="1"/>
    <col min="15913" max="16128" width="2.42578125" style="402" hidden="1"/>
    <col min="16129" max="16129" width="1.42578125" style="402" hidden="1" customWidth="1"/>
    <col min="16130" max="16130" width="0.85546875" style="402" hidden="1" customWidth="1"/>
    <col min="16131" max="16146" width="2.42578125" style="402" hidden="1" customWidth="1"/>
    <col min="16147" max="16147" width="4" style="402" hidden="1" customWidth="1"/>
    <col min="16148" max="16167" width="2.42578125" style="402" hidden="1" customWidth="1"/>
    <col min="16168" max="16168" width="1.42578125" style="402" hidden="1" customWidth="1"/>
    <col min="16169" max="16384" width="2.42578125" style="402" hidden="1"/>
  </cols>
  <sheetData>
    <row r="1" spans="1:40" ht="12.95" customHeight="1">
      <c r="A1" s="2377" t="s">
        <v>1280</v>
      </c>
      <c r="B1" s="2377"/>
      <c r="C1" s="2377"/>
      <c r="D1" s="2377"/>
      <c r="E1" s="2377"/>
      <c r="F1" s="2377"/>
      <c r="G1" s="2377"/>
      <c r="H1" s="2377"/>
      <c r="I1" s="2377"/>
      <c r="J1" s="2377"/>
      <c r="K1" s="2377"/>
      <c r="L1" s="2377"/>
      <c r="M1" s="2377"/>
      <c r="N1" s="2377"/>
      <c r="O1" s="2377"/>
      <c r="P1" s="2377"/>
      <c r="Q1" s="2377"/>
      <c r="R1" s="2377"/>
      <c r="S1" s="2377"/>
      <c r="T1" s="2377"/>
      <c r="U1" s="2377"/>
      <c r="V1" s="2377"/>
      <c r="W1" s="2377"/>
      <c r="X1" s="2377"/>
      <c r="Y1" s="2377"/>
      <c r="Z1" s="2377"/>
      <c r="AA1" s="2377"/>
      <c r="AB1" s="2377"/>
      <c r="AC1" s="2377"/>
      <c r="AD1" s="2377"/>
      <c r="AE1" s="2377"/>
      <c r="AF1" s="2377"/>
      <c r="AG1" s="2377"/>
      <c r="AH1" s="2377"/>
      <c r="AI1" s="2377"/>
      <c r="AJ1" s="2377"/>
      <c r="AK1" s="2377"/>
      <c r="AL1" s="2377"/>
      <c r="AM1" s="2377"/>
      <c r="AN1" s="2377"/>
    </row>
    <row r="2" spans="1:40" ht="12.95" customHeight="1" thickBot="1">
      <c r="A2" s="2378"/>
      <c r="B2" s="2378"/>
      <c r="C2" s="2378"/>
      <c r="D2" s="2378"/>
      <c r="E2" s="2378"/>
      <c r="F2" s="2378"/>
      <c r="G2" s="2378"/>
      <c r="H2" s="2378"/>
      <c r="I2" s="2378"/>
      <c r="J2" s="2378"/>
      <c r="K2" s="2378"/>
      <c r="L2" s="2378"/>
      <c r="M2" s="2378"/>
      <c r="N2" s="2378"/>
      <c r="O2" s="2378"/>
      <c r="P2" s="2378"/>
      <c r="Q2" s="2378"/>
      <c r="R2" s="2378"/>
      <c r="S2" s="2378"/>
      <c r="T2" s="2378"/>
      <c r="U2" s="2378"/>
      <c r="V2" s="2378"/>
      <c r="W2" s="2378"/>
      <c r="X2" s="2378"/>
      <c r="Y2" s="2378"/>
      <c r="Z2" s="2378"/>
      <c r="AA2" s="2378"/>
      <c r="AB2" s="2378"/>
      <c r="AC2" s="2378"/>
      <c r="AD2" s="2378"/>
      <c r="AE2" s="2378"/>
      <c r="AF2" s="2378"/>
      <c r="AG2" s="2378"/>
      <c r="AH2" s="2378"/>
      <c r="AI2" s="2378"/>
      <c r="AJ2" s="2378"/>
      <c r="AK2" s="2378"/>
      <c r="AL2" s="2378"/>
      <c r="AM2" s="2378"/>
      <c r="AN2" s="2378"/>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318</v>
      </c>
      <c r="C5" s="404" t="s">
        <v>122</v>
      </c>
      <c r="F5" s="404"/>
    </row>
    <row r="6" spans="1:40" ht="12.95" customHeight="1">
      <c r="A6" s="404"/>
      <c r="C6" s="402" t="s">
        <v>1238</v>
      </c>
    </row>
    <row r="7" spans="1:40" ht="12.95" customHeight="1">
      <c r="B7" s="405"/>
      <c r="C7" s="406"/>
      <c r="D7" s="406"/>
      <c r="E7" s="406"/>
      <c r="F7" s="406"/>
      <c r="G7" s="406"/>
      <c r="H7" s="406"/>
      <c r="I7" s="406"/>
      <c r="J7" s="406"/>
      <c r="K7" s="406"/>
      <c r="L7" s="406"/>
      <c r="M7" s="406"/>
      <c r="N7" s="406"/>
      <c r="O7" s="406"/>
      <c r="P7" s="406"/>
      <c r="Q7" s="406"/>
      <c r="R7" s="406"/>
      <c r="S7" s="406"/>
      <c r="T7" s="2357" t="str">
        <f xml:space="preserve"> IF(T25=100%,'Sources and Basis Breakdown'!G2,'Sources and Basis Breakdown'!F2)</f>
        <v>30% PVC for New Const/
Rehabilitation
DDA/QCT
Building(s)</v>
      </c>
      <c r="U7" s="2357"/>
      <c r="V7" s="2357"/>
      <c r="W7" s="2357"/>
      <c r="X7" s="2357"/>
      <c r="Y7" s="2357" t="str">
        <f>IF(T25=100%,"",'Sources and Basis Breakdown'!G2)</f>
        <v>30% PVC for New Const/
Rehabilitation
NON-DDA/
NON-QCT Building(s)</v>
      </c>
      <c r="Z7" s="2357"/>
      <c r="AA7" s="2357"/>
      <c r="AB7" s="2357"/>
      <c r="AC7" s="2357"/>
      <c r="AD7" s="2357" t="str">
        <f xml:space="preserve"> IF(T25=100%, 'Sources and Basis Breakdown'!J2,'Sources and Basis Breakdown'!I2)</f>
        <v>30% PVC for Acquisition
DDA/QCT Building(s)</v>
      </c>
      <c r="AE7" s="2357"/>
      <c r="AF7" s="2357"/>
      <c r="AG7" s="2357"/>
      <c r="AH7" s="2357"/>
      <c r="AI7" s="2357" t="str">
        <f>IF(T25=100%,"",'Sources and Basis Breakdown'!J2)</f>
        <v>30% PVC for Acquisition
NON-DDA/
NON-QCT Building(s)</v>
      </c>
      <c r="AJ7" s="2357"/>
      <c r="AK7" s="2357"/>
      <c r="AL7" s="2357"/>
      <c r="AM7" s="2357"/>
    </row>
    <row r="8" spans="1:40" ht="12.95" customHeight="1">
      <c r="B8" s="407"/>
      <c r="T8" s="2357"/>
      <c r="U8" s="2357"/>
      <c r="V8" s="2357"/>
      <c r="W8" s="2357"/>
      <c r="X8" s="2357"/>
      <c r="Y8" s="2357"/>
      <c r="Z8" s="2357"/>
      <c r="AA8" s="2357"/>
      <c r="AB8" s="2357"/>
      <c r="AC8" s="2357"/>
      <c r="AD8" s="2357"/>
      <c r="AE8" s="2357"/>
      <c r="AF8" s="2357"/>
      <c r="AG8" s="2357"/>
      <c r="AH8" s="2357"/>
      <c r="AI8" s="2357"/>
      <c r="AJ8" s="2357"/>
      <c r="AK8" s="2357"/>
      <c r="AL8" s="2357"/>
      <c r="AM8" s="2357"/>
    </row>
    <row r="9" spans="1:40" ht="12.95" customHeight="1">
      <c r="B9" s="407"/>
      <c r="T9" s="2357"/>
      <c r="U9" s="2357"/>
      <c r="V9" s="2357"/>
      <c r="W9" s="2357"/>
      <c r="X9" s="2357"/>
      <c r="Y9" s="2357"/>
      <c r="Z9" s="2357"/>
      <c r="AA9" s="2357"/>
      <c r="AB9" s="2357"/>
      <c r="AC9" s="2357"/>
      <c r="AD9" s="2357"/>
      <c r="AE9" s="2357"/>
      <c r="AF9" s="2357"/>
      <c r="AG9" s="2357"/>
      <c r="AH9" s="2357"/>
      <c r="AI9" s="2357"/>
      <c r="AJ9" s="2357"/>
      <c r="AK9" s="2357"/>
      <c r="AL9" s="2357"/>
      <c r="AM9" s="2357"/>
    </row>
    <row r="10" spans="1:40" ht="12.95" customHeight="1">
      <c r="B10" s="408"/>
      <c r="C10" s="409"/>
      <c r="D10" s="409"/>
      <c r="E10" s="409"/>
      <c r="F10" s="409"/>
      <c r="G10" s="409"/>
      <c r="H10" s="409"/>
      <c r="I10" s="409"/>
      <c r="J10" s="409"/>
      <c r="K10" s="409"/>
      <c r="L10" s="409"/>
      <c r="M10" s="409"/>
      <c r="N10" s="409"/>
      <c r="O10" s="409"/>
      <c r="P10" s="409"/>
      <c r="Q10" s="409"/>
      <c r="R10" s="409"/>
      <c r="S10" s="409"/>
      <c r="T10" s="2357"/>
      <c r="U10" s="2357"/>
      <c r="V10" s="2357"/>
      <c r="W10" s="2357"/>
      <c r="X10" s="2357"/>
      <c r="Y10" s="2357"/>
      <c r="Z10" s="2357"/>
      <c r="AA10" s="2357"/>
      <c r="AB10" s="2357"/>
      <c r="AC10" s="2357"/>
      <c r="AD10" s="2357"/>
      <c r="AE10" s="2357"/>
      <c r="AF10" s="2357"/>
      <c r="AG10" s="2357"/>
      <c r="AH10" s="2357"/>
      <c r="AI10" s="2357"/>
      <c r="AJ10" s="2357"/>
      <c r="AK10" s="2357"/>
      <c r="AL10" s="2357"/>
      <c r="AM10" s="2357"/>
    </row>
    <row r="11" spans="1:40" ht="12.95" customHeight="1">
      <c r="B11" s="2343" t="s">
        <v>374</v>
      </c>
      <c r="C11" s="2344"/>
      <c r="D11" s="2344"/>
      <c r="E11" s="2344"/>
      <c r="F11" s="2344"/>
      <c r="G11" s="2344"/>
      <c r="H11" s="2344"/>
      <c r="I11" s="2344"/>
      <c r="J11" s="2344"/>
      <c r="K11" s="2344"/>
      <c r="L11" s="2344"/>
      <c r="M11" s="2344"/>
      <c r="N11" s="2344"/>
      <c r="O11" s="2344"/>
      <c r="P11" s="2344"/>
      <c r="Q11" s="2344"/>
      <c r="R11" s="2344"/>
      <c r="S11" s="2345"/>
      <c r="T11" s="2379">
        <f>IF('Sources and Basis Breakdown'!F107=0,'Sources and Basis Breakdown'!E107,'Sources and Basis Breakdown'!F107)</f>
        <v>36823301</v>
      </c>
      <c r="U11" s="2380"/>
      <c r="V11" s="2380"/>
      <c r="W11" s="2380"/>
      <c r="X11" s="2380"/>
      <c r="Y11" s="2379">
        <f>IF(Y7="",0,IF('Sources and Basis Breakdown'!G107+'Sources and Basis Breakdown'!F107='Sources and Basis Breakdown'!E107,'Sources and Basis Breakdown'!G107,0))</f>
        <v>0</v>
      </c>
      <c r="Z11" s="2380"/>
      <c r="AA11" s="2380"/>
      <c r="AB11" s="2380"/>
      <c r="AC11" s="2380"/>
      <c r="AD11" s="2380">
        <f>IF('Sources and Basis Breakdown'!I107=0,'Sources and Basis Breakdown'!H107,'Sources and Basis Breakdown'!I107)</f>
        <v>0</v>
      </c>
      <c r="AE11" s="2380"/>
      <c r="AF11" s="2380"/>
      <c r="AG11" s="2380"/>
      <c r="AH11" s="2380"/>
      <c r="AI11" s="2380">
        <f>IF(Y7="",0,IF('Sources and Basis Breakdown'!I107+'Sources and Basis Breakdown'!J107='Sources and Basis Breakdown'!H107,'Sources and Basis Breakdown'!J107,0))</f>
        <v>0</v>
      </c>
      <c r="AJ11" s="2380"/>
      <c r="AK11" s="2380"/>
      <c r="AL11" s="2380"/>
      <c r="AM11" s="2380"/>
    </row>
    <row r="12" spans="1:40" ht="12.95" customHeight="1">
      <c r="B12" s="2381" t="s">
        <v>497</v>
      </c>
      <c r="C12" s="1308"/>
      <c r="D12" s="1308"/>
      <c r="E12" s="1308"/>
      <c r="F12" s="1308"/>
      <c r="G12" s="1308"/>
      <c r="H12" s="1308"/>
      <c r="I12" s="1308"/>
      <c r="J12" s="1308"/>
      <c r="K12" s="1308"/>
      <c r="L12" s="1308"/>
      <c r="M12" s="1308"/>
      <c r="N12" s="1308"/>
      <c r="O12" s="1308"/>
      <c r="P12" s="1308"/>
      <c r="Q12" s="1308"/>
      <c r="R12" s="1308"/>
      <c r="S12" s="2382"/>
      <c r="T12" s="2372"/>
      <c r="U12" s="2373"/>
      <c r="V12" s="2373"/>
      <c r="W12" s="2373"/>
      <c r="X12" s="2374"/>
      <c r="Y12" s="2372"/>
      <c r="Z12" s="2373"/>
      <c r="AA12" s="2373"/>
      <c r="AB12" s="2373"/>
      <c r="AC12" s="2374"/>
      <c r="AD12" s="2372"/>
      <c r="AE12" s="2373"/>
      <c r="AF12" s="2373"/>
      <c r="AG12" s="2373"/>
      <c r="AH12" s="2374"/>
      <c r="AI12" s="2372"/>
      <c r="AJ12" s="2373"/>
      <c r="AK12" s="2373"/>
      <c r="AL12" s="2373"/>
      <c r="AM12" s="2374"/>
    </row>
    <row r="13" spans="1:40" ht="12.95" customHeight="1">
      <c r="B13" s="435"/>
      <c r="C13" s="2383" t="s">
        <v>498</v>
      </c>
      <c r="D13" s="2383"/>
      <c r="E13" s="2383"/>
      <c r="F13" s="2383"/>
      <c r="G13" s="2383"/>
      <c r="H13" s="2383"/>
      <c r="I13" s="2383"/>
      <c r="J13" s="2383"/>
      <c r="K13" s="2383"/>
      <c r="L13" s="2383"/>
      <c r="M13" s="2383"/>
      <c r="N13" s="2383"/>
      <c r="O13" s="2383"/>
      <c r="P13" s="2383"/>
      <c r="Q13" s="2383"/>
      <c r="R13" s="2383"/>
      <c r="S13" s="2384"/>
      <c r="T13" s="2375"/>
      <c r="U13" s="2376"/>
      <c r="V13" s="2376"/>
      <c r="W13" s="2376"/>
      <c r="X13" s="2376"/>
      <c r="Y13" s="2375"/>
      <c r="Z13" s="2376"/>
      <c r="AA13" s="2376"/>
      <c r="AB13" s="2376"/>
      <c r="AC13" s="2376"/>
      <c r="AD13" s="2376"/>
      <c r="AE13" s="2376"/>
      <c r="AF13" s="2376"/>
      <c r="AG13" s="2376"/>
      <c r="AH13" s="2376"/>
      <c r="AI13" s="2376"/>
      <c r="AJ13" s="2376"/>
      <c r="AK13" s="2376"/>
      <c r="AL13" s="2376"/>
      <c r="AM13" s="2376"/>
    </row>
    <row r="14" spans="1:40" ht="12.95" customHeight="1">
      <c r="B14" s="435"/>
      <c r="C14" s="2383" t="s">
        <v>499</v>
      </c>
      <c r="D14" s="2383"/>
      <c r="E14" s="2383"/>
      <c r="F14" s="2383"/>
      <c r="G14" s="2383"/>
      <c r="H14" s="2383"/>
      <c r="I14" s="2383"/>
      <c r="J14" s="2383"/>
      <c r="K14" s="2383"/>
      <c r="L14" s="2383"/>
      <c r="M14" s="2383"/>
      <c r="N14" s="2383"/>
      <c r="O14" s="2383"/>
      <c r="P14" s="2383"/>
      <c r="Q14" s="2383"/>
      <c r="R14" s="2383"/>
      <c r="S14" s="2384"/>
      <c r="T14" s="2365"/>
      <c r="U14" s="2366"/>
      <c r="V14" s="2366"/>
      <c r="W14" s="2366"/>
      <c r="X14" s="2366"/>
      <c r="Y14" s="2365"/>
      <c r="Z14" s="2366"/>
      <c r="AA14" s="2366"/>
      <c r="AB14" s="2366"/>
      <c r="AC14" s="2366"/>
      <c r="AD14" s="2366"/>
      <c r="AE14" s="2366"/>
      <c r="AF14" s="2366"/>
      <c r="AG14" s="2366"/>
      <c r="AH14" s="2366"/>
      <c r="AI14" s="2366"/>
      <c r="AJ14" s="2366"/>
      <c r="AK14" s="2366"/>
      <c r="AL14" s="2366"/>
      <c r="AM14" s="2366"/>
    </row>
    <row r="15" spans="1:40" ht="12.95" customHeight="1">
      <c r="B15" s="435"/>
      <c r="C15" s="2383" t="s">
        <v>500</v>
      </c>
      <c r="D15" s="2383"/>
      <c r="E15" s="2383"/>
      <c r="F15" s="2383"/>
      <c r="G15" s="2383"/>
      <c r="H15" s="2383"/>
      <c r="I15" s="2383"/>
      <c r="J15" s="2383"/>
      <c r="K15" s="2383"/>
      <c r="L15" s="2383"/>
      <c r="M15" s="2383"/>
      <c r="N15" s="2383"/>
      <c r="O15" s="2383"/>
      <c r="P15" s="2383"/>
      <c r="Q15" s="2383"/>
      <c r="R15" s="2383"/>
      <c r="S15" s="2384"/>
      <c r="T15" s="2365"/>
      <c r="U15" s="2366"/>
      <c r="V15" s="2366"/>
      <c r="W15" s="2366"/>
      <c r="X15" s="2366"/>
      <c r="Y15" s="2365"/>
      <c r="Z15" s="2366"/>
      <c r="AA15" s="2366"/>
      <c r="AB15" s="2366"/>
      <c r="AC15" s="2366"/>
      <c r="AD15" s="2366"/>
      <c r="AE15" s="2366"/>
      <c r="AF15" s="2366"/>
      <c r="AG15" s="2366"/>
      <c r="AH15" s="2366"/>
      <c r="AI15" s="2366"/>
      <c r="AJ15" s="2366"/>
      <c r="AK15" s="2366"/>
      <c r="AL15" s="2366"/>
      <c r="AM15" s="2366"/>
    </row>
    <row r="16" spans="1:40" ht="12.95" customHeight="1">
      <c r="B16" s="435"/>
      <c r="C16" s="2383" t="s">
        <v>805</v>
      </c>
      <c r="D16" s="2383"/>
      <c r="E16" s="2383"/>
      <c r="F16" s="2383"/>
      <c r="G16" s="2383"/>
      <c r="H16" s="2383"/>
      <c r="I16" s="2383"/>
      <c r="J16" s="2383"/>
      <c r="K16" s="2383"/>
      <c r="L16" s="2383"/>
      <c r="M16" s="2383"/>
      <c r="N16" s="2383"/>
      <c r="O16" s="2383"/>
      <c r="P16" s="2383"/>
      <c r="Q16" s="2383"/>
      <c r="R16" s="2383"/>
      <c r="S16" s="2384"/>
      <c r="T16" s="2365"/>
      <c r="U16" s="2366"/>
      <c r="V16" s="2366"/>
      <c r="W16" s="2366"/>
      <c r="X16" s="2366"/>
      <c r="Y16" s="2365"/>
      <c r="Z16" s="2366"/>
      <c r="AA16" s="2366"/>
      <c r="AB16" s="2366"/>
      <c r="AC16" s="2366"/>
      <c r="AD16" s="2366"/>
      <c r="AE16" s="2366"/>
      <c r="AF16" s="2366"/>
      <c r="AG16" s="2366"/>
      <c r="AH16" s="2366"/>
      <c r="AI16" s="2366"/>
      <c r="AJ16" s="2366"/>
      <c r="AK16" s="2366"/>
      <c r="AL16" s="2366"/>
      <c r="AM16" s="2366"/>
    </row>
    <row r="17" spans="1:40" ht="12.95" customHeight="1">
      <c r="B17" s="435"/>
      <c r="C17" s="2383" t="s">
        <v>501</v>
      </c>
      <c r="D17" s="2383"/>
      <c r="E17" s="2383"/>
      <c r="F17" s="2383"/>
      <c r="G17" s="2383"/>
      <c r="H17" s="2383"/>
      <c r="I17" s="2383"/>
      <c r="J17" s="2383"/>
      <c r="K17" s="2383"/>
      <c r="L17" s="2383"/>
      <c r="M17" s="2383"/>
      <c r="N17" s="2383"/>
      <c r="O17" s="2383"/>
      <c r="P17" s="2383"/>
      <c r="Q17" s="2383"/>
      <c r="R17" s="2383"/>
      <c r="S17" s="2384"/>
      <c r="T17" s="2365"/>
      <c r="U17" s="2366"/>
      <c r="V17" s="2366"/>
      <c r="W17" s="2366"/>
      <c r="X17" s="2366"/>
      <c r="Y17" s="2365"/>
      <c r="Z17" s="2366"/>
      <c r="AA17" s="2366"/>
      <c r="AB17" s="2366"/>
      <c r="AC17" s="2366"/>
      <c r="AD17" s="2366"/>
      <c r="AE17" s="2366"/>
      <c r="AF17" s="2366"/>
      <c r="AG17" s="2366"/>
      <c r="AH17" s="2366"/>
      <c r="AI17" s="2366"/>
      <c r="AJ17" s="2366"/>
      <c r="AK17" s="2366"/>
      <c r="AL17" s="2366"/>
      <c r="AM17" s="2366"/>
    </row>
    <row r="18" spans="1:40" ht="12.95" customHeight="1">
      <c r="A18"/>
      <c r="B18" s="1150"/>
      <c r="C18" s="1562" t="s">
        <v>960</v>
      </c>
      <c r="D18" s="1562"/>
      <c r="E18" s="1562"/>
      <c r="F18" s="1562"/>
      <c r="G18" s="1562"/>
      <c r="H18" s="1562"/>
      <c r="I18" s="1562"/>
      <c r="J18" s="1562"/>
      <c r="K18" s="1562"/>
      <c r="L18" s="1562"/>
      <c r="M18" s="1562"/>
      <c r="N18" s="1562"/>
      <c r="O18" s="1562"/>
      <c r="P18" s="1562"/>
      <c r="Q18" s="1562"/>
      <c r="R18" s="1562"/>
      <c r="S18" s="1563"/>
      <c r="T18" s="2365"/>
      <c r="U18" s="2366"/>
      <c r="V18" s="2366"/>
      <c r="W18" s="2366"/>
      <c r="X18" s="2366"/>
      <c r="Y18" s="2365"/>
      <c r="Z18" s="2366"/>
      <c r="AA18" s="2366"/>
      <c r="AB18" s="2366"/>
      <c r="AC18" s="2366"/>
      <c r="AD18" s="2366"/>
      <c r="AE18" s="2366"/>
      <c r="AF18" s="2366"/>
      <c r="AG18" s="2366"/>
      <c r="AH18" s="2366"/>
      <c r="AI18" s="2366"/>
      <c r="AJ18" s="2366"/>
      <c r="AK18" s="2366"/>
      <c r="AL18" s="2366"/>
      <c r="AM18" s="2366"/>
    </row>
    <row r="19" spans="1:40" ht="12.95" customHeight="1">
      <c r="B19" s="1150"/>
      <c r="C19" s="1562" t="s">
        <v>960</v>
      </c>
      <c r="D19" s="1562"/>
      <c r="E19" s="1562"/>
      <c r="F19" s="1562"/>
      <c r="G19" s="1562"/>
      <c r="H19" s="1562"/>
      <c r="I19" s="1562"/>
      <c r="J19" s="1562"/>
      <c r="K19" s="1562"/>
      <c r="L19" s="1562"/>
      <c r="M19" s="1562"/>
      <c r="N19" s="1562"/>
      <c r="O19" s="1562"/>
      <c r="P19" s="1562"/>
      <c r="Q19" s="1562"/>
      <c r="R19" s="1562"/>
      <c r="S19" s="1563"/>
      <c r="T19" s="2365"/>
      <c r="U19" s="2366"/>
      <c r="V19" s="2366"/>
      <c r="W19" s="2366"/>
      <c r="X19" s="2366"/>
      <c r="Y19" s="2365"/>
      <c r="Z19" s="2366"/>
      <c r="AA19" s="2366"/>
      <c r="AB19" s="2366"/>
      <c r="AC19" s="2366"/>
      <c r="AD19" s="2366"/>
      <c r="AE19" s="2366"/>
      <c r="AF19" s="2366"/>
      <c r="AG19" s="2366"/>
      <c r="AH19" s="2366"/>
      <c r="AI19" s="2366"/>
      <c r="AJ19" s="2366"/>
      <c r="AK19" s="2366"/>
      <c r="AL19" s="2366"/>
      <c r="AM19" s="2366"/>
    </row>
    <row r="20" spans="1:40" ht="12.95" customHeight="1">
      <c r="B20" s="2343" t="s">
        <v>502</v>
      </c>
      <c r="C20" s="2344"/>
      <c r="D20" s="2344"/>
      <c r="E20" s="2344"/>
      <c r="F20" s="2344"/>
      <c r="G20" s="2344"/>
      <c r="H20" s="2344"/>
      <c r="I20" s="2344"/>
      <c r="J20" s="2344"/>
      <c r="K20" s="2344"/>
      <c r="L20" s="2344"/>
      <c r="M20" s="2344"/>
      <c r="N20" s="2344"/>
      <c r="O20" s="2344"/>
      <c r="P20" s="2344"/>
      <c r="Q20" s="2344"/>
      <c r="R20" s="2344"/>
      <c r="S20" s="2345"/>
      <c r="T20" s="2356">
        <f>SUM(T13:X19)</f>
        <v>0</v>
      </c>
      <c r="U20" s="2337"/>
      <c r="V20" s="2337"/>
      <c r="W20" s="2337"/>
      <c r="X20" s="2337"/>
      <c r="Y20" s="2356">
        <f>SUM(Y13:AC19)</f>
        <v>0</v>
      </c>
      <c r="Z20" s="2337"/>
      <c r="AA20" s="2337"/>
      <c r="AB20" s="2337"/>
      <c r="AC20" s="2337"/>
      <c r="AD20" s="2347">
        <f>SUM(AD13:AH19)</f>
        <v>0</v>
      </c>
      <c r="AE20" s="2355"/>
      <c r="AF20" s="2355"/>
      <c r="AG20" s="2355"/>
      <c r="AH20" s="2356"/>
      <c r="AI20" s="2347">
        <f>SUM(AI13:AM19)</f>
        <v>0</v>
      </c>
      <c r="AJ20" s="2355"/>
      <c r="AK20" s="2355"/>
      <c r="AL20" s="2355"/>
      <c r="AM20" s="2356"/>
    </row>
    <row r="21" spans="1:40" ht="12.95" customHeight="1">
      <c r="B21" s="2343" t="s">
        <v>1263</v>
      </c>
      <c r="C21" s="2344"/>
      <c r="D21" s="2344"/>
      <c r="E21" s="2344"/>
      <c r="F21" s="2344"/>
      <c r="G21" s="2344"/>
      <c r="H21" s="2344"/>
      <c r="I21" s="2344"/>
      <c r="J21" s="2344"/>
      <c r="K21" s="2344"/>
      <c r="L21" s="2344"/>
      <c r="M21" s="2344"/>
      <c r="N21" s="2344"/>
      <c r="O21" s="2344"/>
      <c r="P21" s="2344"/>
      <c r="Q21" s="2344"/>
      <c r="R21" s="2344"/>
      <c r="S21" s="2345"/>
      <c r="T21" s="2365"/>
      <c r="U21" s="2366"/>
      <c r="V21" s="2366"/>
      <c r="W21" s="2366"/>
      <c r="X21" s="2366"/>
      <c r="Y21" s="2365"/>
      <c r="Z21" s="2366"/>
      <c r="AA21" s="2366"/>
      <c r="AB21" s="2366"/>
      <c r="AC21" s="2366"/>
      <c r="AD21" s="2372"/>
      <c r="AE21" s="2373"/>
      <c r="AF21" s="2373"/>
      <c r="AG21" s="2373"/>
      <c r="AH21" s="2374"/>
      <c r="AI21" s="2372"/>
      <c r="AJ21" s="2373"/>
      <c r="AK21" s="2373"/>
      <c r="AL21" s="2373"/>
      <c r="AM21" s="2374"/>
    </row>
    <row r="22" spans="1:40" ht="12.95" customHeight="1">
      <c r="B22" s="2343" t="s">
        <v>503</v>
      </c>
      <c r="C22" s="2344"/>
      <c r="D22" s="2344"/>
      <c r="E22" s="2344"/>
      <c r="F22" s="2344"/>
      <c r="G22" s="2344"/>
      <c r="H22" s="2344"/>
      <c r="I22" s="2344"/>
      <c r="J22" s="2344"/>
      <c r="K22" s="2344"/>
      <c r="L22" s="2344"/>
      <c r="M22" s="2344"/>
      <c r="N22" s="2344"/>
      <c r="O22" s="2344"/>
      <c r="P22" s="2344"/>
      <c r="Q22" s="2344"/>
      <c r="R22" s="2344"/>
      <c r="S22" s="2345"/>
      <c r="T22" s="2361">
        <f>(ABS(T20)+ABS(T21))*-1</f>
        <v>0</v>
      </c>
      <c r="U22" s="2362"/>
      <c r="V22" s="2362"/>
      <c r="W22" s="2362"/>
      <c r="X22" s="2362"/>
      <c r="Y22" s="2361">
        <f>(Y20+Y21)*-1</f>
        <v>0</v>
      </c>
      <c r="Z22" s="2362"/>
      <c r="AA22" s="2362"/>
      <c r="AB22" s="2362"/>
      <c r="AC22" s="2362"/>
      <c r="AD22" s="2363">
        <f>(AD20)*-1</f>
        <v>0</v>
      </c>
      <c r="AE22" s="2364"/>
      <c r="AF22" s="2364"/>
      <c r="AG22" s="2364"/>
      <c r="AH22" s="2361"/>
      <c r="AI22" s="2363">
        <f>(AI20)*-1</f>
        <v>0</v>
      </c>
      <c r="AJ22" s="2364"/>
      <c r="AK22" s="2364"/>
      <c r="AL22" s="2364"/>
      <c r="AM22" s="2361"/>
    </row>
    <row r="23" spans="1:40" ht="12.95" customHeight="1">
      <c r="B23" s="2343" t="s">
        <v>504</v>
      </c>
      <c r="C23" s="2344"/>
      <c r="D23" s="2344"/>
      <c r="E23" s="2344"/>
      <c r="F23" s="2344"/>
      <c r="G23" s="2344"/>
      <c r="H23" s="2344"/>
      <c r="I23" s="2344"/>
      <c r="J23" s="2344"/>
      <c r="K23" s="2344"/>
      <c r="L23" s="2344"/>
      <c r="M23" s="2344"/>
      <c r="N23" s="2344"/>
      <c r="O23" s="2344"/>
      <c r="P23" s="2344"/>
      <c r="Q23" s="2344"/>
      <c r="R23" s="2344"/>
      <c r="S23" s="2345"/>
      <c r="T23" s="2356">
        <f>T11+T22</f>
        <v>36823301</v>
      </c>
      <c r="U23" s="2337"/>
      <c r="V23" s="2337"/>
      <c r="W23" s="2337"/>
      <c r="X23" s="2337"/>
      <c r="Y23" s="2356">
        <f>Y11+Y22</f>
        <v>0</v>
      </c>
      <c r="Z23" s="2337"/>
      <c r="AA23" s="2337"/>
      <c r="AB23" s="2337"/>
      <c r="AC23" s="2337"/>
      <c r="AD23" s="2356">
        <f>AD11+AD22</f>
        <v>0</v>
      </c>
      <c r="AE23" s="2337"/>
      <c r="AF23" s="2337"/>
      <c r="AG23" s="2337"/>
      <c r="AH23" s="2337"/>
      <c r="AI23" s="2356">
        <f>AI11+AI22</f>
        <v>0</v>
      </c>
      <c r="AJ23" s="2337"/>
      <c r="AK23" s="2337"/>
      <c r="AL23" s="2337"/>
      <c r="AM23" s="2337"/>
    </row>
    <row r="24" spans="1:40" ht="12.95" customHeight="1">
      <c r="B24" s="2343" t="s">
        <v>961</v>
      </c>
      <c r="C24" s="2344"/>
      <c r="D24" s="2344"/>
      <c r="E24" s="2344"/>
      <c r="F24" s="2344"/>
      <c r="G24" s="2344"/>
      <c r="H24" s="2344"/>
      <c r="I24" s="2344"/>
      <c r="J24" s="2344"/>
      <c r="K24" s="2344"/>
      <c r="L24" s="2344"/>
      <c r="M24" s="2344"/>
      <c r="N24" s="2344"/>
      <c r="O24" s="2344"/>
      <c r="P24" s="2344"/>
      <c r="Q24" s="2344"/>
      <c r="R24" s="2344"/>
      <c r="S24" s="2345"/>
      <c r="T24" s="2347">
        <f>Application!AJ1053</f>
        <v>85206891.799999997</v>
      </c>
      <c r="U24" s="2355"/>
      <c r="V24" s="2355"/>
      <c r="W24" s="2355"/>
      <c r="X24" s="2355"/>
      <c r="Y24" s="2355"/>
      <c r="Z24" s="2355"/>
      <c r="AA24" s="2355"/>
      <c r="AB24" s="2355"/>
      <c r="AC24" s="2355"/>
      <c r="AD24" s="2355"/>
      <c r="AE24" s="2355"/>
      <c r="AF24" s="2355"/>
      <c r="AG24" s="2355"/>
      <c r="AH24" s="2355"/>
      <c r="AI24" s="2355"/>
      <c r="AJ24" s="2355"/>
      <c r="AK24" s="2355"/>
      <c r="AL24" s="2355"/>
      <c r="AM24" s="2356"/>
    </row>
    <row r="25" spans="1:40" ht="12.95" customHeight="1">
      <c r="B25" s="2387" t="s">
        <v>1264</v>
      </c>
      <c r="C25" s="2388"/>
      <c r="D25" s="2388"/>
      <c r="E25" s="2388"/>
      <c r="F25" s="2388"/>
      <c r="G25" s="2388"/>
      <c r="H25" s="2388"/>
      <c r="I25" s="2388"/>
      <c r="J25" s="2388"/>
      <c r="K25" s="2388"/>
      <c r="L25" s="2388"/>
      <c r="M25" s="2388"/>
      <c r="N25" s="2388"/>
      <c r="O25" s="2388"/>
      <c r="P25" s="2388"/>
      <c r="Q25" s="2388"/>
      <c r="R25" s="2388"/>
      <c r="S25" s="2389"/>
      <c r="T25" s="2369">
        <f>IF(OR(Application!T196="yes",Application!T195="yes"),1.3,1)</f>
        <v>1.3</v>
      </c>
      <c r="U25" s="2370"/>
      <c r="V25" s="2370"/>
      <c r="W25" s="2370"/>
      <c r="X25" s="2370"/>
      <c r="Y25" s="2369">
        <v>1</v>
      </c>
      <c r="Z25" s="2370"/>
      <c r="AA25" s="2370"/>
      <c r="AB25" s="2370"/>
      <c r="AC25" s="2370"/>
      <c r="AD25" s="2369">
        <v>1</v>
      </c>
      <c r="AE25" s="2370"/>
      <c r="AF25" s="2370"/>
      <c r="AG25" s="2370"/>
      <c r="AH25" s="2371"/>
      <c r="AI25" s="2369">
        <v>1</v>
      </c>
      <c r="AJ25" s="2370"/>
      <c r="AK25" s="2370"/>
      <c r="AL25" s="2370"/>
      <c r="AM25" s="2371"/>
    </row>
    <row r="26" spans="1:40" ht="12.95" customHeight="1">
      <c r="B26" s="2343" t="s">
        <v>505</v>
      </c>
      <c r="C26" s="2344"/>
      <c r="D26" s="2344"/>
      <c r="E26" s="2344"/>
      <c r="F26" s="2344"/>
      <c r="G26" s="2344"/>
      <c r="H26" s="2344"/>
      <c r="I26" s="2344"/>
      <c r="J26" s="2344"/>
      <c r="K26" s="2344"/>
      <c r="L26" s="2344"/>
      <c r="M26" s="2344"/>
      <c r="N26" s="2344"/>
      <c r="O26" s="2344"/>
      <c r="P26" s="2344"/>
      <c r="Q26" s="2344"/>
      <c r="R26" s="2344"/>
      <c r="S26" s="2345"/>
      <c r="T26" s="2356">
        <f>T23*T25</f>
        <v>47870291.300000004</v>
      </c>
      <c r="U26" s="2337"/>
      <c r="V26" s="2337"/>
      <c r="W26" s="2337"/>
      <c r="X26" s="2337"/>
      <c r="Y26" s="2356">
        <f>Y23*Y25</f>
        <v>0</v>
      </c>
      <c r="Z26" s="2337"/>
      <c r="AA26" s="2337"/>
      <c r="AB26" s="2337"/>
      <c r="AC26" s="2337"/>
      <c r="AD26" s="2356">
        <f>AD23*AD25</f>
        <v>0</v>
      </c>
      <c r="AE26" s="2337"/>
      <c r="AF26" s="2337"/>
      <c r="AG26" s="2337"/>
      <c r="AH26" s="2337"/>
      <c r="AI26" s="2356">
        <f>AI23*AI25</f>
        <v>0</v>
      </c>
      <c r="AJ26" s="2337"/>
      <c r="AK26" s="2337"/>
      <c r="AL26" s="2337"/>
      <c r="AM26" s="2337"/>
    </row>
    <row r="27" spans="1:40" ht="12.95" customHeight="1">
      <c r="A27" s="410"/>
      <c r="B27" s="2390" t="s">
        <v>425</v>
      </c>
      <c r="C27" s="2391"/>
      <c r="D27" s="2391"/>
      <c r="E27" s="2391"/>
      <c r="F27" s="2391"/>
      <c r="G27" s="2391"/>
      <c r="H27" s="2391"/>
      <c r="I27" s="2391"/>
      <c r="J27" s="2391"/>
      <c r="K27" s="2391"/>
      <c r="L27" s="2391"/>
      <c r="M27" s="2391"/>
      <c r="N27" s="2391"/>
      <c r="O27" s="2391"/>
      <c r="P27" s="2391"/>
      <c r="Q27" s="2391"/>
      <c r="R27" s="2391"/>
      <c r="S27" s="2392"/>
      <c r="T27" s="2367">
        <f>Application!$AG$445</f>
        <v>1</v>
      </c>
      <c r="U27" s="2368"/>
      <c r="V27" s="2368"/>
      <c r="W27" s="2368"/>
      <c r="X27" s="2368"/>
      <c r="Y27" s="2367">
        <f>Application!$AG$445</f>
        <v>1</v>
      </c>
      <c r="Z27" s="2368"/>
      <c r="AA27" s="2368"/>
      <c r="AB27" s="2368"/>
      <c r="AC27" s="2368"/>
      <c r="AD27" s="2367">
        <f>Application!$AG$445</f>
        <v>1</v>
      </c>
      <c r="AE27" s="2368"/>
      <c r="AF27" s="2368"/>
      <c r="AG27" s="2368"/>
      <c r="AH27" s="2368"/>
      <c r="AI27" s="2367">
        <f>Application!$AG$445</f>
        <v>1</v>
      </c>
      <c r="AJ27" s="2368"/>
      <c r="AK27" s="2368"/>
      <c r="AL27" s="2368"/>
      <c r="AM27" s="2368"/>
    </row>
    <row r="28" spans="1:40" ht="12.95" customHeight="1">
      <c r="A28" s="404"/>
      <c r="B28" s="2343" t="s">
        <v>506</v>
      </c>
      <c r="C28" s="2344"/>
      <c r="D28" s="2344"/>
      <c r="E28" s="2344"/>
      <c r="F28" s="2344"/>
      <c r="G28" s="2344"/>
      <c r="H28" s="2344"/>
      <c r="I28" s="2344"/>
      <c r="J28" s="2344"/>
      <c r="K28" s="2344"/>
      <c r="L28" s="2344"/>
      <c r="M28" s="2344"/>
      <c r="N28" s="2344"/>
      <c r="O28" s="2344"/>
      <c r="P28" s="2344"/>
      <c r="Q28" s="2344"/>
      <c r="R28" s="2344"/>
      <c r="S28" s="2345"/>
      <c r="T28" s="2356">
        <f>IF(ISERROR((T26*T27)),0,(T26*T27))</f>
        <v>47870291.300000004</v>
      </c>
      <c r="U28" s="2337"/>
      <c r="V28" s="2337"/>
      <c r="W28" s="2337"/>
      <c r="X28" s="2337"/>
      <c r="Y28" s="2356">
        <f>IF(ISERROR((Y26*Y27)),0,(Y26*Y27))</f>
        <v>0</v>
      </c>
      <c r="Z28" s="2337"/>
      <c r="AA28" s="2337"/>
      <c r="AB28" s="2337"/>
      <c r="AC28" s="2337"/>
      <c r="AD28" s="2356">
        <f>IF(ISERROR((AD26*AD27)),0,(AD26*AD27))</f>
        <v>0</v>
      </c>
      <c r="AE28" s="2337"/>
      <c r="AF28" s="2337"/>
      <c r="AG28" s="2337"/>
      <c r="AH28" s="2337"/>
      <c r="AI28" s="2356">
        <f>IF(ISERROR((AI26*AI27)),0,(AI26*AI27))</f>
        <v>0</v>
      </c>
      <c r="AJ28" s="2337"/>
      <c r="AK28" s="2337"/>
      <c r="AL28" s="2337"/>
      <c r="AM28" s="2337"/>
    </row>
    <row r="29" spans="1:40" ht="12.95" customHeight="1">
      <c r="B29" s="2343" t="s">
        <v>523</v>
      </c>
      <c r="C29" s="2344"/>
      <c r="D29" s="2344"/>
      <c r="E29" s="2344"/>
      <c r="F29" s="2344"/>
      <c r="G29" s="2344"/>
      <c r="H29" s="2344"/>
      <c r="I29" s="2344"/>
      <c r="J29" s="2344"/>
      <c r="K29" s="2344"/>
      <c r="L29" s="2344"/>
      <c r="M29" s="2344"/>
      <c r="N29" s="2344"/>
      <c r="O29" s="2344"/>
      <c r="P29" s="2344"/>
      <c r="Q29" s="2344"/>
      <c r="R29" s="2344"/>
      <c r="S29" s="2345"/>
      <c r="T29" s="2347">
        <f>T28+Y28+AD28+AI28</f>
        <v>47870291.300000004</v>
      </c>
      <c r="U29" s="2355"/>
      <c r="V29" s="2355"/>
      <c r="W29" s="2355"/>
      <c r="X29" s="2355"/>
      <c r="Y29" s="2355"/>
      <c r="Z29" s="2355"/>
      <c r="AA29" s="2355"/>
      <c r="AB29" s="2355"/>
      <c r="AC29" s="2355"/>
      <c r="AD29" s="2355"/>
      <c r="AE29" s="2355"/>
      <c r="AF29" s="2355"/>
      <c r="AG29" s="2355"/>
      <c r="AH29" s="2355"/>
      <c r="AI29" s="2355"/>
      <c r="AJ29" s="2355"/>
      <c r="AK29" s="2355"/>
      <c r="AL29" s="2355"/>
      <c r="AM29" s="2356"/>
    </row>
    <row r="30" spans="1:40" ht="12.95" customHeight="1">
      <c r="B30" s="2360" t="s">
        <v>1266</v>
      </c>
      <c r="C30" s="2360"/>
      <c r="D30" s="2360"/>
      <c r="E30" s="2360"/>
      <c r="F30" s="2360"/>
      <c r="G30" s="2360"/>
      <c r="H30" s="2360"/>
      <c r="I30" s="2360"/>
      <c r="J30" s="2360"/>
      <c r="K30" s="2360"/>
      <c r="L30" s="2360"/>
      <c r="M30" s="2360"/>
      <c r="N30" s="2360"/>
      <c r="O30" s="2360"/>
      <c r="P30" s="2360"/>
      <c r="Q30" s="2360"/>
      <c r="R30" s="2360"/>
      <c r="S30" s="2360"/>
      <c r="T30" s="2360"/>
      <c r="U30" s="2360"/>
      <c r="V30" s="2360"/>
      <c r="W30" s="2360"/>
      <c r="X30" s="2360"/>
      <c r="Y30" s="2360"/>
      <c r="Z30" s="2360"/>
      <c r="AA30" s="2360"/>
      <c r="AB30" s="2360"/>
      <c r="AC30" s="2360"/>
      <c r="AD30" s="2360"/>
      <c r="AE30" s="2360"/>
      <c r="AF30" s="2360"/>
      <c r="AG30" s="2360"/>
      <c r="AH30" s="2360"/>
      <c r="AI30" s="2360"/>
      <c r="AJ30" s="2360"/>
      <c r="AK30" s="2360"/>
      <c r="AL30" s="2360"/>
      <c r="AM30" s="2360"/>
    </row>
    <row r="31" spans="1:40" ht="12.95" customHeight="1">
      <c r="B31" s="2360" t="s">
        <v>1265</v>
      </c>
      <c r="C31" s="2360"/>
      <c r="D31" s="2360"/>
      <c r="E31" s="2360"/>
      <c r="F31" s="2360"/>
      <c r="G31" s="2360"/>
      <c r="H31" s="2360"/>
      <c r="I31" s="2360"/>
      <c r="J31" s="2360"/>
      <c r="K31" s="2360"/>
      <c r="L31" s="2360"/>
      <c r="M31" s="2360"/>
      <c r="N31" s="2360"/>
      <c r="O31" s="2360"/>
      <c r="P31" s="2360"/>
      <c r="Q31" s="2360"/>
      <c r="R31" s="2360"/>
      <c r="S31" s="2360"/>
      <c r="T31" s="2360"/>
      <c r="U31" s="2360"/>
      <c r="V31" s="2360"/>
      <c r="W31" s="2360"/>
      <c r="X31" s="2360"/>
      <c r="Y31" s="2360"/>
      <c r="Z31" s="2360"/>
      <c r="AA31" s="2360"/>
      <c r="AB31" s="2360"/>
      <c r="AC31" s="2360"/>
      <c r="AD31" s="2360"/>
      <c r="AE31" s="2360"/>
      <c r="AF31" s="2360"/>
      <c r="AG31" s="2360"/>
      <c r="AH31" s="2360"/>
      <c r="AI31" s="2360"/>
      <c r="AJ31" s="2360"/>
      <c r="AK31" s="2360"/>
      <c r="AL31" s="2360"/>
      <c r="AM31" s="2360"/>
      <c r="AN31" s="518"/>
    </row>
    <row r="32" spans="1:40" ht="12.95"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576</v>
      </c>
      <c r="C34" s="404" t="s">
        <v>568</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7" t="s">
        <v>1154</v>
      </c>
      <c r="Z35" s="2357"/>
      <c r="AA35" s="2357"/>
      <c r="AB35" s="2357"/>
      <c r="AC35" s="2357"/>
      <c r="AD35" s="2358" t="s">
        <v>368</v>
      </c>
      <c r="AE35" s="2358"/>
      <c r="AF35" s="2358"/>
      <c r="AG35" s="2358"/>
      <c r="AH35" s="2358"/>
    </row>
    <row r="36" spans="1:76" ht="12.95" customHeight="1">
      <c r="B36" s="407"/>
      <c r="X36" s="412"/>
      <c r="Y36" s="2357"/>
      <c r="Z36" s="2357"/>
      <c r="AA36" s="2357"/>
      <c r="AB36" s="2357"/>
      <c r="AC36" s="2357"/>
      <c r="AD36" s="2358"/>
      <c r="AE36" s="2358"/>
      <c r="AF36" s="2358"/>
      <c r="AG36" s="2358"/>
      <c r="AH36" s="2358"/>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7"/>
      <c r="Z37" s="2357"/>
      <c r="AA37" s="2357"/>
      <c r="AB37" s="2357"/>
      <c r="AC37" s="2357"/>
      <c r="AD37" s="2358"/>
      <c r="AE37" s="2358"/>
      <c r="AF37" s="2358"/>
      <c r="AG37" s="2358"/>
      <c r="AH37" s="2358"/>
    </row>
    <row r="38" spans="1:76" ht="12.95" customHeight="1">
      <c r="A38" s="404"/>
      <c r="B38" s="2343" t="s">
        <v>506</v>
      </c>
      <c r="C38" s="2344"/>
      <c r="D38" s="2344"/>
      <c r="E38" s="2344"/>
      <c r="F38" s="2344"/>
      <c r="G38" s="2344"/>
      <c r="H38" s="2344"/>
      <c r="I38" s="2344"/>
      <c r="J38" s="2344"/>
      <c r="K38" s="2344"/>
      <c r="L38" s="2344"/>
      <c r="M38" s="2344"/>
      <c r="N38" s="2344"/>
      <c r="O38" s="2344"/>
      <c r="P38" s="2344"/>
      <c r="Q38" s="2344"/>
      <c r="R38" s="2344"/>
      <c r="S38" s="2344"/>
      <c r="T38" s="2344"/>
      <c r="U38" s="2344"/>
      <c r="V38" s="2344"/>
      <c r="W38" s="2344"/>
      <c r="X38" s="2345"/>
      <c r="Y38" s="2337">
        <f>IF(T24&gt;=(T23+Y23+AD23+AI23),T28+Y28,0)</f>
        <v>47870291.300000004</v>
      </c>
      <c r="Z38" s="2337"/>
      <c r="AA38" s="2337"/>
      <c r="AB38" s="2337"/>
      <c r="AC38" s="2337"/>
      <c r="AD38" s="2337">
        <f>IF(T24&gt;=(T23+Y23+AD23+AI23),AD28+AI28,0)</f>
        <v>0</v>
      </c>
      <c r="AE38" s="2337"/>
      <c r="AF38" s="2337"/>
      <c r="AG38" s="2337"/>
      <c r="AH38" s="2337"/>
    </row>
    <row r="39" spans="1:76" ht="12.95" customHeight="1">
      <c r="B39" s="2343" t="s">
        <v>1691</v>
      </c>
      <c r="C39" s="2344"/>
      <c r="D39" s="2344"/>
      <c r="E39" s="2344"/>
      <c r="F39" s="2344"/>
      <c r="G39" s="2344"/>
      <c r="H39" s="2344"/>
      <c r="I39" s="2344"/>
      <c r="J39" s="2344"/>
      <c r="K39" s="2344"/>
      <c r="L39" s="2344"/>
      <c r="M39" s="2344"/>
      <c r="N39" s="2344"/>
      <c r="O39" s="2344"/>
      <c r="P39" s="2344"/>
      <c r="Q39" s="2344"/>
      <c r="R39" s="2344"/>
      <c r="S39" s="2344"/>
      <c r="T39" s="2344"/>
      <c r="U39" s="2344"/>
      <c r="V39" s="2344"/>
      <c r="W39" s="2344"/>
      <c r="X39" s="2345"/>
      <c r="Y39" s="2359">
        <v>0.04</v>
      </c>
      <c r="Z39" s="2359"/>
      <c r="AA39" s="2359"/>
      <c r="AB39" s="2359"/>
      <c r="AC39" s="2359"/>
      <c r="AD39" s="2359">
        <v>0.04</v>
      </c>
      <c r="AE39" s="2359"/>
      <c r="AF39" s="2359"/>
      <c r="AG39" s="2359"/>
      <c r="AH39" s="2359"/>
    </row>
    <row r="40" spans="1:76" ht="12.95" customHeight="1">
      <c r="A40" s="404"/>
      <c r="B40" s="2343" t="s">
        <v>642</v>
      </c>
      <c r="C40" s="2344"/>
      <c r="D40" s="2344"/>
      <c r="E40" s="2344"/>
      <c r="F40" s="2344"/>
      <c r="G40" s="2344"/>
      <c r="H40" s="2344"/>
      <c r="I40" s="2344"/>
      <c r="J40" s="2344"/>
      <c r="K40" s="2344"/>
      <c r="L40" s="2344"/>
      <c r="M40" s="2344"/>
      <c r="N40" s="2344"/>
      <c r="O40" s="2344"/>
      <c r="P40" s="2344"/>
      <c r="Q40" s="2344"/>
      <c r="R40" s="2344"/>
      <c r="S40" s="2344"/>
      <c r="T40" s="2344"/>
      <c r="U40" s="2344"/>
      <c r="V40" s="2344"/>
      <c r="W40" s="2344"/>
      <c r="X40" s="2345"/>
      <c r="Y40" s="2337">
        <f>ROUND(Y38*Y39,0)</f>
        <v>1914812</v>
      </c>
      <c r="Z40" s="2337"/>
      <c r="AA40" s="2337"/>
      <c r="AB40" s="2337"/>
      <c r="AC40" s="2337"/>
      <c r="AD40" s="2356">
        <f>ROUND(AD38*AD39,0)</f>
        <v>0</v>
      </c>
      <c r="AE40" s="2337"/>
      <c r="AF40" s="2337"/>
      <c r="AG40" s="2337"/>
      <c r="AH40" s="2337"/>
    </row>
    <row r="41" spans="1:76" ht="12.95" customHeight="1">
      <c r="B41" s="2343" t="s">
        <v>643</v>
      </c>
      <c r="C41" s="2344"/>
      <c r="D41" s="2344"/>
      <c r="E41" s="2344"/>
      <c r="F41" s="2344"/>
      <c r="G41" s="2344"/>
      <c r="H41" s="2344"/>
      <c r="I41" s="2344"/>
      <c r="J41" s="2344"/>
      <c r="K41" s="2344"/>
      <c r="L41" s="2344"/>
      <c r="M41" s="2344"/>
      <c r="N41" s="2344"/>
      <c r="O41" s="2344"/>
      <c r="P41" s="2344"/>
      <c r="Q41" s="2344"/>
      <c r="R41" s="2344"/>
      <c r="S41" s="2344"/>
      <c r="T41" s="2344"/>
      <c r="U41" s="2344"/>
      <c r="V41" s="2344"/>
      <c r="W41" s="2344"/>
      <c r="X41" s="2345"/>
      <c r="Y41" s="2347">
        <f>Y40+AD40</f>
        <v>1914812</v>
      </c>
      <c r="Z41" s="2355"/>
      <c r="AA41" s="2355"/>
      <c r="AB41" s="2355"/>
      <c r="AC41" s="2355"/>
      <c r="AD41" s="2355"/>
      <c r="AE41" s="2355"/>
      <c r="AF41" s="2355"/>
      <c r="AG41" s="2355"/>
      <c r="AH41" s="2356"/>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54" t="s">
        <v>1276</v>
      </c>
      <c r="B44" s="2354"/>
      <c r="C44" s="2354"/>
      <c r="D44" s="2354"/>
      <c r="E44" s="2354"/>
      <c r="F44" s="2354"/>
      <c r="G44" s="2354"/>
      <c r="H44" s="2354"/>
      <c r="I44" s="2354"/>
      <c r="J44" s="2354"/>
      <c r="K44" s="2354"/>
      <c r="L44" s="2354"/>
      <c r="M44" s="2354"/>
      <c r="N44" s="2354"/>
      <c r="O44" s="2354"/>
      <c r="P44" s="2354"/>
      <c r="Q44" s="2354"/>
      <c r="R44" s="2354"/>
      <c r="S44" s="2354"/>
      <c r="T44" s="2354"/>
      <c r="U44" s="2354"/>
      <c r="V44" s="2354"/>
      <c r="W44" s="2354"/>
      <c r="X44" s="2354"/>
      <c r="Y44" s="2354"/>
      <c r="Z44" s="2354"/>
      <c r="AA44" s="2354"/>
      <c r="AB44" s="2354"/>
      <c r="AC44" s="2354"/>
      <c r="AD44" s="2354"/>
      <c r="AE44" s="2354"/>
      <c r="AF44" s="2354"/>
      <c r="AG44" s="2354"/>
      <c r="AH44" s="2354"/>
      <c r="AI44" s="2354"/>
      <c r="AJ44" s="2354"/>
      <c r="AK44" s="2354"/>
      <c r="AL44" s="2354"/>
      <c r="AM44" s="2354"/>
      <c r="AN44" s="2354"/>
      <c r="AO44" s="2354"/>
      <c r="AP44" s="2354"/>
      <c r="AQ44" s="2354"/>
      <c r="AR44" s="2354"/>
      <c r="AS44" s="2354"/>
      <c r="AT44" s="2354"/>
      <c r="AU44" s="2354"/>
      <c r="AV44" s="2354"/>
      <c r="AW44" s="2354"/>
      <c r="AX44" s="2354"/>
      <c r="AY44" s="2354"/>
      <c r="AZ44" s="2354"/>
      <c r="BA44" s="2354"/>
      <c r="BB44" s="2354"/>
      <c r="BC44" s="2354"/>
      <c r="BD44" s="2354"/>
      <c r="BE44" s="2354"/>
      <c r="BF44" s="2354"/>
      <c r="BG44" s="2354"/>
      <c r="BH44" s="2354"/>
      <c r="BI44" s="2354"/>
      <c r="BJ44" s="2354"/>
      <c r="BK44" s="2354"/>
      <c r="BL44" s="2354"/>
      <c r="BM44" s="2354"/>
      <c r="BN44" s="2354"/>
      <c r="BO44" s="2354"/>
      <c r="BP44" s="2354"/>
      <c r="BQ44" s="2354"/>
      <c r="BR44" s="2354"/>
      <c r="BS44" s="2354"/>
      <c r="BT44" s="2354"/>
      <c r="BU44" s="2354"/>
      <c r="BV44" s="2354"/>
      <c r="BW44" s="2354"/>
      <c r="BX44" s="2354"/>
    </row>
    <row r="45" spans="1:76" s="204" customFormat="1" ht="12.95" customHeight="1" thickTop="1"/>
    <row r="46" spans="1:76" ht="12.95" customHeight="1">
      <c r="A46" s="404" t="s">
        <v>586</v>
      </c>
      <c r="C46" s="404" t="s">
        <v>281</v>
      </c>
    </row>
    <row r="47" spans="1:76" ht="12.95" customHeight="1">
      <c r="D47" s="404" t="s">
        <v>282</v>
      </c>
      <c r="AB47" s="2351">
        <f>'Sources and Uses Budget'!B105-MAX(IF('Sources and Uses Budget'!B15="",0,'Sources and Uses Budget'!B15),IF(Application!AG394="",0,Application!AG394))</f>
        <v>40811619</v>
      </c>
      <c r="AC47" s="2352"/>
      <c r="AD47" s="2352"/>
      <c r="AE47" s="2352"/>
      <c r="AF47" s="2353"/>
    </row>
    <row r="48" spans="1:76" ht="12.95" customHeight="1">
      <c r="D48" s="404" t="s">
        <v>21</v>
      </c>
      <c r="AB48" s="2351">
        <f>Application!AO639-MAX(IF('Sources and Uses Budget'!B15="",0,'Sources and Uses Budget'!B15),IF(Application!AG394="",0,Application!AG394))</f>
        <v>25356705</v>
      </c>
      <c r="AC48" s="2352"/>
      <c r="AD48" s="2352"/>
      <c r="AE48" s="2352"/>
      <c r="AF48" s="2353"/>
    </row>
    <row r="49" spans="1:76" ht="12.95" customHeight="1">
      <c r="D49" s="404" t="s">
        <v>91</v>
      </c>
      <c r="AB49" s="2351">
        <f>AB47-AB48</f>
        <v>15454914</v>
      </c>
      <c r="AC49" s="2352"/>
      <c r="AD49" s="2352"/>
      <c r="AE49" s="2352"/>
      <c r="AF49" s="2353"/>
    </row>
    <row r="50" spans="1:76" ht="12.95" customHeight="1">
      <c r="D50" s="404" t="s">
        <v>681</v>
      </c>
      <c r="AA50" s="415"/>
      <c r="AB50" s="2339">
        <f>AB49/Y41/10</f>
        <v>0.80712435476694322</v>
      </c>
      <c r="AC50" s="2340"/>
      <c r="AD50" s="2340"/>
      <c r="AE50" s="2340"/>
      <c r="AF50" s="2341"/>
    </row>
    <row r="51" spans="1:76" s="417" customFormat="1" ht="12.95" customHeight="1">
      <c r="A51" s="402"/>
      <c r="B51" s="402"/>
      <c r="C51" s="402"/>
      <c r="D51" s="402"/>
      <c r="E51" s="2350" t="s">
        <v>2611</v>
      </c>
      <c r="F51" s="2350"/>
      <c r="G51" s="2350"/>
      <c r="H51" s="2350"/>
      <c r="I51" s="2350"/>
      <c r="J51" s="2350"/>
      <c r="K51" s="2350"/>
      <c r="L51" s="2350"/>
      <c r="M51" s="2350"/>
      <c r="N51" s="2350"/>
      <c r="O51" s="2350"/>
      <c r="P51" s="2350"/>
      <c r="Q51" s="2350"/>
      <c r="R51" s="2350"/>
      <c r="S51" s="2350"/>
      <c r="T51" s="2350"/>
      <c r="U51" s="2350"/>
      <c r="V51" s="2350"/>
      <c r="W51" s="2350"/>
      <c r="X51" s="2350"/>
      <c r="Y51" s="2350"/>
      <c r="Z51" s="2350"/>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50"/>
      <c r="F52" s="2350"/>
      <c r="G52" s="2350"/>
      <c r="H52" s="2350"/>
      <c r="I52" s="2350"/>
      <c r="J52" s="2350"/>
      <c r="K52" s="2350"/>
      <c r="L52" s="2350"/>
      <c r="M52" s="2350"/>
      <c r="N52" s="2350"/>
      <c r="O52" s="2350"/>
      <c r="P52" s="2350"/>
      <c r="Q52" s="2350"/>
      <c r="R52" s="2350"/>
      <c r="S52" s="2350"/>
      <c r="T52" s="2350"/>
      <c r="U52" s="2350"/>
      <c r="V52" s="2350"/>
      <c r="W52" s="2350"/>
      <c r="X52" s="2350"/>
      <c r="Y52" s="2350"/>
      <c r="Z52" s="2350"/>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331</v>
      </c>
      <c r="AB54" s="2351">
        <f>ROUND(IF(ISERROR((AB49/AB50)),0,(AB49/AB50)),0)</f>
        <v>19148120</v>
      </c>
      <c r="AC54" s="2352"/>
      <c r="AD54" s="2352"/>
      <c r="AE54" s="2352"/>
      <c r="AF54" s="2353"/>
    </row>
    <row r="55" spans="1:76" ht="12.95" customHeight="1">
      <c r="D55" s="404" t="s">
        <v>332</v>
      </c>
      <c r="AB55" s="2351">
        <f>(AB54/10)</f>
        <v>1914812</v>
      </c>
      <c r="AC55" s="2352"/>
      <c r="AD55" s="2352"/>
      <c r="AE55" s="2352"/>
      <c r="AF55" s="2353"/>
    </row>
    <row r="56" spans="1:76" ht="12.95" customHeight="1">
      <c r="D56" s="404" t="s">
        <v>756</v>
      </c>
      <c r="AB56" s="2351">
        <f>ROUND((IF((Y41&lt;AB55),Y41,AB55)),0)</f>
        <v>1914812</v>
      </c>
      <c r="AC56" s="2352"/>
      <c r="AD56" s="2352"/>
      <c r="AE56" s="2352"/>
      <c r="AF56" s="2353"/>
    </row>
    <row r="57" spans="1:76" ht="12.95" customHeight="1">
      <c r="D57" s="404" t="s">
        <v>755</v>
      </c>
      <c r="AB57" s="2351">
        <f>ROUND((10*AB56*AB50),0)</f>
        <v>15454914</v>
      </c>
      <c r="AC57" s="2352"/>
      <c r="AD57" s="2352"/>
      <c r="AE57" s="2352"/>
      <c r="AF57" s="2353"/>
    </row>
    <row r="58" spans="1:76" ht="12.95" customHeight="1">
      <c r="D58" s="404"/>
      <c r="AB58" s="423"/>
      <c r="AC58" s="423"/>
      <c r="AD58" s="423"/>
      <c r="AE58" s="423"/>
      <c r="AF58" s="423"/>
    </row>
    <row r="59" spans="1:76" ht="12.95" customHeight="1">
      <c r="D59" s="404" t="s">
        <v>754</v>
      </c>
      <c r="AB59" s="2335">
        <f>AB49-AB57</f>
        <v>0</v>
      </c>
      <c r="AC59" s="2335"/>
      <c r="AD59" s="2335"/>
      <c r="AE59" s="2335"/>
      <c r="AF59" s="2335"/>
    </row>
    <row r="60" spans="1:76" ht="12.95" customHeight="1">
      <c r="D60" s="404"/>
      <c r="AB60" s="423"/>
      <c r="AC60" s="423"/>
      <c r="AD60" s="423"/>
      <c r="AE60" s="423"/>
      <c r="AF60" s="423"/>
    </row>
    <row r="61" spans="1:76" s="204" customFormat="1" ht="12.95" customHeight="1" thickBot="1">
      <c r="A61" s="2354" t="str">
        <f>IF(Application!AP205="yes","Farmworker State Credit", "State Credit" )</f>
        <v>State Credit</v>
      </c>
      <c r="B61" s="2354"/>
      <c r="C61" s="2354"/>
      <c r="D61" s="2354"/>
      <c r="E61" s="2354"/>
      <c r="F61" s="2354"/>
      <c r="G61" s="2354"/>
      <c r="H61" s="2354"/>
      <c r="I61" s="2354"/>
      <c r="J61" s="2354"/>
      <c r="K61" s="2354"/>
      <c r="L61" s="2354"/>
      <c r="M61" s="2354"/>
      <c r="N61" s="2354"/>
      <c r="O61" s="2354"/>
      <c r="P61" s="2354"/>
      <c r="Q61" s="2354"/>
      <c r="R61" s="2354"/>
      <c r="S61" s="2354"/>
      <c r="T61" s="2354"/>
      <c r="U61" s="2354"/>
      <c r="V61" s="2354"/>
      <c r="W61" s="2354"/>
      <c r="X61" s="2354"/>
      <c r="Y61" s="2354"/>
      <c r="Z61" s="2354"/>
      <c r="AA61" s="2354"/>
      <c r="AB61" s="2354"/>
      <c r="AC61" s="2354"/>
      <c r="AD61" s="2354"/>
      <c r="AE61" s="2354"/>
      <c r="AF61" s="2354"/>
      <c r="AG61" s="2354"/>
      <c r="AH61" s="2354"/>
      <c r="AI61" s="2354"/>
      <c r="AJ61" s="2354"/>
      <c r="AK61" s="2354"/>
      <c r="AL61" s="2354"/>
      <c r="AM61" s="2354"/>
      <c r="AN61" s="2354"/>
      <c r="AO61" s="2354"/>
      <c r="AP61" s="2354"/>
      <c r="AQ61" s="2354"/>
      <c r="AR61" s="2354"/>
      <c r="AS61" s="2354"/>
      <c r="AT61" s="2354"/>
      <c r="AU61" s="2354"/>
      <c r="AV61" s="2354"/>
      <c r="AW61" s="2354"/>
      <c r="AX61" s="2354"/>
      <c r="AY61" s="2354"/>
      <c r="AZ61" s="2354"/>
      <c r="BA61" s="2354"/>
      <c r="BB61" s="2354"/>
      <c r="BC61" s="2354"/>
      <c r="BD61" s="2354"/>
      <c r="BE61" s="2354"/>
      <c r="BF61" s="2354"/>
      <c r="BG61" s="2354"/>
      <c r="BH61" s="2354"/>
      <c r="BI61" s="2354"/>
      <c r="BJ61" s="2354"/>
      <c r="BK61" s="2354"/>
      <c r="BL61" s="2354"/>
      <c r="BM61" s="2354"/>
      <c r="BN61" s="2354"/>
      <c r="BO61" s="2354"/>
      <c r="BP61" s="2354"/>
      <c r="BQ61" s="2354"/>
      <c r="BR61" s="2354"/>
      <c r="BS61" s="2354"/>
      <c r="BT61" s="2354"/>
      <c r="BU61" s="2354"/>
      <c r="BV61" s="2354"/>
      <c r="BW61" s="2354"/>
      <c r="BX61" s="2354"/>
    </row>
    <row r="62" spans="1:76" s="204" customFormat="1" ht="12.95" customHeight="1" thickTop="1"/>
    <row r="63" spans="1:76" ht="12.95" customHeight="1">
      <c r="A63" s="404" t="s">
        <v>589</v>
      </c>
      <c r="C63" s="205" t="s">
        <v>1248</v>
      </c>
      <c r="Y63" s="2346" t="s">
        <v>984</v>
      </c>
      <c r="Z63" s="2346"/>
      <c r="AA63" s="2346"/>
      <c r="AB63" s="2346"/>
      <c r="AC63" s="2346"/>
      <c r="AD63" s="2346" t="s">
        <v>368</v>
      </c>
      <c r="AE63" s="2346"/>
      <c r="AF63" s="2346"/>
      <c r="AG63" s="2346"/>
      <c r="AH63" s="2346"/>
    </row>
    <row r="64" spans="1:76" ht="12.95"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347">
        <f>IF(Application!$Z$205="(select)",0,((T23*T27)+Y28))</f>
        <v>0</v>
      </c>
      <c r="Z64" s="2348"/>
      <c r="AA64" s="2348"/>
      <c r="AB64" s="2348"/>
      <c r="AC64" s="2349"/>
      <c r="AD64" s="2347">
        <f>IF(AND(OR(Application!D211="At-Risk",Application!D211="At-Risk and Special Needs"),Application!M358="yes"),AD28+AI28,0)</f>
        <v>0</v>
      </c>
      <c r="AE64" s="2348"/>
      <c r="AF64" s="2348"/>
      <c r="AG64" s="2348"/>
      <c r="AH64" s="2349"/>
    </row>
    <row r="65" spans="1:36" ht="12.95" customHeight="1">
      <c r="C65" s="404"/>
      <c r="E65" s="1017" t="s">
        <v>1848</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1849</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269</v>
      </c>
      <c r="E67" s="421"/>
      <c r="F67" s="421"/>
      <c r="G67" s="421"/>
      <c r="H67" s="421"/>
      <c r="I67" s="421"/>
      <c r="J67" s="421"/>
      <c r="K67" s="421"/>
      <c r="L67" s="421"/>
      <c r="M67" s="421"/>
      <c r="N67" s="421"/>
      <c r="O67" s="421"/>
      <c r="P67" s="421"/>
      <c r="Q67" s="421"/>
      <c r="R67" s="421"/>
      <c r="S67" s="421"/>
      <c r="T67" s="421"/>
      <c r="U67" s="421"/>
      <c r="V67" s="421"/>
      <c r="W67" s="421"/>
      <c r="X67" s="421"/>
      <c r="Y67" s="2336">
        <f>IF(OR(Application!Z205="State Farmworker Credit",Application!Z205="$500M (Farmworker Housing)"),0.75,IF(Application!Z205="15% set-aside",0.13,IF(Application!Z205="15% set-aside with qualifying low value rehab",0.95,IF(Application!Z205="$500M",0.3,0))))</f>
        <v>0</v>
      </c>
      <c r="Z67" s="2336"/>
      <c r="AA67" s="2336"/>
      <c r="AB67" s="2336"/>
      <c r="AC67" s="2336"/>
      <c r="AD67" s="2336">
        <f>IF(Application!Z205="15% set-aside with qualifying low value rehab", 0.95,IF(OR(Application!D211="At-Risk",'Points System'!B13="Yes"),0.13,0))</f>
        <v>0</v>
      </c>
      <c r="AE67" s="2336"/>
      <c r="AF67" s="2336"/>
      <c r="AG67" s="2336"/>
      <c r="AH67" s="2336"/>
    </row>
    <row r="68" spans="1:36" ht="12.95" customHeight="1">
      <c r="C68" s="404"/>
      <c r="D68" s="205" t="s">
        <v>2224</v>
      </c>
      <c r="Y68" s="2337">
        <f>ROUND(Y64*Y67,0)</f>
        <v>0</v>
      </c>
      <c r="Z68" s="2338"/>
      <c r="AA68" s="2338"/>
      <c r="AB68" s="2338"/>
      <c r="AC68" s="2338"/>
      <c r="AD68" s="2337">
        <f>ROUND(AD64*AD67,0)</f>
        <v>0</v>
      </c>
      <c r="AE68" s="2338"/>
      <c r="AF68" s="2338"/>
      <c r="AG68" s="2338"/>
      <c r="AH68" s="2338"/>
    </row>
    <row r="69" spans="1:36" ht="12.95" customHeight="1">
      <c r="C69" s="404"/>
      <c r="D69" s="205" t="s">
        <v>2225</v>
      </c>
      <c r="Y69" s="2337">
        <f>IF(OR(Application!Z205="State Farmworker Credit",Application!Z205="$500M (Farmworker Housing)"),Y68+AD68,MIN(Y68+AD68,200000*(Application!G753+Application!O777)))</f>
        <v>0</v>
      </c>
      <c r="Z69" s="2337"/>
      <c r="AA69" s="2337"/>
      <c r="AB69" s="2337"/>
      <c r="AC69" s="2337"/>
      <c r="AD69" s="2337"/>
      <c r="AE69" s="2337"/>
      <c r="AF69" s="2337"/>
      <c r="AG69" s="2337"/>
      <c r="AH69" s="2337"/>
    </row>
    <row r="70" spans="1:36" ht="12.95" customHeight="1">
      <c r="C70" s="404"/>
      <c r="E70" s="404"/>
      <c r="AB70" s="422"/>
      <c r="AC70" s="422"/>
      <c r="AD70" s="422"/>
      <c r="AE70" s="422"/>
      <c r="AF70" s="422"/>
    </row>
    <row r="71" spans="1:36" ht="12.95" customHeight="1">
      <c r="A71" s="404" t="s">
        <v>590</v>
      </c>
      <c r="C71" s="205" t="s">
        <v>283</v>
      </c>
    </row>
    <row r="72" spans="1:36" ht="12.95" customHeight="1">
      <c r="A72" s="404"/>
      <c r="C72" s="404"/>
      <c r="D72" s="205" t="s">
        <v>1250</v>
      </c>
      <c r="AB72" s="2339"/>
      <c r="AC72" s="2340"/>
      <c r="AD72" s="2340"/>
      <c r="AE72" s="2340"/>
      <c r="AF72" s="2341"/>
    </row>
    <row r="73" spans="1:36" ht="12.95" customHeight="1">
      <c r="A73" s="404"/>
      <c r="C73" s="404"/>
      <c r="D73" s="404"/>
      <c r="E73" s="2342" t="s">
        <v>1251</v>
      </c>
      <c r="F73" s="2342"/>
      <c r="G73" s="2342"/>
      <c r="H73" s="2342"/>
      <c r="I73" s="2342"/>
      <c r="J73" s="2342"/>
      <c r="K73" s="2342"/>
      <c r="L73" s="2342"/>
      <c r="M73" s="2342"/>
      <c r="N73" s="2342"/>
      <c r="O73" s="2342"/>
      <c r="P73" s="2342"/>
      <c r="Q73" s="2342"/>
      <c r="R73" s="2342"/>
      <c r="S73" s="2342"/>
      <c r="T73" s="2342"/>
      <c r="U73" s="2342"/>
      <c r="V73" s="2342"/>
      <c r="W73" s="2342"/>
      <c r="X73" s="2342"/>
      <c r="Y73" s="2342"/>
      <c r="Z73" s="2342"/>
      <c r="AA73" s="2342"/>
      <c r="AB73" s="438"/>
      <c r="AC73" s="438"/>
    </row>
    <row r="74" spans="1:36" ht="12.95" customHeight="1">
      <c r="A74" s="404"/>
      <c r="C74" s="404"/>
      <c r="D74" s="404"/>
      <c r="E74" s="2342"/>
      <c r="F74" s="2342"/>
      <c r="G74" s="2342"/>
      <c r="H74" s="2342"/>
      <c r="I74" s="2342"/>
      <c r="J74" s="2342"/>
      <c r="K74" s="2342"/>
      <c r="L74" s="2342"/>
      <c r="M74" s="2342"/>
      <c r="N74" s="2342"/>
      <c r="O74" s="2342"/>
      <c r="P74" s="2342"/>
      <c r="Q74" s="2342"/>
      <c r="R74" s="2342"/>
      <c r="S74" s="2342"/>
      <c r="T74" s="2342"/>
      <c r="U74" s="2342"/>
      <c r="V74" s="2342"/>
      <c r="W74" s="2342"/>
      <c r="X74" s="2342"/>
      <c r="Y74" s="2342"/>
      <c r="Z74" s="2342"/>
      <c r="AA74" s="2342"/>
      <c r="AB74" s="438"/>
      <c r="AC74" s="438"/>
    </row>
    <row r="75" spans="1:36" ht="12.95" customHeight="1">
      <c r="A75" s="404"/>
      <c r="C75" s="404"/>
      <c r="D75" s="404"/>
      <c r="E75" s="2342"/>
      <c r="F75" s="2342"/>
      <c r="G75" s="2342"/>
      <c r="H75" s="2342"/>
      <c r="I75" s="2342"/>
      <c r="J75" s="2342"/>
      <c r="K75" s="2342"/>
      <c r="L75" s="2342"/>
      <c r="M75" s="2342"/>
      <c r="N75" s="2342"/>
      <c r="O75" s="2342"/>
      <c r="P75" s="2342"/>
      <c r="Q75" s="2342"/>
      <c r="R75" s="2342"/>
      <c r="S75" s="2342"/>
      <c r="T75" s="2342"/>
      <c r="U75" s="2342"/>
      <c r="V75" s="2342"/>
      <c r="W75" s="2342"/>
      <c r="X75" s="2342"/>
      <c r="Y75" s="2342"/>
      <c r="Z75" s="2342"/>
      <c r="AA75" s="2342"/>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1252</v>
      </c>
      <c r="AB77" s="2330">
        <f>ROUND(IF(ISERROR((AB59/AB72)),0,(AB59/AB72)),0)</f>
        <v>0</v>
      </c>
      <c r="AC77" s="2330"/>
      <c r="AD77" s="2330"/>
      <c r="AE77" s="2330"/>
      <c r="AF77" s="2330"/>
    </row>
    <row r="78" spans="1:36" ht="12.95" customHeight="1">
      <c r="C78" s="404"/>
      <c r="D78" s="205" t="s">
        <v>1253</v>
      </c>
      <c r="AB78" s="2331">
        <f>ROUNDUP(MIN(Y69,AB77),0)</f>
        <v>0</v>
      </c>
      <c r="AC78" s="2332"/>
      <c r="AD78" s="2332"/>
      <c r="AE78" s="2332"/>
      <c r="AF78" s="2333"/>
    </row>
    <row r="79" spans="1:36" ht="12.95" customHeight="1">
      <c r="C79" s="404"/>
      <c r="D79" s="205" t="s">
        <v>1254</v>
      </c>
      <c r="AB79" s="2334">
        <f>AB78*AB72</f>
        <v>0</v>
      </c>
      <c r="AC79" s="2334"/>
      <c r="AD79" s="2334"/>
      <c r="AE79" s="2334"/>
      <c r="AF79" s="2334"/>
    </row>
    <row r="80" spans="1:36" ht="12.95" customHeight="1">
      <c r="C80" s="404"/>
      <c r="D80" s="404"/>
      <c r="AB80" s="425"/>
      <c r="AC80" s="425"/>
      <c r="AD80" s="425"/>
      <c r="AE80" s="425"/>
      <c r="AF80" s="425"/>
    </row>
    <row r="81" spans="1:78" ht="12.95" customHeight="1">
      <c r="D81" s="404" t="s">
        <v>754</v>
      </c>
      <c r="AB81" s="2335">
        <f>AB49-(AB57+AB79)</f>
        <v>0</v>
      </c>
      <c r="AC81" s="2335"/>
      <c r="AD81" s="2335"/>
      <c r="AE81" s="2335"/>
      <c r="AF81" s="2335"/>
    </row>
    <row r="82" spans="1:78" ht="12.95" customHeight="1">
      <c r="F82" s="522"/>
      <c r="J82" s="522" t="str">
        <f>IF(AB81&gt;0,"FUNDING GAP MUST NOT EXCEED ZERO","")</f>
        <v/>
      </c>
    </row>
    <row r="83" spans="1:78" ht="12.95" customHeight="1">
      <c r="D83" s="523"/>
    </row>
    <row r="84" spans="1:78" ht="12.95" customHeight="1" thickBot="1">
      <c r="A84" s="2354"/>
      <c r="B84" s="2354"/>
      <c r="C84" s="2354"/>
      <c r="D84" s="2354"/>
      <c r="E84" s="2354"/>
      <c r="F84" s="2354"/>
      <c r="G84" s="2354"/>
      <c r="H84" s="2354"/>
      <c r="I84" s="2354"/>
      <c r="J84" s="2354"/>
      <c r="K84" s="2354"/>
      <c r="L84" s="2354"/>
      <c r="M84" s="2354"/>
      <c r="N84" s="2354"/>
      <c r="O84" s="2354"/>
      <c r="P84" s="2354"/>
      <c r="Q84" s="2354"/>
      <c r="R84" s="2354"/>
      <c r="S84" s="2354"/>
      <c r="T84" s="2354"/>
      <c r="U84" s="2354"/>
      <c r="V84" s="2354"/>
      <c r="W84" s="2354"/>
      <c r="X84" s="2354"/>
      <c r="Y84" s="2354"/>
      <c r="Z84" s="2354"/>
      <c r="AA84" s="2354"/>
      <c r="AB84" s="2354"/>
      <c r="AC84" s="2354"/>
      <c r="AD84" s="2354"/>
      <c r="AE84" s="2354"/>
      <c r="AF84" s="2354"/>
      <c r="AG84" s="2354"/>
      <c r="AH84" s="2354"/>
      <c r="AI84" s="2354"/>
      <c r="AJ84" s="2354"/>
      <c r="AK84" s="2354"/>
      <c r="AL84" s="2354"/>
      <c r="AM84" s="2354"/>
      <c r="AN84" s="2354"/>
      <c r="AO84" s="2354"/>
      <c r="AP84" s="2354"/>
      <c r="AQ84" s="2354"/>
      <c r="AR84" s="2354"/>
      <c r="AS84" s="2354"/>
      <c r="AT84" s="2354"/>
      <c r="AU84" s="2354"/>
      <c r="AV84" s="2354"/>
      <c r="AW84" s="2354"/>
      <c r="AX84" s="2354"/>
      <c r="AY84" s="2354"/>
      <c r="AZ84" s="2354"/>
      <c r="BA84" s="2354"/>
      <c r="BB84" s="2354"/>
      <c r="BC84" s="2354"/>
      <c r="BD84" s="2354"/>
      <c r="BE84" s="2354"/>
      <c r="BF84" s="2354"/>
      <c r="BG84" s="2354"/>
      <c r="BH84" s="2354"/>
      <c r="BI84" s="2354"/>
      <c r="BJ84" s="2354"/>
      <c r="BK84" s="2354"/>
      <c r="BL84" s="2354"/>
      <c r="BM84" s="2354"/>
      <c r="BN84" s="2354"/>
      <c r="BO84" s="2354"/>
      <c r="BP84" s="2354"/>
      <c r="BQ84" s="2354"/>
      <c r="BR84" s="2354"/>
      <c r="BS84" s="2354"/>
      <c r="BT84" s="2354"/>
      <c r="BU84" s="2354"/>
      <c r="BV84" s="2354"/>
      <c r="BW84" s="2354"/>
      <c r="BX84" s="2354"/>
    </row>
    <row r="85" spans="1:78" ht="12.95" customHeight="1" thickTop="1"/>
    <row r="86" spans="1:78" ht="12.95" customHeight="1">
      <c r="A86" s="404"/>
      <c r="C86" s="205"/>
    </row>
    <row r="87" spans="1:78" ht="12.95" customHeight="1">
      <c r="D87" s="205"/>
      <c r="AB87" s="2386"/>
      <c r="AC87" s="2386"/>
      <c r="AD87" s="2386"/>
      <c r="AE87" s="2386"/>
      <c r="AF87" s="2386"/>
    </row>
    <row r="88" spans="1:78" ht="12.95" customHeight="1" thickBot="1">
      <c r="D88" s="205"/>
      <c r="AB88" s="2385"/>
      <c r="AC88" s="2385"/>
      <c r="AD88" s="2385"/>
      <c r="AE88" s="2385"/>
      <c r="AF88" s="2385"/>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3VRiQm9rGSjDHgIs9h++j5ALOG9dQ+uDHpcwdcVcdoA20m0Wl5KqE/c5Omxzt2740hdQO+xWZaI+vhirpmK8Cg==" saltValue="OinloxrE/o0E8iDLnFjIU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0.75</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595" workbookViewId="0">
      <selection activeCell="AD200" sqref="AD200:AJ200"/>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42578125" style="14" customWidth="1"/>
    <col min="19" max="19" width="3.28515625" style="14" customWidth="1"/>
    <col min="20" max="32" width="2.42578125" style="14" customWidth="1"/>
    <col min="33" max="33" width="3.42578125" style="14" customWidth="1"/>
    <col min="34" max="36" width="2.42578125" style="14" customWidth="1"/>
    <col min="37" max="37" width="5.42578125" style="14" customWidth="1"/>
    <col min="38" max="38" width="2.42578125" style="14" customWidth="1"/>
    <col min="39" max="39" width="3.42578125" style="14" customWidth="1"/>
    <col min="40" max="40" width="5.42578125" style="534" customWidth="1"/>
    <col min="41" max="41" width="5.42578125" style="30" hidden="1" customWidth="1"/>
    <col min="42" max="45" width="5.42578125" style="14" hidden="1" customWidth="1"/>
    <col min="46" max="46" width="10.85546875" style="14" hidden="1" customWidth="1"/>
    <col min="47" max="48" width="5.42578125" style="14" hidden="1" customWidth="1"/>
    <col min="49" max="49" width="8.7109375" style="14" hidden="1" customWidth="1"/>
    <col min="50" max="50" width="7.42578125" style="14" hidden="1" customWidth="1"/>
    <col min="51" max="55" width="5.42578125" style="14" hidden="1" customWidth="1"/>
    <col min="56" max="60" width="5.42578125" style="32" hidden="1" customWidth="1"/>
    <col min="61" max="81" width="5.42578125" style="14" hidden="1" customWidth="1"/>
    <col min="82" max="16384" width="9.140625" style="14" hidden="1"/>
  </cols>
  <sheetData>
    <row r="1" spans="1:42" ht="15.75" customHeight="1">
      <c r="A1" s="2428" t="s">
        <v>1300</v>
      </c>
      <c r="B1" s="2428"/>
      <c r="C1" s="2428"/>
      <c r="D1" s="2428"/>
      <c r="E1" s="2428"/>
      <c r="F1" s="2428"/>
      <c r="G1" s="2428"/>
      <c r="H1" s="2428"/>
      <c r="I1" s="2428"/>
      <c r="J1" s="2428"/>
      <c r="K1" s="2428"/>
      <c r="L1" s="2428"/>
      <c r="M1" s="2428"/>
      <c r="N1" s="2428"/>
      <c r="O1" s="2428"/>
      <c r="P1" s="2428"/>
      <c r="Q1" s="2428"/>
      <c r="R1" s="2428"/>
      <c r="S1" s="2428"/>
      <c r="T1" s="2428"/>
      <c r="U1" s="2428"/>
      <c r="V1" s="2428"/>
      <c r="W1" s="2428"/>
      <c r="X1" s="2428"/>
      <c r="Y1" s="2428"/>
      <c r="Z1" s="2428"/>
      <c r="AA1" s="2428"/>
      <c r="AB1" s="2428"/>
      <c r="AC1" s="2428"/>
      <c r="AD1" s="2428"/>
      <c r="AE1" s="2428"/>
      <c r="AF1" s="2428"/>
      <c r="AG1" s="2428"/>
      <c r="AH1" s="2428"/>
      <c r="AI1" s="2428"/>
      <c r="AJ1" s="2428"/>
      <c r="AK1" s="2428"/>
      <c r="AL1" s="2428"/>
      <c r="AM1" s="2428"/>
    </row>
    <row r="2" spans="1:42" s="536" customFormat="1" ht="12.75" customHeight="1" thickBot="1">
      <c r="A2" s="2429"/>
      <c r="B2" s="2429"/>
      <c r="C2" s="2429"/>
      <c r="D2" s="2429"/>
      <c r="E2" s="2429"/>
      <c r="F2" s="2429"/>
      <c r="G2" s="2429"/>
      <c r="H2" s="2429"/>
      <c r="I2" s="2429"/>
      <c r="J2" s="2429"/>
      <c r="K2" s="2429"/>
      <c r="L2" s="2429"/>
      <c r="M2" s="2429"/>
      <c r="N2" s="2429"/>
      <c r="O2" s="2429"/>
      <c r="P2" s="2429"/>
      <c r="Q2" s="2429"/>
      <c r="R2" s="2429"/>
      <c r="S2" s="2429"/>
      <c r="T2" s="2429"/>
      <c r="U2" s="2429"/>
      <c r="V2" s="2429"/>
      <c r="W2" s="2429"/>
      <c r="X2" s="2429"/>
      <c r="Y2" s="2429"/>
      <c r="Z2" s="2429"/>
      <c r="AA2" s="2429"/>
      <c r="AB2" s="2429"/>
      <c r="AC2" s="2429"/>
      <c r="AD2" s="2429"/>
      <c r="AE2" s="2429"/>
      <c r="AF2" s="2429"/>
      <c r="AG2" s="2429"/>
      <c r="AH2" s="2429"/>
      <c r="AI2" s="2429"/>
      <c r="AJ2" s="2429"/>
      <c r="AK2" s="2429"/>
      <c r="AL2" s="2429"/>
      <c r="AM2" s="2429"/>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1301</v>
      </c>
      <c r="B4" s="539" t="s">
        <v>1302</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1303</v>
      </c>
      <c r="B7" s="539" t="s">
        <v>1304</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09" t="s">
        <v>1305</v>
      </c>
      <c r="AF7" s="2409"/>
      <c r="AG7" s="2409"/>
      <c r="AH7" s="2409"/>
      <c r="AI7" s="2409"/>
      <c r="AJ7" s="2409"/>
      <c r="AK7" s="2409"/>
      <c r="AL7" s="540"/>
      <c r="AM7" s="540"/>
      <c r="AN7" s="535"/>
    </row>
    <row r="8" spans="1:42" s="536" customFormat="1" ht="12.75" customHeight="1">
      <c r="A8" s="538"/>
      <c r="B8" s="539" t="s">
        <v>1729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2010</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2006</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399" t="s">
        <v>591</v>
      </c>
      <c r="C13" s="2399"/>
      <c r="D13" s="547"/>
      <c r="E13" s="548" t="s">
        <v>1306</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30"/>
      <c r="AH13" s="2430"/>
      <c r="AI13" s="2430"/>
      <c r="AJ13" s="2431"/>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399" t="s">
        <v>591</v>
      </c>
      <c r="C16" s="2399"/>
      <c r="D16" s="547"/>
      <c r="E16" s="2410" t="s">
        <v>1307</v>
      </c>
      <c r="F16" s="2411"/>
      <c r="G16" s="2411"/>
      <c r="H16" s="2411"/>
      <c r="I16" s="2411"/>
      <c r="J16" s="2411"/>
      <c r="K16" s="2411"/>
      <c r="L16" s="2411"/>
      <c r="M16" s="2411"/>
      <c r="N16" s="2411"/>
      <c r="O16" s="2411"/>
      <c r="P16" s="2411"/>
      <c r="Q16" s="2411"/>
      <c r="R16" s="2411"/>
      <c r="S16" s="2411"/>
      <c r="T16" s="2411"/>
      <c r="U16" s="2411"/>
      <c r="V16" s="2411"/>
      <c r="W16" s="2411"/>
      <c r="X16" s="2411"/>
      <c r="Y16" s="2411"/>
      <c r="Z16" s="2411"/>
      <c r="AA16" s="2411"/>
      <c r="AB16" s="2411"/>
      <c r="AC16" s="2411"/>
      <c r="AD16" s="2411"/>
      <c r="AE16" s="2411"/>
      <c r="AF16" s="2411"/>
      <c r="AG16" s="2411"/>
      <c r="AH16" s="2411"/>
      <c r="AI16" s="2411"/>
      <c r="AJ16" s="2412"/>
      <c r="AK16" s="540"/>
      <c r="AL16" s="540"/>
      <c r="AM16" s="540"/>
      <c r="AN16" s="535"/>
      <c r="AO16" s="550">
        <f>IF($B25="yes",20,0)</f>
        <v>0</v>
      </c>
      <c r="AP16" s="14"/>
    </row>
    <row r="17" spans="1:42" s="536" customFormat="1" ht="12.75" customHeight="1">
      <c r="A17" s="540"/>
      <c r="B17" s="540"/>
      <c r="C17" s="540"/>
      <c r="D17" s="551"/>
      <c r="E17" s="2413"/>
      <c r="F17" s="2414"/>
      <c r="G17" s="2414"/>
      <c r="H17" s="2414"/>
      <c r="I17" s="2414"/>
      <c r="J17" s="2414"/>
      <c r="K17" s="2414"/>
      <c r="L17" s="2414"/>
      <c r="M17" s="2414"/>
      <c r="N17" s="2414"/>
      <c r="O17" s="2414"/>
      <c r="P17" s="2414"/>
      <c r="Q17" s="2414"/>
      <c r="R17" s="2414"/>
      <c r="S17" s="2414"/>
      <c r="T17" s="2414"/>
      <c r="U17" s="2414"/>
      <c r="V17" s="2414"/>
      <c r="W17" s="2414"/>
      <c r="X17" s="2414"/>
      <c r="Y17" s="2414"/>
      <c r="Z17" s="2414"/>
      <c r="AA17" s="2414"/>
      <c r="AB17" s="2414"/>
      <c r="AC17" s="2414"/>
      <c r="AD17" s="2414"/>
      <c r="AE17" s="2414"/>
      <c r="AF17" s="2414"/>
      <c r="AG17" s="2414"/>
      <c r="AH17" s="2414"/>
      <c r="AI17" s="2414"/>
      <c r="AJ17" s="2415"/>
      <c r="AK17" s="540"/>
      <c r="AL17" s="540"/>
      <c r="AM17" s="540"/>
      <c r="AN17" s="535"/>
      <c r="AO17" s="550">
        <f>IF($B28="yes",20,0)</f>
        <v>0</v>
      </c>
    </row>
    <row r="18" spans="1:42" s="536" customFormat="1" ht="12.75" customHeight="1">
      <c r="A18" s="540"/>
      <c r="B18" s="540"/>
      <c r="C18" s="540"/>
      <c r="D18" s="551"/>
      <c r="E18" s="2413"/>
      <c r="F18" s="2414"/>
      <c r="G18" s="2414"/>
      <c r="H18" s="2414"/>
      <c r="I18" s="2414"/>
      <c r="J18" s="2414"/>
      <c r="K18" s="2414"/>
      <c r="L18" s="2414"/>
      <c r="M18" s="2414"/>
      <c r="N18" s="2414"/>
      <c r="O18" s="2414"/>
      <c r="P18" s="2414"/>
      <c r="Q18" s="2414"/>
      <c r="R18" s="2414"/>
      <c r="S18" s="2414"/>
      <c r="T18" s="2414"/>
      <c r="U18" s="2414"/>
      <c r="V18" s="2414"/>
      <c r="W18" s="2414"/>
      <c r="X18" s="2414"/>
      <c r="Y18" s="2414"/>
      <c r="Z18" s="2414"/>
      <c r="AA18" s="2414"/>
      <c r="AB18" s="2414"/>
      <c r="AC18" s="2414"/>
      <c r="AD18" s="2414"/>
      <c r="AE18" s="2414"/>
      <c r="AF18" s="2414"/>
      <c r="AG18" s="2414"/>
      <c r="AH18" s="2414"/>
      <c r="AI18" s="2414"/>
      <c r="AJ18" s="2415"/>
      <c r="AK18" s="540"/>
      <c r="AL18" s="540"/>
      <c r="AM18" s="540"/>
      <c r="AN18" s="535"/>
      <c r="AO18" s="536">
        <f>IF(SUM(AO13:AO17)&gt;20,20,(SUM(AO13:AO17)))</f>
        <v>0</v>
      </c>
      <c r="AP18" s="536" t="s">
        <v>1308</v>
      </c>
    </row>
    <row r="19" spans="1:42" s="536" customFormat="1" ht="12.75" customHeight="1">
      <c r="A19" s="540"/>
      <c r="B19" s="540"/>
      <c r="C19" s="540"/>
      <c r="D19" s="551"/>
      <c r="E19" s="552" t="s">
        <v>1309</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41"/>
      <c r="F20" s="2442"/>
      <c r="G20" s="2442"/>
      <c r="H20" s="2442"/>
      <c r="I20" s="2442"/>
      <c r="J20" s="2442"/>
      <c r="K20" s="2442"/>
      <c r="L20" s="2442"/>
      <c r="M20" s="2442"/>
      <c r="N20" s="2442"/>
      <c r="O20" s="2442"/>
      <c r="P20" s="2442"/>
      <c r="Q20" s="2442"/>
      <c r="R20" s="2442"/>
      <c r="S20" s="2442"/>
      <c r="T20" s="2442"/>
      <c r="U20" s="2442"/>
      <c r="V20" s="2442"/>
      <c r="W20" s="2442"/>
      <c r="X20" s="2442"/>
      <c r="Y20" s="2442"/>
      <c r="Z20" s="2442"/>
      <c r="AA20" s="2442"/>
      <c r="AB20" s="2442"/>
      <c r="AC20" s="2442"/>
      <c r="AD20" s="2442"/>
      <c r="AE20" s="2442"/>
      <c r="AF20" s="2442"/>
      <c r="AG20" s="2442"/>
      <c r="AH20" s="2442"/>
      <c r="AI20" s="2442"/>
      <c r="AJ20" s="2443"/>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399" t="s">
        <v>591</v>
      </c>
      <c r="C22" s="2399"/>
      <c r="D22" s="547"/>
      <c r="E22" s="2435" t="s">
        <v>1310</v>
      </c>
      <c r="F22" s="2436"/>
      <c r="G22" s="2436"/>
      <c r="H22" s="2436"/>
      <c r="I22" s="2436"/>
      <c r="J22" s="2436"/>
      <c r="K22" s="2436"/>
      <c r="L22" s="2436"/>
      <c r="M22" s="2436"/>
      <c r="N22" s="2436"/>
      <c r="O22" s="2436"/>
      <c r="P22" s="2436"/>
      <c r="Q22" s="2436"/>
      <c r="R22" s="2436"/>
      <c r="S22" s="2436"/>
      <c r="T22" s="2436"/>
      <c r="U22" s="2436"/>
      <c r="V22" s="2436"/>
      <c r="W22" s="2436"/>
      <c r="X22" s="2436"/>
      <c r="Y22" s="2436"/>
      <c r="Z22" s="2436"/>
      <c r="AA22" s="2436"/>
      <c r="AB22" s="2436"/>
      <c r="AC22" s="2436"/>
      <c r="AD22" s="2436"/>
      <c r="AE22" s="2436"/>
      <c r="AF22" s="2436"/>
      <c r="AG22" s="2436"/>
      <c r="AH22" s="2436"/>
      <c r="AI22" s="2436"/>
      <c r="AJ22" s="2437"/>
      <c r="AK22" s="540"/>
      <c r="AL22" s="540"/>
      <c r="AM22" s="540"/>
      <c r="AN22" s="535"/>
      <c r="AO22" s="550">
        <f>IF($B40="yes",14,0)</f>
        <v>0</v>
      </c>
    </row>
    <row r="23" spans="1:42" s="536" customFormat="1" ht="12.75" customHeight="1">
      <c r="A23" s="540"/>
      <c r="B23" s="540"/>
      <c r="C23" s="540"/>
      <c r="D23" s="550"/>
      <c r="E23" s="2438"/>
      <c r="F23" s="2439"/>
      <c r="G23" s="2439"/>
      <c r="H23" s="2439"/>
      <c r="I23" s="2439"/>
      <c r="J23" s="2439"/>
      <c r="K23" s="2439"/>
      <c r="L23" s="2439"/>
      <c r="M23" s="2439"/>
      <c r="N23" s="2439"/>
      <c r="O23" s="2439"/>
      <c r="P23" s="2439"/>
      <c r="Q23" s="2439"/>
      <c r="R23" s="2439"/>
      <c r="S23" s="2439"/>
      <c r="T23" s="2439"/>
      <c r="U23" s="2439"/>
      <c r="V23" s="2439"/>
      <c r="W23" s="2439"/>
      <c r="X23" s="2439"/>
      <c r="Y23" s="2439"/>
      <c r="Z23" s="2439"/>
      <c r="AA23" s="2439"/>
      <c r="AB23" s="2439"/>
      <c r="AC23" s="2439"/>
      <c r="AD23" s="2439"/>
      <c r="AE23" s="2439"/>
      <c r="AF23" s="2439"/>
      <c r="AG23" s="2439"/>
      <c r="AH23" s="2439"/>
      <c r="AI23" s="2439"/>
      <c r="AJ23" s="2440"/>
      <c r="AK23" s="540"/>
      <c r="AL23" s="540"/>
      <c r="AM23" s="540"/>
      <c r="AN23" s="535"/>
      <c r="AO23" s="536">
        <f>IF(SUM(AO20:AO21)&gt;14,14,SUM(AO20:AO21))</f>
        <v>0</v>
      </c>
      <c r="AP23" s="536" t="s">
        <v>1308</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399" t="s">
        <v>591</v>
      </c>
      <c r="C25" s="2399"/>
      <c r="D25" s="547"/>
      <c r="E25" s="2400" t="s">
        <v>2033</v>
      </c>
      <c r="F25" s="2401"/>
      <c r="G25" s="2401"/>
      <c r="H25" s="2401"/>
      <c r="I25" s="2401"/>
      <c r="J25" s="2401"/>
      <c r="K25" s="2401"/>
      <c r="L25" s="2401"/>
      <c r="M25" s="2401"/>
      <c r="N25" s="2401"/>
      <c r="O25" s="2401"/>
      <c r="P25" s="2401"/>
      <c r="Q25" s="2401"/>
      <c r="R25" s="2401"/>
      <c r="S25" s="2401"/>
      <c r="T25" s="2401"/>
      <c r="U25" s="2401"/>
      <c r="V25" s="2401"/>
      <c r="W25" s="2401"/>
      <c r="X25" s="2401"/>
      <c r="Y25" s="2401"/>
      <c r="Z25" s="2401"/>
      <c r="AA25" s="2401"/>
      <c r="AB25" s="2401"/>
      <c r="AC25" s="2401"/>
      <c r="AD25" s="2401"/>
      <c r="AE25" s="2401"/>
      <c r="AF25" s="2401"/>
      <c r="AG25" s="2401"/>
      <c r="AH25" s="2401"/>
      <c r="AI25" s="2401"/>
      <c r="AJ25" s="2402"/>
      <c r="AK25" s="540"/>
      <c r="AL25" s="540"/>
      <c r="AM25" s="540"/>
      <c r="AN25" s="535"/>
      <c r="AO25" s="550">
        <f>IF($B45="yes",6,0)</f>
        <v>0</v>
      </c>
    </row>
    <row r="26" spans="1:42" s="536" customFormat="1" ht="12.75" customHeight="1">
      <c r="A26" s="540"/>
      <c r="B26" s="540"/>
      <c r="C26" s="540"/>
      <c r="D26" s="550"/>
      <c r="E26" s="2403"/>
      <c r="F26" s="2404"/>
      <c r="G26" s="2404"/>
      <c r="H26" s="2404"/>
      <c r="I26" s="2404"/>
      <c r="J26" s="2404"/>
      <c r="K26" s="2404"/>
      <c r="L26" s="2404"/>
      <c r="M26" s="2404"/>
      <c r="N26" s="2404"/>
      <c r="O26" s="2404"/>
      <c r="P26" s="2404"/>
      <c r="Q26" s="2404"/>
      <c r="R26" s="2404"/>
      <c r="S26" s="2404"/>
      <c r="T26" s="2404"/>
      <c r="U26" s="2404"/>
      <c r="V26" s="2404"/>
      <c r="W26" s="2404"/>
      <c r="X26" s="2404"/>
      <c r="Y26" s="2404"/>
      <c r="Z26" s="2404"/>
      <c r="AA26" s="2404"/>
      <c r="AB26" s="2404"/>
      <c r="AC26" s="2404"/>
      <c r="AD26" s="2404"/>
      <c r="AE26" s="2404"/>
      <c r="AF26" s="2404"/>
      <c r="AG26" s="2404"/>
      <c r="AH26" s="2404"/>
      <c r="AI26" s="2404"/>
      <c r="AJ26" s="2405"/>
      <c r="AK26" s="540"/>
      <c r="AL26" s="540"/>
      <c r="AM26" s="540"/>
      <c r="AN26" s="535"/>
      <c r="AO26" s="536">
        <f>IF(AO25&gt;6,6,AO25)</f>
        <v>0</v>
      </c>
      <c r="AP26" s="536" t="s">
        <v>1308</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399" t="s">
        <v>591</v>
      </c>
      <c r="C28" s="2399"/>
      <c r="D28" s="547"/>
      <c r="E28" s="2423" t="s">
        <v>2248</v>
      </c>
      <c r="F28" s="2424"/>
      <c r="G28" s="2424"/>
      <c r="H28" s="2424"/>
      <c r="I28" s="2424"/>
      <c r="J28" s="2424"/>
      <c r="K28" s="2424"/>
      <c r="L28" s="2424"/>
      <c r="M28" s="2424"/>
      <c r="N28" s="2424"/>
      <c r="O28" s="2424"/>
      <c r="P28" s="2424"/>
      <c r="Q28" s="2424"/>
      <c r="R28" s="2424"/>
      <c r="S28" s="2424"/>
      <c r="T28" s="2424"/>
      <c r="U28" s="2424"/>
      <c r="V28" s="2424"/>
      <c r="W28" s="2424"/>
      <c r="X28" s="2424"/>
      <c r="Y28" s="2424"/>
      <c r="Z28" s="2424"/>
      <c r="AA28" s="2424"/>
      <c r="AB28" s="2424"/>
      <c r="AC28" s="2424"/>
      <c r="AD28" s="2424"/>
      <c r="AE28" s="2424"/>
      <c r="AF28" s="2424"/>
      <c r="AG28" s="2424"/>
      <c r="AH28" s="2424"/>
      <c r="AI28" s="2424"/>
      <c r="AJ28" s="2425"/>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2007</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1308</v>
      </c>
    </row>
    <row r="33" spans="1:41" s="536" customFormat="1" ht="12.75" customHeight="1">
      <c r="A33" s="540"/>
      <c r="B33" s="2399" t="s">
        <v>591</v>
      </c>
      <c r="C33" s="2399"/>
      <c r="D33" s="547"/>
      <c r="E33" s="2435" t="s">
        <v>2250</v>
      </c>
      <c r="F33" s="2436"/>
      <c r="G33" s="2436"/>
      <c r="H33" s="2436"/>
      <c r="I33" s="2436"/>
      <c r="J33" s="2436"/>
      <c r="K33" s="2436"/>
      <c r="L33" s="2436"/>
      <c r="M33" s="2436"/>
      <c r="N33" s="2436"/>
      <c r="O33" s="2436"/>
      <c r="P33" s="2436"/>
      <c r="Q33" s="2436"/>
      <c r="R33" s="2436"/>
      <c r="S33" s="2436"/>
      <c r="T33" s="2436"/>
      <c r="U33" s="2436"/>
      <c r="V33" s="2436"/>
      <c r="W33" s="2436"/>
      <c r="X33" s="2436"/>
      <c r="Y33" s="2436"/>
      <c r="Z33" s="2436"/>
      <c r="AA33" s="2436"/>
      <c r="AB33" s="2436"/>
      <c r="AC33" s="2436"/>
      <c r="AD33" s="2436"/>
      <c r="AE33" s="2436"/>
      <c r="AF33" s="2436"/>
      <c r="AG33" s="2436"/>
      <c r="AH33" s="2436"/>
      <c r="AI33" s="2436"/>
      <c r="AJ33" s="2437"/>
      <c r="AK33" s="540"/>
      <c r="AL33" s="540"/>
      <c r="AM33" s="540"/>
      <c r="AN33" s="535"/>
      <c r="AO33" s="550"/>
    </row>
    <row r="34" spans="1:41" s="536" customFormat="1" ht="12.75" customHeight="1">
      <c r="A34" s="540"/>
      <c r="B34" s="540"/>
      <c r="C34" s="540"/>
      <c r="E34" s="2438"/>
      <c r="F34" s="2439"/>
      <c r="G34" s="2439"/>
      <c r="H34" s="2439"/>
      <c r="I34" s="2439"/>
      <c r="J34" s="2439"/>
      <c r="K34" s="2439"/>
      <c r="L34" s="2439"/>
      <c r="M34" s="2439"/>
      <c r="N34" s="2439"/>
      <c r="O34" s="2439"/>
      <c r="P34" s="2439"/>
      <c r="Q34" s="2439"/>
      <c r="R34" s="2439"/>
      <c r="S34" s="2439"/>
      <c r="T34" s="2439"/>
      <c r="U34" s="2439"/>
      <c r="V34" s="2439"/>
      <c r="W34" s="2439"/>
      <c r="X34" s="2439"/>
      <c r="Y34" s="2439"/>
      <c r="Z34" s="2439"/>
      <c r="AA34" s="2439"/>
      <c r="AB34" s="2439"/>
      <c r="AC34" s="2439"/>
      <c r="AD34" s="2439"/>
      <c r="AE34" s="2439"/>
      <c r="AF34" s="2439"/>
      <c r="AG34" s="2439"/>
      <c r="AH34" s="2439"/>
      <c r="AI34" s="2439"/>
      <c r="AJ34" s="2440"/>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399" t="s">
        <v>591</v>
      </c>
      <c r="C36" s="2399"/>
      <c r="D36" s="547"/>
      <c r="E36" s="2400" t="s">
        <v>2251</v>
      </c>
      <c r="F36" s="2401"/>
      <c r="G36" s="2401"/>
      <c r="H36" s="2401"/>
      <c r="I36" s="2401"/>
      <c r="J36" s="2401"/>
      <c r="K36" s="2401"/>
      <c r="L36" s="2401"/>
      <c r="M36" s="2401"/>
      <c r="N36" s="2401"/>
      <c r="O36" s="2401"/>
      <c r="P36" s="2401"/>
      <c r="Q36" s="2401"/>
      <c r="R36" s="2401"/>
      <c r="S36" s="2401"/>
      <c r="T36" s="2401"/>
      <c r="U36" s="2401"/>
      <c r="V36" s="2401"/>
      <c r="W36" s="2401"/>
      <c r="X36" s="2401"/>
      <c r="Y36" s="2401"/>
      <c r="Z36" s="2401"/>
      <c r="AA36" s="2401"/>
      <c r="AB36" s="2401"/>
      <c r="AC36" s="2401"/>
      <c r="AD36" s="2401"/>
      <c r="AE36" s="2401"/>
      <c r="AF36" s="2401"/>
      <c r="AG36" s="2401"/>
      <c r="AH36" s="2401"/>
      <c r="AI36" s="2401"/>
      <c r="AJ36" s="2402"/>
      <c r="AK36" s="540"/>
      <c r="AL36" s="540"/>
      <c r="AM36" s="540"/>
      <c r="AN36" s="535"/>
    </row>
    <row r="37" spans="1:41" s="536" customFormat="1" ht="12.75" customHeight="1">
      <c r="A37" s="540"/>
      <c r="B37" s="540"/>
      <c r="C37" s="540"/>
      <c r="E37" s="2406"/>
      <c r="F37" s="2407"/>
      <c r="G37" s="2407"/>
      <c r="H37" s="2407"/>
      <c r="I37" s="2407"/>
      <c r="J37" s="2407"/>
      <c r="K37" s="2407"/>
      <c r="L37" s="2407"/>
      <c r="M37" s="2407"/>
      <c r="N37" s="2407"/>
      <c r="O37" s="2407"/>
      <c r="P37" s="2407"/>
      <c r="Q37" s="2407"/>
      <c r="R37" s="2407"/>
      <c r="S37" s="2407"/>
      <c r="T37" s="2407"/>
      <c r="U37" s="2407"/>
      <c r="V37" s="2407"/>
      <c r="W37" s="2407"/>
      <c r="X37" s="2407"/>
      <c r="Y37" s="2407"/>
      <c r="Z37" s="2407"/>
      <c r="AA37" s="2407"/>
      <c r="AB37" s="2407"/>
      <c r="AC37" s="2407"/>
      <c r="AD37" s="2407"/>
      <c r="AE37" s="2407"/>
      <c r="AF37" s="2407"/>
      <c r="AG37" s="2407"/>
      <c r="AH37" s="2407"/>
      <c r="AI37" s="2407"/>
      <c r="AJ37" s="2408"/>
      <c r="AK37" s="540"/>
      <c r="AL37" s="540"/>
      <c r="AM37" s="540"/>
      <c r="AN37" s="535"/>
    </row>
    <row r="38" spans="1:41" s="536" customFormat="1" ht="12.75" customHeight="1">
      <c r="A38" s="540"/>
      <c r="B38" s="540"/>
      <c r="C38" s="540"/>
      <c r="E38" s="2403"/>
      <c r="F38" s="2404"/>
      <c r="G38" s="2404"/>
      <c r="H38" s="2404"/>
      <c r="I38" s="2404"/>
      <c r="J38" s="2404"/>
      <c r="K38" s="2404"/>
      <c r="L38" s="2404"/>
      <c r="M38" s="2404"/>
      <c r="N38" s="2404"/>
      <c r="O38" s="2404"/>
      <c r="P38" s="2404"/>
      <c r="Q38" s="2404"/>
      <c r="R38" s="2404"/>
      <c r="S38" s="2404"/>
      <c r="T38" s="2404"/>
      <c r="U38" s="2404"/>
      <c r="V38" s="2404"/>
      <c r="W38" s="2404"/>
      <c r="X38" s="2404"/>
      <c r="Y38" s="2404"/>
      <c r="Z38" s="2404"/>
      <c r="AA38" s="2404"/>
      <c r="AB38" s="2404"/>
      <c r="AC38" s="2404"/>
      <c r="AD38" s="2404"/>
      <c r="AE38" s="2404"/>
      <c r="AF38" s="2404"/>
      <c r="AG38" s="2404"/>
      <c r="AH38" s="2404"/>
      <c r="AI38" s="2404"/>
      <c r="AJ38" s="2405"/>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399" t="s">
        <v>591</v>
      </c>
      <c r="C40" s="2399"/>
      <c r="D40" s="547"/>
      <c r="E40" s="2400" t="s">
        <v>2249</v>
      </c>
      <c r="F40" s="2401"/>
      <c r="G40" s="2401"/>
      <c r="H40" s="2401"/>
      <c r="I40" s="2401"/>
      <c r="J40" s="2401"/>
      <c r="K40" s="2401"/>
      <c r="L40" s="2401"/>
      <c r="M40" s="2401"/>
      <c r="N40" s="2401"/>
      <c r="O40" s="2401"/>
      <c r="P40" s="2401"/>
      <c r="Q40" s="2401"/>
      <c r="R40" s="2401"/>
      <c r="S40" s="2401"/>
      <c r="T40" s="2401"/>
      <c r="U40" s="2401"/>
      <c r="V40" s="2401"/>
      <c r="W40" s="2401"/>
      <c r="X40" s="2401"/>
      <c r="Y40" s="2401"/>
      <c r="Z40" s="2401"/>
      <c r="AA40" s="2401"/>
      <c r="AB40" s="2401"/>
      <c r="AC40" s="2401"/>
      <c r="AD40" s="2401"/>
      <c r="AE40" s="2401"/>
      <c r="AF40" s="2401"/>
      <c r="AG40" s="2401"/>
      <c r="AH40" s="2401"/>
      <c r="AI40" s="2401"/>
      <c r="AJ40" s="2402"/>
      <c r="AK40" s="540"/>
      <c r="AL40" s="540"/>
      <c r="AM40" s="540"/>
      <c r="AN40" s="535"/>
    </row>
    <row r="41" spans="1:41" s="536" customFormat="1" ht="12.75" customHeight="1">
      <c r="A41" s="540"/>
      <c r="B41" s="540"/>
      <c r="C41" s="540"/>
      <c r="E41" s="2403"/>
      <c r="F41" s="2404"/>
      <c r="G41" s="2404"/>
      <c r="H41" s="2404"/>
      <c r="I41" s="2404"/>
      <c r="J41" s="2404"/>
      <c r="K41" s="2404"/>
      <c r="L41" s="2404"/>
      <c r="M41" s="2404"/>
      <c r="N41" s="2404"/>
      <c r="O41" s="2404"/>
      <c r="P41" s="2404"/>
      <c r="Q41" s="2404"/>
      <c r="R41" s="2404"/>
      <c r="S41" s="2404"/>
      <c r="T41" s="2404"/>
      <c r="U41" s="2404"/>
      <c r="V41" s="2404"/>
      <c r="W41" s="2404"/>
      <c r="X41" s="2404"/>
      <c r="Y41" s="2404"/>
      <c r="Z41" s="2404"/>
      <c r="AA41" s="2404"/>
      <c r="AB41" s="2404"/>
      <c r="AC41" s="2404"/>
      <c r="AD41" s="2404"/>
      <c r="AE41" s="2404"/>
      <c r="AF41" s="2404"/>
      <c r="AG41" s="2404"/>
      <c r="AH41" s="2404"/>
      <c r="AI41" s="2404"/>
      <c r="AJ41" s="2405"/>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2009</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399" t="s">
        <v>591</v>
      </c>
      <c r="C45" s="2399"/>
      <c r="D45" s="1142"/>
      <c r="E45" s="2400" t="s">
        <v>2008</v>
      </c>
      <c r="F45" s="2401"/>
      <c r="G45" s="2401"/>
      <c r="H45" s="2401"/>
      <c r="I45" s="2401"/>
      <c r="J45" s="2401"/>
      <c r="K45" s="2401"/>
      <c r="L45" s="2401"/>
      <c r="M45" s="2401"/>
      <c r="N45" s="2401"/>
      <c r="O45" s="2401"/>
      <c r="P45" s="2401"/>
      <c r="Q45" s="2401"/>
      <c r="R45" s="2401"/>
      <c r="S45" s="2401"/>
      <c r="T45" s="2401"/>
      <c r="U45" s="2401"/>
      <c r="V45" s="2401"/>
      <c r="W45" s="2401"/>
      <c r="X45" s="2401"/>
      <c r="Y45" s="2401"/>
      <c r="Z45" s="2401"/>
      <c r="AA45" s="2401"/>
      <c r="AB45" s="2401"/>
      <c r="AC45" s="2401"/>
      <c r="AD45" s="2401"/>
      <c r="AE45" s="2401"/>
      <c r="AF45" s="2401"/>
      <c r="AG45" s="2401"/>
      <c r="AH45" s="2401"/>
      <c r="AI45" s="2401"/>
      <c r="AJ45" s="2402"/>
      <c r="AK45" s="1142"/>
      <c r="AL45" s="540"/>
      <c r="AM45" s="540"/>
      <c r="AN45" s="535"/>
    </row>
    <row r="46" spans="1:41" s="536" customFormat="1" ht="12.75" customHeight="1">
      <c r="A46" s="540"/>
      <c r="B46" s="540"/>
      <c r="C46" s="540"/>
      <c r="E46" s="2406"/>
      <c r="F46" s="2407"/>
      <c r="G46" s="2407"/>
      <c r="H46" s="2407"/>
      <c r="I46" s="2407"/>
      <c r="J46" s="2407"/>
      <c r="K46" s="2407"/>
      <c r="L46" s="2407"/>
      <c r="M46" s="2407"/>
      <c r="N46" s="2407"/>
      <c r="O46" s="2407"/>
      <c r="P46" s="2407"/>
      <c r="Q46" s="2407"/>
      <c r="R46" s="2407"/>
      <c r="S46" s="2407"/>
      <c r="T46" s="2407"/>
      <c r="U46" s="2407"/>
      <c r="V46" s="2407"/>
      <c r="W46" s="2407"/>
      <c r="X46" s="2407"/>
      <c r="Y46" s="2407"/>
      <c r="Z46" s="2407"/>
      <c r="AA46" s="2407"/>
      <c r="AB46" s="2407"/>
      <c r="AC46" s="2407"/>
      <c r="AD46" s="2407"/>
      <c r="AE46" s="2407"/>
      <c r="AF46" s="2407"/>
      <c r="AG46" s="2407"/>
      <c r="AH46" s="2407"/>
      <c r="AI46" s="2407"/>
      <c r="AJ46" s="2408"/>
      <c r="AK46" s="540"/>
      <c r="AL46" s="540"/>
      <c r="AM46" s="540"/>
      <c r="AN46" s="535"/>
    </row>
    <row r="47" spans="1:41" s="536" customFormat="1" ht="12.75" customHeight="1">
      <c r="A47" s="540"/>
      <c r="D47" s="547"/>
      <c r="E47" s="2403"/>
      <c r="F47" s="2404"/>
      <c r="G47" s="2404"/>
      <c r="H47" s="2404"/>
      <c r="I47" s="2404"/>
      <c r="J47" s="2404"/>
      <c r="K47" s="2404"/>
      <c r="L47" s="2404"/>
      <c r="M47" s="2404"/>
      <c r="N47" s="2404"/>
      <c r="O47" s="2404"/>
      <c r="P47" s="2404"/>
      <c r="Q47" s="2404"/>
      <c r="R47" s="2404"/>
      <c r="S47" s="2404"/>
      <c r="T47" s="2404"/>
      <c r="U47" s="2404"/>
      <c r="V47" s="2404"/>
      <c r="W47" s="2404"/>
      <c r="X47" s="2404"/>
      <c r="Y47" s="2404"/>
      <c r="Z47" s="2404"/>
      <c r="AA47" s="2404"/>
      <c r="AB47" s="2404"/>
      <c r="AC47" s="2404"/>
      <c r="AD47" s="2404"/>
      <c r="AE47" s="2404"/>
      <c r="AF47" s="2404"/>
      <c r="AG47" s="2404"/>
      <c r="AH47" s="2404"/>
      <c r="AI47" s="2404"/>
      <c r="AJ47" s="2405"/>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2011</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2012</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399" t="s">
        <v>591</v>
      </c>
      <c r="C52" s="2399"/>
      <c r="D52" s="540"/>
      <c r="E52" s="2400" t="s">
        <v>2013</v>
      </c>
      <c r="F52" s="2401"/>
      <c r="G52" s="2401"/>
      <c r="H52" s="2401"/>
      <c r="I52" s="2401"/>
      <c r="J52" s="2401"/>
      <c r="K52" s="2401"/>
      <c r="L52" s="2401"/>
      <c r="M52" s="2401"/>
      <c r="N52" s="2401"/>
      <c r="O52" s="2401"/>
      <c r="P52" s="2401"/>
      <c r="Q52" s="2401"/>
      <c r="R52" s="2401"/>
      <c r="S52" s="2401"/>
      <c r="T52" s="2401"/>
      <c r="U52" s="2401"/>
      <c r="V52" s="2401"/>
      <c r="W52" s="2401"/>
      <c r="X52" s="2401"/>
      <c r="Y52" s="2401"/>
      <c r="Z52" s="2401"/>
      <c r="AA52" s="2401"/>
      <c r="AB52" s="2401"/>
      <c r="AC52" s="2401"/>
      <c r="AD52" s="2401"/>
      <c r="AE52" s="2401"/>
      <c r="AF52" s="2401"/>
      <c r="AG52" s="2401"/>
      <c r="AH52" s="2401"/>
      <c r="AI52" s="2401"/>
      <c r="AJ52" s="2402"/>
      <c r="AK52" s="540"/>
      <c r="AL52" s="540"/>
      <c r="AM52" s="540"/>
      <c r="AN52" s="535"/>
      <c r="AO52" s="559"/>
    </row>
    <row r="53" spans="1:50" s="536" customFormat="1" ht="12.75" customHeight="1">
      <c r="A53" s="540"/>
      <c r="D53" s="547"/>
      <c r="E53" s="2406"/>
      <c r="F53" s="2407"/>
      <c r="G53" s="2407"/>
      <c r="H53" s="2407"/>
      <c r="I53" s="2407"/>
      <c r="J53" s="2407"/>
      <c r="K53" s="2407"/>
      <c r="L53" s="2407"/>
      <c r="M53" s="2407"/>
      <c r="N53" s="2407"/>
      <c r="O53" s="2407"/>
      <c r="P53" s="2407"/>
      <c r="Q53" s="2407"/>
      <c r="R53" s="2407"/>
      <c r="S53" s="2407"/>
      <c r="T53" s="2407"/>
      <c r="U53" s="2407"/>
      <c r="V53" s="2407"/>
      <c r="W53" s="2407"/>
      <c r="X53" s="2407"/>
      <c r="Y53" s="2407"/>
      <c r="Z53" s="2407"/>
      <c r="AA53" s="2407"/>
      <c r="AB53" s="2407"/>
      <c r="AC53" s="2407"/>
      <c r="AD53" s="2407"/>
      <c r="AE53" s="2407"/>
      <c r="AF53" s="2407"/>
      <c r="AG53" s="2407"/>
      <c r="AH53" s="2407"/>
      <c r="AI53" s="2407"/>
      <c r="AJ53" s="2408"/>
      <c r="AK53" s="540"/>
      <c r="AL53" s="540"/>
      <c r="AM53" s="540"/>
      <c r="AN53" s="535"/>
      <c r="AO53" s="559"/>
    </row>
    <row r="54" spans="1:50" s="536" customFormat="1" ht="12.75" customHeight="1">
      <c r="A54" s="540"/>
      <c r="D54" s="540"/>
      <c r="E54" s="2403"/>
      <c r="F54" s="2404"/>
      <c r="G54" s="2404"/>
      <c r="H54" s="2404"/>
      <c r="I54" s="2404"/>
      <c r="J54" s="2404"/>
      <c r="K54" s="2404"/>
      <c r="L54" s="2404"/>
      <c r="M54" s="2404"/>
      <c r="N54" s="2404"/>
      <c r="O54" s="2404"/>
      <c r="P54" s="2404"/>
      <c r="Q54" s="2404"/>
      <c r="R54" s="2404"/>
      <c r="S54" s="2404"/>
      <c r="T54" s="2404"/>
      <c r="U54" s="2404"/>
      <c r="V54" s="2404"/>
      <c r="W54" s="2404"/>
      <c r="X54" s="2404"/>
      <c r="Y54" s="2404"/>
      <c r="Z54" s="2404"/>
      <c r="AA54" s="2404"/>
      <c r="AB54" s="2404"/>
      <c r="AC54" s="2404"/>
      <c r="AD54" s="2404"/>
      <c r="AE54" s="2404"/>
      <c r="AF54" s="2404"/>
      <c r="AG54" s="2404"/>
      <c r="AH54" s="2404"/>
      <c r="AI54" s="2404"/>
      <c r="AJ54" s="2405"/>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399" t="s">
        <v>591</v>
      </c>
      <c r="C56" s="2399"/>
      <c r="D56" s="540"/>
      <c r="E56" s="2420" t="s">
        <v>2014</v>
      </c>
      <c r="F56" s="2421"/>
      <c r="G56" s="2421"/>
      <c r="H56" s="2421"/>
      <c r="I56" s="2421"/>
      <c r="J56" s="2421"/>
      <c r="K56" s="2421"/>
      <c r="L56" s="2421"/>
      <c r="M56" s="2421"/>
      <c r="N56" s="2421"/>
      <c r="O56" s="2421"/>
      <c r="P56" s="2421"/>
      <c r="Q56" s="2421"/>
      <c r="R56" s="2421"/>
      <c r="S56" s="2421"/>
      <c r="T56" s="2421"/>
      <c r="U56" s="2421"/>
      <c r="V56" s="2421"/>
      <c r="W56" s="2421"/>
      <c r="X56" s="2421"/>
      <c r="Y56" s="2421"/>
      <c r="Z56" s="2421"/>
      <c r="AA56" s="2421"/>
      <c r="AB56" s="2421"/>
      <c r="AC56" s="2421"/>
      <c r="AD56" s="2421"/>
      <c r="AE56" s="2421"/>
      <c r="AF56" s="2421"/>
      <c r="AG56" s="2421"/>
      <c r="AH56" s="2421"/>
      <c r="AI56" s="2421"/>
      <c r="AJ56" s="2422"/>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399" t="s">
        <v>591</v>
      </c>
      <c r="C58" s="2399"/>
      <c r="D58" s="540"/>
      <c r="E58" s="2400" t="s">
        <v>2015</v>
      </c>
      <c r="F58" s="2401"/>
      <c r="G58" s="2401"/>
      <c r="H58" s="2401"/>
      <c r="I58" s="2401"/>
      <c r="J58" s="2401"/>
      <c r="K58" s="2401"/>
      <c r="L58" s="2401"/>
      <c r="M58" s="2401"/>
      <c r="N58" s="2401"/>
      <c r="O58" s="2401"/>
      <c r="P58" s="2401"/>
      <c r="Q58" s="2401"/>
      <c r="R58" s="2401"/>
      <c r="S58" s="2401"/>
      <c r="T58" s="2401"/>
      <c r="U58" s="2401"/>
      <c r="V58" s="2401"/>
      <c r="W58" s="2401"/>
      <c r="X58" s="2401"/>
      <c r="Y58" s="2401"/>
      <c r="Z58" s="2401"/>
      <c r="AA58" s="2401"/>
      <c r="AB58" s="2401"/>
      <c r="AC58" s="2401"/>
      <c r="AD58" s="2401"/>
      <c r="AE58" s="2401"/>
      <c r="AF58" s="2401"/>
      <c r="AG58" s="2401"/>
      <c r="AH58" s="2401"/>
      <c r="AI58" s="2401"/>
      <c r="AJ58" s="2402"/>
      <c r="AK58" s="540"/>
      <c r="AL58" s="540"/>
      <c r="AM58" s="540"/>
      <c r="AN58" s="535"/>
    </row>
    <row r="59" spans="1:50" s="536" customFormat="1" ht="12.75" customHeight="1">
      <c r="A59" s="540"/>
      <c r="B59" s="547"/>
      <c r="C59" s="547"/>
      <c r="D59" s="547"/>
      <c r="E59" s="2403"/>
      <c r="F59" s="2404"/>
      <c r="G59" s="2404"/>
      <c r="H59" s="2404"/>
      <c r="I59" s="2404"/>
      <c r="J59" s="2404"/>
      <c r="K59" s="2404"/>
      <c r="L59" s="2404"/>
      <c r="M59" s="2404"/>
      <c r="N59" s="2404"/>
      <c r="O59" s="2404"/>
      <c r="P59" s="2404"/>
      <c r="Q59" s="2404"/>
      <c r="R59" s="2404"/>
      <c r="S59" s="2404"/>
      <c r="T59" s="2404"/>
      <c r="U59" s="2404"/>
      <c r="V59" s="2404"/>
      <c r="W59" s="2404"/>
      <c r="X59" s="2404"/>
      <c r="Y59" s="2404"/>
      <c r="Z59" s="2404"/>
      <c r="AA59" s="2404"/>
      <c r="AB59" s="2404"/>
      <c r="AC59" s="2404"/>
      <c r="AD59" s="2404"/>
      <c r="AE59" s="2404"/>
      <c r="AF59" s="2404"/>
      <c r="AG59" s="2404"/>
      <c r="AH59" s="2404"/>
      <c r="AI59" s="2404"/>
      <c r="AJ59" s="2405"/>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1311</v>
      </c>
      <c r="AK62" s="2432">
        <f>AO39</f>
        <v>0</v>
      </c>
      <c r="AL62" s="2433"/>
      <c r="AM62" s="2434"/>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1312</v>
      </c>
      <c r="B65" s="539" t="s">
        <v>1313</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09" t="s">
        <v>1314</v>
      </c>
      <c r="AF65" s="2409"/>
      <c r="AG65" s="2409"/>
      <c r="AH65" s="2409"/>
      <c r="AI65" s="2409"/>
      <c r="AJ65" s="2409"/>
      <c r="AK65" s="2409"/>
      <c r="AL65" s="540"/>
      <c r="AM65" s="540"/>
      <c r="AN65" s="535"/>
    </row>
    <row r="66" spans="1:42" s="536" customFormat="1" ht="12.75" customHeight="1">
      <c r="A66" s="538"/>
      <c r="B66" s="539" t="s">
        <v>1728</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399" t="s">
        <v>545</v>
      </c>
      <c r="C68" s="2399"/>
      <c r="D68" s="547" t="s">
        <v>1315</v>
      </c>
      <c r="E68" s="2410" t="s">
        <v>2016</v>
      </c>
      <c r="F68" s="2411"/>
      <c r="G68" s="2411"/>
      <c r="H68" s="2411"/>
      <c r="I68" s="2411"/>
      <c r="J68" s="2411"/>
      <c r="K68" s="2411"/>
      <c r="L68" s="2411"/>
      <c r="M68" s="2411"/>
      <c r="N68" s="2411"/>
      <c r="O68" s="2411"/>
      <c r="P68" s="2411"/>
      <c r="Q68" s="2411"/>
      <c r="R68" s="2411"/>
      <c r="S68" s="2411"/>
      <c r="T68" s="2411"/>
      <c r="U68" s="2411"/>
      <c r="V68" s="2411"/>
      <c r="W68" s="2411"/>
      <c r="X68" s="2411"/>
      <c r="Y68" s="2411"/>
      <c r="Z68" s="2411"/>
      <c r="AA68" s="2411"/>
      <c r="AB68" s="2411"/>
      <c r="AC68" s="2411"/>
      <c r="AD68" s="2411"/>
      <c r="AE68" s="2411"/>
      <c r="AF68" s="2411"/>
      <c r="AG68" s="2411"/>
      <c r="AH68" s="2411"/>
      <c r="AI68" s="2411"/>
      <c r="AJ68" s="2412"/>
      <c r="AK68" s="543"/>
      <c r="AL68" s="540"/>
      <c r="AM68" s="540"/>
      <c r="AN68" s="535"/>
      <c r="AO68" s="550">
        <f>IF($B68="yes",10,0)</f>
        <v>10</v>
      </c>
    </row>
    <row r="69" spans="1:42" s="536" customFormat="1" ht="12.75" customHeight="1">
      <c r="A69" s="538"/>
      <c r="B69" s="540"/>
      <c r="C69" s="540"/>
      <c r="D69" s="551"/>
      <c r="E69" s="2413"/>
      <c r="F69" s="2414"/>
      <c r="G69" s="2414"/>
      <c r="H69" s="2414"/>
      <c r="I69" s="2414"/>
      <c r="J69" s="2414"/>
      <c r="K69" s="2414"/>
      <c r="L69" s="2414"/>
      <c r="M69" s="2414"/>
      <c r="N69" s="2414"/>
      <c r="O69" s="2414"/>
      <c r="P69" s="2414"/>
      <c r="Q69" s="2414"/>
      <c r="R69" s="2414"/>
      <c r="S69" s="2414"/>
      <c r="T69" s="2414"/>
      <c r="U69" s="2414"/>
      <c r="V69" s="2414"/>
      <c r="W69" s="2414"/>
      <c r="X69" s="2414"/>
      <c r="Y69" s="2414"/>
      <c r="Z69" s="2414"/>
      <c r="AA69" s="2414"/>
      <c r="AB69" s="2414"/>
      <c r="AC69" s="2414"/>
      <c r="AD69" s="2414"/>
      <c r="AE69" s="2414"/>
      <c r="AF69" s="2414"/>
      <c r="AG69" s="2414"/>
      <c r="AH69" s="2414"/>
      <c r="AI69" s="2414"/>
      <c r="AJ69" s="2415"/>
      <c r="AK69" s="543"/>
      <c r="AL69" s="540"/>
      <c r="AM69" s="540"/>
      <c r="AN69" s="535"/>
      <c r="AO69" s="550">
        <f>IF($B74="yes",10,0)</f>
        <v>0</v>
      </c>
    </row>
    <row r="70" spans="1:42" s="536" customFormat="1" ht="12.75" customHeight="1">
      <c r="A70" s="538"/>
      <c r="B70" s="540"/>
      <c r="C70" s="540"/>
      <c r="D70" s="551"/>
      <c r="E70" s="2413"/>
      <c r="F70" s="2414"/>
      <c r="G70" s="2414"/>
      <c r="H70" s="2414"/>
      <c r="I70" s="2414"/>
      <c r="J70" s="2414"/>
      <c r="K70" s="2414"/>
      <c r="L70" s="2414"/>
      <c r="M70" s="2414"/>
      <c r="N70" s="2414"/>
      <c r="O70" s="2414"/>
      <c r="P70" s="2414"/>
      <c r="Q70" s="2414"/>
      <c r="R70" s="2414"/>
      <c r="S70" s="2414"/>
      <c r="T70" s="2414"/>
      <c r="U70" s="2414"/>
      <c r="V70" s="2414"/>
      <c r="W70" s="2414"/>
      <c r="X70" s="2414"/>
      <c r="Y70" s="2414"/>
      <c r="Z70" s="2414"/>
      <c r="AA70" s="2414"/>
      <c r="AB70" s="2414"/>
      <c r="AC70" s="2414"/>
      <c r="AD70" s="2414"/>
      <c r="AE70" s="2414"/>
      <c r="AF70" s="2414"/>
      <c r="AG70" s="2414"/>
      <c r="AH70" s="2414"/>
      <c r="AI70" s="2414"/>
      <c r="AJ70" s="2415"/>
      <c r="AK70" s="543"/>
      <c r="AL70" s="540"/>
      <c r="AM70" s="540"/>
      <c r="AN70" s="535"/>
      <c r="AO70" s="550">
        <f>IF($B81="yes",10,0)</f>
        <v>0</v>
      </c>
    </row>
    <row r="71" spans="1:42" s="536" customFormat="1" ht="12.75" customHeight="1">
      <c r="A71" s="538"/>
      <c r="B71" s="540"/>
      <c r="C71" s="540"/>
      <c r="D71" s="551"/>
      <c r="E71" s="2413"/>
      <c r="F71" s="2414"/>
      <c r="G71" s="2414"/>
      <c r="H71" s="2414"/>
      <c r="I71" s="2414"/>
      <c r="J71" s="2414"/>
      <c r="K71" s="2414"/>
      <c r="L71" s="2414"/>
      <c r="M71" s="2414"/>
      <c r="N71" s="2414"/>
      <c r="O71" s="2414"/>
      <c r="P71" s="2414"/>
      <c r="Q71" s="2414"/>
      <c r="R71" s="2414"/>
      <c r="S71" s="2414"/>
      <c r="T71" s="2414"/>
      <c r="U71" s="2414"/>
      <c r="V71" s="2414"/>
      <c r="W71" s="2414"/>
      <c r="X71" s="2414"/>
      <c r="Y71" s="2414"/>
      <c r="Z71" s="2414"/>
      <c r="AA71" s="2414"/>
      <c r="AB71" s="2414"/>
      <c r="AC71" s="2414"/>
      <c r="AD71" s="2414"/>
      <c r="AE71" s="2414"/>
      <c r="AF71" s="2414"/>
      <c r="AG71" s="2414"/>
      <c r="AH71" s="2414"/>
      <c r="AI71" s="2414"/>
      <c r="AJ71" s="2415"/>
      <c r="AK71" s="543"/>
      <c r="AL71" s="540"/>
      <c r="AM71" s="540"/>
      <c r="AN71" s="535"/>
      <c r="AO71" s="536">
        <f>IF(SUM(AO68:AO70)&gt;10,10,(SUM(AO68:AO70)))</f>
        <v>10</v>
      </c>
      <c r="AP71" s="574" t="s">
        <v>1316</v>
      </c>
    </row>
    <row r="72" spans="1:42" s="536" customFormat="1" ht="12.75" customHeight="1">
      <c r="A72" s="538"/>
      <c r="B72" s="540"/>
      <c r="C72" s="540"/>
      <c r="D72" s="551"/>
      <c r="E72" s="2416"/>
      <c r="F72" s="2417"/>
      <c r="G72" s="2417"/>
      <c r="H72" s="2417"/>
      <c r="I72" s="2417"/>
      <c r="J72" s="2417"/>
      <c r="K72" s="2417"/>
      <c r="L72" s="2417"/>
      <c r="M72" s="2417"/>
      <c r="N72" s="2417"/>
      <c r="O72" s="2417"/>
      <c r="P72" s="2417"/>
      <c r="Q72" s="2417"/>
      <c r="R72" s="2417"/>
      <c r="S72" s="2417"/>
      <c r="T72" s="2417"/>
      <c r="U72" s="2417"/>
      <c r="V72" s="2417"/>
      <c r="W72" s="2417"/>
      <c r="X72" s="2417"/>
      <c r="Y72" s="2417"/>
      <c r="Z72" s="2417"/>
      <c r="AA72" s="2417"/>
      <c r="AB72" s="2417"/>
      <c r="AC72" s="2417"/>
      <c r="AD72" s="2417"/>
      <c r="AE72" s="2417"/>
      <c r="AF72" s="2417"/>
      <c r="AG72" s="2417"/>
      <c r="AH72" s="2417"/>
      <c r="AI72" s="2417"/>
      <c r="AJ72" s="2418"/>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399" t="s">
        <v>591</v>
      </c>
      <c r="C74" s="2399"/>
      <c r="D74" s="547" t="s">
        <v>1317</v>
      </c>
      <c r="E74" s="971" t="s">
        <v>1724</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19" t="s">
        <v>591</v>
      </c>
      <c r="F75" s="2399"/>
      <c r="G75" s="575"/>
      <c r="H75" s="558" t="s">
        <v>1318</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7" t="s">
        <v>591</v>
      </c>
      <c r="F76" s="2398"/>
      <c r="G76" s="575"/>
      <c r="H76" s="558" t="s">
        <v>1319</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7" t="s">
        <v>591</v>
      </c>
      <c r="F77" s="2398"/>
      <c r="G77" s="575"/>
      <c r="H77" s="558" t="s">
        <v>1739</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19" t="s">
        <v>591</v>
      </c>
      <c r="F79" s="2399"/>
      <c r="G79" s="906"/>
      <c r="H79" s="976" t="s">
        <v>1738</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399" t="s">
        <v>591</v>
      </c>
      <c r="C81" s="2399"/>
      <c r="D81" s="547" t="s">
        <v>1320</v>
      </c>
      <c r="E81" s="2400" t="s">
        <v>1740</v>
      </c>
      <c r="F81" s="2401"/>
      <c r="G81" s="2401"/>
      <c r="H81" s="2401"/>
      <c r="I81" s="2401"/>
      <c r="J81" s="2401"/>
      <c r="K81" s="2401"/>
      <c r="L81" s="2401"/>
      <c r="M81" s="2401"/>
      <c r="N81" s="2401"/>
      <c r="O81" s="2401"/>
      <c r="P81" s="2401"/>
      <c r="Q81" s="2401"/>
      <c r="R81" s="2401"/>
      <c r="S81" s="2401"/>
      <c r="T81" s="2401"/>
      <c r="U81" s="2401"/>
      <c r="V81" s="2401"/>
      <c r="W81" s="2401"/>
      <c r="X81" s="2401"/>
      <c r="Y81" s="2401"/>
      <c r="Z81" s="2401"/>
      <c r="AA81" s="2401"/>
      <c r="AB81" s="2401"/>
      <c r="AC81" s="2401"/>
      <c r="AD81" s="2401"/>
      <c r="AE81" s="2401"/>
      <c r="AF81" s="2401"/>
      <c r="AG81" s="2401"/>
      <c r="AH81" s="2401"/>
      <c r="AI81" s="2401"/>
      <c r="AJ81" s="2402"/>
      <c r="AK81" s="543"/>
      <c r="AL81" s="540"/>
      <c r="AM81" s="540"/>
      <c r="AN81" s="535"/>
    </row>
    <row r="82" spans="1:43" s="536" customFormat="1" ht="12.75" customHeight="1">
      <c r="A82" s="538"/>
      <c r="B82" s="540"/>
      <c r="C82" s="540"/>
      <c r="D82" s="550"/>
      <c r="E82" s="2403"/>
      <c r="F82" s="2404"/>
      <c r="G82" s="2404"/>
      <c r="H82" s="2404"/>
      <c r="I82" s="2404"/>
      <c r="J82" s="2404"/>
      <c r="K82" s="2404"/>
      <c r="L82" s="2404"/>
      <c r="M82" s="2404"/>
      <c r="N82" s="2404"/>
      <c r="O82" s="2404"/>
      <c r="P82" s="2404"/>
      <c r="Q82" s="2404"/>
      <c r="R82" s="2404"/>
      <c r="S82" s="2404"/>
      <c r="T82" s="2404"/>
      <c r="U82" s="2404"/>
      <c r="V82" s="2404"/>
      <c r="W82" s="2404"/>
      <c r="X82" s="2404"/>
      <c r="Y82" s="2404"/>
      <c r="Z82" s="2404"/>
      <c r="AA82" s="2404"/>
      <c r="AB82" s="2404"/>
      <c r="AC82" s="2404"/>
      <c r="AD82" s="2404"/>
      <c r="AE82" s="2404"/>
      <c r="AF82" s="2404"/>
      <c r="AG82" s="2404"/>
      <c r="AH82" s="2404"/>
      <c r="AI82" s="2404"/>
      <c r="AJ82" s="2405"/>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1321</v>
      </c>
      <c r="AK84" s="2432">
        <f>IF(AK62&gt;0,0,AO71)</f>
        <v>10</v>
      </c>
      <c r="AL84" s="2433"/>
      <c r="AM84" s="2434"/>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1322</v>
      </c>
      <c r="B87" s="539" t="s">
        <v>1323</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09" t="s">
        <v>1305</v>
      </c>
      <c r="AF87" s="2409"/>
      <c r="AG87" s="2409"/>
      <c r="AH87" s="2409"/>
      <c r="AI87" s="2409"/>
      <c r="AJ87" s="2409"/>
      <c r="AK87" s="2409"/>
      <c r="AL87" s="540"/>
      <c r="AM87" s="540"/>
      <c r="AN87" s="535"/>
    </row>
    <row r="88" spans="1:43" s="536" customFormat="1" ht="12.75" customHeight="1">
      <c r="A88" s="538"/>
      <c r="B88" s="539" t="s">
        <v>1324</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399" t="s">
        <v>545</v>
      </c>
      <c r="C90" s="2399"/>
      <c r="D90" s="547" t="s">
        <v>1315</v>
      </c>
      <c r="E90" s="2410" t="s">
        <v>1325</v>
      </c>
      <c r="F90" s="2411"/>
      <c r="G90" s="2411"/>
      <c r="H90" s="2411"/>
      <c r="I90" s="2411"/>
      <c r="J90" s="2411"/>
      <c r="K90" s="2411"/>
      <c r="L90" s="2411"/>
      <c r="M90" s="2411"/>
      <c r="N90" s="2411"/>
      <c r="O90" s="2411"/>
      <c r="P90" s="2411"/>
      <c r="Q90" s="2411"/>
      <c r="R90" s="2411"/>
      <c r="S90" s="2411"/>
      <c r="T90" s="2411"/>
      <c r="U90" s="2411"/>
      <c r="V90" s="2411"/>
      <c r="W90" s="2411"/>
      <c r="X90" s="2411"/>
      <c r="Y90" s="2411"/>
      <c r="Z90" s="2411"/>
      <c r="AA90" s="2411"/>
      <c r="AB90" s="2411"/>
      <c r="AC90" s="2411"/>
      <c r="AD90" s="2411"/>
      <c r="AE90" s="2411"/>
      <c r="AF90" s="2411"/>
      <c r="AG90" s="2411"/>
      <c r="AH90" s="2411"/>
      <c r="AI90" s="2411"/>
      <c r="AJ90" s="2412"/>
      <c r="AK90" s="543"/>
      <c r="AL90" s="540"/>
      <c r="AM90" s="540"/>
      <c r="AN90" s="535"/>
    </row>
    <row r="91" spans="1:43" s="536" customFormat="1" ht="12.75" customHeight="1">
      <c r="A91" s="538"/>
      <c r="B91" s="539"/>
      <c r="C91" s="539"/>
      <c r="D91" s="539"/>
      <c r="E91" s="2413"/>
      <c r="F91" s="2414"/>
      <c r="G91" s="2414"/>
      <c r="H91" s="2414"/>
      <c r="I91" s="2414"/>
      <c r="J91" s="2414"/>
      <c r="K91" s="2414"/>
      <c r="L91" s="2414"/>
      <c r="M91" s="2414"/>
      <c r="N91" s="2414"/>
      <c r="O91" s="2414"/>
      <c r="P91" s="2414"/>
      <c r="Q91" s="2414"/>
      <c r="R91" s="2414"/>
      <c r="S91" s="2414"/>
      <c r="T91" s="2414"/>
      <c r="U91" s="2414"/>
      <c r="V91" s="2414"/>
      <c r="W91" s="2414"/>
      <c r="X91" s="2414"/>
      <c r="Y91" s="2414"/>
      <c r="Z91" s="2414"/>
      <c r="AA91" s="2414"/>
      <c r="AB91" s="2414"/>
      <c r="AC91" s="2414"/>
      <c r="AD91" s="2414"/>
      <c r="AE91" s="2414"/>
      <c r="AF91" s="2414"/>
      <c r="AG91" s="2414"/>
      <c r="AH91" s="2414"/>
      <c r="AI91" s="2414"/>
      <c r="AJ91" s="2415"/>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93">
        <f>Application!AC753</f>
        <v>0.45169491525423727</v>
      </c>
      <c r="F93" s="2394"/>
      <c r="G93" s="2394"/>
      <c r="H93" s="2394"/>
      <c r="I93" s="577"/>
      <c r="J93" s="580" t="s">
        <v>1326</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5">
        <f>0.6-ROUNDUP(E93,2)</f>
        <v>0.13999999999999996</v>
      </c>
      <c r="F94" s="2396"/>
      <c r="G94" s="2396"/>
      <c r="H94" s="2396"/>
      <c r="I94" s="577"/>
      <c r="J94" s="580" t="s">
        <v>1327</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6">
        <f>IF(E94*200&gt;20,20,E94*200)</f>
        <v>20</v>
      </c>
      <c r="F95" s="2427"/>
      <c r="G95" s="2427"/>
      <c r="H95" s="2427"/>
      <c r="I95" s="577"/>
      <c r="J95" s="580" t="s">
        <v>1328</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20</v>
      </c>
      <c r="AQ95" s="536" t="s">
        <v>1308</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399" t="s">
        <v>591</v>
      </c>
      <c r="C98" s="2399"/>
      <c r="D98" s="547" t="s">
        <v>1317</v>
      </c>
      <c r="E98" s="2410" t="s">
        <v>1725</v>
      </c>
      <c r="F98" s="2411"/>
      <c r="G98" s="2411"/>
      <c r="H98" s="2411"/>
      <c r="I98" s="2411"/>
      <c r="J98" s="2411"/>
      <c r="K98" s="2411"/>
      <c r="L98" s="2411"/>
      <c r="M98" s="2411"/>
      <c r="N98" s="2411"/>
      <c r="O98" s="2411"/>
      <c r="P98" s="2411"/>
      <c r="Q98" s="2411"/>
      <c r="R98" s="2411"/>
      <c r="S98" s="2411"/>
      <c r="T98" s="2411"/>
      <c r="U98" s="2411"/>
      <c r="V98" s="2411"/>
      <c r="W98" s="2411"/>
      <c r="X98" s="2411"/>
      <c r="Y98" s="2411"/>
      <c r="Z98" s="2411"/>
      <c r="AA98" s="2411"/>
      <c r="AB98" s="2411"/>
      <c r="AC98" s="2411"/>
      <c r="AD98" s="2411"/>
      <c r="AE98" s="2411"/>
      <c r="AF98" s="2411"/>
      <c r="AG98" s="2411"/>
      <c r="AH98" s="2411"/>
      <c r="AI98" s="2411"/>
      <c r="AJ98" s="2412"/>
      <c r="AK98" s="543"/>
      <c r="AL98" s="540"/>
      <c r="AM98" s="540"/>
      <c r="AN98" s="535"/>
    </row>
    <row r="99" spans="1:47" s="536" customFormat="1" ht="12.75" customHeight="1">
      <c r="A99" s="538"/>
      <c r="B99" s="539"/>
      <c r="C99" s="539"/>
      <c r="D99" s="539"/>
      <c r="E99" s="2413"/>
      <c r="F99" s="2414"/>
      <c r="G99" s="2414"/>
      <c r="H99" s="2414"/>
      <c r="I99" s="2414"/>
      <c r="J99" s="2414"/>
      <c r="K99" s="2414"/>
      <c r="L99" s="2414"/>
      <c r="M99" s="2414"/>
      <c r="N99" s="2414"/>
      <c r="O99" s="2414"/>
      <c r="P99" s="2414"/>
      <c r="Q99" s="2414"/>
      <c r="R99" s="2414"/>
      <c r="S99" s="2414"/>
      <c r="T99" s="2414"/>
      <c r="U99" s="2414"/>
      <c r="V99" s="2414"/>
      <c r="W99" s="2414"/>
      <c r="X99" s="2414"/>
      <c r="Y99" s="2414"/>
      <c r="Z99" s="2414"/>
      <c r="AA99" s="2414"/>
      <c r="AB99" s="2414"/>
      <c r="AC99" s="2414"/>
      <c r="AD99" s="2414"/>
      <c r="AE99" s="2414"/>
      <c r="AF99" s="2414"/>
      <c r="AG99" s="2414"/>
      <c r="AH99" s="2414"/>
      <c r="AI99" s="2414"/>
      <c r="AJ99" s="2415"/>
      <c r="AK99" s="543"/>
      <c r="AL99" s="540"/>
      <c r="AM99" s="540"/>
      <c r="AN99" s="535"/>
    </row>
    <row r="100" spans="1:47" s="536" customFormat="1" ht="12.75" customHeight="1">
      <c r="A100" s="538"/>
      <c r="B100" s="539"/>
      <c r="C100" s="539"/>
      <c r="D100" s="539"/>
      <c r="E100" s="2413"/>
      <c r="F100" s="2414"/>
      <c r="G100" s="2414"/>
      <c r="H100" s="2414"/>
      <c r="I100" s="2414"/>
      <c r="J100" s="2414"/>
      <c r="K100" s="2414"/>
      <c r="L100" s="2414"/>
      <c r="M100" s="2414"/>
      <c r="N100" s="2414"/>
      <c r="O100" s="2414"/>
      <c r="P100" s="2414"/>
      <c r="Q100" s="2414"/>
      <c r="R100" s="2414"/>
      <c r="S100" s="2414"/>
      <c r="T100" s="2414"/>
      <c r="U100" s="2414"/>
      <c r="V100" s="2414"/>
      <c r="W100" s="2414"/>
      <c r="X100" s="2414"/>
      <c r="Y100" s="2414"/>
      <c r="Z100" s="2414"/>
      <c r="AA100" s="2414"/>
      <c r="AB100" s="2414"/>
      <c r="AC100" s="2414"/>
      <c r="AD100" s="2414"/>
      <c r="AE100" s="2414"/>
      <c r="AF100" s="2414"/>
      <c r="AG100" s="2414"/>
      <c r="AH100" s="2414"/>
      <c r="AI100" s="2414"/>
      <c r="AJ100" s="2415"/>
      <c r="AK100" s="543"/>
      <c r="AL100" s="540"/>
      <c r="AM100" s="540"/>
      <c r="AN100" s="535"/>
    </row>
    <row r="101" spans="1:47" s="536" customFormat="1" ht="12.75" customHeight="1">
      <c r="A101" s="538"/>
      <c r="B101" s="539"/>
      <c r="C101" s="539"/>
      <c r="D101" s="539"/>
      <c r="E101" s="2413"/>
      <c r="F101" s="2414"/>
      <c r="G101" s="2414"/>
      <c r="H101" s="2414"/>
      <c r="I101" s="2414"/>
      <c r="J101" s="2414"/>
      <c r="K101" s="2414"/>
      <c r="L101" s="2414"/>
      <c r="M101" s="2414"/>
      <c r="N101" s="2414"/>
      <c r="O101" s="2414"/>
      <c r="P101" s="2414"/>
      <c r="Q101" s="2414"/>
      <c r="R101" s="2414"/>
      <c r="S101" s="2414"/>
      <c r="T101" s="2414"/>
      <c r="U101" s="2414"/>
      <c r="V101" s="2414"/>
      <c r="W101" s="2414"/>
      <c r="X101" s="2414"/>
      <c r="Y101" s="2414"/>
      <c r="Z101" s="2414"/>
      <c r="AA101" s="2414"/>
      <c r="AB101" s="2414"/>
      <c r="AC101" s="2414"/>
      <c r="AD101" s="2414"/>
      <c r="AE101" s="2414"/>
      <c r="AF101" s="2414"/>
      <c r="AG101" s="2414"/>
      <c r="AH101" s="2414"/>
      <c r="AI101" s="2414"/>
      <c r="AJ101" s="2415"/>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93">
        <f>Application!AC753</f>
        <v>0.45169491525423727</v>
      </c>
      <c r="F103" s="2394"/>
      <c r="G103" s="2394"/>
      <c r="H103" s="2394"/>
      <c r="I103" s="577"/>
      <c r="J103" s="580" t="s">
        <v>1326</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93">
        <f ca="1">SUMIF(Application!AC718:AG752,0.2,Application!G718:J752)/Application!G753+SUMIF(Application!AC718:AG752,0.25,Application!G718:J752)/Application!G753+SUMIF(Application!AC718:AG752,0.3,Application!G718:J752)/Application!G753</f>
        <v>0.1864406779661017</v>
      </c>
      <c r="F104" s="2394"/>
      <c r="G104" s="2394"/>
      <c r="H104" s="2394"/>
      <c r="I104" s="577"/>
      <c r="J104" s="580" t="s">
        <v>1329</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93">
        <f ca="1">SUMIF(Application!AC718:AG752,0.35,Application!G718:J752)/Application!G753+SUMIF(Application!AC718:AG752,0.4,Application!G718:J752)/Application!G753+SUMIF(Application!AC718:AG752,0.45,Application!G718:J752)/Application!G753+SUMIF(Application!AC718:AG752,0.5,Application!G718:J752)/Application!G753</f>
        <v>0.59322033898305082</v>
      </c>
      <c r="F105" s="2394"/>
      <c r="G105" s="2394"/>
      <c r="H105" s="2394"/>
      <c r="I105" s="577"/>
      <c r="J105" s="580" t="s">
        <v>1330</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51">
        <f ca="1">IF(AND(E103&lt;=0.6,OR(AND(E104&gt;=0.1,E105&gt;=0.1),AND(E104&gt;0.1,(E104+E105)&gt;=0.2))),20,0)</f>
        <v>20</v>
      </c>
      <c r="F106" s="2452"/>
      <c r="G106" s="2452"/>
      <c r="H106" s="2452"/>
      <c r="I106" s="553"/>
      <c r="J106" s="587" t="s">
        <v>1328</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IF(B98="yes",E106,0)</f>
        <v>0</v>
      </c>
      <c r="AQ106" s="536" t="s">
        <v>1308</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1331</v>
      </c>
      <c r="AK109" s="2432">
        <f>MAX(AP95,AP106)</f>
        <v>20</v>
      </c>
      <c r="AL109" s="2433"/>
      <c r="AM109" s="2434"/>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1332</v>
      </c>
      <c r="B112" s="539" t="s">
        <v>1333</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09" t="s">
        <v>1314</v>
      </c>
      <c r="AF112" s="2409"/>
      <c r="AG112" s="2409"/>
      <c r="AH112" s="2409"/>
      <c r="AI112" s="2409"/>
      <c r="AJ112" s="2409"/>
      <c r="AK112" s="2409"/>
      <c r="AL112" s="540"/>
      <c r="AM112" s="540"/>
      <c r="AN112" s="535"/>
      <c r="AO112" s="536" t="str">
        <f>Application!B718</f>
        <v>1 Bedroom</v>
      </c>
      <c r="AQ112" s="536">
        <f>Application!O718</f>
        <v>820.44</v>
      </c>
    </row>
    <row r="113" spans="1:52" s="536" customFormat="1" ht="12.75" customHeight="1">
      <c r="A113" s="540"/>
      <c r="B113" s="539" t="s">
        <v>1324</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2 Bedrooms</v>
      </c>
      <c r="AQ113" s="536">
        <f>Application!O719</f>
        <v>988.62</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3 Bedrooms</v>
      </c>
      <c r="AQ114" s="536">
        <f>Application!O720</f>
        <v>1138.8800000000001</v>
      </c>
    </row>
    <row r="115" spans="1:52" s="536" customFormat="1" ht="12.75" customHeight="1">
      <c r="A115" s="540"/>
      <c r="B115" s="2399" t="s">
        <v>545</v>
      </c>
      <c r="C115" s="2399"/>
      <c r="D115" s="547" t="s">
        <v>1315</v>
      </c>
      <c r="E115" s="2410" t="s">
        <v>1857</v>
      </c>
      <c r="F115" s="2411"/>
      <c r="G115" s="2411"/>
      <c r="H115" s="2411"/>
      <c r="I115" s="2411"/>
      <c r="J115" s="2411"/>
      <c r="K115" s="2411"/>
      <c r="L115" s="2411"/>
      <c r="M115" s="2411"/>
      <c r="N115" s="2411"/>
      <c r="O115" s="2411"/>
      <c r="P115" s="2411"/>
      <c r="Q115" s="2411"/>
      <c r="R115" s="2411"/>
      <c r="S115" s="2411"/>
      <c r="T115" s="2411"/>
      <c r="U115" s="2411"/>
      <c r="V115" s="2411"/>
      <c r="W115" s="2411"/>
      <c r="X115" s="2411"/>
      <c r="Y115" s="2411"/>
      <c r="Z115" s="2411"/>
      <c r="AA115" s="2411"/>
      <c r="AB115" s="2411"/>
      <c r="AC115" s="2411"/>
      <c r="AD115" s="2411"/>
      <c r="AE115" s="2411"/>
      <c r="AF115" s="2411"/>
      <c r="AG115" s="2411"/>
      <c r="AH115" s="2411"/>
      <c r="AI115" s="2411"/>
      <c r="AJ115" s="2412"/>
      <c r="AK115" s="540"/>
      <c r="AL115" s="540"/>
      <c r="AM115" s="540"/>
      <c r="AN115" s="535"/>
      <c r="AO115" s="536" t="str">
        <f>Application!B721</f>
        <v>1 Bedroom</v>
      </c>
      <c r="AQ115" s="536">
        <f>Application!O721</f>
        <v>1101.44</v>
      </c>
      <c r="AU115" s="536" t="s">
        <v>1840</v>
      </c>
      <c r="AV115" s="595" t="s">
        <v>1841</v>
      </c>
      <c r="AW115" s="536" t="s">
        <v>1842</v>
      </c>
    </row>
    <row r="116" spans="1:52" s="536" customFormat="1" ht="12.75" customHeight="1">
      <c r="A116" s="540"/>
      <c r="B116" s="539"/>
      <c r="C116" s="539"/>
      <c r="D116" s="539"/>
      <c r="E116" s="2413"/>
      <c r="F116" s="2414"/>
      <c r="G116" s="2414"/>
      <c r="H116" s="2414"/>
      <c r="I116" s="2414"/>
      <c r="J116" s="2414"/>
      <c r="K116" s="2414"/>
      <c r="L116" s="2414"/>
      <c r="M116" s="2414"/>
      <c r="N116" s="2414"/>
      <c r="O116" s="2414"/>
      <c r="P116" s="2414"/>
      <c r="Q116" s="2414"/>
      <c r="R116" s="2414"/>
      <c r="S116" s="2414"/>
      <c r="T116" s="2414"/>
      <c r="U116" s="2414"/>
      <c r="V116" s="2414"/>
      <c r="W116" s="2414"/>
      <c r="X116" s="2414"/>
      <c r="Y116" s="2414"/>
      <c r="Z116" s="2414"/>
      <c r="AA116" s="2414"/>
      <c r="AB116" s="2414"/>
      <c r="AC116" s="2414"/>
      <c r="AD116" s="2414"/>
      <c r="AE116" s="2414"/>
      <c r="AF116" s="2414"/>
      <c r="AG116" s="2414"/>
      <c r="AH116" s="2414"/>
      <c r="AI116" s="2414"/>
      <c r="AJ116" s="2415"/>
      <c r="AK116" s="540"/>
      <c r="AL116" s="540"/>
      <c r="AM116" s="540"/>
      <c r="AN116" s="535"/>
      <c r="AO116" s="536" t="str">
        <f>Application!B722</f>
        <v>2 Bedrooms</v>
      </c>
      <c r="AQ116" s="536">
        <f>Application!O722</f>
        <v>1325.62</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413"/>
      <c r="F117" s="2414"/>
      <c r="G117" s="2414"/>
      <c r="H117" s="2414"/>
      <c r="I117" s="2414"/>
      <c r="J117" s="2414"/>
      <c r="K117" s="2414"/>
      <c r="L117" s="2414"/>
      <c r="M117" s="2414"/>
      <c r="N117" s="2414"/>
      <c r="O117" s="2414"/>
      <c r="P117" s="2414"/>
      <c r="Q117" s="2414"/>
      <c r="R117" s="2414"/>
      <c r="S117" s="2414"/>
      <c r="T117" s="2414"/>
      <c r="U117" s="2414"/>
      <c r="V117" s="2414"/>
      <c r="W117" s="2414"/>
      <c r="X117" s="2414"/>
      <c r="Y117" s="2414"/>
      <c r="Z117" s="2414"/>
      <c r="AA117" s="2414"/>
      <c r="AB117" s="2414"/>
      <c r="AC117" s="2414"/>
      <c r="AD117" s="2414"/>
      <c r="AE117" s="2414"/>
      <c r="AF117" s="2414"/>
      <c r="AG117" s="2414"/>
      <c r="AH117" s="2414"/>
      <c r="AI117" s="2414"/>
      <c r="AJ117" s="2415"/>
      <c r="AK117" s="540"/>
      <c r="AL117" s="540"/>
      <c r="AM117" s="540"/>
      <c r="AN117" s="535"/>
      <c r="AO117" s="536" t="str">
        <f>Application!B723</f>
        <v>3 Bedrooms</v>
      </c>
      <c r="AQ117" s="536">
        <f>Application!O723</f>
        <v>1528.88</v>
      </c>
      <c r="AU117" s="856" t="str">
        <f>J124</f>
        <v>1-bedroom</v>
      </c>
      <c r="AV117" s="536">
        <f t="array" ref="AV117">SUM(IF(Application!B718:F752="1 Bedroom",Application!G718:J752))</f>
        <v>12</v>
      </c>
      <c r="AW117" s="1011">
        <f>AV117/AV122</f>
        <v>0.20338983050847459</v>
      </c>
    </row>
    <row r="118" spans="1:52" s="536" customFormat="1" ht="12.75" customHeight="1">
      <c r="A118" s="540"/>
      <c r="B118" s="539"/>
      <c r="C118" s="539"/>
      <c r="D118" s="539"/>
      <c r="E118" s="2413"/>
      <c r="F118" s="2414"/>
      <c r="G118" s="2414"/>
      <c r="H118" s="2414"/>
      <c r="I118" s="2414"/>
      <c r="J118" s="2414"/>
      <c r="K118" s="2414"/>
      <c r="L118" s="2414"/>
      <c r="M118" s="2414"/>
      <c r="N118" s="2414"/>
      <c r="O118" s="2414"/>
      <c r="P118" s="2414"/>
      <c r="Q118" s="2414"/>
      <c r="R118" s="2414"/>
      <c r="S118" s="2414"/>
      <c r="T118" s="2414"/>
      <c r="U118" s="2414"/>
      <c r="V118" s="2414"/>
      <c r="W118" s="2414"/>
      <c r="X118" s="2414"/>
      <c r="Y118" s="2414"/>
      <c r="Z118" s="2414"/>
      <c r="AA118" s="2414"/>
      <c r="AB118" s="2414"/>
      <c r="AC118" s="2414"/>
      <c r="AD118" s="2414"/>
      <c r="AE118" s="2414"/>
      <c r="AF118" s="2414"/>
      <c r="AG118" s="2414"/>
      <c r="AH118" s="2414"/>
      <c r="AI118" s="2414"/>
      <c r="AJ118" s="2415"/>
      <c r="AK118" s="540"/>
      <c r="AL118" s="540"/>
      <c r="AM118" s="540"/>
      <c r="AN118" s="535"/>
      <c r="AO118" s="536" t="str">
        <f>Application!B724</f>
        <v>1 Bedroom</v>
      </c>
      <c r="AQ118" s="536">
        <f>Application!O724</f>
        <v>1241.44</v>
      </c>
      <c r="AU118" s="856" t="str">
        <f>O124</f>
        <v>2-bedroom</v>
      </c>
      <c r="AV118" s="536">
        <f t="array" ref="AV118">SUM(IF(Application!B718:F752="2 Bedrooms",Application!G718:J752))</f>
        <v>27</v>
      </c>
      <c r="AW118" s="1011">
        <f>AV118/AV122</f>
        <v>0.4576271186440678</v>
      </c>
    </row>
    <row r="119" spans="1:52" s="536" customFormat="1" ht="12.75" customHeight="1">
      <c r="A119" s="540"/>
      <c r="B119" s="539"/>
      <c r="C119" s="539"/>
      <c r="D119" s="539"/>
      <c r="E119" s="2413"/>
      <c r="F119" s="2414"/>
      <c r="G119" s="2414"/>
      <c r="H119" s="2414"/>
      <c r="I119" s="2414"/>
      <c r="J119" s="2414"/>
      <c r="K119" s="2414"/>
      <c r="L119" s="2414"/>
      <c r="M119" s="2414"/>
      <c r="N119" s="2414"/>
      <c r="O119" s="2414"/>
      <c r="P119" s="2414"/>
      <c r="Q119" s="2414"/>
      <c r="R119" s="2414"/>
      <c r="S119" s="2414"/>
      <c r="T119" s="2414"/>
      <c r="U119" s="2414"/>
      <c r="V119" s="2414"/>
      <c r="W119" s="2414"/>
      <c r="X119" s="2414"/>
      <c r="Y119" s="2414"/>
      <c r="Z119" s="2414"/>
      <c r="AA119" s="2414"/>
      <c r="AB119" s="2414"/>
      <c r="AC119" s="2414"/>
      <c r="AD119" s="2414"/>
      <c r="AE119" s="2414"/>
      <c r="AF119" s="2414"/>
      <c r="AG119" s="2414"/>
      <c r="AH119" s="2414"/>
      <c r="AI119" s="2414"/>
      <c r="AJ119" s="2415"/>
      <c r="AK119" s="540"/>
      <c r="AL119" s="540"/>
      <c r="AM119" s="540"/>
      <c r="AN119" s="535"/>
      <c r="AO119" s="536" t="str">
        <f>Application!B725</f>
        <v>2 Bedrooms</v>
      </c>
      <c r="AQ119" s="536">
        <f>Application!O725</f>
        <v>1493.62</v>
      </c>
      <c r="AU119" s="856" t="str">
        <f>T124</f>
        <v>3-bedroom</v>
      </c>
      <c r="AV119" s="536">
        <f t="array" ref="AV119">SUM(IF(Application!B718:F752="3 Bedrooms",Application!G718:J752))</f>
        <v>20</v>
      </c>
      <c r="AW119" s="1011">
        <f>AV119/AV122</f>
        <v>0.33898305084745761</v>
      </c>
    </row>
    <row r="120" spans="1:52" s="536" customFormat="1" ht="12.75" customHeight="1">
      <c r="A120" s="540"/>
      <c r="B120" s="539"/>
      <c r="C120" s="539"/>
      <c r="D120" s="539"/>
      <c r="E120" s="2413"/>
      <c r="F120" s="2414"/>
      <c r="G120" s="2414"/>
      <c r="H120" s="2414"/>
      <c r="I120" s="2414"/>
      <c r="J120" s="2414"/>
      <c r="K120" s="2414"/>
      <c r="L120" s="2414"/>
      <c r="M120" s="2414"/>
      <c r="N120" s="2414"/>
      <c r="O120" s="2414"/>
      <c r="P120" s="2414"/>
      <c r="Q120" s="2414"/>
      <c r="R120" s="2414"/>
      <c r="S120" s="2414"/>
      <c r="T120" s="2414"/>
      <c r="U120" s="2414"/>
      <c r="V120" s="2414"/>
      <c r="W120" s="2414"/>
      <c r="X120" s="2414"/>
      <c r="Y120" s="2414"/>
      <c r="Z120" s="2414"/>
      <c r="AA120" s="2414"/>
      <c r="AB120" s="2414"/>
      <c r="AC120" s="2414"/>
      <c r="AD120" s="2414"/>
      <c r="AE120" s="2414"/>
      <c r="AF120" s="2414"/>
      <c r="AG120" s="2414"/>
      <c r="AH120" s="2414"/>
      <c r="AI120" s="2414"/>
      <c r="AJ120" s="2415"/>
      <c r="AK120" s="540"/>
      <c r="AL120" s="540"/>
      <c r="AM120" s="540"/>
      <c r="AN120" s="535"/>
      <c r="AO120" s="536" t="str">
        <f>Application!B726</f>
        <v>3 Bedrooms</v>
      </c>
      <c r="AQ120" s="536">
        <f>Application!O726</f>
        <v>1722.88</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13"/>
      <c r="F121" s="2414"/>
      <c r="G121" s="2414"/>
      <c r="H121" s="2414"/>
      <c r="I121" s="2414"/>
      <c r="J121" s="2414"/>
      <c r="K121" s="2414"/>
      <c r="L121" s="2414"/>
      <c r="M121" s="2414"/>
      <c r="N121" s="2414"/>
      <c r="O121" s="2414"/>
      <c r="P121" s="2414"/>
      <c r="Q121" s="2414"/>
      <c r="R121" s="2414"/>
      <c r="S121" s="2414"/>
      <c r="T121" s="2414"/>
      <c r="U121" s="2414"/>
      <c r="V121" s="2414"/>
      <c r="W121" s="2414"/>
      <c r="X121" s="2414"/>
      <c r="Y121" s="2414"/>
      <c r="Z121" s="2414"/>
      <c r="AA121" s="2414"/>
      <c r="AB121" s="2414"/>
      <c r="AC121" s="2414"/>
      <c r="AD121" s="2414"/>
      <c r="AE121" s="2414"/>
      <c r="AF121" s="2414"/>
      <c r="AG121" s="2414"/>
      <c r="AH121" s="2414"/>
      <c r="AI121" s="2414"/>
      <c r="AJ121" s="2415"/>
      <c r="AK121" s="540"/>
      <c r="AL121" s="540"/>
      <c r="AM121" s="540"/>
      <c r="AN121" s="535"/>
      <c r="AO121" s="536" t="str">
        <f>Application!B727</f>
        <v>2 Bedrooms</v>
      </c>
      <c r="AQ121" s="536">
        <f>Application!O727</f>
        <v>1662.62</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13"/>
      <c r="F122" s="2414"/>
      <c r="G122" s="2414"/>
      <c r="H122" s="2414"/>
      <c r="I122" s="2414"/>
      <c r="J122" s="2414"/>
      <c r="K122" s="2414"/>
      <c r="L122" s="2414"/>
      <c r="M122" s="2414"/>
      <c r="N122" s="2414"/>
      <c r="O122" s="2414"/>
      <c r="P122" s="2414"/>
      <c r="Q122" s="2414"/>
      <c r="R122" s="2414"/>
      <c r="S122" s="2414"/>
      <c r="T122" s="2414"/>
      <c r="U122" s="2414"/>
      <c r="V122" s="2414"/>
      <c r="W122" s="2414"/>
      <c r="X122" s="2414"/>
      <c r="Y122" s="2414"/>
      <c r="Z122" s="2414"/>
      <c r="AA122" s="2414"/>
      <c r="AB122" s="2414"/>
      <c r="AC122" s="2414"/>
      <c r="AD122" s="2414"/>
      <c r="AE122" s="2414"/>
      <c r="AF122" s="2414"/>
      <c r="AG122" s="2414"/>
      <c r="AH122" s="2414"/>
      <c r="AI122" s="2414"/>
      <c r="AJ122" s="2415"/>
      <c r="AK122" s="540"/>
      <c r="AL122" s="540"/>
      <c r="AM122" s="540"/>
      <c r="AN122" s="535"/>
      <c r="AO122" s="536" t="str">
        <f>Application!B728</f>
        <v>3 Bedrooms</v>
      </c>
      <c r="AQ122" s="536">
        <f>Application!O728</f>
        <v>1917.88</v>
      </c>
      <c r="AV122" s="536">
        <f>SUM(AV116:AV121)</f>
        <v>59</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t="str">
        <f>Application!B729</f>
        <v>2 Bedrooms</v>
      </c>
      <c r="AQ123" s="536">
        <f>Application!O729</f>
        <v>1830.62</v>
      </c>
    </row>
    <row r="124" spans="1:52" s="536" customFormat="1" ht="12.75" customHeight="1">
      <c r="A124" s="540"/>
      <c r="B124" s="539"/>
      <c r="C124" s="540"/>
      <c r="D124" s="540"/>
      <c r="E124" s="2393" t="s">
        <v>1588</v>
      </c>
      <c r="F124" s="2394"/>
      <c r="G124" s="2394"/>
      <c r="H124" s="2394"/>
      <c r="I124" s="577"/>
      <c r="J124" s="2394" t="s">
        <v>1631</v>
      </c>
      <c r="K124" s="2394"/>
      <c r="L124" s="2394"/>
      <c r="M124" s="2394"/>
      <c r="N124" s="577"/>
      <c r="O124" s="2394" t="s">
        <v>1632</v>
      </c>
      <c r="P124" s="2394"/>
      <c r="Q124" s="2394"/>
      <c r="R124" s="2394"/>
      <c r="S124" s="577"/>
      <c r="T124" s="2394" t="s">
        <v>1334</v>
      </c>
      <c r="U124" s="2394"/>
      <c r="V124" s="2394"/>
      <c r="W124" s="2394"/>
      <c r="X124" s="577"/>
      <c r="Y124" s="2394" t="s">
        <v>1633</v>
      </c>
      <c r="Z124" s="2394"/>
      <c r="AA124" s="2394"/>
      <c r="AB124" s="2394"/>
      <c r="AC124" s="577"/>
      <c r="AD124" s="2394" t="s">
        <v>1634</v>
      </c>
      <c r="AE124" s="2394"/>
      <c r="AF124" s="2394"/>
      <c r="AG124" s="2394"/>
      <c r="AH124" s="577"/>
      <c r="AI124" s="577"/>
      <c r="AJ124" s="579"/>
      <c r="AK124" s="540"/>
      <c r="AL124" s="540"/>
      <c r="AM124" s="540"/>
      <c r="AN124" s="535"/>
      <c r="AO124" s="536" t="str">
        <f>Application!B730</f>
        <v>3 Bedrooms</v>
      </c>
      <c r="AQ124" s="536">
        <f>Application!O730</f>
        <v>2111.88</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t="str">
        <f>Application!B731</f>
        <v>3 Bedrooms</v>
      </c>
      <c r="AQ125" s="536">
        <f>Application!O731</f>
        <v>2306.88</v>
      </c>
    </row>
    <row r="126" spans="1:52" s="536" customFormat="1" ht="12.75" customHeight="1">
      <c r="A126" s="540"/>
      <c r="B126" s="539"/>
      <c r="C126" s="540"/>
      <c r="D126" s="540"/>
      <c r="E126" s="866" t="s">
        <v>1635</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53">
        <v>0</v>
      </c>
      <c r="F127" s="2454"/>
      <c r="G127" s="2454"/>
      <c r="H127" s="2454"/>
      <c r="I127" s="864"/>
      <c r="J127" s="2454">
        <v>2244</v>
      </c>
      <c r="K127" s="2454"/>
      <c r="L127" s="2454"/>
      <c r="M127" s="2454"/>
      <c r="N127" s="864"/>
      <c r="O127" s="2454">
        <v>2827</v>
      </c>
      <c r="P127" s="2454"/>
      <c r="Q127" s="2454"/>
      <c r="R127" s="2454"/>
      <c r="S127" s="864"/>
      <c r="T127" s="2454">
        <v>3141</v>
      </c>
      <c r="U127" s="2454"/>
      <c r="V127" s="2454"/>
      <c r="W127" s="2454"/>
      <c r="X127" s="864"/>
      <c r="Y127" s="2454">
        <v>0</v>
      </c>
      <c r="Z127" s="2454"/>
      <c r="AA127" s="2454"/>
      <c r="AB127" s="2454"/>
      <c r="AC127" s="864"/>
      <c r="AD127" s="2454">
        <v>0</v>
      </c>
      <c r="AE127" s="2454"/>
      <c r="AF127" s="2454"/>
      <c r="AG127" s="2454"/>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1844</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6">
        <f>Application!DX670</f>
        <v>0</v>
      </c>
      <c r="F130" s="2447"/>
      <c r="G130" s="2447"/>
      <c r="H130" s="2447"/>
      <c r="I130" s="864"/>
      <c r="J130" s="2447">
        <f>Application!EC670</f>
        <v>984.27333333333331</v>
      </c>
      <c r="K130" s="2447"/>
      <c r="L130" s="2447"/>
      <c r="M130" s="2447"/>
      <c r="N130" s="864"/>
      <c r="O130" s="2447">
        <f>Application!EH670</f>
        <v>1537.62</v>
      </c>
      <c r="P130" s="2447"/>
      <c r="Q130" s="2447"/>
      <c r="R130" s="2447"/>
      <c r="S130" s="868"/>
      <c r="T130" s="2447">
        <f>Application!EM670</f>
        <v>1888.43</v>
      </c>
      <c r="U130" s="2447"/>
      <c r="V130" s="2447"/>
      <c r="W130" s="2447"/>
      <c r="X130" s="868"/>
      <c r="Y130" s="2447">
        <f>Application!ER670</f>
        <v>0</v>
      </c>
      <c r="Z130" s="2447"/>
      <c r="AA130" s="2447"/>
      <c r="AB130" s="2447"/>
      <c r="AC130" s="868"/>
      <c r="AD130" s="2447">
        <f>Application!EW670</f>
        <v>0</v>
      </c>
      <c r="AE130" s="2447"/>
      <c r="AF130" s="2447"/>
      <c r="AG130" s="2447"/>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1845</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5" t="e">
        <f>(E127-E130)/E127</f>
        <v>#DIV/0!</v>
      </c>
      <c r="F133" s="2396"/>
      <c r="G133" s="2396"/>
      <c r="H133" s="2646"/>
      <c r="I133" s="577"/>
      <c r="J133" s="2645">
        <f>(J127-J130)/J127</f>
        <v>0.56137551990493173</v>
      </c>
      <c r="K133" s="2396"/>
      <c r="L133" s="2396"/>
      <c r="M133" s="2646"/>
      <c r="N133" s="577"/>
      <c r="O133" s="2645">
        <f>(O127-O130)/O127</f>
        <v>0.45609480014149278</v>
      </c>
      <c r="P133" s="2396"/>
      <c r="Q133" s="2396"/>
      <c r="R133" s="2646"/>
      <c r="S133" s="577"/>
      <c r="T133" s="2645">
        <f>(T127-T130)/T127</f>
        <v>0.39878064310729067</v>
      </c>
      <c r="U133" s="2396"/>
      <c r="V133" s="2396"/>
      <c r="W133" s="2646"/>
      <c r="X133" s="577"/>
      <c r="Y133" s="2645" t="e">
        <f>(Y127-Y130)/Y127</f>
        <v>#DIV/0!</v>
      </c>
      <c r="Z133" s="2396"/>
      <c r="AA133" s="2396"/>
      <c r="AB133" s="2646"/>
      <c r="AC133" s="577"/>
      <c r="AD133" s="2645" t="e">
        <f>(AD127-AD130)/AD127</f>
        <v>#DIV/0!</v>
      </c>
      <c r="AE133" s="2396"/>
      <c r="AF133" s="2396"/>
      <c r="AG133" s="2646"/>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1846</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48" t="e">
        <f>IF(((E133-0.1)*AW116)&gt;0,((E133-0.1)*AW116),0)</f>
        <v>#DIV/0!</v>
      </c>
      <c r="F136" s="2449"/>
      <c r="G136" s="2449"/>
      <c r="H136" s="2450"/>
      <c r="I136" s="577"/>
      <c r="J136" s="2448">
        <f>IF(((J133-0.1)*AW117)&gt;0,((J133-0.1)*AW117),0)</f>
        <v>9.383908879422341E-2</v>
      </c>
      <c r="K136" s="2449"/>
      <c r="L136" s="2449"/>
      <c r="M136" s="2450"/>
      <c r="N136" s="577"/>
      <c r="O136" s="2448">
        <f>IF(((O133-0.1)*AW118)&gt;0,((O133-0.1)*AW118),0)</f>
        <v>0.16295863735288652</v>
      </c>
      <c r="P136" s="2449"/>
      <c r="Q136" s="2449"/>
      <c r="R136" s="2450"/>
      <c r="S136" s="577"/>
      <c r="T136" s="2448">
        <f>IF(((T133-0.1)*AW119)&gt;0,((T133-0.1)*AW119),0)</f>
        <v>0.10128157393467481</v>
      </c>
      <c r="U136" s="2449"/>
      <c r="V136" s="2449"/>
      <c r="W136" s="2450"/>
      <c r="X136" s="577"/>
      <c r="Y136" s="2448" t="e">
        <f>IF(((Y133-0.1)*AW120)&gt;0,((Y133-0.1)*AW120),0)</f>
        <v>#DIV/0!</v>
      </c>
      <c r="Z136" s="2449"/>
      <c r="AA136" s="2449"/>
      <c r="AB136" s="2450"/>
      <c r="AC136" s="577"/>
      <c r="AD136" s="2448" t="e">
        <f>IF(((AD133-0.1)*AW121)&gt;0,((AD133-0.1)*AW121),0)</f>
        <v>#DIV/0!</v>
      </c>
      <c r="AE136" s="2449"/>
      <c r="AF136" s="2449"/>
      <c r="AG136" s="2450"/>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5">
        <f>ROUNDDOWN(SUMIF(E136:AG136,"&gt;0"),2)</f>
        <v>0.35</v>
      </c>
      <c r="F138" s="2396"/>
      <c r="G138" s="2396"/>
      <c r="H138" s="2646"/>
      <c r="I138" s="577"/>
      <c r="J138" s="580" t="s">
        <v>1847</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32">
        <f>IF((E138*100)&gt;10,10,E138*100)</f>
        <v>10</v>
      </c>
      <c r="F139" s="2433"/>
      <c r="G139" s="2433"/>
      <c r="H139" s="2434"/>
      <c r="I139" s="577"/>
      <c r="J139" s="580" t="s">
        <v>1328</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1335</v>
      </c>
      <c r="AK143" s="2432">
        <f>E139</f>
        <v>10</v>
      </c>
      <c r="AL143" s="2433"/>
      <c r="AM143" s="2434"/>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1336</v>
      </c>
      <c r="AE146" s="2409" t="s">
        <v>1314</v>
      </c>
      <c r="AF146" s="2409"/>
      <c r="AG146" s="2409"/>
      <c r="AH146" s="2409"/>
      <c r="AI146" s="2409"/>
      <c r="AJ146" s="2409"/>
      <c r="AK146" s="2409"/>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1337</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4" t="s">
        <v>1338</v>
      </c>
      <c r="AG148" s="2444"/>
      <c r="AH148" s="2444"/>
      <c r="AI148" s="2444"/>
      <c r="AJ148" s="2444"/>
      <c r="AK148" s="2444"/>
      <c r="AL148" s="2444"/>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5" t="s">
        <v>2717</v>
      </c>
      <c r="C150" s="2445"/>
      <c r="D150" s="2445"/>
      <c r="E150" s="2445"/>
      <c r="F150" s="2445"/>
      <c r="G150" s="2445"/>
      <c r="H150" s="2445"/>
      <c r="I150" s="2445"/>
      <c r="J150" s="2445"/>
      <c r="K150" s="2445"/>
      <c r="L150" s="2445"/>
      <c r="M150" s="2445"/>
      <c r="N150" s="2445"/>
      <c r="O150" s="2445"/>
      <c r="P150" s="2445"/>
      <c r="Q150" s="2445"/>
      <c r="R150" s="2445"/>
      <c r="S150" s="2445"/>
      <c r="T150" s="2445"/>
      <c r="U150" s="2445"/>
      <c r="V150" s="2445"/>
      <c r="W150" s="2445"/>
      <c r="X150" s="2445"/>
      <c r="Y150" s="2445"/>
      <c r="Z150" s="2445"/>
      <c r="AA150" s="2445"/>
      <c r="AB150" s="2445"/>
      <c r="AC150" s="2445"/>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306</v>
      </c>
      <c r="AP151" s="545"/>
    </row>
    <row r="152" spans="1:42" s="536" customFormat="1" ht="12.75" customHeight="1">
      <c r="A152" s="538"/>
      <c r="B152" s="539" t="s">
        <v>1339</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1340</v>
      </c>
      <c r="AP152" s="489">
        <v>5</v>
      </c>
    </row>
    <row r="153" spans="1:42" s="536" customFormat="1" ht="12.75" customHeight="1">
      <c r="A153" s="538"/>
      <c r="B153" s="2471" t="s">
        <v>1341</v>
      </c>
      <c r="C153" s="2471"/>
      <c r="D153" s="2471"/>
      <c r="E153" s="2471"/>
      <c r="F153" s="2471"/>
      <c r="G153" s="2471"/>
      <c r="H153" s="2471"/>
      <c r="I153" s="2471"/>
      <c r="J153" s="2471"/>
      <c r="K153" s="2471"/>
      <c r="L153" s="2471"/>
      <c r="M153" s="2471"/>
      <c r="N153" s="2471"/>
      <c r="O153" s="2471"/>
      <c r="P153" s="2471"/>
      <c r="Q153" s="2471"/>
      <c r="R153" s="2471"/>
      <c r="S153" s="2471"/>
      <c r="T153" s="2471"/>
      <c r="U153" s="2471"/>
      <c r="V153" s="2471"/>
      <c r="W153" s="2471"/>
      <c r="X153" s="2471"/>
      <c r="Y153" s="2471"/>
      <c r="Z153" s="2471"/>
      <c r="AA153" s="2471"/>
      <c r="AB153" s="2471"/>
      <c r="AC153" s="2471"/>
      <c r="AD153" s="2471"/>
      <c r="AE153" s="2471"/>
      <c r="AF153" s="2471"/>
      <c r="AG153" s="2471"/>
      <c r="AH153" s="2471"/>
      <c r="AI153" s="2471"/>
      <c r="AM153" s="539"/>
      <c r="AN153" s="535"/>
      <c r="AO153" s="476" t="s">
        <v>1341</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2252</v>
      </c>
      <c r="AP154" s="489">
        <v>7</v>
      </c>
    </row>
    <row r="155" spans="1:42" s="536" customFormat="1" ht="12.75" customHeight="1">
      <c r="A155" s="538"/>
      <c r="B155" s="539" t="s">
        <v>1342</v>
      </c>
      <c r="AB155" s="2472" t="s">
        <v>591</v>
      </c>
      <c r="AC155" s="2472"/>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1343</v>
      </c>
      <c r="AP156" s="489"/>
    </row>
    <row r="157" spans="1:42" s="536" customFormat="1" ht="12.75" customHeight="1">
      <c r="A157" s="538"/>
      <c r="B157" s="538" t="s">
        <v>1344</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1345</v>
      </c>
      <c r="AP157" s="489">
        <v>5</v>
      </c>
    </row>
    <row r="158" spans="1:42" s="536" customFormat="1" ht="12.75" customHeight="1">
      <c r="A158" s="538"/>
      <c r="B158" s="2471" t="s">
        <v>1343</v>
      </c>
      <c r="C158" s="2471"/>
      <c r="D158" s="2471"/>
      <c r="E158" s="2471"/>
      <c r="F158" s="2471"/>
      <c r="G158" s="2471"/>
      <c r="H158" s="2471"/>
      <c r="I158" s="2471"/>
      <c r="J158" s="2471"/>
      <c r="K158" s="2471"/>
      <c r="L158" s="2471"/>
      <c r="M158" s="2471"/>
      <c r="N158" s="2471"/>
      <c r="O158" s="2471"/>
      <c r="P158" s="2471"/>
      <c r="Q158" s="2471"/>
      <c r="R158" s="2471"/>
      <c r="S158" s="2471"/>
      <c r="T158" s="2471"/>
      <c r="U158" s="2471"/>
      <c r="V158" s="2471"/>
      <c r="W158" s="2471"/>
      <c r="X158" s="2471"/>
      <c r="Y158" s="2471"/>
      <c r="Z158" s="2471"/>
      <c r="AA158" s="2471"/>
      <c r="AB158" s="2471"/>
      <c r="AC158" s="2471"/>
      <c r="AD158" s="2471"/>
      <c r="AE158" s="2471"/>
      <c r="AF158" s="2471"/>
      <c r="AG158" s="2471"/>
      <c r="AH158" s="2471"/>
      <c r="AI158" s="2471"/>
      <c r="AJ158" s="2471"/>
      <c r="AN158" s="535"/>
      <c r="AO158" s="476" t="s">
        <v>1346</v>
      </c>
      <c r="AP158" s="489">
        <v>7</v>
      </c>
    </row>
    <row r="159" spans="1:42" s="536" customFormat="1" ht="12.75" customHeight="1">
      <c r="B159" s="539" t="s">
        <v>1347</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32" t="s">
        <v>2475</v>
      </c>
      <c r="C161" s="2632"/>
      <c r="D161" s="2632"/>
      <c r="E161" s="2632"/>
      <c r="F161" s="2632"/>
      <c r="G161" s="2632"/>
      <c r="H161" s="2632"/>
      <c r="I161" s="2632"/>
      <c r="J161" s="2632"/>
      <c r="K161" s="2632"/>
      <c r="L161" s="2632"/>
      <c r="M161" s="2632"/>
      <c r="N161" s="2632"/>
      <c r="O161" s="2632"/>
      <c r="P161" s="2632"/>
      <c r="Q161" s="2632"/>
      <c r="R161" s="2632"/>
      <c r="S161" s="2632"/>
      <c r="T161" s="2632"/>
      <c r="U161" s="2632"/>
      <c r="V161" s="2632"/>
      <c r="W161" s="2632"/>
      <c r="X161" s="2632"/>
      <c r="Y161" s="2632"/>
      <c r="Z161" s="2632"/>
      <c r="AA161" s="2632"/>
      <c r="AB161" s="2632"/>
      <c r="AC161" s="2632"/>
      <c r="AD161" s="2632"/>
      <c r="AE161" s="2632"/>
      <c r="AF161" s="2632"/>
      <c r="AG161" s="2632"/>
      <c r="AH161" s="2632"/>
      <c r="AI161" s="2632"/>
      <c r="AJ161" s="2632"/>
      <c r="AK161" s="1180"/>
      <c r="AM161" s="539"/>
      <c r="AN161" s="535"/>
      <c r="AO161" s="476"/>
      <c r="AP161" s="489"/>
    </row>
    <row r="162" spans="1:42" s="536" customFormat="1" ht="12.75" customHeight="1">
      <c r="B162" s="2632"/>
      <c r="C162" s="2632"/>
      <c r="D162" s="2632"/>
      <c r="E162" s="2632"/>
      <c r="F162" s="2632"/>
      <c r="G162" s="2632"/>
      <c r="H162" s="2632"/>
      <c r="I162" s="2632"/>
      <c r="J162" s="2632"/>
      <c r="K162" s="2632"/>
      <c r="L162" s="2632"/>
      <c r="M162" s="2632"/>
      <c r="N162" s="2632"/>
      <c r="O162" s="2632"/>
      <c r="P162" s="2632"/>
      <c r="Q162" s="2632"/>
      <c r="R162" s="2632"/>
      <c r="S162" s="2632"/>
      <c r="T162" s="2632"/>
      <c r="U162" s="2632"/>
      <c r="V162" s="2632"/>
      <c r="W162" s="2632"/>
      <c r="X162" s="2632"/>
      <c r="Y162" s="2632"/>
      <c r="Z162" s="2632"/>
      <c r="AA162" s="2632"/>
      <c r="AB162" s="2632"/>
      <c r="AC162" s="2632"/>
      <c r="AD162" s="2632"/>
      <c r="AE162" s="2632"/>
      <c r="AF162" s="2632"/>
      <c r="AG162" s="2632"/>
      <c r="AH162" s="2632"/>
      <c r="AI162" s="2632"/>
      <c r="AJ162" s="2632"/>
      <c r="AK162" s="1180"/>
      <c r="AM162" s="539"/>
      <c r="AN162" s="535"/>
      <c r="AO162" s="476"/>
      <c r="AP162" s="489"/>
    </row>
    <row r="163" spans="1:42" s="536" customFormat="1" ht="12.75" customHeight="1">
      <c r="C163" s="2535" t="s">
        <v>2476</v>
      </c>
      <c r="D163" s="2535"/>
      <c r="E163" s="2535"/>
      <c r="F163" s="2535"/>
      <c r="G163" s="2535"/>
      <c r="H163" s="2535"/>
      <c r="I163" s="2535"/>
      <c r="J163" s="2535"/>
      <c r="K163" s="2535"/>
      <c r="L163" s="2535"/>
      <c r="M163" s="2535"/>
      <c r="N163" s="2535"/>
      <c r="O163" s="2535"/>
      <c r="P163" s="2535"/>
      <c r="Q163" s="2535"/>
      <c r="R163" s="2535"/>
      <c r="S163" s="2535"/>
      <c r="T163" s="2535"/>
      <c r="U163" s="2535"/>
      <c r="V163" s="2535"/>
      <c r="W163" s="2535"/>
      <c r="X163" s="2535"/>
      <c r="Y163" s="2535"/>
      <c r="Z163" s="2535"/>
      <c r="AA163" s="2535"/>
      <c r="AB163" s="2535"/>
      <c r="AC163" s="2535"/>
      <c r="AD163" s="2535"/>
      <c r="AE163" s="2535"/>
      <c r="AF163" s="2535"/>
      <c r="AG163" s="2535"/>
      <c r="AH163" s="2535"/>
      <c r="AI163" s="2535"/>
      <c r="AJ163" s="2535"/>
      <c r="AK163" s="1180"/>
      <c r="AM163" s="539"/>
      <c r="AN163" s="535"/>
      <c r="AO163" s="476"/>
      <c r="AP163" s="489"/>
    </row>
    <row r="164" spans="1:42" s="536" customFormat="1" ht="12.75" customHeight="1">
      <c r="B164" s="1180"/>
      <c r="C164" s="2470" t="s">
        <v>2474</v>
      </c>
      <c r="D164" s="2470"/>
      <c r="E164" s="2470"/>
      <c r="F164" s="2470"/>
      <c r="G164" s="2470"/>
      <c r="H164" s="2470"/>
      <c r="I164" s="2470"/>
      <c r="J164" s="2470"/>
      <c r="K164" s="2470"/>
      <c r="L164" s="2470"/>
      <c r="M164" s="2470"/>
      <c r="N164" s="2470"/>
      <c r="O164" s="2470"/>
      <c r="P164" s="2470"/>
      <c r="Q164" s="2470"/>
      <c r="R164" s="2470"/>
      <c r="S164" s="2470"/>
      <c r="T164" s="2470"/>
      <c r="U164" s="2470"/>
      <c r="V164" s="2470"/>
      <c r="W164" s="2470"/>
      <c r="X164" s="2470"/>
      <c r="Y164" s="2470"/>
      <c r="Z164" s="2470"/>
      <c r="AA164" s="1170"/>
      <c r="AB164" s="1170"/>
      <c r="AC164" s="1170"/>
      <c r="AD164" s="1170"/>
      <c r="AE164" s="1170"/>
      <c r="AF164" s="1170"/>
      <c r="AG164" s="1170"/>
      <c r="AH164" s="1170"/>
      <c r="AJ164" s="2472" t="s">
        <v>591</v>
      </c>
      <c r="AK164" s="2472"/>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1349</v>
      </c>
      <c r="AJ166" s="2475">
        <f>IF($AB$155="N/A",VLOOKUP($B$153,$AO$151:$AP$154,2,FALSE),VLOOKUP($B$158,$AO$156:$AP$158,2,FALSE))</f>
        <v>7</v>
      </c>
      <c r="AK166" s="2475"/>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1351</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4" t="s">
        <v>1352</v>
      </c>
      <c r="AG168" s="2444"/>
      <c r="AH168" s="2444"/>
      <c r="AI168" s="2444"/>
      <c r="AJ168" s="2444"/>
      <c r="AK168" s="2444"/>
      <c r="AL168" s="2444"/>
      <c r="AM168" s="603"/>
      <c r="AN168" s="598"/>
    </row>
    <row r="169" spans="1:42" s="550" customFormat="1" ht="12.75" customHeight="1">
      <c r="A169" s="536"/>
      <c r="B169" s="539" t="s">
        <v>1353</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71" t="s">
        <v>1350</v>
      </c>
      <c r="D170" s="2471"/>
      <c r="E170" s="2471"/>
      <c r="F170" s="2471"/>
      <c r="G170" s="2471"/>
      <c r="H170" s="2471"/>
      <c r="I170" s="2471"/>
      <c r="J170" s="2471"/>
      <c r="K170" s="2471"/>
      <c r="L170" s="2471"/>
      <c r="M170" s="2471"/>
      <c r="N170" s="2471"/>
      <c r="O170" s="2471"/>
      <c r="P170" s="2471"/>
      <c r="Q170" s="2471"/>
      <c r="R170" s="2471"/>
      <c r="S170" s="2471"/>
      <c r="T170" s="2471"/>
      <c r="U170" s="2471"/>
      <c r="V170" s="2471"/>
      <c r="W170" s="2471"/>
      <c r="X170" s="2471"/>
      <c r="Y170" s="2471"/>
      <c r="Z170" s="2471"/>
      <c r="AA170" s="2471"/>
      <c r="AB170" s="2471"/>
      <c r="AC170" s="2471"/>
      <c r="AD170" s="2471"/>
      <c r="AE170" s="2471"/>
      <c r="AF170" s="2471"/>
      <c r="AG170" s="2471"/>
      <c r="AH170" s="2471"/>
      <c r="AI170" s="2471"/>
      <c r="AJ170" s="536"/>
      <c r="AK170" s="536"/>
      <c r="AL170" s="536"/>
      <c r="AM170" s="603"/>
      <c r="AN170" s="597"/>
      <c r="AO170" s="476" t="s">
        <v>306</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1348</v>
      </c>
      <c r="AP171" s="599">
        <v>2</v>
      </c>
    </row>
    <row r="172" spans="1:42" s="550" customFormat="1" ht="12.75" customHeight="1">
      <c r="A172" s="536"/>
      <c r="B172" s="536"/>
      <c r="C172" s="539" t="s">
        <v>1355</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72" t="s">
        <v>591</v>
      </c>
      <c r="AG172" s="2472"/>
      <c r="AH172" s="536"/>
      <c r="AI172" s="536"/>
      <c r="AJ172" s="536"/>
      <c r="AK172" s="536"/>
      <c r="AL172" s="536"/>
      <c r="AM172" s="603"/>
      <c r="AN172" s="597"/>
      <c r="AO172" s="476" t="s">
        <v>1350</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2168</v>
      </c>
      <c r="AP173" s="599">
        <v>3</v>
      </c>
    </row>
    <row r="174" spans="1:42" s="550" customFormat="1" ht="12.75" customHeight="1">
      <c r="A174" s="536"/>
      <c r="B174" s="536"/>
      <c r="C174" s="2471" t="s">
        <v>1343</v>
      </c>
      <c r="D174" s="2471"/>
      <c r="E174" s="2471"/>
      <c r="F174" s="2471"/>
      <c r="G174" s="2471"/>
      <c r="H174" s="2471"/>
      <c r="I174" s="2471"/>
      <c r="J174" s="2471"/>
      <c r="K174" s="2471"/>
      <c r="L174" s="2471"/>
      <c r="M174" s="2471"/>
      <c r="N174" s="2471"/>
      <c r="O174" s="2471"/>
      <c r="P174" s="2471"/>
      <c r="Q174" s="2471"/>
      <c r="R174" s="2471"/>
      <c r="S174" s="2471"/>
      <c r="T174" s="2471"/>
      <c r="U174" s="2471"/>
      <c r="V174" s="2471"/>
      <c r="W174" s="2471"/>
      <c r="X174" s="2471"/>
      <c r="Y174" s="2471"/>
      <c r="Z174" s="2471"/>
      <c r="AA174" s="2471"/>
      <c r="AB174" s="2471"/>
      <c r="AC174" s="2471"/>
      <c r="AD174" s="2471"/>
      <c r="AE174" s="536"/>
      <c r="AF174" s="536"/>
      <c r="AG174" s="536"/>
      <c r="AH174" s="536"/>
      <c r="AI174" s="536"/>
      <c r="AJ174" s="536"/>
      <c r="AK174" s="536"/>
      <c r="AL174" s="536"/>
      <c r="AM174" s="603"/>
      <c r="AN174" s="597"/>
      <c r="AO174" s="602"/>
      <c r="AP174" s="599"/>
    </row>
    <row r="175" spans="1:42" s="550" customFormat="1" ht="12.75" customHeight="1">
      <c r="A175" s="536"/>
      <c r="B175" s="536"/>
      <c r="C175" s="539" t="s">
        <v>1347</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1357</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1343</v>
      </c>
      <c r="AP177" s="476"/>
    </row>
    <row r="178" spans="1:73" s="550" customFormat="1" ht="12.75" customHeight="1">
      <c r="A178" s="536"/>
      <c r="B178" s="536"/>
      <c r="C178" s="2473" t="str">
        <f>Application!AA335</f>
        <v xml:space="preserve">The Duncan Group </v>
      </c>
      <c r="D178" s="2473"/>
      <c r="E178" s="2473"/>
      <c r="F178" s="2473"/>
      <c r="G178" s="2473"/>
      <c r="H178" s="2473"/>
      <c r="I178" s="2473"/>
      <c r="J178" s="2473"/>
      <c r="K178" s="2473"/>
      <c r="L178" s="2473"/>
      <c r="M178" s="2473"/>
      <c r="N178" s="2473"/>
      <c r="O178" s="2473"/>
      <c r="P178" s="2473"/>
      <c r="Q178" s="2473"/>
      <c r="R178" s="2473"/>
      <c r="S178" s="2473"/>
      <c r="T178" s="2473"/>
      <c r="U178" s="2473"/>
      <c r="V178" s="2473"/>
      <c r="W178" s="2473"/>
      <c r="X178" s="2473"/>
      <c r="Y178" s="2473"/>
      <c r="Z178" s="2473"/>
      <c r="AA178" s="2473"/>
      <c r="AB178" s="2473"/>
      <c r="AC178" s="2473"/>
      <c r="AD178" s="2473"/>
      <c r="AE178" s="536"/>
      <c r="AF178" s="536"/>
      <c r="AG178" s="536"/>
      <c r="AH178" s="536"/>
      <c r="AI178" s="536"/>
      <c r="AJ178" s="536"/>
      <c r="AK178" s="536"/>
      <c r="AL178" s="536"/>
      <c r="AM178" s="603"/>
      <c r="AN178" s="597"/>
      <c r="AO178" s="476" t="s">
        <v>1354</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1356</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1358</v>
      </c>
      <c r="AJ180" s="2474">
        <f>IF($AF$172="N/A",VLOOKUP($C$170,$AO$170:$AP$173,2,FALSE),VLOOKUP($C$174,$AO$177:$AP$179,2,FALSE))</f>
        <v>3</v>
      </c>
      <c r="AK180" s="2474"/>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1359</v>
      </c>
      <c r="AK183" s="2432">
        <f>$AJ$166+$AJ$180</f>
        <v>10</v>
      </c>
      <c r="AL183" s="2433"/>
      <c r="AM183" s="2434"/>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1360</v>
      </c>
      <c r="AQ185" s="612">
        <v>0</v>
      </c>
    </row>
    <row r="186" spans="1:73" s="550" customFormat="1" ht="12.75" customHeight="1">
      <c r="A186" s="538" t="s">
        <v>1361</v>
      </c>
      <c r="B186" s="538" t="s">
        <v>1727</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09" t="s">
        <v>1314</v>
      </c>
      <c r="AF186" s="2409"/>
      <c r="AG186" s="2409"/>
      <c r="AH186" s="2409"/>
      <c r="AI186" s="2409"/>
      <c r="AJ186" s="2409"/>
      <c r="AK186" s="2409"/>
      <c r="AL186" s="591"/>
      <c r="AN186" s="597"/>
      <c r="AP186" s="550" t="s">
        <v>1041</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1362</v>
      </c>
      <c r="AQ187" s="550">
        <v>10</v>
      </c>
    </row>
    <row r="188" spans="1:73" s="550" customFormat="1" ht="12.75" customHeight="1">
      <c r="A188" s="536"/>
      <c r="B188" s="2469" t="s">
        <v>1041</v>
      </c>
      <c r="C188" s="2469"/>
      <c r="D188" s="2469"/>
      <c r="E188" s="2469"/>
      <c r="F188" s="2469"/>
      <c r="G188" s="2469"/>
      <c r="H188" s="2469"/>
      <c r="I188" s="2469"/>
      <c r="J188" s="2469"/>
      <c r="K188" s="2469"/>
      <c r="L188" s="2469"/>
      <c r="M188" s="2469"/>
      <c r="N188" s="2469"/>
      <c r="O188" s="2469"/>
      <c r="P188" s="2469"/>
      <c r="Q188" s="2469"/>
      <c r="R188" s="2469"/>
      <c r="S188" s="2469"/>
      <c r="T188" s="2469"/>
      <c r="U188" s="2469"/>
      <c r="V188" s="2469"/>
      <c r="W188" s="2469"/>
      <c r="X188" s="2469"/>
      <c r="Y188" s="2469"/>
      <c r="Z188" s="2469"/>
      <c r="AA188" s="2469"/>
      <c r="AB188" s="2469"/>
      <c r="AC188" s="2469"/>
      <c r="AD188" s="536"/>
      <c r="AE188" s="536"/>
      <c r="AF188" s="2444" t="s">
        <v>1363</v>
      </c>
      <c r="AG188" s="2444"/>
      <c r="AH188" s="2444"/>
      <c r="AI188" s="2444"/>
      <c r="AJ188" s="2444"/>
      <c r="AK188" s="2444"/>
      <c r="AL188" s="2444"/>
      <c r="AN188" s="597"/>
      <c r="AP188" s="550" t="s">
        <v>1043</v>
      </c>
      <c r="AQ188" s="550">
        <v>10</v>
      </c>
    </row>
    <row r="189" spans="1:73" s="550" customFormat="1" ht="12.75" customHeight="1">
      <c r="A189" s="536"/>
      <c r="B189" s="2470" t="s">
        <v>1726</v>
      </c>
      <c r="C189" s="2470"/>
      <c r="D189" s="2470"/>
      <c r="E189" s="2470"/>
      <c r="F189" s="2470"/>
      <c r="G189" s="2470"/>
      <c r="H189" s="2470"/>
      <c r="I189" s="2470"/>
      <c r="J189" s="2470"/>
      <c r="K189" s="2470"/>
      <c r="L189" s="2470"/>
      <c r="M189" s="2470"/>
      <c r="N189" s="2470"/>
      <c r="O189" s="2470"/>
      <c r="P189" s="2470"/>
      <c r="Q189" s="2470"/>
      <c r="R189" s="2470"/>
      <c r="S189" s="2470"/>
      <c r="T189" s="2445" t="s">
        <v>591</v>
      </c>
      <c r="U189" s="2445"/>
      <c r="V189" s="2445"/>
      <c r="W189" s="2445"/>
      <c r="X189" s="2445"/>
      <c r="Y189" s="2445"/>
      <c r="Z189" s="2445"/>
      <c r="AA189" s="2445"/>
      <c r="AB189" s="2445"/>
      <c r="AC189" s="2445"/>
      <c r="AD189" s="536"/>
      <c r="AE189" s="536"/>
      <c r="AF189" s="536"/>
      <c r="AG189" s="536"/>
      <c r="AH189" s="536"/>
      <c r="AI189" s="536"/>
      <c r="AJ189" s="543"/>
      <c r="AK189" s="595"/>
      <c r="AL189" s="595"/>
      <c r="AM189" s="595"/>
      <c r="AN189" s="597"/>
      <c r="AP189" s="550" t="s">
        <v>1364</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1367</v>
      </c>
      <c r="AQ190" s="550">
        <v>10</v>
      </c>
      <c r="AS190" s="550" t="s">
        <v>1365</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1366</v>
      </c>
      <c r="AK191" s="2479">
        <f>IF(AK84&gt;0,VLOOKUP($B$188,AP185:AQ191,2,FALSE),0)</f>
        <v>10</v>
      </c>
      <c r="AL191" s="2480"/>
      <c r="AM191" s="2481"/>
      <c r="AN191" s="535"/>
      <c r="AP191" s="550" t="s">
        <v>1369</v>
      </c>
      <c r="AQ191" s="550">
        <v>10</v>
      </c>
      <c r="AS191" s="550" t="s">
        <v>1368</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1370</v>
      </c>
      <c r="B194" s="538" t="s">
        <v>1371</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09" t="s">
        <v>1372</v>
      </c>
      <c r="AF194" s="2409"/>
      <c r="AG194" s="2409"/>
      <c r="AH194" s="2409"/>
      <c r="AI194" s="2409"/>
      <c r="AJ194" s="2409"/>
      <c r="AK194" s="2409"/>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1589</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1625</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6" t="s">
        <v>2751</v>
      </c>
      <c r="C199" s="2456"/>
      <c r="D199" s="2456"/>
      <c r="E199" s="2456"/>
      <c r="F199" s="2456"/>
      <c r="G199" s="2456"/>
      <c r="H199" s="2456"/>
      <c r="I199" s="2456"/>
      <c r="J199" s="2456"/>
      <c r="K199" s="2456"/>
      <c r="L199" s="2456"/>
      <c r="M199" s="2456"/>
      <c r="N199" s="2456"/>
      <c r="O199" s="2456"/>
      <c r="P199" s="2456"/>
      <c r="Q199" s="2456"/>
      <c r="R199" s="2456"/>
      <c r="S199" s="2456"/>
      <c r="T199" s="2456"/>
      <c r="U199" s="2456"/>
      <c r="V199" s="2456"/>
      <c r="W199" s="2456"/>
      <c r="X199" s="2456"/>
      <c r="Y199" s="2456"/>
      <c r="Z199" s="2456"/>
      <c r="AA199" s="2456"/>
      <c r="AB199" s="2456"/>
      <c r="AC199" s="846"/>
      <c r="AD199" s="2457">
        <f>Application!AM556</f>
        <v>13882199</v>
      </c>
      <c r="AE199" s="2457"/>
      <c r="AF199" s="2457"/>
      <c r="AG199" s="2457"/>
      <c r="AH199" s="2457"/>
      <c r="AI199" s="2457"/>
      <c r="AJ199" s="2457"/>
      <c r="AK199" s="610"/>
    </row>
    <row r="200" spans="1:40">
      <c r="A200" s="605"/>
      <c r="B200" s="2456" t="s">
        <v>2701</v>
      </c>
      <c r="C200" s="2456"/>
      <c r="D200" s="2456"/>
      <c r="E200" s="2456"/>
      <c r="F200" s="2456"/>
      <c r="G200" s="2456"/>
      <c r="H200" s="2456"/>
      <c r="I200" s="2456"/>
      <c r="J200" s="2456"/>
      <c r="K200" s="2456"/>
      <c r="L200" s="2456"/>
      <c r="M200" s="2456"/>
      <c r="N200" s="2456"/>
      <c r="O200" s="2456"/>
      <c r="P200" s="2456"/>
      <c r="Q200" s="2456"/>
      <c r="R200" s="2456"/>
      <c r="S200" s="2456"/>
      <c r="T200" s="2456"/>
      <c r="U200" s="2456"/>
      <c r="V200" s="2456"/>
      <c r="W200" s="2456"/>
      <c r="X200" s="2456"/>
      <c r="Y200" s="2456"/>
      <c r="Z200" s="2456"/>
      <c r="AA200" s="2456"/>
      <c r="AB200" s="2456"/>
      <c r="AC200" s="846"/>
      <c r="AD200" s="2457">
        <v>1800000</v>
      </c>
      <c r="AE200" s="2457"/>
      <c r="AF200" s="2457"/>
      <c r="AG200" s="2457"/>
      <c r="AH200" s="2457"/>
      <c r="AI200" s="2457"/>
      <c r="AJ200" s="2457"/>
      <c r="AK200" s="610"/>
    </row>
    <row r="201" spans="1:40">
      <c r="A201" s="605"/>
      <c r="B201" s="2456" t="s">
        <v>2700</v>
      </c>
      <c r="C201" s="2456"/>
      <c r="D201" s="2456"/>
      <c r="E201" s="2456"/>
      <c r="F201" s="2456"/>
      <c r="G201" s="2456"/>
      <c r="H201" s="2456"/>
      <c r="I201" s="2456"/>
      <c r="J201" s="2456"/>
      <c r="K201" s="2456"/>
      <c r="L201" s="2456"/>
      <c r="M201" s="2456"/>
      <c r="N201" s="2456"/>
      <c r="O201" s="2456"/>
      <c r="P201" s="2456"/>
      <c r="Q201" s="2456"/>
      <c r="R201" s="2456"/>
      <c r="S201" s="2456"/>
      <c r="T201" s="2456"/>
      <c r="U201" s="2456"/>
      <c r="V201" s="2456"/>
      <c r="W201" s="2456"/>
      <c r="X201" s="2456"/>
      <c r="Y201" s="2456"/>
      <c r="Z201" s="2456"/>
      <c r="AA201" s="2456"/>
      <c r="AB201" s="2456"/>
      <c r="AC201" s="846"/>
      <c r="AD201" s="2457">
        <v>1200000</v>
      </c>
      <c r="AE201" s="2457"/>
      <c r="AF201" s="2457"/>
      <c r="AG201" s="2457"/>
      <c r="AH201" s="2457"/>
      <c r="AI201" s="2457"/>
      <c r="AJ201" s="2457"/>
      <c r="AK201" s="610"/>
    </row>
    <row r="202" spans="1:40">
      <c r="A202" s="605"/>
      <c r="B202" s="2456"/>
      <c r="C202" s="2456"/>
      <c r="D202" s="2456"/>
      <c r="E202" s="2456"/>
      <c r="F202" s="2456"/>
      <c r="G202" s="2456"/>
      <c r="H202" s="2456"/>
      <c r="I202" s="2456"/>
      <c r="J202" s="2456"/>
      <c r="K202" s="2456"/>
      <c r="L202" s="2456"/>
      <c r="M202" s="2456"/>
      <c r="N202" s="2456"/>
      <c r="O202" s="2456"/>
      <c r="P202" s="2456"/>
      <c r="Q202" s="2456"/>
      <c r="R202" s="2456"/>
      <c r="S202" s="2456"/>
      <c r="T202" s="2456"/>
      <c r="U202" s="2456"/>
      <c r="V202" s="2456"/>
      <c r="W202" s="2456"/>
      <c r="X202" s="2456"/>
      <c r="Y202" s="2456"/>
      <c r="Z202" s="2456"/>
      <c r="AA202" s="2456"/>
      <c r="AB202" s="2456"/>
      <c r="AC202" s="846"/>
      <c r="AD202" s="2457"/>
      <c r="AE202" s="2457"/>
      <c r="AF202" s="2457"/>
      <c r="AG202" s="2457"/>
      <c r="AH202" s="2457"/>
      <c r="AI202" s="2457"/>
      <c r="AJ202" s="2457"/>
      <c r="AK202" s="610"/>
    </row>
    <row r="203" spans="1:40">
      <c r="A203" s="605"/>
      <c r="B203" s="2456"/>
      <c r="C203" s="2456"/>
      <c r="D203" s="2456"/>
      <c r="E203" s="2456"/>
      <c r="F203" s="2456"/>
      <c r="G203" s="2456"/>
      <c r="H203" s="2456"/>
      <c r="I203" s="2456"/>
      <c r="J203" s="2456"/>
      <c r="K203" s="2456"/>
      <c r="L203" s="2456"/>
      <c r="M203" s="2456"/>
      <c r="N203" s="2456"/>
      <c r="O203" s="2456"/>
      <c r="P203" s="2456"/>
      <c r="Q203" s="2456"/>
      <c r="R203" s="2456"/>
      <c r="S203" s="2456"/>
      <c r="T203" s="2456"/>
      <c r="U203" s="2456"/>
      <c r="V203" s="2456"/>
      <c r="W203" s="2456"/>
      <c r="X203" s="2456"/>
      <c r="Y203" s="2456"/>
      <c r="Z203" s="2456"/>
      <c r="AA203" s="2456"/>
      <c r="AB203" s="2456"/>
      <c r="AC203" s="846"/>
      <c r="AD203" s="2457"/>
      <c r="AE203" s="2457"/>
      <c r="AF203" s="2457"/>
      <c r="AG203" s="2457"/>
      <c r="AH203" s="2457"/>
      <c r="AI203" s="2457"/>
      <c r="AJ203" s="2457"/>
      <c r="AK203" s="610"/>
    </row>
    <row r="204" spans="1:40">
      <c r="A204" s="605"/>
      <c r="B204" s="2456"/>
      <c r="C204" s="2456"/>
      <c r="D204" s="2456"/>
      <c r="E204" s="2456"/>
      <c r="F204" s="2456"/>
      <c r="G204" s="2456"/>
      <c r="H204" s="2456"/>
      <c r="I204" s="2456"/>
      <c r="J204" s="2456"/>
      <c r="K204" s="2456"/>
      <c r="L204" s="2456"/>
      <c r="M204" s="2456"/>
      <c r="N204" s="2456"/>
      <c r="O204" s="2456"/>
      <c r="P204" s="2456"/>
      <c r="Q204" s="2456"/>
      <c r="R204" s="2456"/>
      <c r="S204" s="2456"/>
      <c r="T204" s="2456"/>
      <c r="U204" s="2456"/>
      <c r="V204" s="2456"/>
      <c r="W204" s="2456"/>
      <c r="X204" s="2456"/>
      <c r="Y204" s="2456"/>
      <c r="Z204" s="2456"/>
      <c r="AA204" s="2456"/>
      <c r="AB204" s="2456"/>
      <c r="AC204" s="846"/>
      <c r="AD204" s="2457"/>
      <c r="AE204" s="2457"/>
      <c r="AF204" s="2457"/>
      <c r="AG204" s="2457"/>
      <c r="AH204" s="2457"/>
      <c r="AI204" s="2457"/>
      <c r="AJ204" s="2457"/>
      <c r="AK204" s="610"/>
    </row>
    <row r="205" spans="1:40">
      <c r="A205" s="605"/>
      <c r="B205" s="2456"/>
      <c r="C205" s="2456"/>
      <c r="D205" s="2456"/>
      <c r="E205" s="2456"/>
      <c r="F205" s="2456"/>
      <c r="G205" s="2456"/>
      <c r="H205" s="2456"/>
      <c r="I205" s="2456"/>
      <c r="J205" s="2456"/>
      <c r="K205" s="2456"/>
      <c r="L205" s="2456"/>
      <c r="M205" s="2456"/>
      <c r="N205" s="2456"/>
      <c r="O205" s="2456"/>
      <c r="P205" s="2456"/>
      <c r="Q205" s="2456"/>
      <c r="R205" s="2456"/>
      <c r="S205" s="2456"/>
      <c r="T205" s="2456"/>
      <c r="U205" s="2456"/>
      <c r="V205" s="2456"/>
      <c r="W205" s="2456"/>
      <c r="X205" s="2456"/>
      <c r="Y205" s="2456"/>
      <c r="Z205" s="2456"/>
      <c r="AA205" s="2456"/>
      <c r="AB205" s="2456"/>
      <c r="AC205" s="846"/>
      <c r="AD205" s="2457"/>
      <c r="AE205" s="2457"/>
      <c r="AF205" s="2457"/>
      <c r="AG205" s="2457"/>
      <c r="AH205" s="2457"/>
      <c r="AI205" s="2457"/>
      <c r="AJ205" s="2457"/>
      <c r="AK205" s="610"/>
    </row>
    <row r="206" spans="1:40">
      <c r="A206" s="605"/>
      <c r="B206" s="2456"/>
      <c r="C206" s="2456"/>
      <c r="D206" s="2456"/>
      <c r="E206" s="2456"/>
      <c r="F206" s="2456"/>
      <c r="G206" s="2456"/>
      <c r="H206" s="2456"/>
      <c r="I206" s="2456"/>
      <c r="J206" s="2456"/>
      <c r="K206" s="2456"/>
      <c r="L206" s="2456"/>
      <c r="M206" s="2456"/>
      <c r="N206" s="2456"/>
      <c r="O206" s="2456"/>
      <c r="P206" s="2456"/>
      <c r="Q206" s="2456"/>
      <c r="R206" s="2456"/>
      <c r="S206" s="2456"/>
      <c r="T206" s="2456"/>
      <c r="U206" s="2456"/>
      <c r="V206" s="2456"/>
      <c r="W206" s="2456"/>
      <c r="X206" s="2456"/>
      <c r="Y206" s="2456"/>
      <c r="Z206" s="2456"/>
      <c r="AA206" s="2456"/>
      <c r="AB206" s="2456"/>
      <c r="AC206" s="846"/>
      <c r="AD206" s="2457"/>
      <c r="AE206" s="2457"/>
      <c r="AF206" s="2457"/>
      <c r="AG206" s="2457"/>
      <c r="AH206" s="2457"/>
      <c r="AI206" s="2457"/>
      <c r="AJ206" s="2457"/>
      <c r="AK206" s="610"/>
    </row>
    <row r="207" spans="1:40">
      <c r="A207" s="605"/>
      <c r="B207" s="2456"/>
      <c r="C207" s="2456"/>
      <c r="D207" s="2456"/>
      <c r="E207" s="2456"/>
      <c r="F207" s="2456"/>
      <c r="G207" s="2456"/>
      <c r="H207" s="2456"/>
      <c r="I207" s="2456"/>
      <c r="J207" s="2456"/>
      <c r="K207" s="2456"/>
      <c r="L207" s="2456"/>
      <c r="M207" s="2456"/>
      <c r="N207" s="2456"/>
      <c r="O207" s="2456"/>
      <c r="P207" s="2456"/>
      <c r="Q207" s="2456"/>
      <c r="R207" s="2456"/>
      <c r="S207" s="2456"/>
      <c r="T207" s="2456"/>
      <c r="U207" s="2456"/>
      <c r="V207" s="2456"/>
      <c r="W207" s="2456"/>
      <c r="X207" s="2456"/>
      <c r="Y207" s="2456"/>
      <c r="Z207" s="2456"/>
      <c r="AA207" s="2456"/>
      <c r="AB207" s="2456"/>
      <c r="AC207" s="846"/>
      <c r="AD207" s="2457"/>
      <c r="AE207" s="2457"/>
      <c r="AF207" s="2457"/>
      <c r="AG207" s="2457"/>
      <c r="AH207" s="2457"/>
      <c r="AI207" s="2457"/>
      <c r="AJ207" s="2457"/>
      <c r="AK207" s="610"/>
    </row>
    <row r="208" spans="1:40">
      <c r="A208" s="605"/>
      <c r="B208" s="2456"/>
      <c r="C208" s="2456"/>
      <c r="D208" s="2456"/>
      <c r="E208" s="2456"/>
      <c r="F208" s="2456"/>
      <c r="G208" s="2456"/>
      <c r="H208" s="2456"/>
      <c r="I208" s="2456"/>
      <c r="J208" s="2456"/>
      <c r="K208" s="2456"/>
      <c r="L208" s="2456"/>
      <c r="M208" s="2456"/>
      <c r="N208" s="2456"/>
      <c r="O208" s="2456"/>
      <c r="P208" s="2456"/>
      <c r="Q208" s="2456"/>
      <c r="R208" s="2456"/>
      <c r="S208" s="2456"/>
      <c r="T208" s="2456"/>
      <c r="U208" s="2456"/>
      <c r="V208" s="2456"/>
      <c r="W208" s="2456"/>
      <c r="X208" s="2456"/>
      <c r="Y208" s="2456"/>
      <c r="Z208" s="2456"/>
      <c r="AA208" s="2456"/>
      <c r="AB208" s="2456"/>
      <c r="AC208" s="846"/>
      <c r="AD208" s="2457"/>
      <c r="AE208" s="2457"/>
      <c r="AF208" s="2457"/>
      <c r="AG208" s="2457"/>
      <c r="AH208" s="2457"/>
      <c r="AI208" s="2457"/>
      <c r="AJ208" s="2457"/>
      <c r="AK208" s="610"/>
    </row>
    <row r="209" spans="1:37">
      <c r="A209" s="605"/>
      <c r="B209" s="2467" t="s">
        <v>1627</v>
      </c>
      <c r="C209" s="2467"/>
      <c r="D209" s="2467"/>
      <c r="E209" s="2467"/>
      <c r="F209" s="2467"/>
      <c r="G209" s="2467"/>
      <c r="H209" s="2467"/>
      <c r="I209" s="2467"/>
      <c r="J209" s="2467"/>
      <c r="K209" s="2467"/>
      <c r="L209" s="2467"/>
      <c r="M209" s="2467"/>
      <c r="N209" s="2467"/>
      <c r="O209" s="2467"/>
      <c r="P209" s="2467"/>
      <c r="Q209" s="2467"/>
      <c r="R209" s="2467"/>
      <c r="S209" s="2467"/>
      <c r="T209" s="2467"/>
      <c r="U209" s="2467"/>
      <c r="V209" s="2467"/>
      <c r="W209" s="2467"/>
      <c r="X209" s="2467"/>
      <c r="Y209" s="2467"/>
      <c r="Z209" s="2467"/>
      <c r="AA209" s="2467"/>
      <c r="AB209" s="2467"/>
      <c r="AC209" s="536"/>
      <c r="AD209" s="2486">
        <f>AB260</f>
        <v>0</v>
      </c>
      <c r="AE209" s="2486"/>
      <c r="AF209" s="2486"/>
      <c r="AG209" s="2486"/>
      <c r="AH209" s="2486"/>
      <c r="AI209" s="2486"/>
      <c r="AJ209" s="2486"/>
      <c r="AK209" s="610"/>
    </row>
    <row r="210" spans="1:37">
      <c r="A210" s="605"/>
      <c r="B210" s="2613" t="s">
        <v>1590</v>
      </c>
      <c r="C210" s="2613"/>
      <c r="D210" s="2613"/>
      <c r="E210" s="2613"/>
      <c r="F210" s="2613"/>
      <c r="G210" s="2613"/>
      <c r="H210" s="2613"/>
      <c r="I210" s="2613"/>
      <c r="J210" s="2613"/>
      <c r="K210" s="2613"/>
      <c r="L210" s="2613"/>
      <c r="M210" s="2613"/>
      <c r="N210" s="2613"/>
      <c r="O210" s="2613"/>
      <c r="P210" s="2613"/>
      <c r="Q210" s="2613"/>
      <c r="R210" s="2613"/>
      <c r="S210" s="2613"/>
      <c r="T210" s="2613"/>
      <c r="U210" s="2613"/>
      <c r="V210" s="2613"/>
      <c r="W210" s="2613"/>
      <c r="X210" s="2613"/>
      <c r="Y210" s="2613"/>
      <c r="Z210" s="2613"/>
      <c r="AA210" s="2613"/>
      <c r="AB210" s="2613"/>
      <c r="AC210" s="846"/>
      <c r="AD210" s="2487">
        <f>'Sources and Uses Budget'!B15</f>
        <v>0</v>
      </c>
      <c r="AE210" s="2487"/>
      <c r="AF210" s="2487"/>
      <c r="AG210" s="2487"/>
      <c r="AH210" s="2487"/>
      <c r="AI210" s="2487"/>
      <c r="AJ210" s="2487"/>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899</v>
      </c>
      <c r="AC211" s="536"/>
      <c r="AD211" s="2491">
        <f>SUM(AD199:AJ209)-AD210</f>
        <v>16882199</v>
      </c>
      <c r="AE211" s="2491"/>
      <c r="AF211" s="2491"/>
      <c r="AG211" s="2491"/>
      <c r="AH211" s="2491"/>
      <c r="AI211" s="2491"/>
      <c r="AJ211" s="2491"/>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1595</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1626</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1597</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1598</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2023</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1599</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1600</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1636</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60" t="s">
        <v>1607</v>
      </c>
      <c r="J222" s="2460"/>
      <c r="K222" s="2460"/>
      <c r="L222" s="536"/>
      <c r="M222" s="536"/>
      <c r="N222" s="536"/>
      <c r="O222" s="536"/>
      <c r="P222" s="536"/>
      <c r="Q222" s="536"/>
      <c r="R222" s="536"/>
      <c r="S222" s="536"/>
      <c r="T222" s="2648" t="s">
        <v>1601</v>
      </c>
      <c r="U222" s="2648"/>
      <c r="V222" s="2648"/>
      <c r="W222" s="2648"/>
      <c r="X222" s="2648"/>
      <c r="Y222" s="2648"/>
      <c r="Z222" s="849"/>
      <c r="AA222" s="489"/>
      <c r="AB222" s="2455" t="s">
        <v>1602</v>
      </c>
      <c r="AC222" s="2455"/>
      <c r="AD222" s="2455"/>
      <c r="AE222" s="2455"/>
      <c r="AF222" s="2455"/>
      <c r="AG222" s="2455"/>
      <c r="AH222" s="827"/>
      <c r="AI222" s="827"/>
      <c r="AJ222" s="827"/>
      <c r="AK222" s="610"/>
    </row>
    <row r="223" spans="1:37">
      <c r="A223" s="605"/>
      <c r="B223" s="2458" t="s">
        <v>1587</v>
      </c>
      <c r="C223" s="2458"/>
      <c r="D223" s="2458"/>
      <c r="E223" s="2458"/>
      <c r="F223" s="2458"/>
      <c r="G223" s="2458"/>
      <c r="I223" s="2459" t="s">
        <v>1608</v>
      </c>
      <c r="J223" s="2459"/>
      <c r="K223" s="2459"/>
      <c r="L223" s="1008"/>
      <c r="N223" s="2465" t="s">
        <v>1603</v>
      </c>
      <c r="O223" s="2465"/>
      <c r="P223" s="2465"/>
      <c r="Q223" s="2465"/>
      <c r="R223" s="2465"/>
      <c r="T223" s="2465" t="s">
        <v>1604</v>
      </c>
      <c r="U223" s="2465"/>
      <c r="V223" s="2465"/>
      <c r="W223" s="2465"/>
      <c r="X223" s="2465"/>
      <c r="Y223" s="2465"/>
      <c r="Z223" s="850"/>
      <c r="AA223" s="489"/>
      <c r="AB223" s="2602" t="s">
        <v>1605</v>
      </c>
      <c r="AC223" s="2602"/>
      <c r="AD223" s="2602"/>
      <c r="AE223" s="2602"/>
      <c r="AF223" s="2602"/>
      <c r="AG223" s="2602"/>
      <c r="AH223" s="827"/>
      <c r="AI223" s="827"/>
      <c r="AJ223" s="827"/>
      <c r="AK223" s="610"/>
    </row>
    <row r="224" spans="1:37">
      <c r="A224" s="605"/>
      <c r="B224" s="2462" t="s">
        <v>1184</v>
      </c>
      <c r="C224" s="2462"/>
      <c r="D224" s="2462"/>
      <c r="E224" s="2462"/>
      <c r="F224" s="2462"/>
      <c r="G224" s="2462"/>
      <c r="H224" s="852"/>
      <c r="I224" s="2461"/>
      <c r="J224" s="2461"/>
      <c r="K224" s="2461"/>
      <c r="L224" s="1008"/>
      <c r="N224" s="2466"/>
      <c r="O224" s="2466"/>
      <c r="P224" s="2466"/>
      <c r="Q224" s="2466"/>
      <c r="R224" s="2466"/>
      <c r="T224" s="2614"/>
      <c r="U224" s="2614"/>
      <c r="V224" s="2614"/>
      <c r="W224" s="2614"/>
      <c r="X224" s="2614"/>
      <c r="Y224" s="2614"/>
      <c r="Z224" s="851"/>
      <c r="AA224" s="851"/>
      <c r="AB224" s="2463">
        <f t="shared" ref="AB224:AB233" si="0">MAX(($T224-$N224)*$I224*12,0)</f>
        <v>0</v>
      </c>
      <c r="AC224" s="2463"/>
      <c r="AD224" s="2463"/>
      <c r="AE224" s="2463"/>
      <c r="AF224" s="2463"/>
      <c r="AG224" s="2463"/>
      <c r="AH224" s="827"/>
      <c r="AI224" s="827"/>
      <c r="AJ224" s="827"/>
      <c r="AK224" s="610"/>
    </row>
    <row r="225" spans="1:37">
      <c r="A225" s="605"/>
      <c r="B225" s="2462" t="s">
        <v>1184</v>
      </c>
      <c r="C225" s="2462"/>
      <c r="D225" s="2462"/>
      <c r="E225" s="2462"/>
      <c r="F225" s="2462"/>
      <c r="G225" s="2462"/>
      <c r="I225" s="2461"/>
      <c r="J225" s="2461"/>
      <c r="K225" s="2461"/>
      <c r="L225" s="1008"/>
      <c r="N225" s="2466"/>
      <c r="O225" s="2466"/>
      <c r="P225" s="2466"/>
      <c r="Q225" s="2466"/>
      <c r="R225" s="2466"/>
      <c r="T225" s="2614"/>
      <c r="U225" s="2614"/>
      <c r="V225" s="2614"/>
      <c r="W225" s="2614"/>
      <c r="X225" s="2614"/>
      <c r="Y225" s="2614"/>
      <c r="Z225" s="851"/>
      <c r="AA225" s="851"/>
      <c r="AB225" s="2463">
        <f t="shared" si="0"/>
        <v>0</v>
      </c>
      <c r="AC225" s="2463"/>
      <c r="AD225" s="2463"/>
      <c r="AE225" s="2463"/>
      <c r="AF225" s="2463"/>
      <c r="AG225" s="2463"/>
      <c r="AH225" s="827"/>
      <c r="AI225" s="827"/>
      <c r="AJ225" s="827"/>
      <c r="AK225" s="610"/>
    </row>
    <row r="226" spans="1:37">
      <c r="A226" s="605"/>
      <c r="B226" s="2462" t="s">
        <v>1184</v>
      </c>
      <c r="C226" s="2462"/>
      <c r="D226" s="2462"/>
      <c r="E226" s="2462"/>
      <c r="F226" s="2462"/>
      <c r="G226" s="2462"/>
      <c r="I226" s="2461"/>
      <c r="J226" s="2461"/>
      <c r="K226" s="2461"/>
      <c r="L226" s="1008"/>
      <c r="N226" s="2466"/>
      <c r="O226" s="2466"/>
      <c r="P226" s="2466"/>
      <c r="Q226" s="2466"/>
      <c r="R226" s="2466"/>
      <c r="T226" s="2614"/>
      <c r="U226" s="2614"/>
      <c r="V226" s="2614"/>
      <c r="W226" s="2614"/>
      <c r="X226" s="2614"/>
      <c r="Y226" s="2614"/>
      <c r="Z226" s="851"/>
      <c r="AA226" s="851"/>
      <c r="AB226" s="2463">
        <f t="shared" si="0"/>
        <v>0</v>
      </c>
      <c r="AC226" s="2463"/>
      <c r="AD226" s="2463"/>
      <c r="AE226" s="2463"/>
      <c r="AF226" s="2463"/>
      <c r="AG226" s="2463"/>
      <c r="AH226" s="827"/>
      <c r="AI226" s="827"/>
      <c r="AJ226" s="827"/>
      <c r="AK226" s="610"/>
    </row>
    <row r="227" spans="1:37">
      <c r="A227" s="605"/>
      <c r="B227" s="2462" t="s">
        <v>1184</v>
      </c>
      <c r="C227" s="2462"/>
      <c r="D227" s="2462"/>
      <c r="E227" s="2462"/>
      <c r="F227" s="2462"/>
      <c r="G227" s="2462"/>
      <c r="I227" s="2461"/>
      <c r="J227" s="2461"/>
      <c r="K227" s="2461"/>
      <c r="L227" s="1008"/>
      <c r="N227" s="2466"/>
      <c r="O227" s="2466"/>
      <c r="P227" s="2466"/>
      <c r="Q227" s="2466"/>
      <c r="R227" s="2466"/>
      <c r="T227" s="2614"/>
      <c r="U227" s="2614"/>
      <c r="V227" s="2614"/>
      <c r="W227" s="2614"/>
      <c r="X227" s="2614"/>
      <c r="Y227" s="2614"/>
      <c r="Z227" s="851"/>
      <c r="AA227" s="851"/>
      <c r="AB227" s="2463">
        <f t="shared" si="0"/>
        <v>0</v>
      </c>
      <c r="AC227" s="2463"/>
      <c r="AD227" s="2463"/>
      <c r="AE227" s="2463"/>
      <c r="AF227" s="2463"/>
      <c r="AG227" s="2463"/>
      <c r="AH227" s="827"/>
      <c r="AI227" s="827"/>
      <c r="AJ227" s="827"/>
      <c r="AK227" s="610"/>
    </row>
    <row r="228" spans="1:37">
      <c r="A228" s="605"/>
      <c r="B228" s="2462" t="s">
        <v>1184</v>
      </c>
      <c r="C228" s="2462"/>
      <c r="D228" s="2462"/>
      <c r="E228" s="2462"/>
      <c r="F228" s="2462"/>
      <c r="G228" s="2462"/>
      <c r="I228" s="2461"/>
      <c r="J228" s="2461"/>
      <c r="K228" s="2461"/>
      <c r="L228" s="1015"/>
      <c r="N228" s="2466"/>
      <c r="O228" s="2466"/>
      <c r="P228" s="2466"/>
      <c r="Q228" s="2466"/>
      <c r="R228" s="2466"/>
      <c r="T228" s="2614"/>
      <c r="U228" s="2614"/>
      <c r="V228" s="2614"/>
      <c r="W228" s="2614"/>
      <c r="X228" s="2614"/>
      <c r="Y228" s="2614"/>
      <c r="Z228" s="851"/>
      <c r="AA228" s="851"/>
      <c r="AB228" s="2463">
        <f t="shared" si="0"/>
        <v>0</v>
      </c>
      <c r="AC228" s="2463"/>
      <c r="AD228" s="2463"/>
      <c r="AE228" s="2463"/>
      <c r="AF228" s="2463"/>
      <c r="AG228" s="2463"/>
      <c r="AH228" s="827"/>
      <c r="AI228" s="827"/>
      <c r="AJ228" s="827"/>
      <c r="AK228" s="610"/>
    </row>
    <row r="229" spans="1:37">
      <c r="A229" s="605"/>
      <c r="B229" s="2462" t="s">
        <v>1184</v>
      </c>
      <c r="C229" s="2462"/>
      <c r="D229" s="2462"/>
      <c r="E229" s="2462"/>
      <c r="F229" s="2462"/>
      <c r="G229" s="2462"/>
      <c r="I229" s="2461"/>
      <c r="J229" s="2461"/>
      <c r="K229" s="2461"/>
      <c r="L229" s="1015"/>
      <c r="N229" s="2466"/>
      <c r="O229" s="2466"/>
      <c r="P229" s="2466"/>
      <c r="Q229" s="2466"/>
      <c r="R229" s="2466"/>
      <c r="T229" s="2614"/>
      <c r="U229" s="2614"/>
      <c r="V229" s="2614"/>
      <c r="W229" s="2614"/>
      <c r="X229" s="2614"/>
      <c r="Y229" s="2614"/>
      <c r="Z229" s="851"/>
      <c r="AA229" s="851"/>
      <c r="AB229" s="2463">
        <f t="shared" si="0"/>
        <v>0</v>
      </c>
      <c r="AC229" s="2463"/>
      <c r="AD229" s="2463"/>
      <c r="AE229" s="2463"/>
      <c r="AF229" s="2463"/>
      <c r="AG229" s="2463"/>
      <c r="AH229" s="827"/>
      <c r="AI229" s="827"/>
      <c r="AJ229" s="827"/>
      <c r="AK229" s="610"/>
    </row>
    <row r="230" spans="1:37">
      <c r="A230" s="605"/>
      <c r="B230" s="2462" t="s">
        <v>1184</v>
      </c>
      <c r="C230" s="2462"/>
      <c r="D230" s="2462"/>
      <c r="E230" s="2462"/>
      <c r="F230" s="2462"/>
      <c r="G230" s="2462"/>
      <c r="I230" s="2461"/>
      <c r="J230" s="2461"/>
      <c r="K230" s="2461"/>
      <c r="L230" s="1015"/>
      <c r="N230" s="2466"/>
      <c r="O230" s="2466"/>
      <c r="P230" s="2466"/>
      <c r="Q230" s="2466"/>
      <c r="R230" s="2466"/>
      <c r="T230" s="2614"/>
      <c r="U230" s="2614"/>
      <c r="V230" s="2614"/>
      <c r="W230" s="2614"/>
      <c r="X230" s="2614"/>
      <c r="Y230" s="2614"/>
      <c r="Z230" s="851"/>
      <c r="AA230" s="851"/>
      <c r="AB230" s="2463">
        <f t="shared" si="0"/>
        <v>0</v>
      </c>
      <c r="AC230" s="2463"/>
      <c r="AD230" s="2463"/>
      <c r="AE230" s="2463"/>
      <c r="AF230" s="2463"/>
      <c r="AG230" s="2463"/>
      <c r="AH230" s="827"/>
      <c r="AI230" s="827"/>
      <c r="AJ230" s="827"/>
      <c r="AK230" s="610"/>
    </row>
    <row r="231" spans="1:37">
      <c r="A231" s="605"/>
      <c r="B231" s="2462" t="s">
        <v>1184</v>
      </c>
      <c r="C231" s="2462"/>
      <c r="D231" s="2462"/>
      <c r="E231" s="2462"/>
      <c r="F231" s="2462"/>
      <c r="G231" s="2462"/>
      <c r="I231" s="2461"/>
      <c r="J231" s="2461"/>
      <c r="K231" s="2461"/>
      <c r="L231" s="1015"/>
      <c r="N231" s="2466"/>
      <c r="O231" s="2466"/>
      <c r="P231" s="2466"/>
      <c r="Q231" s="2466"/>
      <c r="R231" s="2466"/>
      <c r="T231" s="2614"/>
      <c r="U231" s="2614"/>
      <c r="V231" s="2614"/>
      <c r="W231" s="2614"/>
      <c r="X231" s="2614"/>
      <c r="Y231" s="2614"/>
      <c r="Z231" s="851"/>
      <c r="AA231" s="851"/>
      <c r="AB231" s="2463">
        <f t="shared" si="0"/>
        <v>0</v>
      </c>
      <c r="AC231" s="2463"/>
      <c r="AD231" s="2463"/>
      <c r="AE231" s="2463"/>
      <c r="AF231" s="2463"/>
      <c r="AG231" s="2463"/>
      <c r="AH231" s="827"/>
      <c r="AI231" s="827"/>
      <c r="AJ231" s="827"/>
      <c r="AK231" s="610"/>
    </row>
    <row r="232" spans="1:37">
      <c r="A232" s="605"/>
      <c r="B232" s="2462" t="s">
        <v>1184</v>
      </c>
      <c r="C232" s="2462"/>
      <c r="D232" s="2462"/>
      <c r="E232" s="2462"/>
      <c r="F232" s="2462"/>
      <c r="G232" s="2462"/>
      <c r="I232" s="2461"/>
      <c r="J232" s="2461"/>
      <c r="K232" s="2461"/>
      <c r="L232" s="1015"/>
      <c r="N232" s="2466"/>
      <c r="O232" s="2466"/>
      <c r="P232" s="2466"/>
      <c r="Q232" s="2466"/>
      <c r="R232" s="2466"/>
      <c r="T232" s="2614"/>
      <c r="U232" s="2614"/>
      <c r="V232" s="2614"/>
      <c r="W232" s="2614"/>
      <c r="X232" s="2614"/>
      <c r="Y232" s="2614"/>
      <c r="Z232" s="851"/>
      <c r="AA232" s="851"/>
      <c r="AB232" s="2463">
        <f t="shared" si="0"/>
        <v>0</v>
      </c>
      <c r="AC232" s="2463"/>
      <c r="AD232" s="2463"/>
      <c r="AE232" s="2463"/>
      <c r="AF232" s="2463"/>
      <c r="AG232" s="2463"/>
      <c r="AH232" s="827"/>
      <c r="AI232" s="827"/>
      <c r="AJ232" s="827"/>
      <c r="AK232" s="610"/>
    </row>
    <row r="233" spans="1:37">
      <c r="A233" s="605"/>
      <c r="B233" s="2462" t="s">
        <v>1184</v>
      </c>
      <c r="C233" s="2462"/>
      <c r="D233" s="2462"/>
      <c r="E233" s="2462"/>
      <c r="F233" s="2462"/>
      <c r="G233" s="2462"/>
      <c r="I233" s="2464"/>
      <c r="J233" s="2464"/>
      <c r="K233" s="2464"/>
      <c r="L233" s="1015"/>
      <c r="N233" s="2466"/>
      <c r="O233" s="2466"/>
      <c r="P233" s="2466"/>
      <c r="Q233" s="2466"/>
      <c r="R233" s="2466"/>
      <c r="T233" s="2614"/>
      <c r="U233" s="2614"/>
      <c r="V233" s="2614"/>
      <c r="W233" s="2614"/>
      <c r="X233" s="2614"/>
      <c r="Y233" s="2614"/>
      <c r="Z233" s="851"/>
      <c r="AA233" s="851"/>
      <c r="AB233" s="2612">
        <f t="shared" si="0"/>
        <v>0</v>
      </c>
      <c r="AC233" s="2612"/>
      <c r="AD233" s="2612"/>
      <c r="AE233" s="2612"/>
      <c r="AF233" s="2612"/>
      <c r="AG233" s="2612"/>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1606</v>
      </c>
      <c r="AA234" s="853"/>
      <c r="AB234" s="2463">
        <f>SUM(AB224:AB233)</f>
        <v>0</v>
      </c>
      <c r="AC234" s="2463"/>
      <c r="AD234" s="2463"/>
      <c r="AE234" s="2463"/>
      <c r="AF234" s="2463"/>
      <c r="AG234" s="2463"/>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1596</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1624</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1622</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1616</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5"/>
      <c r="AC240" s="2615"/>
      <c r="AD240" s="2615"/>
      <c r="AE240" s="2615"/>
      <c r="AF240" s="2615"/>
      <c r="AG240" s="2615"/>
      <c r="AH240" s="610"/>
      <c r="AI240" s="610"/>
      <c r="AJ240" s="610"/>
      <c r="AK240" s="610"/>
    </row>
    <row r="241" spans="1:37">
      <c r="A241" s="605"/>
      <c r="B241" s="837" t="s">
        <v>1621</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1623</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1617</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5"/>
      <c r="AC243" s="2615"/>
      <c r="AD243" s="2615"/>
      <c r="AE243" s="2615"/>
      <c r="AF243" s="2615"/>
      <c r="AG243" s="2615"/>
      <c r="AH243" s="610"/>
      <c r="AI243" s="610"/>
      <c r="AJ243" s="610"/>
      <c r="AK243" s="610"/>
    </row>
    <row r="244" spans="1:37">
      <c r="A244" s="605"/>
      <c r="B244" s="838" t="s">
        <v>1618</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7"/>
      <c r="AC244" s="2647"/>
      <c r="AD244" s="2647"/>
      <c r="AE244" s="2647"/>
      <c r="AF244" s="2647"/>
      <c r="AG244" s="2647"/>
      <c r="AH244" s="610"/>
      <c r="AI244" s="610"/>
      <c r="AJ244" s="610"/>
      <c r="AK244" s="610"/>
    </row>
    <row r="245" spans="1:37">
      <c r="A245" s="605"/>
      <c r="B245" s="838" t="s">
        <v>1619</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29">
        <f>IFERROR(AB243/AB244,0)</f>
        <v>0</v>
      </c>
      <c r="AC245" s="2629"/>
      <c r="AD245" s="2629"/>
      <c r="AE245" s="2629"/>
      <c r="AF245" s="2629"/>
      <c r="AG245" s="2629"/>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1620</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12">
        <f>MAX(AB240,AB245)</f>
        <v>0</v>
      </c>
      <c r="AC247" s="2612"/>
      <c r="AD247" s="2612"/>
      <c r="AE247" s="2612"/>
      <c r="AF247" s="2612"/>
      <c r="AG247" s="2612"/>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1609</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63">
        <f>AB234+AB247</f>
        <v>0</v>
      </c>
      <c r="AC250" s="2463"/>
      <c r="AD250" s="2463"/>
      <c r="AE250" s="2463"/>
      <c r="AF250" s="2463"/>
      <c r="AG250" s="2463"/>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5">
        <v>0.05</v>
      </c>
      <c r="AC251" s="2495"/>
      <c r="AD251" s="2495"/>
      <c r="AE251" s="2495"/>
      <c r="AF251" s="2495"/>
      <c r="AG251" s="2495"/>
      <c r="AH251" s="610"/>
      <c r="AI251" s="610"/>
      <c r="AJ251" s="610"/>
      <c r="AK251" s="610"/>
    </row>
    <row r="252" spans="1:37">
      <c r="A252" s="605"/>
      <c r="B252" s="476" t="s">
        <v>1610</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6">
        <f>AB250-(AB250*AB251)</f>
        <v>0</v>
      </c>
      <c r="AC252" s="2496"/>
      <c r="AD252" s="2496"/>
      <c r="AE252" s="2496"/>
      <c r="AF252" s="2496"/>
      <c r="AG252" s="2496"/>
      <c r="AH252" s="610"/>
      <c r="AI252" s="610"/>
      <c r="AJ252" s="610"/>
      <c r="AK252" s="610"/>
    </row>
    <row r="253" spans="1:37">
      <c r="A253" s="605"/>
      <c r="B253" s="476" t="s">
        <v>1611</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1612</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63">
        <f>AB252/AB258</f>
        <v>0</v>
      </c>
      <c r="AC254" s="2463"/>
      <c r="AD254" s="2463"/>
      <c r="AE254" s="2463"/>
      <c r="AF254" s="2463"/>
      <c r="AG254" s="2463"/>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1613</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5">
        <v>15</v>
      </c>
      <c r="AC256" s="2455"/>
      <c r="AD256" s="2455"/>
      <c r="AE256" s="2455"/>
      <c r="AF256" s="2455"/>
      <c r="AG256" s="2455"/>
      <c r="AH256" s="610"/>
      <c r="AI256" s="610"/>
      <c r="AJ256" s="610"/>
      <c r="AK256" s="610"/>
    </row>
    <row r="257" spans="1:37">
      <c r="A257" s="605"/>
      <c r="B257" s="476" t="s">
        <v>1614</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7">
        <v>0.04</v>
      </c>
      <c r="AC257" s="2497"/>
      <c r="AD257" s="2497"/>
      <c r="AE257" s="2497"/>
      <c r="AF257" s="2497"/>
      <c r="AG257" s="2497"/>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8">
        <v>1.1499999999999999</v>
      </c>
      <c r="AC258" s="2468"/>
      <c r="AD258" s="2468"/>
      <c r="AE258" s="2468"/>
      <c r="AF258" s="2468"/>
      <c r="AG258" s="2468"/>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1615</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8">
        <f>PV(AB257/12,AB256*12,-AB254/12, ,0)</f>
        <v>0</v>
      </c>
      <c r="AC260" s="2489"/>
      <c r="AD260" s="2489"/>
      <c r="AE260" s="2489"/>
      <c r="AF260" s="2489"/>
      <c r="AG260" s="2490"/>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1591</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1594</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1593</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1592</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92">
        <f>IFERROR(('Sources and Uses Budget'!D105/'Sources and Uses Budget'!B105),0)</f>
        <v>0</v>
      </c>
      <c r="AC266" s="2493"/>
      <c r="AD266" s="2493"/>
      <c r="AE266" s="2493"/>
      <c r="AF266" s="2493"/>
      <c r="AG266" s="2494"/>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1373</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82">
        <f>AD211*(1-AB266)</f>
        <v>16882199</v>
      </c>
      <c r="AH268" s="2482"/>
      <c r="AI268" s="2482"/>
      <c r="AJ268" s="2482"/>
      <c r="AK268" s="2482"/>
    </row>
    <row r="269" spans="1:37">
      <c r="A269" s="622"/>
      <c r="B269" s="625" t="s">
        <v>1374</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82">
        <f>'Sources and Uses Budget'!C105</f>
        <v>40811619</v>
      </c>
      <c r="AH269" s="2482"/>
      <c r="AI269" s="2482"/>
      <c r="AJ269" s="2482"/>
      <c r="AK269" s="2482"/>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83">
        <f>ROUNDDOWN(IF(AND(C292="Yes",AK84=10),((AG268*2)/AG269),AG268/AG269),2)</f>
        <v>0.41</v>
      </c>
      <c r="AH270" s="2483"/>
      <c r="AI270" s="2483"/>
      <c r="AJ270" s="2483"/>
      <c r="AK270" s="2483"/>
    </row>
    <row r="271" spans="1:37">
      <c r="A271" s="622"/>
      <c r="B271" s="978" t="s">
        <v>1741</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1375</v>
      </c>
      <c r="AK273" s="2484">
        <f>IFERROR(IF(AG270=0,0,IF((AG270*100)&gt;8,8,(AG270*100))),0)</f>
        <v>8</v>
      </c>
      <c r="AL273" s="2484"/>
      <c r="AM273" s="2485"/>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1376</v>
      </c>
      <c r="B276" s="538" t="s">
        <v>1377</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1314</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76" t="s">
        <v>545</v>
      </c>
      <c r="D278" s="2476"/>
      <c r="E278" s="547"/>
      <c r="F278" s="2633" t="s">
        <v>2024</v>
      </c>
      <c r="G278" s="2634"/>
      <c r="H278" s="2634"/>
      <c r="I278" s="2634"/>
      <c r="J278" s="2634"/>
      <c r="K278" s="2634"/>
      <c r="L278" s="2634"/>
      <c r="M278" s="2634"/>
      <c r="N278" s="2634"/>
      <c r="O278" s="2634"/>
      <c r="P278" s="2634"/>
      <c r="Q278" s="2634"/>
      <c r="R278" s="2634"/>
      <c r="S278" s="2634"/>
      <c r="T278" s="2634"/>
      <c r="U278" s="2634"/>
      <c r="V278" s="2634"/>
      <c r="W278" s="2634"/>
      <c r="X278" s="2634"/>
      <c r="Y278" s="2634"/>
      <c r="Z278" s="2634"/>
      <c r="AA278" s="2634"/>
      <c r="AB278" s="2634"/>
      <c r="AC278" s="2634"/>
      <c r="AD278" s="2635"/>
      <c r="AE278" s="550"/>
      <c r="AF278" s="635"/>
      <c r="AG278" s="2477" t="s">
        <v>1363</v>
      </c>
      <c r="AH278" s="2477"/>
      <c r="AI278" s="2477"/>
      <c r="AJ278" s="2477"/>
      <c r="AK278" s="550"/>
      <c r="AL278" s="550"/>
      <c r="AM278" s="550"/>
      <c r="AO278" s="550"/>
    </row>
    <row r="279" spans="1:52" ht="13.7" customHeight="1">
      <c r="A279" s="550"/>
      <c r="B279" s="596"/>
      <c r="C279" s="636"/>
      <c r="D279" s="550"/>
      <c r="E279" s="547"/>
      <c r="F279" s="2636"/>
      <c r="G279" s="2637"/>
      <c r="H279" s="2637"/>
      <c r="I279" s="2637"/>
      <c r="J279" s="2637"/>
      <c r="K279" s="2637"/>
      <c r="L279" s="2637"/>
      <c r="M279" s="2637"/>
      <c r="N279" s="2637"/>
      <c r="O279" s="2637"/>
      <c r="P279" s="2637"/>
      <c r="Q279" s="2637"/>
      <c r="R279" s="2637"/>
      <c r="S279" s="2637"/>
      <c r="T279" s="2637"/>
      <c r="U279" s="2637"/>
      <c r="V279" s="2637"/>
      <c r="W279" s="2637"/>
      <c r="X279" s="2637"/>
      <c r="Y279" s="2637"/>
      <c r="Z279" s="2637"/>
      <c r="AA279" s="2637"/>
      <c r="AB279" s="2637"/>
      <c r="AC279" s="2637"/>
      <c r="AD279" s="2638"/>
      <c r="AE279" s="550"/>
      <c r="AF279" s="635"/>
      <c r="AG279" s="635"/>
      <c r="AH279" s="635"/>
      <c r="AI279" s="635"/>
      <c r="AJ279" s="550"/>
      <c r="AK279" s="550"/>
      <c r="AL279" s="550"/>
      <c r="AM279" s="550"/>
      <c r="AO279" s="550"/>
    </row>
    <row r="280" spans="1:52">
      <c r="A280" s="550"/>
      <c r="B280" s="596"/>
      <c r="C280" s="636"/>
      <c r="D280" s="550"/>
      <c r="E280" s="547"/>
      <c r="F280" s="2636"/>
      <c r="G280" s="2637"/>
      <c r="H280" s="2637"/>
      <c r="I280" s="2637"/>
      <c r="J280" s="2637"/>
      <c r="K280" s="2637"/>
      <c r="L280" s="2637"/>
      <c r="M280" s="2637"/>
      <c r="N280" s="2637"/>
      <c r="O280" s="2637"/>
      <c r="P280" s="2637"/>
      <c r="Q280" s="2637"/>
      <c r="R280" s="2637"/>
      <c r="S280" s="2637"/>
      <c r="T280" s="2637"/>
      <c r="U280" s="2637"/>
      <c r="V280" s="2637"/>
      <c r="W280" s="2637"/>
      <c r="X280" s="2637"/>
      <c r="Y280" s="2637"/>
      <c r="Z280" s="2637"/>
      <c r="AA280" s="2637"/>
      <c r="AB280" s="2637"/>
      <c r="AC280" s="2637"/>
      <c r="AD280" s="2638"/>
      <c r="AE280" s="550"/>
      <c r="AF280" s="635"/>
      <c r="AG280" s="635"/>
      <c r="AH280" s="635"/>
      <c r="AI280" s="635"/>
      <c r="AJ280" s="550"/>
      <c r="AK280" s="550"/>
      <c r="AL280" s="550"/>
      <c r="AM280" s="550"/>
      <c r="AO280" s="550"/>
      <c r="AP280" s="637"/>
    </row>
    <row r="281" spans="1:52">
      <c r="A281" s="550"/>
      <c r="B281" s="596"/>
      <c r="C281" s="636"/>
      <c r="D281" s="550"/>
      <c r="E281" s="547"/>
      <c r="F281" s="2636"/>
      <c r="G281" s="2637"/>
      <c r="H281" s="2637"/>
      <c r="I281" s="2637"/>
      <c r="J281" s="2637"/>
      <c r="K281" s="2637"/>
      <c r="L281" s="2637"/>
      <c r="M281" s="2637"/>
      <c r="N281" s="2637"/>
      <c r="O281" s="2637"/>
      <c r="P281" s="2637"/>
      <c r="Q281" s="2637"/>
      <c r="R281" s="2637"/>
      <c r="S281" s="2637"/>
      <c r="T281" s="2637"/>
      <c r="U281" s="2637"/>
      <c r="V281" s="2637"/>
      <c r="W281" s="2637"/>
      <c r="X281" s="2637"/>
      <c r="Y281" s="2637"/>
      <c r="Z281" s="2637"/>
      <c r="AA281" s="2637"/>
      <c r="AB281" s="2637"/>
      <c r="AC281" s="2637"/>
      <c r="AD281" s="2638"/>
      <c r="AE281" s="550"/>
      <c r="AF281" s="635"/>
      <c r="AG281" s="635"/>
      <c r="AH281" s="635"/>
      <c r="AI281" s="635"/>
      <c r="AJ281" s="550"/>
      <c r="AK281" s="550"/>
      <c r="AL281" s="550"/>
      <c r="AM281" s="550"/>
      <c r="AO281" s="550"/>
      <c r="AP281" s="637"/>
    </row>
    <row r="282" spans="1:52" ht="13.7" customHeight="1">
      <c r="A282" s="550"/>
      <c r="B282" s="596"/>
      <c r="C282" s="2478"/>
      <c r="D282" s="2478"/>
      <c r="E282" s="547"/>
      <c r="F282" s="2639"/>
      <c r="G282" s="2640"/>
      <c r="H282" s="2640"/>
      <c r="I282" s="2640"/>
      <c r="J282" s="2640"/>
      <c r="K282" s="2640"/>
      <c r="L282" s="2640"/>
      <c r="M282" s="2640"/>
      <c r="N282" s="2640"/>
      <c r="O282" s="2640"/>
      <c r="P282" s="2640"/>
      <c r="Q282" s="2640"/>
      <c r="R282" s="2640"/>
      <c r="S282" s="2640"/>
      <c r="T282" s="2640"/>
      <c r="U282" s="2640"/>
      <c r="V282" s="2640"/>
      <c r="W282" s="2640"/>
      <c r="X282" s="2640"/>
      <c r="Y282" s="2640"/>
      <c r="Z282" s="2640"/>
      <c r="AA282" s="2640"/>
      <c r="AB282" s="2640"/>
      <c r="AC282" s="2640"/>
      <c r="AD282" s="2641"/>
      <c r="AE282" s="550"/>
      <c r="AF282" s="635"/>
      <c r="AG282" s="2477"/>
      <c r="AH282" s="2477"/>
      <c r="AI282" s="2477"/>
      <c r="AJ282" s="2477"/>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1379</v>
      </c>
      <c r="AK285" s="2484">
        <f>IF($C$278="yes",10,0)</f>
        <v>10</v>
      </c>
      <c r="AL285" s="2484"/>
      <c r="AM285" s="2485"/>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1380</v>
      </c>
      <c r="B288" s="538" t="s">
        <v>1853</v>
      </c>
      <c r="AH288" s="591" t="s">
        <v>1314</v>
      </c>
    </row>
    <row r="289" spans="1:49" ht="15" customHeight="1">
      <c r="B289" s="539"/>
    </row>
    <row r="290" spans="1:49" ht="15" customHeight="1">
      <c r="B290" s="539" t="s">
        <v>1728</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1" t="s">
        <v>1382</v>
      </c>
      <c r="B292" s="1621"/>
      <c r="C292" s="2472" t="s">
        <v>591</v>
      </c>
      <c r="D292" s="2476"/>
      <c r="E292" s="547"/>
      <c r="F292" s="2504" t="s">
        <v>1383</v>
      </c>
      <c r="G292" s="2505"/>
      <c r="H292" s="2505"/>
      <c r="I292" s="2505"/>
      <c r="J292" s="2505"/>
      <c r="K292" s="2505"/>
      <c r="L292" s="2505"/>
      <c r="M292" s="2505"/>
      <c r="N292" s="2505"/>
      <c r="O292" s="2505"/>
      <c r="P292" s="2505"/>
      <c r="Q292" s="2505"/>
      <c r="R292" s="2505"/>
      <c r="S292" s="2505"/>
      <c r="T292" s="2505"/>
      <c r="U292" s="2505"/>
      <c r="V292" s="2505"/>
      <c r="W292" s="2505"/>
      <c r="X292" s="2505"/>
      <c r="Y292" s="2505"/>
      <c r="Z292" s="2505"/>
      <c r="AA292" s="2505"/>
      <c r="AB292" s="2505"/>
      <c r="AC292" s="2505"/>
      <c r="AD292" s="2506"/>
      <c r="AE292" s="642"/>
      <c r="AF292" s="550"/>
      <c r="AG292" s="2507" t="s">
        <v>2017</v>
      </c>
      <c r="AH292" s="2507"/>
      <c r="AI292" s="2507"/>
      <c r="AJ292" s="2507"/>
      <c r="AK292" s="2507"/>
      <c r="AL292" s="550"/>
      <c r="AM292" s="550"/>
      <c r="AN292" s="73"/>
      <c r="AO292" s="14"/>
      <c r="AP292" s="30"/>
      <c r="AS292" s="570"/>
      <c r="AT292" s="570"/>
      <c r="AU292" s="570"/>
      <c r="AV292" s="32"/>
      <c r="AW292" s="32"/>
    </row>
    <row r="293" spans="1:49">
      <c r="A293" s="640"/>
      <c r="B293" s="596"/>
      <c r="F293" s="2498"/>
      <c r="G293" s="2499"/>
      <c r="H293" s="2499"/>
      <c r="I293" s="2499"/>
      <c r="J293" s="2499"/>
      <c r="K293" s="2499"/>
      <c r="L293" s="2499"/>
      <c r="M293" s="2499"/>
      <c r="N293" s="2499"/>
      <c r="O293" s="2499"/>
      <c r="P293" s="2499"/>
      <c r="Q293" s="2499"/>
      <c r="R293" s="2499"/>
      <c r="S293" s="2499"/>
      <c r="T293" s="2499"/>
      <c r="U293" s="2499"/>
      <c r="V293" s="2499"/>
      <c r="W293" s="2499"/>
      <c r="X293" s="2499"/>
      <c r="Y293" s="2499"/>
      <c r="Z293" s="2499"/>
      <c r="AA293" s="2499"/>
      <c r="AB293" s="2499"/>
      <c r="AC293" s="2499"/>
      <c r="AD293" s="2500"/>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98"/>
      <c r="G294" s="2499"/>
      <c r="H294" s="2499"/>
      <c r="I294" s="2499"/>
      <c r="J294" s="2499"/>
      <c r="K294" s="2499"/>
      <c r="L294" s="2499"/>
      <c r="M294" s="2499"/>
      <c r="N294" s="2499"/>
      <c r="O294" s="2499"/>
      <c r="P294" s="2499"/>
      <c r="Q294" s="2499"/>
      <c r="R294" s="2499"/>
      <c r="S294" s="2499"/>
      <c r="T294" s="2499"/>
      <c r="U294" s="2499"/>
      <c r="V294" s="2499"/>
      <c r="W294" s="2499"/>
      <c r="X294" s="2499"/>
      <c r="Y294" s="2499"/>
      <c r="Z294" s="2499"/>
      <c r="AA294" s="2499"/>
      <c r="AB294" s="2499"/>
      <c r="AC294" s="2499"/>
      <c r="AD294" s="2500"/>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98" t="s">
        <v>2025</v>
      </c>
      <c r="G295" s="2499"/>
      <c r="H295" s="2499"/>
      <c r="I295" s="2499"/>
      <c r="J295" s="2499"/>
      <c r="K295" s="2499"/>
      <c r="L295" s="2499"/>
      <c r="M295" s="2499"/>
      <c r="N295" s="2499"/>
      <c r="O295" s="2499"/>
      <c r="P295" s="2499"/>
      <c r="Q295" s="2499"/>
      <c r="R295" s="2499"/>
      <c r="S295" s="2499"/>
      <c r="T295" s="2499"/>
      <c r="U295" s="2499"/>
      <c r="V295" s="2499"/>
      <c r="W295" s="2499"/>
      <c r="X295" s="2499"/>
      <c r="Y295" s="2499"/>
      <c r="Z295" s="2499"/>
      <c r="AA295" s="2499"/>
      <c r="AB295" s="2499"/>
      <c r="AC295" s="2499"/>
      <c r="AD295" s="2500"/>
      <c r="AE295" s="642"/>
      <c r="AF295" s="551"/>
      <c r="AH295" s="551"/>
      <c r="AI295" s="551"/>
      <c r="AJ295" s="550"/>
      <c r="AK295" s="550"/>
      <c r="AL295" s="550"/>
      <c r="AM295" s="550"/>
      <c r="AN295" s="73"/>
      <c r="AO295" s="14"/>
      <c r="AP295" s="611">
        <f>MAX(AP293,AP294)</f>
        <v>9</v>
      </c>
      <c r="AQ295" s="574" t="s">
        <v>1316</v>
      </c>
      <c r="AS295" s="570"/>
      <c r="AT295" s="570"/>
      <c r="AU295" s="570"/>
      <c r="AV295" s="32"/>
      <c r="AW295" s="32"/>
    </row>
    <row r="296" spans="1:49">
      <c r="A296" s="640"/>
      <c r="B296" s="596"/>
      <c r="F296" s="2498"/>
      <c r="G296" s="2499"/>
      <c r="H296" s="2499"/>
      <c r="I296" s="2499"/>
      <c r="J296" s="2499"/>
      <c r="K296" s="2499"/>
      <c r="L296" s="2499"/>
      <c r="M296" s="2499"/>
      <c r="N296" s="2499"/>
      <c r="O296" s="2499"/>
      <c r="P296" s="2499"/>
      <c r="Q296" s="2499"/>
      <c r="R296" s="2499"/>
      <c r="S296" s="2499"/>
      <c r="T296" s="2499"/>
      <c r="U296" s="2499"/>
      <c r="V296" s="2499"/>
      <c r="W296" s="2499"/>
      <c r="X296" s="2499"/>
      <c r="Y296" s="2499"/>
      <c r="Z296" s="2499"/>
      <c r="AA296" s="2499"/>
      <c r="AB296" s="2499"/>
      <c r="AC296" s="2499"/>
      <c r="AD296" s="2500"/>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8" t="s">
        <v>1384</v>
      </c>
      <c r="G297" s="2499"/>
      <c r="H297" s="2499"/>
      <c r="I297" s="2499"/>
      <c r="J297" s="2499"/>
      <c r="K297" s="2499"/>
      <c r="L297" s="2499"/>
      <c r="M297" s="2499"/>
      <c r="N297" s="2499"/>
      <c r="O297" s="2499"/>
      <c r="P297" s="2499"/>
      <c r="Q297" s="2499"/>
      <c r="R297" s="2499"/>
      <c r="S297" s="2499"/>
      <c r="T297" s="2499"/>
      <c r="U297" s="2499"/>
      <c r="V297" s="2499"/>
      <c r="W297" s="2499"/>
      <c r="X297" s="2499"/>
      <c r="Y297" s="2499"/>
      <c r="Z297" s="2499"/>
      <c r="AA297" s="2499"/>
      <c r="AB297" s="2499"/>
      <c r="AC297" s="2499"/>
      <c r="AD297" s="2500"/>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8"/>
      <c r="G298" s="2499"/>
      <c r="H298" s="2499"/>
      <c r="I298" s="2499"/>
      <c r="J298" s="2499"/>
      <c r="K298" s="2499"/>
      <c r="L298" s="2499"/>
      <c r="M298" s="2499"/>
      <c r="N298" s="2499"/>
      <c r="O298" s="2499"/>
      <c r="P298" s="2499"/>
      <c r="Q298" s="2499"/>
      <c r="R298" s="2499"/>
      <c r="S298" s="2499"/>
      <c r="T298" s="2499"/>
      <c r="U298" s="2499"/>
      <c r="V298" s="2499"/>
      <c r="W298" s="2499"/>
      <c r="X298" s="2499"/>
      <c r="Y298" s="2499"/>
      <c r="Z298" s="2499"/>
      <c r="AA298" s="2499"/>
      <c r="AB298" s="2499"/>
      <c r="AC298" s="2499"/>
      <c r="AD298" s="2500"/>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8" t="s">
        <v>1385</v>
      </c>
      <c r="G299" s="2499"/>
      <c r="H299" s="2499"/>
      <c r="I299" s="2499"/>
      <c r="J299" s="2499"/>
      <c r="K299" s="2499"/>
      <c r="L299" s="2499"/>
      <c r="M299" s="2499"/>
      <c r="N299" s="2499"/>
      <c r="O299" s="2499"/>
      <c r="P299" s="2499"/>
      <c r="Q299" s="2499"/>
      <c r="R299" s="2499"/>
      <c r="S299" s="2499"/>
      <c r="T299" s="2499"/>
      <c r="U299" s="2499"/>
      <c r="V299" s="2499"/>
      <c r="W299" s="2499"/>
      <c r="X299" s="2499"/>
      <c r="Y299" s="2499"/>
      <c r="Z299" s="2499"/>
      <c r="AA299" s="2499"/>
      <c r="AB299" s="2499"/>
      <c r="AC299" s="2499"/>
      <c r="AD299" s="2500"/>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501"/>
      <c r="G300" s="2502"/>
      <c r="H300" s="2502"/>
      <c r="I300" s="2502"/>
      <c r="J300" s="2502"/>
      <c r="K300" s="2502"/>
      <c r="L300" s="2502"/>
      <c r="M300" s="2502"/>
      <c r="N300" s="2502"/>
      <c r="O300" s="2502"/>
      <c r="P300" s="2502"/>
      <c r="Q300" s="2502"/>
      <c r="R300" s="2502"/>
      <c r="S300" s="2502"/>
      <c r="T300" s="2502"/>
      <c r="U300" s="2502"/>
      <c r="V300" s="2502"/>
      <c r="W300" s="2502"/>
      <c r="X300" s="2502"/>
      <c r="Y300" s="2502"/>
      <c r="Z300" s="2502"/>
      <c r="AA300" s="2502"/>
      <c r="AB300" s="2502"/>
      <c r="AC300" s="2502"/>
      <c r="AD300" s="2503"/>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1" t="s">
        <v>1386</v>
      </c>
      <c r="B302" s="1621"/>
      <c r="C302" s="2476" t="s">
        <v>545</v>
      </c>
      <c r="D302" s="2476"/>
      <c r="E302" s="547"/>
      <c r="F302" s="644" t="s">
        <v>2018</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1388</v>
      </c>
      <c r="AH302" s="551"/>
      <c r="AI302" s="551"/>
      <c r="AJ302" s="550"/>
      <c r="AK302" s="550"/>
      <c r="AL302" s="550"/>
      <c r="AM302" s="550"/>
      <c r="AN302" s="647"/>
      <c r="AO302" s="14"/>
    </row>
    <row r="303" spans="1:49">
      <c r="A303" s="550"/>
      <c r="B303" s="551"/>
      <c r="C303" s="550"/>
      <c r="D303" s="551"/>
      <c r="E303" s="550"/>
      <c r="F303" s="2406" t="s">
        <v>2019</v>
      </c>
      <c r="G303" s="2407"/>
      <c r="H303" s="2407"/>
      <c r="I303" s="2407"/>
      <c r="J303" s="2407"/>
      <c r="K303" s="2407"/>
      <c r="L303" s="2407"/>
      <c r="M303" s="2407"/>
      <c r="N303" s="2407"/>
      <c r="O303" s="2407"/>
      <c r="P303" s="2407"/>
      <c r="Q303" s="2407"/>
      <c r="R303" s="2407"/>
      <c r="S303" s="2407"/>
      <c r="T303" s="2407"/>
      <c r="U303" s="2407"/>
      <c r="V303" s="2407"/>
      <c r="W303" s="2407"/>
      <c r="X303" s="2407"/>
      <c r="Y303" s="2407"/>
      <c r="Z303" s="2407"/>
      <c r="AA303" s="2407"/>
      <c r="AB303" s="2407"/>
      <c r="AC303" s="2407"/>
      <c r="AD303" s="2408"/>
      <c r="AE303" s="551"/>
      <c r="AF303" s="551"/>
      <c r="AG303" s="551"/>
      <c r="AH303" s="551"/>
      <c r="AI303" s="551"/>
      <c r="AJ303" s="550"/>
      <c r="AK303" s="550"/>
      <c r="AL303" s="550"/>
      <c r="AM303" s="550"/>
      <c r="AR303" s="648"/>
    </row>
    <row r="304" spans="1:49" ht="15" customHeight="1">
      <c r="A304" s="550"/>
      <c r="B304" s="551"/>
      <c r="C304" s="550"/>
      <c r="D304" s="551"/>
      <c r="E304" s="550"/>
      <c r="F304" s="2406"/>
      <c r="G304" s="2407"/>
      <c r="H304" s="2407"/>
      <c r="I304" s="2407"/>
      <c r="J304" s="2407"/>
      <c r="K304" s="2407"/>
      <c r="L304" s="2407"/>
      <c r="M304" s="2407"/>
      <c r="N304" s="2407"/>
      <c r="O304" s="2407"/>
      <c r="P304" s="2407"/>
      <c r="Q304" s="2407"/>
      <c r="R304" s="2407"/>
      <c r="S304" s="2407"/>
      <c r="T304" s="2407"/>
      <c r="U304" s="2407"/>
      <c r="V304" s="2407"/>
      <c r="W304" s="2407"/>
      <c r="X304" s="2407"/>
      <c r="Y304" s="2407"/>
      <c r="Z304" s="2407"/>
      <c r="AA304" s="2407"/>
      <c r="AB304" s="2407"/>
      <c r="AC304" s="2407"/>
      <c r="AD304" s="2408"/>
      <c r="AE304" s="551"/>
      <c r="AF304" s="551"/>
      <c r="AG304" s="551"/>
      <c r="AH304" s="551"/>
      <c r="AI304" s="551"/>
      <c r="AJ304" s="550"/>
      <c r="AK304" s="550"/>
      <c r="AL304" s="550"/>
      <c r="AM304" s="550"/>
      <c r="AR304" s="648"/>
    </row>
    <row r="305" spans="1:44">
      <c r="A305" s="550"/>
      <c r="B305" s="551"/>
      <c r="C305" s="550"/>
      <c r="D305" s="551"/>
      <c r="E305" s="550"/>
      <c r="F305" s="2406"/>
      <c r="G305" s="2407"/>
      <c r="H305" s="2407"/>
      <c r="I305" s="2407"/>
      <c r="J305" s="2407"/>
      <c r="K305" s="2407"/>
      <c r="L305" s="2407"/>
      <c r="M305" s="2407"/>
      <c r="N305" s="2407"/>
      <c r="O305" s="2407"/>
      <c r="P305" s="2407"/>
      <c r="Q305" s="2407"/>
      <c r="R305" s="2407"/>
      <c r="S305" s="2407"/>
      <c r="T305" s="2407"/>
      <c r="U305" s="2407"/>
      <c r="V305" s="2407"/>
      <c r="W305" s="2407"/>
      <c r="X305" s="2407"/>
      <c r="Y305" s="2407"/>
      <c r="Z305" s="2407"/>
      <c r="AA305" s="2407"/>
      <c r="AB305" s="2407"/>
      <c r="AC305" s="2407"/>
      <c r="AD305" s="2408"/>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03"/>
      <c r="G306" s="2404"/>
      <c r="H306" s="2404"/>
      <c r="I306" s="2404"/>
      <c r="J306" s="2404"/>
      <c r="K306" s="2404"/>
      <c r="L306" s="2404"/>
      <c r="M306" s="2404"/>
      <c r="N306" s="2404"/>
      <c r="O306" s="2404"/>
      <c r="P306" s="2404"/>
      <c r="Q306" s="2404"/>
      <c r="R306" s="2404"/>
      <c r="S306" s="2404"/>
      <c r="T306" s="2404"/>
      <c r="U306" s="2404"/>
      <c r="V306" s="2404"/>
      <c r="W306" s="2404"/>
      <c r="X306" s="2404"/>
      <c r="Y306" s="2404"/>
      <c r="Z306" s="2404"/>
      <c r="AA306" s="2404"/>
      <c r="AB306" s="2404"/>
      <c r="AC306" s="2404"/>
      <c r="AD306" s="2405"/>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21" t="s">
        <v>1389</v>
      </c>
      <c r="B310" s="1621"/>
      <c r="C310" s="2476" t="s">
        <v>591</v>
      </c>
      <c r="D310" s="2476"/>
      <c r="E310" s="547"/>
      <c r="F310" s="644" t="s">
        <v>1387</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1388</v>
      </c>
      <c r="AH310" s="551"/>
      <c r="AI310" s="551"/>
      <c r="AJ310" s="550"/>
      <c r="AK310" s="550"/>
      <c r="AL310" s="550"/>
      <c r="AM310" s="550"/>
      <c r="AN310" s="73"/>
      <c r="AO310" s="14"/>
    </row>
    <row r="311" spans="1:44" hidden="1">
      <c r="A311" s="89"/>
      <c r="B311" s="89"/>
      <c r="C311" s="730"/>
      <c r="D311" s="730"/>
      <c r="E311" s="547"/>
      <c r="F311" s="2498" t="s">
        <v>2026</v>
      </c>
      <c r="G311" s="2499"/>
      <c r="H311" s="2499"/>
      <c r="I311" s="2499"/>
      <c r="J311" s="2499"/>
      <c r="K311" s="2499"/>
      <c r="L311" s="2499"/>
      <c r="M311" s="2499"/>
      <c r="N311" s="2499"/>
      <c r="O311" s="2499"/>
      <c r="P311" s="2499"/>
      <c r="Q311" s="2499"/>
      <c r="R311" s="2499"/>
      <c r="S311" s="2499"/>
      <c r="T311" s="2499"/>
      <c r="U311" s="2499"/>
      <c r="V311" s="2499"/>
      <c r="W311" s="2499"/>
      <c r="X311" s="2499"/>
      <c r="Y311" s="2499"/>
      <c r="Z311" s="2499"/>
      <c r="AA311" s="2499"/>
      <c r="AB311" s="2499"/>
      <c r="AC311" s="2499"/>
      <c r="AD311" s="2500"/>
      <c r="AE311" s="551"/>
      <c r="AF311" s="551"/>
      <c r="AG311" s="539"/>
      <c r="AH311" s="551"/>
      <c r="AI311" s="551"/>
      <c r="AJ311" s="550"/>
      <c r="AK311" s="550"/>
      <c r="AL311" s="550"/>
      <c r="AM311" s="550"/>
      <c r="AN311" s="73"/>
      <c r="AO311" s="14"/>
      <c r="AP311" s="557" t="s">
        <v>1184</v>
      </c>
    </row>
    <row r="312" spans="1:44" hidden="1">
      <c r="F312" s="2498"/>
      <c r="G312" s="2499"/>
      <c r="H312" s="2499"/>
      <c r="I312" s="2499"/>
      <c r="J312" s="2499"/>
      <c r="K312" s="2499"/>
      <c r="L312" s="2499"/>
      <c r="M312" s="2499"/>
      <c r="N312" s="2499"/>
      <c r="O312" s="2499"/>
      <c r="P312" s="2499"/>
      <c r="Q312" s="2499"/>
      <c r="R312" s="2499"/>
      <c r="S312" s="2499"/>
      <c r="T312" s="2499"/>
      <c r="U312" s="2499"/>
      <c r="V312" s="2499"/>
      <c r="W312" s="2499"/>
      <c r="X312" s="2499"/>
      <c r="Y312" s="2499"/>
      <c r="Z312" s="2499"/>
      <c r="AA312" s="2499"/>
      <c r="AB312" s="2499"/>
      <c r="AC312" s="2499"/>
      <c r="AD312" s="2500"/>
      <c r="AE312" s="551"/>
      <c r="AF312" s="551"/>
      <c r="AH312" s="551"/>
      <c r="AI312" s="551"/>
      <c r="AJ312" s="550"/>
      <c r="AK312" s="550"/>
      <c r="AL312" s="550"/>
      <c r="AM312" s="550"/>
      <c r="AN312" s="73"/>
      <c r="AO312" s="14"/>
      <c r="AP312" s="557" t="s">
        <v>1730</v>
      </c>
    </row>
    <row r="313" spans="1:44" hidden="1">
      <c r="A313" s="550"/>
      <c r="B313" s="551"/>
      <c r="C313" s="730"/>
      <c r="D313" s="730"/>
      <c r="E313" s="547"/>
      <c r="F313" s="652" t="s">
        <v>1390</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1732</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1855</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8" t="s">
        <v>1184</v>
      </c>
      <c r="G316" s="2509"/>
      <c r="H316" s="2509"/>
      <c r="I316" s="2509"/>
      <c r="J316" s="2509"/>
      <c r="K316" s="2509"/>
      <c r="L316" s="2509"/>
      <c r="M316" s="2509"/>
      <c r="N316" s="2509"/>
      <c r="O316" s="2509"/>
      <c r="P316" s="2509"/>
      <c r="Q316" s="2509"/>
      <c r="R316" s="2509"/>
      <c r="S316" s="2509"/>
      <c r="T316" s="2509"/>
      <c r="U316" s="2509"/>
      <c r="V316" s="2509"/>
      <c r="W316" s="2509"/>
      <c r="X316" s="2509"/>
      <c r="Y316" s="2509"/>
      <c r="Z316" s="2509"/>
      <c r="AA316" s="2509"/>
      <c r="AB316" s="2509"/>
      <c r="AC316" s="2509"/>
      <c r="AD316" s="2510"/>
      <c r="AE316" s="642"/>
      <c r="AF316" s="642"/>
      <c r="AG316" s="642"/>
      <c r="AH316" s="642"/>
      <c r="AI316" s="642"/>
      <c r="AJ316" s="642"/>
      <c r="AK316" s="642"/>
      <c r="AL316" s="550"/>
      <c r="AM316" s="550"/>
      <c r="AN316" s="73"/>
      <c r="AO316" s="14"/>
      <c r="AP316" s="30"/>
    </row>
    <row r="317" spans="1:44" hidden="1">
      <c r="A317" s="550"/>
      <c r="B317" s="551"/>
      <c r="C317" s="730"/>
      <c r="D317" s="730"/>
      <c r="E317" s="547"/>
      <c r="F317" s="2508"/>
      <c r="G317" s="2509"/>
      <c r="H317" s="2509"/>
      <c r="I317" s="2509"/>
      <c r="J317" s="2509"/>
      <c r="K317" s="2509"/>
      <c r="L317" s="2509"/>
      <c r="M317" s="2509"/>
      <c r="N317" s="2509"/>
      <c r="O317" s="2509"/>
      <c r="P317" s="2509"/>
      <c r="Q317" s="2509"/>
      <c r="R317" s="2509"/>
      <c r="S317" s="2509"/>
      <c r="T317" s="2509"/>
      <c r="U317" s="2509"/>
      <c r="V317" s="2509"/>
      <c r="W317" s="2509"/>
      <c r="X317" s="2509"/>
      <c r="Y317" s="2509"/>
      <c r="Z317" s="2509"/>
      <c r="AA317" s="2509"/>
      <c r="AB317" s="2509"/>
      <c r="AC317" s="2509"/>
      <c r="AD317" s="2510"/>
      <c r="AE317" s="551"/>
      <c r="AF317" s="551"/>
      <c r="AG317" s="539"/>
      <c r="AH317" s="551"/>
      <c r="AI317" s="551"/>
      <c r="AJ317" s="550"/>
      <c r="AK317" s="550"/>
      <c r="AL317" s="550"/>
      <c r="AM317" s="550"/>
      <c r="AN317" s="73"/>
      <c r="AO317" s="14"/>
      <c r="AP317" s="30"/>
    </row>
    <row r="318" spans="1:44" hidden="1">
      <c r="A318" s="550"/>
      <c r="B318" s="551"/>
      <c r="C318" s="730"/>
      <c r="D318" s="730"/>
      <c r="E318" s="547"/>
      <c r="F318" s="2508"/>
      <c r="G318" s="2509"/>
      <c r="H318" s="2509"/>
      <c r="I318" s="2509"/>
      <c r="J318" s="2509"/>
      <c r="K318" s="2509"/>
      <c r="L318" s="2509"/>
      <c r="M318" s="2509"/>
      <c r="N318" s="2509"/>
      <c r="O318" s="2509"/>
      <c r="P318" s="2509"/>
      <c r="Q318" s="2509"/>
      <c r="R318" s="2509"/>
      <c r="S318" s="2509"/>
      <c r="T318" s="2509"/>
      <c r="U318" s="2509"/>
      <c r="V318" s="2509"/>
      <c r="W318" s="2509"/>
      <c r="X318" s="2509"/>
      <c r="Y318" s="2509"/>
      <c r="Z318" s="2509"/>
      <c r="AA318" s="2509"/>
      <c r="AB318" s="2509"/>
      <c r="AC318" s="2509"/>
      <c r="AD318" s="2510"/>
      <c r="AE318" s="551"/>
      <c r="AF318" s="551"/>
      <c r="AG318" s="539"/>
      <c r="AH318" s="551"/>
      <c r="AI318" s="551"/>
      <c r="AJ318" s="550"/>
      <c r="AK318" s="550"/>
      <c r="AL318" s="550"/>
      <c r="AM318" s="550"/>
      <c r="AN318" s="73"/>
      <c r="AO318" s="14"/>
      <c r="AP318" s="30"/>
    </row>
    <row r="319" spans="1:44" hidden="1">
      <c r="A319" s="550"/>
      <c r="B319" s="551"/>
      <c r="C319" s="730"/>
      <c r="D319" s="730"/>
      <c r="E319" s="547"/>
      <c r="F319" s="2508"/>
      <c r="G319" s="2509"/>
      <c r="H319" s="2509"/>
      <c r="I319" s="2509"/>
      <c r="J319" s="2509"/>
      <c r="K319" s="2509"/>
      <c r="L319" s="2509"/>
      <c r="M319" s="2509"/>
      <c r="N319" s="2509"/>
      <c r="O319" s="2509"/>
      <c r="P319" s="2509"/>
      <c r="Q319" s="2509"/>
      <c r="R319" s="2509"/>
      <c r="S319" s="2509"/>
      <c r="T319" s="2509"/>
      <c r="U319" s="2509"/>
      <c r="V319" s="2509"/>
      <c r="W319" s="2509"/>
      <c r="X319" s="2509"/>
      <c r="Y319" s="2509"/>
      <c r="Z319" s="2509"/>
      <c r="AA319" s="2509"/>
      <c r="AB319" s="2509"/>
      <c r="AC319" s="2509"/>
      <c r="AD319" s="2510"/>
      <c r="AE319" s="551"/>
      <c r="AF319" s="551"/>
      <c r="AG319" s="539"/>
      <c r="AH319" s="551"/>
      <c r="AI319" s="551"/>
      <c r="AJ319" s="550"/>
      <c r="AK319" s="550"/>
      <c r="AL319" s="550"/>
      <c r="AM319" s="550"/>
      <c r="AN319" s="73"/>
      <c r="AO319" s="14"/>
      <c r="AP319" s="30"/>
    </row>
    <row r="320" spans="1:44" hidden="1">
      <c r="A320" s="550"/>
      <c r="B320" s="551"/>
      <c r="C320" s="730"/>
      <c r="D320" s="730"/>
      <c r="E320" s="547"/>
      <c r="F320" s="2511"/>
      <c r="G320" s="2512"/>
      <c r="H320" s="2512"/>
      <c r="I320" s="2512"/>
      <c r="J320" s="2512"/>
      <c r="K320" s="2512"/>
      <c r="L320" s="2512"/>
      <c r="M320" s="2512"/>
      <c r="N320" s="2512"/>
      <c r="O320" s="2512"/>
      <c r="P320" s="2512"/>
      <c r="Q320" s="2512"/>
      <c r="R320" s="2512"/>
      <c r="S320" s="2512"/>
      <c r="T320" s="2512"/>
      <c r="U320" s="2512"/>
      <c r="V320" s="2512"/>
      <c r="W320" s="2512"/>
      <c r="X320" s="2512"/>
      <c r="Y320" s="2512"/>
      <c r="Z320" s="2512"/>
      <c r="AA320" s="2512"/>
      <c r="AB320" s="2512"/>
      <c r="AC320" s="2512"/>
      <c r="AD320" s="2513"/>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1731</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1184</v>
      </c>
    </row>
    <row r="324" spans="1:42" ht="12.75" hidden="1" customHeight="1">
      <c r="A324" s="550"/>
      <c r="B324" s="551"/>
      <c r="C324" s="730"/>
      <c r="D324" s="730"/>
      <c r="E324" s="547"/>
      <c r="F324" s="656"/>
      <c r="G324" s="575" t="s">
        <v>687</v>
      </c>
      <c r="H324" s="575"/>
      <c r="I324" s="2514" t="s">
        <v>1184</v>
      </c>
      <c r="J324" s="2514"/>
      <c r="K324" s="2514"/>
      <c r="L324" s="2514"/>
      <c r="M324" s="2514"/>
      <c r="N324" s="2514"/>
      <c r="O324" s="2514"/>
      <c r="P324" s="2514"/>
      <c r="Q324" s="2514"/>
      <c r="R324" s="2514"/>
      <c r="S324" s="2514"/>
      <c r="T324" s="2514"/>
      <c r="U324" s="2514"/>
      <c r="V324" s="2514"/>
      <c r="W324" s="2514"/>
      <c r="X324" s="2514"/>
      <c r="Y324" s="2514"/>
      <c r="Z324" s="2514"/>
      <c r="AA324" s="2514"/>
      <c r="AB324" s="2514"/>
      <c r="AC324" s="2514"/>
      <c r="AD324" s="2515"/>
      <c r="AE324" s="551"/>
      <c r="AF324" s="551"/>
      <c r="AG324" s="539"/>
      <c r="AH324" s="551"/>
      <c r="AI324" s="551"/>
      <c r="AJ324" s="550"/>
      <c r="AK324" s="550"/>
      <c r="AL324" s="550"/>
      <c r="AM324" s="550"/>
      <c r="AN324" s="73"/>
      <c r="AO324" s="14"/>
      <c r="AP324" s="557" t="s">
        <v>1637</v>
      </c>
    </row>
    <row r="325" spans="1:42" hidden="1">
      <c r="A325" s="550"/>
      <c r="B325" s="551"/>
      <c r="C325" s="730"/>
      <c r="D325" s="730"/>
      <c r="E325" s="547"/>
      <c r="F325" s="656"/>
      <c r="G325" s="575"/>
      <c r="H325" s="575"/>
      <c r="I325" s="2514"/>
      <c r="J325" s="2514"/>
      <c r="K325" s="2514"/>
      <c r="L325" s="2514"/>
      <c r="M325" s="2514"/>
      <c r="N325" s="2514"/>
      <c r="O325" s="2514"/>
      <c r="P325" s="2514"/>
      <c r="Q325" s="2514"/>
      <c r="R325" s="2514"/>
      <c r="S325" s="2514"/>
      <c r="T325" s="2514"/>
      <c r="U325" s="2514"/>
      <c r="V325" s="2514"/>
      <c r="W325" s="2514"/>
      <c r="X325" s="2514"/>
      <c r="Y325" s="2514"/>
      <c r="Z325" s="2514"/>
      <c r="AA325" s="2514"/>
      <c r="AB325" s="2514"/>
      <c r="AC325" s="2514"/>
      <c r="AD325" s="2515"/>
      <c r="AE325" s="551"/>
      <c r="AF325" s="551"/>
      <c r="AG325" s="539"/>
      <c r="AH325" s="551"/>
      <c r="AI325" s="551"/>
      <c r="AJ325" s="550"/>
      <c r="AK325" s="550"/>
      <c r="AL325" s="550"/>
      <c r="AM325" s="550"/>
      <c r="AN325" s="73"/>
      <c r="AO325" s="14"/>
      <c r="AP325" s="557" t="s">
        <v>1733</v>
      </c>
    </row>
    <row r="326" spans="1:42" hidden="1">
      <c r="A326" s="550"/>
      <c r="B326" s="551"/>
      <c r="C326" s="651"/>
      <c r="D326" s="651"/>
      <c r="E326" s="547"/>
      <c r="F326" s="656"/>
      <c r="G326" s="575"/>
      <c r="H326" s="575"/>
      <c r="I326" s="2514"/>
      <c r="J326" s="2514"/>
      <c r="K326" s="2514"/>
      <c r="L326" s="2514"/>
      <c r="M326" s="2514"/>
      <c r="N326" s="2514"/>
      <c r="O326" s="2514"/>
      <c r="P326" s="2514"/>
      <c r="Q326" s="2514"/>
      <c r="R326" s="2514"/>
      <c r="S326" s="2514"/>
      <c r="T326" s="2514"/>
      <c r="U326" s="2514"/>
      <c r="V326" s="2514"/>
      <c r="W326" s="2514"/>
      <c r="X326" s="2514"/>
      <c r="Y326" s="2514"/>
      <c r="Z326" s="2514"/>
      <c r="AA326" s="2514"/>
      <c r="AB326" s="2514"/>
      <c r="AC326" s="2514"/>
      <c r="AD326" s="2515"/>
      <c r="AE326" s="551"/>
      <c r="AF326" s="551"/>
      <c r="AG326" s="539"/>
      <c r="AH326" s="551"/>
      <c r="AI326" s="551"/>
      <c r="AJ326" s="550"/>
      <c r="AK326" s="550"/>
      <c r="AL326" s="550"/>
      <c r="AM326" s="550"/>
      <c r="AN326" s="73"/>
      <c r="AO326" s="14"/>
      <c r="AP326" s="557" t="s">
        <v>1735</v>
      </c>
    </row>
    <row r="327" spans="1:42" hidden="1">
      <c r="A327" s="550"/>
      <c r="B327" s="551"/>
      <c r="C327" s="651"/>
      <c r="D327" s="651"/>
      <c r="E327" s="547"/>
      <c r="F327" s="654"/>
      <c r="G327" s="551"/>
      <c r="H327" s="551"/>
      <c r="I327" s="2516"/>
      <c r="J327" s="2516"/>
      <c r="K327" s="2516"/>
      <c r="L327" s="2516"/>
      <c r="M327" s="2516"/>
      <c r="N327" s="2516"/>
      <c r="O327" s="2516"/>
      <c r="P327" s="2516"/>
      <c r="Q327" s="2516"/>
      <c r="R327" s="2516"/>
      <c r="S327" s="2516"/>
      <c r="T327" s="2516"/>
      <c r="U327" s="2516"/>
      <c r="V327" s="2516"/>
      <c r="W327" s="2516"/>
      <c r="X327" s="2516"/>
      <c r="Y327" s="2516"/>
      <c r="Z327" s="2516"/>
      <c r="AA327" s="2516"/>
      <c r="AB327" s="2516"/>
      <c r="AC327" s="2516"/>
      <c r="AD327" s="2517"/>
      <c r="AE327" s="551"/>
      <c r="AF327" s="551"/>
      <c r="AG327" s="539"/>
      <c r="AH327" s="551"/>
      <c r="AI327" s="551"/>
      <c r="AJ327" s="550"/>
      <c r="AK327" s="550"/>
      <c r="AL327" s="550"/>
      <c r="AM327" s="550"/>
      <c r="AN327" s="73"/>
      <c r="AO327" s="14"/>
      <c r="AP327" s="557" t="s">
        <v>1734</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509</v>
      </c>
      <c r="H329" s="551"/>
      <c r="I329" s="2514" t="s">
        <v>1184</v>
      </c>
      <c r="J329" s="2514"/>
      <c r="K329" s="2514"/>
      <c r="L329" s="2514"/>
      <c r="M329" s="2514"/>
      <c r="N329" s="2514"/>
      <c r="O329" s="2514"/>
      <c r="P329" s="2514"/>
      <c r="Q329" s="2514"/>
      <c r="R329" s="2514"/>
      <c r="S329" s="2514"/>
      <c r="T329" s="2514"/>
      <c r="U329" s="2514"/>
      <c r="V329" s="2514"/>
      <c r="W329" s="2514"/>
      <c r="X329" s="2514"/>
      <c r="Y329" s="2514"/>
      <c r="Z329" s="2514"/>
      <c r="AA329" s="2514"/>
      <c r="AB329" s="2514"/>
      <c r="AC329" s="2514"/>
      <c r="AD329" s="2515"/>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14"/>
      <c r="J330" s="2514"/>
      <c r="K330" s="2514"/>
      <c r="L330" s="2514"/>
      <c r="M330" s="2514"/>
      <c r="N330" s="2514"/>
      <c r="O330" s="2514"/>
      <c r="P330" s="2514"/>
      <c r="Q330" s="2514"/>
      <c r="R330" s="2514"/>
      <c r="S330" s="2514"/>
      <c r="T330" s="2514"/>
      <c r="U330" s="2514"/>
      <c r="V330" s="2514"/>
      <c r="W330" s="2514"/>
      <c r="X330" s="2514"/>
      <c r="Y330" s="2514"/>
      <c r="Z330" s="2514"/>
      <c r="AA330" s="2514"/>
      <c r="AB330" s="2514"/>
      <c r="AC330" s="2514"/>
      <c r="AD330" s="2515"/>
      <c r="AE330" s="551"/>
      <c r="AF330" s="551"/>
      <c r="AG330" s="539"/>
      <c r="AH330" s="551"/>
      <c r="AI330" s="551"/>
      <c r="AJ330" s="550"/>
      <c r="AK330" s="550"/>
      <c r="AL330" s="550"/>
      <c r="AM330" s="550"/>
      <c r="AN330" s="73"/>
      <c r="AO330" s="14"/>
      <c r="AP330" s="557" t="s">
        <v>1184</v>
      </c>
    </row>
    <row r="331" spans="1:42" hidden="1">
      <c r="A331" s="550"/>
      <c r="B331" s="551"/>
      <c r="C331" s="651"/>
      <c r="D331" s="651"/>
      <c r="E331" s="547"/>
      <c r="F331" s="657"/>
      <c r="G331" s="658"/>
      <c r="H331" s="658"/>
      <c r="I331" s="2516"/>
      <c r="J331" s="2516"/>
      <c r="K331" s="2516"/>
      <c r="L331" s="2516"/>
      <c r="M331" s="2516"/>
      <c r="N331" s="2516"/>
      <c r="O331" s="2516"/>
      <c r="P331" s="2516"/>
      <c r="Q331" s="2516"/>
      <c r="R331" s="2516"/>
      <c r="S331" s="2516"/>
      <c r="T331" s="2516"/>
      <c r="U331" s="2516"/>
      <c r="V331" s="2516"/>
      <c r="W331" s="2516"/>
      <c r="X331" s="2516"/>
      <c r="Y331" s="2516"/>
      <c r="Z331" s="2516"/>
      <c r="AA331" s="2516"/>
      <c r="AB331" s="2516"/>
      <c r="AC331" s="2516"/>
      <c r="AD331" s="2517"/>
      <c r="AE331" s="551"/>
      <c r="AF331" s="551"/>
      <c r="AG331" s="539"/>
      <c r="AH331" s="551"/>
      <c r="AI331" s="551"/>
      <c r="AJ331" s="550"/>
      <c r="AK331" s="550"/>
      <c r="AL331" s="550"/>
      <c r="AM331" s="550"/>
      <c r="AN331" s="73"/>
      <c r="AO331" s="14"/>
      <c r="AP331" s="557" t="s">
        <v>1391</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1638</v>
      </c>
    </row>
    <row r="333" spans="1:42" ht="12.75" hidden="1" customHeight="1">
      <c r="A333" s="1621" t="s">
        <v>1392</v>
      </c>
      <c r="B333" s="1621"/>
      <c r="C333" s="2476" t="s">
        <v>591</v>
      </c>
      <c r="D333" s="2476"/>
      <c r="E333" s="547"/>
      <c r="F333" s="2400" t="s">
        <v>2027</v>
      </c>
      <c r="G333" s="2401"/>
      <c r="H333" s="2401"/>
      <c r="I333" s="2401"/>
      <c r="J333" s="2401"/>
      <c r="K333" s="2401"/>
      <c r="L333" s="2401"/>
      <c r="M333" s="2401"/>
      <c r="N333" s="2401"/>
      <c r="O333" s="2401"/>
      <c r="P333" s="2401"/>
      <c r="Q333" s="2401"/>
      <c r="R333" s="2401"/>
      <c r="S333" s="2401"/>
      <c r="T333" s="2401"/>
      <c r="U333" s="2401"/>
      <c r="V333" s="2401"/>
      <c r="W333" s="2401"/>
      <c r="X333" s="2401"/>
      <c r="Y333" s="2401"/>
      <c r="Z333" s="2401"/>
      <c r="AA333" s="2401"/>
      <c r="AB333" s="2401"/>
      <c r="AC333" s="2401"/>
      <c r="AD333" s="2402"/>
      <c r="AE333" s="551"/>
      <c r="AF333" s="551"/>
      <c r="AG333" s="539" t="s">
        <v>1388</v>
      </c>
      <c r="AH333" s="551"/>
      <c r="AI333" s="551"/>
      <c r="AJ333" s="550"/>
      <c r="AK333" s="550"/>
      <c r="AL333" s="550"/>
      <c r="AM333" s="550"/>
      <c r="AN333" s="73"/>
      <c r="AO333" s="14"/>
    </row>
    <row r="334" spans="1:42" ht="15" hidden="1" customHeight="1">
      <c r="A334" s="550"/>
      <c r="B334" s="551"/>
      <c r="C334" s="551"/>
      <c r="D334" s="551"/>
      <c r="E334" s="551"/>
      <c r="F334" s="2406"/>
      <c r="G334" s="2407"/>
      <c r="H334" s="2407"/>
      <c r="I334" s="2407"/>
      <c r="J334" s="2407"/>
      <c r="K334" s="2407"/>
      <c r="L334" s="2407"/>
      <c r="M334" s="2407"/>
      <c r="N334" s="2407"/>
      <c r="O334" s="2407"/>
      <c r="P334" s="2407"/>
      <c r="Q334" s="2407"/>
      <c r="R334" s="2407"/>
      <c r="S334" s="2407"/>
      <c r="T334" s="2407"/>
      <c r="U334" s="2407"/>
      <c r="V334" s="2407"/>
      <c r="W334" s="2407"/>
      <c r="X334" s="2407"/>
      <c r="Y334" s="2407"/>
      <c r="Z334" s="2407"/>
      <c r="AA334" s="2407"/>
      <c r="AB334" s="2407"/>
      <c r="AC334" s="2407"/>
      <c r="AD334" s="2408"/>
      <c r="AE334" s="551"/>
      <c r="AF334" s="551"/>
      <c r="AG334" s="551"/>
      <c r="AH334" s="551"/>
      <c r="AI334" s="551"/>
      <c r="AJ334" s="550"/>
      <c r="AK334" s="550"/>
      <c r="AL334" s="550"/>
      <c r="AM334" s="550"/>
      <c r="AN334" s="73"/>
      <c r="AO334" s="14"/>
    </row>
    <row r="335" spans="1:42" ht="15" hidden="1" customHeight="1">
      <c r="A335" s="550"/>
      <c r="B335" s="551"/>
      <c r="C335" s="551"/>
      <c r="D335" s="551"/>
      <c r="E335" s="551"/>
      <c r="F335" s="2406"/>
      <c r="G335" s="2407"/>
      <c r="H335" s="2407"/>
      <c r="I335" s="2407"/>
      <c r="J335" s="2407"/>
      <c r="K335" s="2407"/>
      <c r="L335" s="2407"/>
      <c r="M335" s="2407"/>
      <c r="N335" s="2407"/>
      <c r="O335" s="2407"/>
      <c r="P335" s="2407"/>
      <c r="Q335" s="2407"/>
      <c r="R335" s="2407"/>
      <c r="S335" s="2407"/>
      <c r="T335" s="2407"/>
      <c r="U335" s="2407"/>
      <c r="V335" s="2407"/>
      <c r="W335" s="2407"/>
      <c r="X335" s="2407"/>
      <c r="Y335" s="2407"/>
      <c r="Z335" s="2407"/>
      <c r="AA335" s="2407"/>
      <c r="AB335" s="2407"/>
      <c r="AC335" s="2407"/>
      <c r="AD335" s="2408"/>
      <c r="AE335" s="551"/>
      <c r="AF335" s="551"/>
      <c r="AG335" s="551"/>
      <c r="AH335" s="551"/>
      <c r="AI335" s="551"/>
      <c r="AJ335" s="550"/>
      <c r="AK335" s="550"/>
      <c r="AL335" s="550"/>
      <c r="AM335" s="659"/>
      <c r="AN335" s="14"/>
      <c r="AO335" s="14"/>
    </row>
    <row r="336" spans="1:42" hidden="1">
      <c r="A336" s="550"/>
      <c r="B336" s="551"/>
      <c r="C336" s="550"/>
      <c r="D336" s="551"/>
      <c r="E336" s="550"/>
      <c r="F336" s="660" t="s">
        <v>1393</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1452</v>
      </c>
      <c r="AK338" s="2479">
        <f>IF(NOT(OR(Application!M355="Yes",Application!M356="Yes")),0,AP295)</f>
        <v>9</v>
      </c>
      <c r="AL338" s="2480"/>
      <c r="AM338" s="2481"/>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1453</v>
      </c>
      <c r="B341" s="539" t="s">
        <v>845</v>
      </c>
      <c r="C341" s="536"/>
      <c r="AC341" s="539"/>
      <c r="AE341" s="2409" t="s">
        <v>1314</v>
      </c>
      <c r="AF341" s="2409"/>
      <c r="AG341" s="2409"/>
      <c r="AH341" s="2409"/>
      <c r="AI341" s="2409"/>
      <c r="AJ341" s="2409"/>
      <c r="AK341" s="2409"/>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8" t="s">
        <v>1454</v>
      </c>
      <c r="D343" s="2518"/>
      <c r="E343" s="2518"/>
      <c r="F343" s="2518"/>
      <c r="G343" s="2518"/>
      <c r="H343" s="2518"/>
      <c r="I343" s="2518"/>
      <c r="J343" s="2518"/>
      <c r="K343" s="2518"/>
      <c r="L343" s="2518"/>
      <c r="M343" s="2518"/>
      <c r="N343" s="2518"/>
      <c r="O343" s="2518"/>
      <c r="P343" s="2518"/>
      <c r="Q343" s="2518"/>
      <c r="R343" s="2518"/>
      <c r="S343" s="2518"/>
      <c r="T343" s="2518"/>
      <c r="U343" s="2518"/>
      <c r="V343" s="2518"/>
      <c r="W343" s="2518"/>
      <c r="X343" s="2518"/>
      <c r="Y343" s="2518"/>
      <c r="Z343" s="2518"/>
      <c r="AA343" s="2518"/>
      <c r="AB343" s="2518"/>
      <c r="AC343" s="2518"/>
      <c r="AD343" s="2518"/>
      <c r="AE343" s="2518"/>
      <c r="AF343" s="2518"/>
      <c r="AG343" s="2518"/>
      <c r="AH343" s="2518"/>
      <c r="AI343" s="2518"/>
      <c r="AJ343" s="2518"/>
      <c r="AK343" s="603"/>
      <c r="AL343" s="603"/>
      <c r="AM343" s="603"/>
      <c r="AN343" s="597"/>
    </row>
    <row r="344" spans="1:44" s="550" customFormat="1" ht="12.75" customHeight="1">
      <c r="A344" s="603"/>
      <c r="B344" s="611"/>
      <c r="C344" s="2518"/>
      <c r="D344" s="2518"/>
      <c r="E344" s="2518"/>
      <c r="F344" s="2518"/>
      <c r="G344" s="2518"/>
      <c r="H344" s="2518"/>
      <c r="I344" s="2518"/>
      <c r="J344" s="2518"/>
      <c r="K344" s="2518"/>
      <c r="L344" s="2518"/>
      <c r="M344" s="2518"/>
      <c r="N344" s="2518"/>
      <c r="O344" s="2518"/>
      <c r="P344" s="2518"/>
      <c r="Q344" s="2518"/>
      <c r="R344" s="2518"/>
      <c r="S344" s="2518"/>
      <c r="T344" s="2518"/>
      <c r="U344" s="2518"/>
      <c r="V344" s="2518"/>
      <c r="W344" s="2518"/>
      <c r="X344" s="2518"/>
      <c r="Y344" s="2518"/>
      <c r="Z344" s="2518"/>
      <c r="AA344" s="2518"/>
      <c r="AB344" s="2518"/>
      <c r="AC344" s="2518"/>
      <c r="AD344" s="2518"/>
      <c r="AE344" s="2518"/>
      <c r="AF344" s="2518"/>
      <c r="AG344" s="2518"/>
      <c r="AH344" s="2518"/>
      <c r="AI344" s="2518"/>
      <c r="AJ344" s="2518"/>
      <c r="AK344" s="603"/>
      <c r="AL344" s="603"/>
      <c r="AM344" s="603"/>
      <c r="AN344" s="597"/>
    </row>
    <row r="345" spans="1:44" s="550" customFormat="1" ht="12.75" customHeight="1">
      <c r="A345" s="603"/>
      <c r="B345" s="611"/>
      <c r="C345" s="2518"/>
      <c r="D345" s="2518"/>
      <c r="E345" s="2518"/>
      <c r="F345" s="2518"/>
      <c r="G345" s="2518"/>
      <c r="H345" s="2518"/>
      <c r="I345" s="2518"/>
      <c r="J345" s="2518"/>
      <c r="K345" s="2518"/>
      <c r="L345" s="2518"/>
      <c r="M345" s="2518"/>
      <c r="N345" s="2518"/>
      <c r="O345" s="2518"/>
      <c r="P345" s="2518"/>
      <c r="Q345" s="2518"/>
      <c r="R345" s="2518"/>
      <c r="S345" s="2518"/>
      <c r="T345" s="2518"/>
      <c r="U345" s="2518"/>
      <c r="V345" s="2518"/>
      <c r="W345" s="2518"/>
      <c r="X345" s="2518"/>
      <c r="Y345" s="2518"/>
      <c r="Z345" s="2518"/>
      <c r="AA345" s="2518"/>
      <c r="AB345" s="2518"/>
      <c r="AC345" s="2518"/>
      <c r="AD345" s="2518"/>
      <c r="AE345" s="2518"/>
      <c r="AF345" s="2518"/>
      <c r="AG345" s="2518"/>
      <c r="AH345" s="2518"/>
      <c r="AI345" s="2518"/>
      <c r="AJ345" s="2518"/>
      <c r="AK345" s="603"/>
      <c r="AL345" s="603"/>
      <c r="AM345" s="603"/>
      <c r="AN345" s="597"/>
      <c r="AQ345" s="570"/>
    </row>
    <row r="346" spans="1:44" s="550" customFormat="1" ht="12.75" customHeight="1">
      <c r="A346" s="603"/>
      <c r="B346" s="611"/>
      <c r="C346" s="2518"/>
      <c r="D346" s="2518"/>
      <c r="E346" s="2518"/>
      <c r="F346" s="2518"/>
      <c r="G346" s="2518"/>
      <c r="H346" s="2518"/>
      <c r="I346" s="2518"/>
      <c r="J346" s="2518"/>
      <c r="K346" s="2518"/>
      <c r="L346" s="2518"/>
      <c r="M346" s="2518"/>
      <c r="N346" s="2518"/>
      <c r="O346" s="2518"/>
      <c r="P346" s="2518"/>
      <c r="Q346" s="2518"/>
      <c r="R346" s="2518"/>
      <c r="S346" s="2518"/>
      <c r="T346" s="2518"/>
      <c r="U346" s="2518"/>
      <c r="V346" s="2518"/>
      <c r="W346" s="2518"/>
      <c r="X346" s="2518"/>
      <c r="Y346" s="2518"/>
      <c r="Z346" s="2518"/>
      <c r="AA346" s="2518"/>
      <c r="AB346" s="2518"/>
      <c r="AC346" s="2518"/>
      <c r="AD346" s="2518"/>
      <c r="AE346" s="2518"/>
      <c r="AF346" s="2518"/>
      <c r="AG346" s="2518"/>
      <c r="AH346" s="2518"/>
      <c r="AI346" s="2518"/>
      <c r="AJ346" s="2518"/>
      <c r="AK346" s="603"/>
      <c r="AL346" s="603"/>
      <c r="AM346" s="603"/>
      <c r="AN346" s="597"/>
      <c r="AQ346" s="570"/>
    </row>
    <row r="347" spans="1:44" s="550" customFormat="1" ht="12.6" customHeight="1">
      <c r="A347" s="603"/>
      <c r="B347" s="611"/>
      <c r="C347" s="2518"/>
      <c r="D347" s="2518"/>
      <c r="E347" s="2518"/>
      <c r="F347" s="2518"/>
      <c r="G347" s="2518"/>
      <c r="H347" s="2518"/>
      <c r="I347" s="2518"/>
      <c r="J347" s="2518"/>
      <c r="K347" s="2518"/>
      <c r="L347" s="2518"/>
      <c r="M347" s="2518"/>
      <c r="N347" s="2518"/>
      <c r="O347" s="2518"/>
      <c r="P347" s="2518"/>
      <c r="Q347" s="2518"/>
      <c r="R347" s="2518"/>
      <c r="S347" s="2518"/>
      <c r="T347" s="2518"/>
      <c r="U347" s="2518"/>
      <c r="V347" s="2518"/>
      <c r="W347" s="2518"/>
      <c r="X347" s="2518"/>
      <c r="Y347" s="2518"/>
      <c r="Z347" s="2518"/>
      <c r="AA347" s="2518"/>
      <c r="AB347" s="2518"/>
      <c r="AC347" s="2518"/>
      <c r="AD347" s="2518"/>
      <c r="AE347" s="2518"/>
      <c r="AF347" s="2518"/>
      <c r="AG347" s="2518"/>
      <c r="AH347" s="2518"/>
      <c r="AI347" s="2518"/>
      <c r="AJ347" s="2518"/>
      <c r="AK347" s="603"/>
      <c r="AL347" s="603"/>
      <c r="AM347" s="603"/>
      <c r="AN347" s="597"/>
      <c r="AQ347" s="570"/>
      <c r="AR347" s="570"/>
    </row>
    <row r="348" spans="1:44" s="550" customFormat="1" ht="45.75" customHeight="1">
      <c r="A348" s="603"/>
      <c r="B348" s="611"/>
      <c r="C348" s="2518" t="s">
        <v>2092</v>
      </c>
      <c r="D348" s="2518"/>
      <c r="E348" s="2518"/>
      <c r="F348" s="2518"/>
      <c r="G348" s="2518"/>
      <c r="H348" s="2518"/>
      <c r="I348" s="2518"/>
      <c r="J348" s="2518"/>
      <c r="K348" s="2518"/>
      <c r="L348" s="2518"/>
      <c r="M348" s="2518"/>
      <c r="N348" s="2518"/>
      <c r="O348" s="2518"/>
      <c r="P348" s="2518"/>
      <c r="Q348" s="2518"/>
      <c r="R348" s="2518"/>
      <c r="S348" s="2518"/>
      <c r="T348" s="2518"/>
      <c r="U348" s="2518"/>
      <c r="V348" s="2518"/>
      <c r="W348" s="2518"/>
      <c r="X348" s="2518"/>
      <c r="Y348" s="2518"/>
      <c r="Z348" s="2518"/>
      <c r="AA348" s="2518"/>
      <c r="AB348" s="2518"/>
      <c r="AC348" s="2518"/>
      <c r="AD348" s="2518"/>
      <c r="AE348" s="2518"/>
      <c r="AF348" s="2518"/>
      <c r="AG348" s="2518"/>
      <c r="AH348" s="2518"/>
      <c r="AI348" s="2518"/>
      <c r="AJ348" s="2518"/>
      <c r="AK348" s="603"/>
      <c r="AL348" s="603"/>
      <c r="AM348" s="603"/>
      <c r="AN348" s="597"/>
      <c r="AQ348" s="570"/>
      <c r="AR348" s="570"/>
    </row>
    <row r="349" spans="1:44" s="550" customFormat="1" ht="12.6"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8" t="s">
        <v>2207</v>
      </c>
      <c r="D350" s="2518"/>
      <c r="E350" s="2518"/>
      <c r="F350" s="2518"/>
      <c r="G350" s="2518"/>
      <c r="H350" s="2518"/>
      <c r="I350" s="2518"/>
      <c r="J350" s="2518"/>
      <c r="K350" s="2518"/>
      <c r="L350" s="2518"/>
      <c r="M350" s="2518"/>
      <c r="N350" s="2518"/>
      <c r="O350" s="2518"/>
      <c r="P350" s="2518"/>
      <c r="Q350" s="2518"/>
      <c r="R350" s="2518"/>
      <c r="S350" s="2518"/>
      <c r="T350" s="2518"/>
      <c r="U350" s="2518"/>
      <c r="V350" s="2518"/>
      <c r="W350" s="2518"/>
      <c r="X350" s="2518"/>
      <c r="Y350" s="2518"/>
      <c r="Z350" s="2518"/>
      <c r="AA350" s="2518"/>
      <c r="AB350" s="2518"/>
      <c r="AC350" s="2518"/>
      <c r="AD350" s="2518"/>
      <c r="AE350" s="2518"/>
      <c r="AF350" s="2518"/>
      <c r="AG350" s="2518"/>
      <c r="AH350" s="2518"/>
      <c r="AI350" s="2518"/>
      <c r="AJ350" s="2518"/>
      <c r="AK350" s="603"/>
      <c r="AL350" s="603"/>
      <c r="AM350" s="603"/>
      <c r="AN350" s="597"/>
      <c r="AQ350" s="570"/>
      <c r="AR350" s="570"/>
    </row>
    <row r="351" spans="1:44" s="550" customFormat="1" ht="30" customHeight="1">
      <c r="A351" s="603"/>
      <c r="B351" s="611"/>
      <c r="C351" s="2518"/>
      <c r="D351" s="2518"/>
      <c r="E351" s="2518"/>
      <c r="F351" s="2518"/>
      <c r="G351" s="2518"/>
      <c r="H351" s="2518"/>
      <c r="I351" s="2518"/>
      <c r="J351" s="2518"/>
      <c r="K351" s="2518"/>
      <c r="L351" s="2518"/>
      <c r="M351" s="2518"/>
      <c r="N351" s="2518"/>
      <c r="O351" s="2518"/>
      <c r="P351" s="2518"/>
      <c r="Q351" s="2518"/>
      <c r="R351" s="2518"/>
      <c r="S351" s="2518"/>
      <c r="T351" s="2518"/>
      <c r="U351" s="2518"/>
      <c r="V351" s="2518"/>
      <c r="W351" s="2518"/>
      <c r="X351" s="2518"/>
      <c r="Y351" s="2518"/>
      <c r="Z351" s="2518"/>
      <c r="AA351" s="2518"/>
      <c r="AB351" s="2518"/>
      <c r="AC351" s="2518"/>
      <c r="AD351" s="2518"/>
      <c r="AE351" s="2518"/>
      <c r="AF351" s="2518"/>
      <c r="AG351" s="2518"/>
      <c r="AH351" s="2518"/>
      <c r="AI351" s="2518"/>
      <c r="AJ351" s="2518"/>
      <c r="AK351" s="603"/>
      <c r="AL351" s="603"/>
      <c r="AM351" s="603"/>
      <c r="AN351" s="597"/>
      <c r="AR351" s="570"/>
    </row>
    <row r="352" spans="1:44" s="550" customFormat="1" ht="12.75" customHeight="1">
      <c r="A352" s="603"/>
      <c r="B352" s="611"/>
      <c r="C352" s="2518"/>
      <c r="D352" s="2518"/>
      <c r="E352" s="2518"/>
      <c r="F352" s="2518"/>
      <c r="G352" s="2518"/>
      <c r="H352" s="2518"/>
      <c r="I352" s="2518"/>
      <c r="J352" s="2518"/>
      <c r="K352" s="2518"/>
      <c r="L352" s="2518"/>
      <c r="M352" s="2518"/>
      <c r="N352" s="2518"/>
      <c r="O352" s="2518"/>
      <c r="P352" s="2518"/>
      <c r="Q352" s="2518"/>
      <c r="R352" s="2518"/>
      <c r="S352" s="2518"/>
      <c r="T352" s="2518"/>
      <c r="U352" s="2518"/>
      <c r="V352" s="2518"/>
      <c r="W352" s="2518"/>
      <c r="X352" s="2518"/>
      <c r="Y352" s="2518"/>
      <c r="Z352" s="2518"/>
      <c r="AA352" s="2518"/>
      <c r="AB352" s="2518"/>
      <c r="AC352" s="2518"/>
      <c r="AD352" s="2518"/>
      <c r="AE352" s="2518"/>
      <c r="AF352" s="2518"/>
      <c r="AG352" s="2518"/>
      <c r="AH352" s="2518"/>
      <c r="AI352" s="2518"/>
      <c r="AJ352" s="2518"/>
      <c r="AK352" s="603"/>
      <c r="AL352" s="603"/>
      <c r="AM352" s="603"/>
      <c r="AN352" s="597"/>
      <c r="AR352" s="570"/>
    </row>
    <row r="353" spans="1:46" s="550" customFormat="1" ht="12.75" customHeight="1">
      <c r="A353" s="603"/>
      <c r="B353" s="611"/>
      <c r="C353" s="2518" t="s">
        <v>1455</v>
      </c>
      <c r="D353" s="2518"/>
      <c r="E353" s="2518"/>
      <c r="F353" s="2518"/>
      <c r="G353" s="2518"/>
      <c r="H353" s="2518"/>
      <c r="I353" s="2518"/>
      <c r="J353" s="2518"/>
      <c r="K353" s="2518"/>
      <c r="L353" s="2518"/>
      <c r="M353" s="2518"/>
      <c r="N353" s="2518"/>
      <c r="O353" s="2518"/>
      <c r="P353" s="2518"/>
      <c r="Q353" s="2518"/>
      <c r="R353" s="2518"/>
      <c r="S353" s="2518"/>
      <c r="T353" s="2518"/>
      <c r="U353" s="2518"/>
      <c r="V353" s="2518"/>
      <c r="W353" s="2518"/>
      <c r="X353" s="2518"/>
      <c r="Y353" s="2518"/>
      <c r="Z353" s="2518"/>
      <c r="AA353" s="2518"/>
      <c r="AB353" s="2518"/>
      <c r="AC353" s="2518"/>
      <c r="AD353" s="2518"/>
      <c r="AE353" s="2518"/>
      <c r="AF353" s="2518"/>
      <c r="AG353" s="2518"/>
      <c r="AH353" s="2518"/>
      <c r="AI353" s="2518"/>
      <c r="AJ353" s="2518"/>
      <c r="AK353" s="603"/>
      <c r="AL353" s="603"/>
      <c r="AM353" s="603"/>
      <c r="AN353" s="597"/>
      <c r="AQ353" s="570"/>
      <c r="AR353" s="570"/>
    </row>
    <row r="354" spans="1:46" s="550" customFormat="1" ht="12.75" customHeight="1">
      <c r="A354" s="603"/>
      <c r="B354" s="611"/>
      <c r="C354" s="2518"/>
      <c r="D354" s="2518"/>
      <c r="E354" s="2518"/>
      <c r="F354" s="2518"/>
      <c r="G354" s="2518"/>
      <c r="H354" s="2518"/>
      <c r="I354" s="2518"/>
      <c r="J354" s="2518"/>
      <c r="K354" s="2518"/>
      <c r="L354" s="2518"/>
      <c r="M354" s="2518"/>
      <c r="N354" s="2518"/>
      <c r="O354" s="2518"/>
      <c r="P354" s="2518"/>
      <c r="Q354" s="2518"/>
      <c r="R354" s="2518"/>
      <c r="S354" s="2518"/>
      <c r="T354" s="2518"/>
      <c r="U354" s="2518"/>
      <c r="V354" s="2518"/>
      <c r="W354" s="2518"/>
      <c r="X354" s="2518"/>
      <c r="Y354" s="2518"/>
      <c r="Z354" s="2518"/>
      <c r="AA354" s="2518"/>
      <c r="AB354" s="2518"/>
      <c r="AC354" s="2518"/>
      <c r="AD354" s="2518"/>
      <c r="AE354" s="2518"/>
      <c r="AF354" s="2518"/>
      <c r="AG354" s="2518"/>
      <c r="AH354" s="2518"/>
      <c r="AI354" s="2518"/>
      <c r="AJ354" s="2518"/>
      <c r="AK354" s="603"/>
      <c r="AL354" s="603"/>
      <c r="AM354" s="603"/>
      <c r="AN354" s="597"/>
      <c r="AQ354" s="570"/>
      <c r="AR354" s="570"/>
    </row>
    <row r="355" spans="1:46" s="550" customFormat="1" ht="13.35" customHeight="1">
      <c r="A355" s="603"/>
      <c r="B355" s="611"/>
      <c r="C355" s="2518"/>
      <c r="D355" s="2518"/>
      <c r="E355" s="2518"/>
      <c r="F355" s="2518"/>
      <c r="G355" s="2518"/>
      <c r="H355" s="2518"/>
      <c r="I355" s="2518"/>
      <c r="J355" s="2518"/>
      <c r="K355" s="2518"/>
      <c r="L355" s="2518"/>
      <c r="M355" s="2518"/>
      <c r="N355" s="2518"/>
      <c r="O355" s="2518"/>
      <c r="P355" s="2518"/>
      <c r="Q355" s="2518"/>
      <c r="R355" s="2518"/>
      <c r="S355" s="2518"/>
      <c r="T355" s="2518"/>
      <c r="U355" s="2518"/>
      <c r="V355" s="2518"/>
      <c r="W355" s="2518"/>
      <c r="X355" s="2518"/>
      <c r="Y355" s="2518"/>
      <c r="Z355" s="2518"/>
      <c r="AA355" s="2518"/>
      <c r="AB355" s="2518"/>
      <c r="AC355" s="2518"/>
      <c r="AD355" s="2518"/>
      <c r="AE355" s="2518"/>
      <c r="AF355" s="2518"/>
      <c r="AG355" s="2518"/>
      <c r="AH355" s="2518"/>
      <c r="AI355" s="2518"/>
      <c r="AJ355" s="2518"/>
      <c r="AK355" s="603"/>
      <c r="AL355" s="603"/>
      <c r="AM355" s="603"/>
      <c r="AN355" s="597"/>
      <c r="AQ355" s="570"/>
      <c r="AR355" s="570"/>
    </row>
    <row r="356" spans="1:46" s="550" customFormat="1" ht="12.75" customHeight="1">
      <c r="A356" s="603"/>
      <c r="B356" s="611"/>
      <c r="C356" s="2518"/>
      <c r="D356" s="2518"/>
      <c r="E356" s="2518"/>
      <c r="F356" s="2518"/>
      <c r="G356" s="2518"/>
      <c r="H356" s="2518"/>
      <c r="I356" s="2518"/>
      <c r="J356" s="2518"/>
      <c r="K356" s="2518"/>
      <c r="L356" s="2518"/>
      <c r="M356" s="2518"/>
      <c r="N356" s="2518"/>
      <c r="O356" s="2518"/>
      <c r="P356" s="2518"/>
      <c r="Q356" s="2518"/>
      <c r="R356" s="2518"/>
      <c r="S356" s="2518"/>
      <c r="T356" s="2518"/>
      <c r="U356" s="2518"/>
      <c r="V356" s="2518"/>
      <c r="W356" s="2518"/>
      <c r="X356" s="2518"/>
      <c r="Y356" s="2518"/>
      <c r="Z356" s="2518"/>
      <c r="AA356" s="2518"/>
      <c r="AB356" s="2518"/>
      <c r="AC356" s="2518"/>
      <c r="AD356" s="2518"/>
      <c r="AE356" s="2518"/>
      <c r="AF356" s="2518"/>
      <c r="AG356" s="2518"/>
      <c r="AH356" s="2518"/>
      <c r="AI356" s="2518"/>
      <c r="AJ356" s="2518"/>
      <c r="AK356" s="603"/>
      <c r="AL356" s="603"/>
      <c r="AM356" s="603"/>
      <c r="AN356" s="597"/>
      <c r="AO356" s="694"/>
      <c r="AP356" s="694"/>
      <c r="AQ356" s="570"/>
    </row>
    <row r="357" spans="1:46" s="550" customFormat="1" ht="11.85" customHeight="1">
      <c r="A357" s="603"/>
      <c r="B357" s="611"/>
      <c r="C357" s="2518"/>
      <c r="D357" s="2518"/>
      <c r="E357" s="2518"/>
      <c r="F357" s="2518"/>
      <c r="G357" s="2518"/>
      <c r="H357" s="2518"/>
      <c r="I357" s="2518"/>
      <c r="J357" s="2518"/>
      <c r="K357" s="2518"/>
      <c r="L357" s="2518"/>
      <c r="M357" s="2518"/>
      <c r="N357" s="2518"/>
      <c r="O357" s="2518"/>
      <c r="P357" s="2518"/>
      <c r="Q357" s="2518"/>
      <c r="R357" s="2518"/>
      <c r="S357" s="2518"/>
      <c r="T357" s="2518"/>
      <c r="U357" s="2518"/>
      <c r="V357" s="2518"/>
      <c r="W357" s="2518"/>
      <c r="X357" s="2518"/>
      <c r="Y357" s="2518"/>
      <c r="Z357" s="2518"/>
      <c r="AA357" s="2518"/>
      <c r="AB357" s="2518"/>
      <c r="AC357" s="2518"/>
      <c r="AD357" s="2518"/>
      <c r="AE357" s="2518"/>
      <c r="AF357" s="2518"/>
      <c r="AG357" s="2518"/>
      <c r="AH357" s="2518"/>
      <c r="AI357" s="2518"/>
      <c r="AJ357" s="2518"/>
      <c r="AK357" s="603"/>
      <c r="AL357" s="603"/>
      <c r="AM357" s="603"/>
      <c r="AN357" s="597"/>
      <c r="AO357" s="695" t="s">
        <v>112</v>
      </c>
      <c r="AP357" s="696">
        <f>IF(C381="Yes",5,0)</f>
        <v>5</v>
      </c>
      <c r="AS357" s="539" t="s">
        <v>1456</v>
      </c>
    </row>
    <row r="358" spans="1:46" s="550" customFormat="1" ht="12.75" customHeight="1">
      <c r="A358" s="603"/>
      <c r="B358" s="611"/>
      <c r="C358" s="2518"/>
      <c r="D358" s="2518"/>
      <c r="E358" s="2518"/>
      <c r="F358" s="2518"/>
      <c r="G358" s="2518"/>
      <c r="H358" s="2518"/>
      <c r="I358" s="2518"/>
      <c r="J358" s="2518"/>
      <c r="K358" s="2518"/>
      <c r="L358" s="2518"/>
      <c r="M358" s="2518"/>
      <c r="N358" s="2518"/>
      <c r="O358" s="2518"/>
      <c r="P358" s="2518"/>
      <c r="Q358" s="2518"/>
      <c r="R358" s="2518"/>
      <c r="S358" s="2518"/>
      <c r="T358" s="2518"/>
      <c r="U358" s="2518"/>
      <c r="V358" s="2518"/>
      <c r="W358" s="2518"/>
      <c r="X358" s="2518"/>
      <c r="Y358" s="2518"/>
      <c r="Z358" s="2518"/>
      <c r="AA358" s="2518"/>
      <c r="AB358" s="2518"/>
      <c r="AC358" s="2518"/>
      <c r="AD358" s="2518"/>
      <c r="AE358" s="2518"/>
      <c r="AF358" s="2518"/>
      <c r="AG358" s="2518"/>
      <c r="AH358" s="2518"/>
      <c r="AI358" s="2518"/>
      <c r="AJ358" s="2518"/>
      <c r="AK358" s="603"/>
      <c r="AL358" s="603"/>
      <c r="AM358" s="603"/>
      <c r="AN358" s="597"/>
      <c r="AO358" s="695" t="s">
        <v>113</v>
      </c>
      <c r="AP358" s="696">
        <f>IF(C389="Yes",5,0)</f>
        <v>5</v>
      </c>
      <c r="AS358" s="2539">
        <f>IF(Application!D211="Non-Targeted",(SUM(AQ366+AQ375)),AS362)</f>
        <v>10</v>
      </c>
      <c r="AT358" s="2539"/>
    </row>
    <row r="359" spans="1:46" s="550" customFormat="1" ht="12.75" customHeight="1">
      <c r="A359" s="603"/>
      <c r="B359" s="611"/>
      <c r="C359" s="2518"/>
      <c r="D359" s="2518"/>
      <c r="E359" s="2518"/>
      <c r="F359" s="2518"/>
      <c r="G359" s="2518"/>
      <c r="H359" s="2518"/>
      <c r="I359" s="2518"/>
      <c r="J359" s="2518"/>
      <c r="K359" s="2518"/>
      <c r="L359" s="2518"/>
      <c r="M359" s="2518"/>
      <c r="N359" s="2518"/>
      <c r="O359" s="2518"/>
      <c r="P359" s="2518"/>
      <c r="Q359" s="2518"/>
      <c r="R359" s="2518"/>
      <c r="S359" s="2518"/>
      <c r="T359" s="2518"/>
      <c r="U359" s="2518"/>
      <c r="V359" s="2518"/>
      <c r="W359" s="2518"/>
      <c r="X359" s="2518"/>
      <c r="Y359" s="2518"/>
      <c r="Z359" s="2518"/>
      <c r="AA359" s="2518"/>
      <c r="AB359" s="2518"/>
      <c r="AC359" s="2518"/>
      <c r="AD359" s="2518"/>
      <c r="AE359" s="2518"/>
      <c r="AF359" s="2518"/>
      <c r="AG359" s="2518"/>
      <c r="AH359" s="2518"/>
      <c r="AI359" s="2518"/>
      <c r="AJ359" s="2518"/>
      <c r="AK359" s="603"/>
      <c r="AL359" s="603"/>
      <c r="AM359" s="603"/>
      <c r="AN359" s="597"/>
      <c r="AO359" s="695" t="s">
        <v>119</v>
      </c>
      <c r="AP359" s="696">
        <f>IF(C397="Yes",7,0)</f>
        <v>0</v>
      </c>
      <c r="AS359" s="539" t="s">
        <v>1457</v>
      </c>
    </row>
    <row r="360" spans="1:46" s="550" customFormat="1" ht="12.75" customHeight="1">
      <c r="A360" s="603"/>
      <c r="B360" s="611"/>
      <c r="C360" s="2518"/>
      <c r="D360" s="2518"/>
      <c r="E360" s="2518"/>
      <c r="F360" s="2518"/>
      <c r="G360" s="2518"/>
      <c r="H360" s="2518"/>
      <c r="I360" s="2518"/>
      <c r="J360" s="2518"/>
      <c r="K360" s="2518"/>
      <c r="L360" s="2518"/>
      <c r="M360" s="2518"/>
      <c r="N360" s="2518"/>
      <c r="O360" s="2518"/>
      <c r="P360" s="2518"/>
      <c r="Q360" s="2518"/>
      <c r="R360" s="2518"/>
      <c r="S360" s="2518"/>
      <c r="T360" s="2518"/>
      <c r="U360" s="2518"/>
      <c r="V360" s="2518"/>
      <c r="W360" s="2518"/>
      <c r="X360" s="2518"/>
      <c r="Y360" s="2518"/>
      <c r="Z360" s="2518"/>
      <c r="AA360" s="2518"/>
      <c r="AB360" s="2518"/>
      <c r="AC360" s="2518"/>
      <c r="AD360" s="2518"/>
      <c r="AE360" s="2518"/>
      <c r="AF360" s="2518"/>
      <c r="AG360" s="2518"/>
      <c r="AH360" s="2518"/>
      <c r="AI360" s="2518"/>
      <c r="AJ360" s="2518"/>
      <c r="AK360" s="603"/>
      <c r="AL360" s="603"/>
      <c r="AM360" s="603"/>
      <c r="AN360" s="597"/>
      <c r="AO360" s="597"/>
      <c r="AP360" s="696">
        <f>IF(C399="Yes",5,0)</f>
        <v>0</v>
      </c>
      <c r="AS360" s="2539">
        <f>IF(AND(AQ366&gt;0,AQ375&gt;0),(AQ366+AQ375)/2,0)</f>
        <v>0</v>
      </c>
      <c r="AT360" s="2539"/>
    </row>
    <row r="361" spans="1:46" s="550" customFormat="1" ht="12.75" customHeight="1">
      <c r="A361" s="603"/>
      <c r="B361" s="611"/>
      <c r="C361" s="2518"/>
      <c r="D361" s="2518"/>
      <c r="E361" s="2518"/>
      <c r="F361" s="2518"/>
      <c r="G361" s="2518"/>
      <c r="H361" s="2518"/>
      <c r="I361" s="2518"/>
      <c r="J361" s="2518"/>
      <c r="K361" s="2518"/>
      <c r="L361" s="2518"/>
      <c r="M361" s="2518"/>
      <c r="N361" s="2518"/>
      <c r="O361" s="2518"/>
      <c r="P361" s="2518"/>
      <c r="Q361" s="2518"/>
      <c r="R361" s="2518"/>
      <c r="S361" s="2518"/>
      <c r="T361" s="2518"/>
      <c r="U361" s="2518"/>
      <c r="V361" s="2518"/>
      <c r="W361" s="2518"/>
      <c r="X361" s="2518"/>
      <c r="Y361" s="2518"/>
      <c r="Z361" s="2518"/>
      <c r="AA361" s="2518"/>
      <c r="AB361" s="2518"/>
      <c r="AC361" s="2518"/>
      <c r="AD361" s="2518"/>
      <c r="AE361" s="2518"/>
      <c r="AF361" s="2518"/>
      <c r="AG361" s="2518"/>
      <c r="AH361" s="2518"/>
      <c r="AI361" s="2518"/>
      <c r="AJ361" s="2518"/>
      <c r="AK361" s="603"/>
      <c r="AL361" s="603"/>
      <c r="AM361" s="603"/>
      <c r="AN361" s="597"/>
      <c r="AO361" s="695" t="s">
        <v>581</v>
      </c>
      <c r="AP361" s="696">
        <f>IF(C407="Yes",5,0)</f>
        <v>0</v>
      </c>
      <c r="AS361" s="539" t="s">
        <v>1878</v>
      </c>
    </row>
    <row r="362" spans="1:46" s="550" customFormat="1" ht="12.75" customHeight="1">
      <c r="A362" s="603"/>
      <c r="B362" s="611"/>
      <c r="C362" s="2540" t="s">
        <v>2231</v>
      </c>
      <c r="D362" s="2540"/>
      <c r="E362" s="2540"/>
      <c r="F362" s="2540"/>
      <c r="G362" s="2540"/>
      <c r="H362" s="2540"/>
      <c r="I362" s="2540"/>
      <c r="J362" s="2540"/>
      <c r="K362" s="2540"/>
      <c r="L362" s="2540"/>
      <c r="M362" s="2540"/>
      <c r="N362" s="2540"/>
      <c r="O362" s="2540"/>
      <c r="P362" s="2540"/>
      <c r="Q362" s="2540"/>
      <c r="R362" s="2540"/>
      <c r="S362" s="2540"/>
      <c r="T362" s="2540"/>
      <c r="U362" s="2540"/>
      <c r="V362" s="2540"/>
      <c r="W362" s="2540"/>
      <c r="X362" s="2540"/>
      <c r="Y362" s="2540"/>
      <c r="Z362" s="2540"/>
      <c r="AA362" s="2540"/>
      <c r="AB362" s="2540"/>
      <c r="AC362" s="2540"/>
      <c r="AD362" s="2540"/>
      <c r="AE362" s="2540"/>
      <c r="AF362" s="2540"/>
      <c r="AG362" s="2540"/>
      <c r="AH362" s="2540"/>
      <c r="AI362" s="2540"/>
      <c r="AJ362" s="2540"/>
      <c r="AK362" s="603"/>
      <c r="AL362" s="603"/>
      <c r="AM362" s="603"/>
      <c r="AN362" s="597"/>
      <c r="AO362" s="597"/>
      <c r="AP362" s="696">
        <f>IF(C409="Yes",3,0)</f>
        <v>0</v>
      </c>
      <c r="AS362" s="2539">
        <f>IF(AQ366=0,AQ375,AQ366)</f>
        <v>10</v>
      </c>
      <c r="AT362" s="2539"/>
    </row>
    <row r="363" spans="1:46" s="550" customFormat="1" ht="12.75" customHeight="1">
      <c r="A363" s="603"/>
      <c r="B363" s="611"/>
      <c r="C363" s="2540"/>
      <c r="D363" s="2540"/>
      <c r="E363" s="2540"/>
      <c r="F363" s="2540"/>
      <c r="G363" s="2540"/>
      <c r="H363" s="2540"/>
      <c r="I363" s="2540"/>
      <c r="J363" s="2540"/>
      <c r="K363" s="2540"/>
      <c r="L363" s="2540"/>
      <c r="M363" s="2540"/>
      <c r="N363" s="2540"/>
      <c r="O363" s="2540"/>
      <c r="P363" s="2540"/>
      <c r="Q363" s="2540"/>
      <c r="R363" s="2540"/>
      <c r="S363" s="2540"/>
      <c r="T363" s="2540"/>
      <c r="U363" s="2540"/>
      <c r="V363" s="2540"/>
      <c r="W363" s="2540"/>
      <c r="X363" s="2540"/>
      <c r="Y363" s="2540"/>
      <c r="Z363" s="2540"/>
      <c r="AA363" s="2540"/>
      <c r="AB363" s="2540"/>
      <c r="AC363" s="2540"/>
      <c r="AD363" s="2540"/>
      <c r="AE363" s="2540"/>
      <c r="AF363" s="2540"/>
      <c r="AG363" s="2540"/>
      <c r="AH363" s="2540"/>
      <c r="AI363" s="2540"/>
      <c r="AJ363" s="2540"/>
      <c r="AK363" s="603"/>
      <c r="AL363" s="603"/>
      <c r="AM363" s="603"/>
      <c r="AN363" s="597"/>
      <c r="AO363" s="695" t="s">
        <v>763</v>
      </c>
      <c r="AP363" s="696">
        <f>IF(C412="Yes",5,0)</f>
        <v>0</v>
      </c>
    </row>
    <row r="364" spans="1:46" s="550" customFormat="1" ht="12.75" customHeight="1">
      <c r="A364" s="603"/>
      <c r="B364" s="611"/>
      <c r="C364" s="2540"/>
      <c r="D364" s="2540"/>
      <c r="E364" s="2540"/>
      <c r="F364" s="2540"/>
      <c r="G364" s="2540"/>
      <c r="H364" s="2540"/>
      <c r="I364" s="2540"/>
      <c r="J364" s="2540"/>
      <c r="K364" s="2540"/>
      <c r="L364" s="2540"/>
      <c r="M364" s="2540"/>
      <c r="N364" s="2540"/>
      <c r="O364" s="2540"/>
      <c r="P364" s="2540"/>
      <c r="Q364" s="2540"/>
      <c r="R364" s="2540"/>
      <c r="S364" s="2540"/>
      <c r="T364" s="2540"/>
      <c r="U364" s="2540"/>
      <c r="V364" s="2540"/>
      <c r="W364" s="2540"/>
      <c r="X364" s="2540"/>
      <c r="Y364" s="2540"/>
      <c r="Z364" s="2540"/>
      <c r="AA364" s="2540"/>
      <c r="AB364" s="2540"/>
      <c r="AC364" s="2540"/>
      <c r="AD364" s="2540"/>
      <c r="AE364" s="2540"/>
      <c r="AF364" s="2540"/>
      <c r="AG364" s="2540"/>
      <c r="AH364" s="2540"/>
      <c r="AI364" s="2540"/>
      <c r="AJ364" s="2540"/>
      <c r="AK364" s="603"/>
      <c r="AL364" s="603"/>
      <c r="AM364" s="603"/>
      <c r="AN364" s="597"/>
      <c r="AO364" s="695" t="s">
        <v>584</v>
      </c>
      <c r="AP364" s="696">
        <f>IF(C421="Yes",5,0)</f>
        <v>0</v>
      </c>
    </row>
    <row r="365" spans="1:46" s="550" customFormat="1" ht="11.85" customHeight="1">
      <c r="A365" s="603"/>
      <c r="B365" s="611"/>
      <c r="C365" s="2540"/>
      <c r="D365" s="2540"/>
      <c r="E365" s="2540"/>
      <c r="F365" s="2540"/>
      <c r="G365" s="2540"/>
      <c r="H365" s="2540"/>
      <c r="I365" s="2540"/>
      <c r="J365" s="2540"/>
      <c r="K365" s="2540"/>
      <c r="L365" s="2540"/>
      <c r="M365" s="2540"/>
      <c r="N365" s="2540"/>
      <c r="O365" s="2540"/>
      <c r="P365" s="2540"/>
      <c r="Q365" s="2540"/>
      <c r="R365" s="2540"/>
      <c r="S365" s="2540"/>
      <c r="T365" s="2540"/>
      <c r="U365" s="2540"/>
      <c r="V365" s="2540"/>
      <c r="W365" s="2540"/>
      <c r="X365" s="2540"/>
      <c r="Y365" s="2540"/>
      <c r="Z365" s="2540"/>
      <c r="AA365" s="2540"/>
      <c r="AB365" s="2540"/>
      <c r="AC365" s="2540"/>
      <c r="AD365" s="2540"/>
      <c r="AE365" s="2540"/>
      <c r="AF365" s="2540"/>
      <c r="AG365" s="2540"/>
      <c r="AH365" s="2540"/>
      <c r="AI365" s="2540"/>
      <c r="AJ365" s="2540"/>
      <c r="AK365" s="603"/>
      <c r="AL365" s="603"/>
      <c r="AM365" s="603"/>
      <c r="AN365" s="597"/>
      <c r="AO365" s="697"/>
      <c r="AP365" s="698">
        <f>IF(C423="Yes",3,0)</f>
        <v>0</v>
      </c>
    </row>
    <row r="366" spans="1:46" s="550" customFormat="1" ht="12.6" customHeight="1">
      <c r="A366" s="603"/>
      <c r="B366" s="611"/>
      <c r="C366" s="2540"/>
      <c r="D366" s="2540"/>
      <c r="E366" s="2540"/>
      <c r="F366" s="2540"/>
      <c r="G366" s="2540"/>
      <c r="H366" s="2540"/>
      <c r="I366" s="2540"/>
      <c r="J366" s="2540"/>
      <c r="K366" s="2540"/>
      <c r="L366" s="2540"/>
      <c r="M366" s="2540"/>
      <c r="N366" s="2540"/>
      <c r="O366" s="2540"/>
      <c r="P366" s="2540"/>
      <c r="Q366" s="2540"/>
      <c r="R366" s="2540"/>
      <c r="S366" s="2540"/>
      <c r="T366" s="2540"/>
      <c r="U366" s="2540"/>
      <c r="V366" s="2540"/>
      <c r="W366" s="2540"/>
      <c r="X366" s="2540"/>
      <c r="Y366" s="2540"/>
      <c r="Z366" s="2540"/>
      <c r="AA366" s="2540"/>
      <c r="AB366" s="2540"/>
      <c r="AC366" s="2540"/>
      <c r="AD366" s="2540"/>
      <c r="AE366" s="2540"/>
      <c r="AF366" s="2540"/>
      <c r="AG366" s="2540"/>
      <c r="AH366" s="2540"/>
      <c r="AI366" s="2540"/>
      <c r="AJ366" s="2540"/>
      <c r="AK366" s="603"/>
      <c r="AL366" s="603"/>
      <c r="AM366" s="603"/>
      <c r="AN366" s="597"/>
      <c r="AO366" s="699" t="s">
        <v>226</v>
      </c>
      <c r="AP366" s="700">
        <f>SUM(AP357:AP365)</f>
        <v>10</v>
      </c>
      <c r="AQ366" s="2541">
        <f>IF(AP366&gt;0,AP366,0)</f>
        <v>10</v>
      </c>
      <c r="AR366" s="2541"/>
    </row>
    <row r="367" spans="1:46" s="550" customFormat="1" ht="12.75" customHeight="1">
      <c r="A367" s="603"/>
      <c r="B367" s="611"/>
      <c r="C367" s="2540"/>
      <c r="D367" s="2540"/>
      <c r="E367" s="2540"/>
      <c r="F367" s="2540"/>
      <c r="G367" s="2540"/>
      <c r="H367" s="2540"/>
      <c r="I367" s="2540"/>
      <c r="J367" s="2540"/>
      <c r="K367" s="2540"/>
      <c r="L367" s="2540"/>
      <c r="M367" s="2540"/>
      <c r="N367" s="2540"/>
      <c r="O367" s="2540"/>
      <c r="P367" s="2540"/>
      <c r="Q367" s="2540"/>
      <c r="R367" s="2540"/>
      <c r="S367" s="2540"/>
      <c r="T367" s="2540"/>
      <c r="U367" s="2540"/>
      <c r="V367" s="2540"/>
      <c r="W367" s="2540"/>
      <c r="X367" s="2540"/>
      <c r="Y367" s="2540"/>
      <c r="Z367" s="2540"/>
      <c r="AA367" s="2540"/>
      <c r="AB367" s="2540"/>
      <c r="AC367" s="2540"/>
      <c r="AD367" s="2540"/>
      <c r="AE367" s="2540"/>
      <c r="AF367" s="2540"/>
      <c r="AG367" s="2540"/>
      <c r="AH367" s="2540"/>
      <c r="AI367" s="2540"/>
      <c r="AJ367" s="2540"/>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518" t="s">
        <v>1458</v>
      </c>
      <c r="D369" s="2518"/>
      <c r="E369" s="2518"/>
      <c r="F369" s="2518"/>
      <c r="G369" s="2518"/>
      <c r="H369" s="2518"/>
      <c r="I369" s="2518"/>
      <c r="J369" s="2518"/>
      <c r="K369" s="2518"/>
      <c r="L369" s="2518"/>
      <c r="M369" s="2518"/>
      <c r="N369" s="2518"/>
      <c r="O369" s="2518"/>
      <c r="P369" s="2518"/>
      <c r="Q369" s="2518"/>
      <c r="R369" s="2518"/>
      <c r="S369" s="2518"/>
      <c r="T369" s="2518"/>
      <c r="U369" s="2518"/>
      <c r="V369" s="2518"/>
      <c r="W369" s="2518"/>
      <c r="X369" s="2518"/>
      <c r="Y369" s="2518"/>
      <c r="Z369" s="2518"/>
      <c r="AA369" s="2518"/>
      <c r="AB369" s="2518"/>
      <c r="AC369" s="2518"/>
      <c r="AD369" s="2518"/>
      <c r="AE369" s="2518"/>
      <c r="AF369" s="2518"/>
      <c r="AG369" s="2518"/>
      <c r="AH369" s="2518"/>
      <c r="AI369" s="2518"/>
      <c r="AJ369" s="2518"/>
      <c r="AK369" s="603"/>
      <c r="AL369" s="603"/>
      <c r="AM369" s="603"/>
      <c r="AN369" s="597"/>
      <c r="AO369" s="695" t="s">
        <v>456</v>
      </c>
      <c r="AP369" s="696">
        <f>IF(C442="Yes",5,0)</f>
        <v>0</v>
      </c>
    </row>
    <row r="370" spans="1:81" s="550" customFormat="1" ht="12.75" customHeight="1">
      <c r="A370" s="603"/>
      <c r="B370" s="611"/>
      <c r="C370" s="2518"/>
      <c r="D370" s="2518"/>
      <c r="E370" s="2518"/>
      <c r="F370" s="2518"/>
      <c r="G370" s="2518"/>
      <c r="H370" s="2518"/>
      <c r="I370" s="2518"/>
      <c r="J370" s="2518"/>
      <c r="K370" s="2518"/>
      <c r="L370" s="2518"/>
      <c r="M370" s="2518"/>
      <c r="N370" s="2518"/>
      <c r="O370" s="2518"/>
      <c r="P370" s="2518"/>
      <c r="Q370" s="2518"/>
      <c r="R370" s="2518"/>
      <c r="S370" s="2518"/>
      <c r="T370" s="2518"/>
      <c r="U370" s="2518"/>
      <c r="V370" s="2518"/>
      <c r="W370" s="2518"/>
      <c r="X370" s="2518"/>
      <c r="Y370" s="2518"/>
      <c r="Z370" s="2518"/>
      <c r="AA370" s="2518"/>
      <c r="AB370" s="2518"/>
      <c r="AC370" s="2518"/>
      <c r="AD370" s="2518"/>
      <c r="AE370" s="2518"/>
      <c r="AF370" s="2518"/>
      <c r="AG370" s="2518"/>
      <c r="AH370" s="2518"/>
      <c r="AI370" s="2518"/>
      <c r="AJ370" s="2518"/>
      <c r="AK370" s="603"/>
      <c r="AL370" s="603"/>
      <c r="AM370" s="603"/>
      <c r="AN370" s="597"/>
      <c r="AO370" s="695" t="s">
        <v>461</v>
      </c>
      <c r="AP370" s="696">
        <f>IF(C449="Yes",5,0)</f>
        <v>0</v>
      </c>
    </row>
    <row r="371" spans="1:81" s="550" customFormat="1" ht="68.099999999999994" customHeight="1">
      <c r="A371" s="603"/>
      <c r="B371" s="611"/>
      <c r="C371" s="2518"/>
      <c r="D371" s="2518"/>
      <c r="E371" s="2518"/>
      <c r="F371" s="2518"/>
      <c r="G371" s="2518"/>
      <c r="H371" s="2518"/>
      <c r="I371" s="2518"/>
      <c r="J371" s="2518"/>
      <c r="K371" s="2518"/>
      <c r="L371" s="2518"/>
      <c r="M371" s="2518"/>
      <c r="N371" s="2518"/>
      <c r="O371" s="2518"/>
      <c r="P371" s="2518"/>
      <c r="Q371" s="2518"/>
      <c r="R371" s="2518"/>
      <c r="S371" s="2518"/>
      <c r="T371" s="2518"/>
      <c r="U371" s="2518"/>
      <c r="V371" s="2518"/>
      <c r="W371" s="2518"/>
      <c r="X371" s="2518"/>
      <c r="Y371" s="2518"/>
      <c r="Z371" s="2518"/>
      <c r="AA371" s="2518"/>
      <c r="AB371" s="2518"/>
      <c r="AC371" s="2518"/>
      <c r="AD371" s="2518"/>
      <c r="AE371" s="2518"/>
      <c r="AF371" s="2518"/>
      <c r="AG371" s="2518"/>
      <c r="AH371" s="2518"/>
      <c r="AI371" s="2518"/>
      <c r="AJ371" s="2518"/>
      <c r="AK371" s="603"/>
      <c r="AL371" s="603"/>
      <c r="AM371" s="603"/>
      <c r="AN371" s="597"/>
      <c r="AO371" s="695" t="s">
        <v>646</v>
      </c>
      <c r="AP371" s="701">
        <f>IF(C453="Yes",5,0)</f>
        <v>0</v>
      </c>
    </row>
    <row r="372" spans="1:81" s="550" customFormat="1" ht="12.6" customHeight="1">
      <c r="A372" s="603"/>
      <c r="B372" s="611"/>
      <c r="C372" s="550" t="s">
        <v>1459</v>
      </c>
      <c r="AF372" s="603"/>
      <c r="AG372" s="603"/>
      <c r="AH372" s="603"/>
      <c r="AI372" s="603"/>
      <c r="AJ372" s="603"/>
      <c r="AK372" s="603"/>
      <c r="AL372" s="603"/>
      <c r="AM372" s="603"/>
      <c r="AN372" s="597"/>
      <c r="AO372" s="695" t="s">
        <v>361</v>
      </c>
      <c r="AP372" s="696">
        <f>IF(C457="Yes",5,0)</f>
        <v>0</v>
      </c>
    </row>
    <row r="373" spans="1:81" s="550" customFormat="1" ht="12.75" customHeight="1">
      <c r="A373" s="603"/>
      <c r="B373" s="611"/>
      <c r="C373" s="702" t="s">
        <v>2210</v>
      </c>
      <c r="D373" s="703"/>
      <c r="E373" s="703"/>
      <c r="F373" s="703"/>
      <c r="G373" s="703"/>
      <c r="H373" s="703"/>
      <c r="I373" s="703"/>
      <c r="J373" s="703"/>
      <c r="K373" s="703"/>
      <c r="L373" s="703"/>
      <c r="M373" s="667"/>
      <c r="N373" s="667"/>
      <c r="O373" s="704"/>
      <c r="P373" s="703"/>
      <c r="Q373" s="703"/>
      <c r="R373" s="667"/>
      <c r="S373" s="667"/>
      <c r="T373" s="703"/>
      <c r="U373" s="2626">
        <f>Application!DU802-U374</f>
        <v>126</v>
      </c>
      <c r="V373" s="2626"/>
      <c r="W373" s="2626"/>
      <c r="X373" s="703"/>
      <c r="Y373" s="703"/>
      <c r="Z373" s="703"/>
      <c r="AA373" s="705"/>
      <c r="AB373" s="706"/>
      <c r="AC373" s="706"/>
      <c r="AD373" s="706"/>
      <c r="AE373" s="603"/>
      <c r="AF373" s="603"/>
      <c r="AG373" s="603"/>
      <c r="AH373" s="603"/>
      <c r="AI373" s="603"/>
      <c r="AJ373" s="603"/>
      <c r="AK373" s="603"/>
      <c r="AL373" s="603"/>
      <c r="AM373" s="603"/>
      <c r="AN373" s="597"/>
      <c r="AO373" s="695" t="s">
        <v>362</v>
      </c>
      <c r="AP373" s="696">
        <f>IF(C466="Yes",5,0)</f>
        <v>0</v>
      </c>
    </row>
    <row r="374" spans="1:81" s="550" customFormat="1" ht="12.75" customHeight="1">
      <c r="A374" s="603"/>
      <c r="B374" s="611"/>
      <c r="C374" s="707" t="s">
        <v>2211</v>
      </c>
      <c r="D374" s="694"/>
      <c r="E374" s="694"/>
      <c r="F374" s="694"/>
      <c r="G374" s="694"/>
      <c r="H374" s="694"/>
      <c r="I374" s="694"/>
      <c r="J374" s="694"/>
      <c r="K374" s="694"/>
      <c r="L374" s="694"/>
      <c r="M374" s="694"/>
      <c r="N374" s="694"/>
      <c r="O374" s="694"/>
      <c r="P374" s="694"/>
      <c r="Q374" s="694"/>
      <c r="R374" s="694"/>
      <c r="S374" s="694"/>
      <c r="T374" s="694"/>
      <c r="U374" s="2627">
        <f>IF(Application!D211="SRO",Application!DU755,Application!AG756)</f>
        <v>0</v>
      </c>
      <c r="V374" s="2627"/>
      <c r="W374" s="2627"/>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226</v>
      </c>
      <c r="AP375" s="711">
        <f>SUM(AP368:AP373)</f>
        <v>0</v>
      </c>
      <c r="AQ375" s="2541">
        <f>IF(AP375&gt;0,AP375,0)</f>
        <v>0</v>
      </c>
      <c r="AR375" s="2541"/>
    </row>
    <row r="376" spans="1:81" s="550" customFormat="1" ht="12.75" customHeight="1">
      <c r="A376" s="603"/>
      <c r="B376" s="14"/>
      <c r="C376" s="712" t="s">
        <v>2208</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1315</v>
      </c>
      <c r="F377" s="2522" t="s">
        <v>1460</v>
      </c>
      <c r="G377" s="2522"/>
      <c r="H377" s="2522"/>
      <c r="I377" s="2522"/>
      <c r="J377" s="2522"/>
      <c r="K377" s="2522"/>
      <c r="L377" s="2522"/>
      <c r="M377" s="2522"/>
      <c r="N377" s="2522"/>
      <c r="O377" s="2522"/>
      <c r="P377" s="2522"/>
      <c r="Q377" s="2522"/>
      <c r="R377" s="2522"/>
      <c r="S377" s="2522"/>
      <c r="T377" s="2522"/>
      <c r="U377" s="2522"/>
      <c r="V377" s="2522"/>
      <c r="W377" s="2522"/>
      <c r="X377" s="2522"/>
      <c r="Y377" s="2522"/>
      <c r="Z377" s="2522"/>
      <c r="AA377" s="2522"/>
      <c r="AB377" s="2522"/>
      <c r="AC377" s="2522"/>
      <c r="AD377" s="2522"/>
      <c r="AE377" s="2522"/>
      <c r="AF377" s="2522"/>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23"/>
      <c r="G378" s="2523"/>
      <c r="H378" s="2523"/>
      <c r="I378" s="2523"/>
      <c r="J378" s="2523"/>
      <c r="K378" s="2523"/>
      <c r="L378" s="2523"/>
      <c r="M378" s="2523"/>
      <c r="N378" s="2523"/>
      <c r="O378" s="2523"/>
      <c r="P378" s="2523"/>
      <c r="Q378" s="2523"/>
      <c r="R378" s="2523"/>
      <c r="S378" s="2523"/>
      <c r="T378" s="2523"/>
      <c r="U378" s="2523"/>
      <c r="V378" s="2523"/>
      <c r="W378" s="2523"/>
      <c r="X378" s="2523"/>
      <c r="Y378" s="2523"/>
      <c r="Z378" s="2523"/>
      <c r="AA378" s="2523"/>
      <c r="AB378" s="2523"/>
      <c r="AC378" s="2523"/>
      <c r="AD378" s="2523"/>
      <c r="AE378" s="2523"/>
      <c r="AF378" s="2523"/>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23"/>
      <c r="G379" s="2523"/>
      <c r="H379" s="2523"/>
      <c r="I379" s="2523"/>
      <c r="J379" s="2523"/>
      <c r="K379" s="2523"/>
      <c r="L379" s="2523"/>
      <c r="M379" s="2523"/>
      <c r="N379" s="2523"/>
      <c r="O379" s="2523"/>
      <c r="P379" s="2523"/>
      <c r="Q379" s="2523"/>
      <c r="R379" s="2523"/>
      <c r="S379" s="2523"/>
      <c r="T379" s="2523"/>
      <c r="U379" s="2523"/>
      <c r="V379" s="2523"/>
      <c r="W379" s="2523"/>
      <c r="X379" s="2523"/>
      <c r="Y379" s="2523"/>
      <c r="Z379" s="2523"/>
      <c r="AA379" s="2523"/>
      <c r="AB379" s="2523"/>
      <c r="AC379" s="2523"/>
      <c r="AD379" s="2523"/>
      <c r="AE379" s="2523"/>
      <c r="AF379" s="2523"/>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23"/>
      <c r="G380" s="2523"/>
      <c r="H380" s="2523"/>
      <c r="I380" s="2523"/>
      <c r="J380" s="2523"/>
      <c r="K380" s="2523"/>
      <c r="L380" s="2523"/>
      <c r="M380" s="2523"/>
      <c r="N380" s="2523"/>
      <c r="O380" s="2523"/>
      <c r="P380" s="2523"/>
      <c r="Q380" s="2523"/>
      <c r="R380" s="2523"/>
      <c r="S380" s="2523"/>
      <c r="T380" s="2523"/>
      <c r="U380" s="2523"/>
      <c r="V380" s="2523"/>
      <c r="W380" s="2523"/>
      <c r="X380" s="2523"/>
      <c r="Y380" s="2523"/>
      <c r="Z380" s="2523"/>
      <c r="AA380" s="2523"/>
      <c r="AB380" s="2523"/>
      <c r="AC380" s="2523"/>
      <c r="AD380" s="2523"/>
      <c r="AE380" s="2523"/>
      <c r="AF380" s="2523"/>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19" t="s">
        <v>545</v>
      </c>
      <c r="D381" s="2476"/>
      <c r="E381" s="719"/>
      <c r="F381" s="721" t="s">
        <v>1461</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20" t="s">
        <v>1462</v>
      </c>
      <c r="AG381" s="2520"/>
      <c r="AH381" s="2520"/>
      <c r="AI381" s="2520"/>
      <c r="AJ381" s="2520"/>
      <c r="AK381" s="2520"/>
      <c r="AL381" s="2521"/>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1317</v>
      </c>
      <c r="F384" s="2522" t="s">
        <v>1463</v>
      </c>
      <c r="G384" s="2522"/>
      <c r="H384" s="2522"/>
      <c r="I384" s="2522"/>
      <c r="J384" s="2522"/>
      <c r="K384" s="2522"/>
      <c r="L384" s="2522"/>
      <c r="M384" s="2522"/>
      <c r="N384" s="2522"/>
      <c r="O384" s="2522"/>
      <c r="P384" s="2522"/>
      <c r="Q384" s="2522"/>
      <c r="R384" s="2522"/>
      <c r="S384" s="2522"/>
      <c r="T384" s="2522"/>
      <c r="U384" s="2522"/>
      <c r="V384" s="2522"/>
      <c r="W384" s="2522"/>
      <c r="X384" s="2522"/>
      <c r="Y384" s="2522"/>
      <c r="Z384" s="2522"/>
      <c r="AA384" s="2522"/>
      <c r="AB384" s="2522"/>
      <c r="AC384" s="2522"/>
      <c r="AD384" s="2522"/>
      <c r="AE384" s="2522"/>
      <c r="AF384" s="2522"/>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23"/>
      <c r="G385" s="2523"/>
      <c r="H385" s="2523"/>
      <c r="I385" s="2523"/>
      <c r="J385" s="2523"/>
      <c r="K385" s="2523"/>
      <c r="L385" s="2523"/>
      <c r="M385" s="2523"/>
      <c r="N385" s="2523"/>
      <c r="O385" s="2523"/>
      <c r="P385" s="2523"/>
      <c r="Q385" s="2523"/>
      <c r="R385" s="2523"/>
      <c r="S385" s="2523"/>
      <c r="T385" s="2523"/>
      <c r="U385" s="2523"/>
      <c r="V385" s="2523"/>
      <c r="W385" s="2523"/>
      <c r="X385" s="2523"/>
      <c r="Y385" s="2523"/>
      <c r="Z385" s="2523"/>
      <c r="AA385" s="2523"/>
      <c r="AB385" s="2523"/>
      <c r="AC385" s="2523"/>
      <c r="AD385" s="2523"/>
      <c r="AE385" s="2523"/>
      <c r="AF385" s="2523"/>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23"/>
      <c r="G386" s="2523"/>
      <c r="H386" s="2523"/>
      <c r="I386" s="2523"/>
      <c r="J386" s="2523"/>
      <c r="K386" s="2523"/>
      <c r="L386" s="2523"/>
      <c r="M386" s="2523"/>
      <c r="N386" s="2523"/>
      <c r="O386" s="2523"/>
      <c r="P386" s="2523"/>
      <c r="Q386" s="2523"/>
      <c r="R386" s="2523"/>
      <c r="S386" s="2523"/>
      <c r="T386" s="2523"/>
      <c r="U386" s="2523"/>
      <c r="V386" s="2523"/>
      <c r="W386" s="2523"/>
      <c r="X386" s="2523"/>
      <c r="Y386" s="2523"/>
      <c r="Z386" s="2523"/>
      <c r="AA386" s="2523"/>
      <c r="AB386" s="2523"/>
      <c r="AC386" s="2523"/>
      <c r="AD386" s="2523"/>
      <c r="AE386" s="2523"/>
      <c r="AF386" s="2523"/>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23"/>
      <c r="G387" s="2523"/>
      <c r="H387" s="2523"/>
      <c r="I387" s="2523"/>
      <c r="J387" s="2523"/>
      <c r="K387" s="2523"/>
      <c r="L387" s="2523"/>
      <c r="M387" s="2523"/>
      <c r="N387" s="2523"/>
      <c r="O387" s="2523"/>
      <c r="P387" s="2523"/>
      <c r="Q387" s="2523"/>
      <c r="R387" s="2523"/>
      <c r="S387" s="2523"/>
      <c r="T387" s="2523"/>
      <c r="U387" s="2523"/>
      <c r="V387" s="2523"/>
      <c r="W387" s="2523"/>
      <c r="X387" s="2523"/>
      <c r="Y387" s="2523"/>
      <c r="Z387" s="2523"/>
      <c r="AA387" s="2523"/>
      <c r="AB387" s="2523"/>
      <c r="AC387" s="2523"/>
      <c r="AD387" s="2523"/>
      <c r="AE387" s="2523"/>
      <c r="AF387" s="2523"/>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23"/>
      <c r="G388" s="2523"/>
      <c r="H388" s="2523"/>
      <c r="I388" s="2523"/>
      <c r="J388" s="2523"/>
      <c r="K388" s="2523"/>
      <c r="L388" s="2523"/>
      <c r="M388" s="2523"/>
      <c r="N388" s="2523"/>
      <c r="O388" s="2523"/>
      <c r="P388" s="2523"/>
      <c r="Q388" s="2523"/>
      <c r="R388" s="2523"/>
      <c r="S388" s="2523"/>
      <c r="T388" s="2523"/>
      <c r="U388" s="2523"/>
      <c r="V388" s="2523"/>
      <c r="W388" s="2523"/>
      <c r="X388" s="2523"/>
      <c r="Y388" s="2523"/>
      <c r="Z388" s="2523"/>
      <c r="AA388" s="2523"/>
      <c r="AB388" s="2523"/>
      <c r="AC388" s="2523"/>
      <c r="AD388" s="2523"/>
      <c r="AE388" s="2523"/>
      <c r="AF388" s="2523"/>
      <c r="AL388" s="732"/>
      <c r="AN388" s="597"/>
      <c r="BS388" s="30"/>
      <c r="BT388" s="30"/>
      <c r="BU388" s="14"/>
      <c r="BV388" s="14"/>
      <c r="BW388" s="14"/>
      <c r="BX388" s="14"/>
      <c r="BY388" s="14"/>
      <c r="BZ388" s="14"/>
      <c r="CA388" s="14"/>
      <c r="CB388" s="14"/>
      <c r="CC388" s="14"/>
    </row>
    <row r="389" spans="1:81" s="550" customFormat="1" ht="12.75" customHeight="1">
      <c r="A389" s="536"/>
      <c r="B389" s="14"/>
      <c r="C389" s="2519" t="s">
        <v>545</v>
      </c>
      <c r="D389" s="2476"/>
      <c r="E389" s="691"/>
      <c r="F389" s="721" t="s">
        <v>1464</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20" t="s">
        <v>1462</v>
      </c>
      <c r="AG389" s="2520"/>
      <c r="AH389" s="2520"/>
      <c r="AI389" s="2520"/>
      <c r="AJ389" s="2520"/>
      <c r="AK389" s="2520"/>
      <c r="AL389" s="2521"/>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1320</v>
      </c>
      <c r="F392" s="2522" t="s">
        <v>1465</v>
      </c>
      <c r="G392" s="2522"/>
      <c r="H392" s="2522"/>
      <c r="I392" s="2522"/>
      <c r="J392" s="2522"/>
      <c r="K392" s="2522"/>
      <c r="L392" s="2522"/>
      <c r="M392" s="2522"/>
      <c r="N392" s="2522"/>
      <c r="O392" s="2522"/>
      <c r="P392" s="2522"/>
      <c r="Q392" s="2522"/>
      <c r="R392" s="2522"/>
      <c r="S392" s="2522"/>
      <c r="T392" s="2522"/>
      <c r="U392" s="2522"/>
      <c r="V392" s="2522"/>
      <c r="W392" s="2522"/>
      <c r="X392" s="2522"/>
      <c r="Y392" s="2522"/>
      <c r="Z392" s="2522"/>
      <c r="AA392" s="2522"/>
      <c r="AB392" s="2522"/>
      <c r="AC392" s="2522"/>
      <c r="AD392" s="2522"/>
      <c r="AE392" s="2522"/>
      <c r="AF392" s="2522"/>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23"/>
      <c r="G393" s="2523"/>
      <c r="H393" s="2523"/>
      <c r="I393" s="2523"/>
      <c r="J393" s="2523"/>
      <c r="K393" s="2523"/>
      <c r="L393" s="2523"/>
      <c r="M393" s="2523"/>
      <c r="N393" s="2523"/>
      <c r="O393" s="2523"/>
      <c r="P393" s="2523"/>
      <c r="Q393" s="2523"/>
      <c r="R393" s="2523"/>
      <c r="S393" s="2523"/>
      <c r="T393" s="2523"/>
      <c r="U393" s="2523"/>
      <c r="V393" s="2523"/>
      <c r="W393" s="2523"/>
      <c r="X393" s="2523"/>
      <c r="Y393" s="2523"/>
      <c r="Z393" s="2523"/>
      <c r="AA393" s="2523"/>
      <c r="AB393" s="2523"/>
      <c r="AC393" s="2523"/>
      <c r="AD393" s="2523"/>
      <c r="AE393" s="2523"/>
      <c r="AF393" s="2523"/>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23"/>
      <c r="G394" s="2523"/>
      <c r="H394" s="2523"/>
      <c r="I394" s="2523"/>
      <c r="J394" s="2523"/>
      <c r="K394" s="2523"/>
      <c r="L394" s="2523"/>
      <c r="M394" s="2523"/>
      <c r="N394" s="2523"/>
      <c r="O394" s="2523"/>
      <c r="P394" s="2523"/>
      <c r="Q394" s="2523"/>
      <c r="R394" s="2523"/>
      <c r="S394" s="2523"/>
      <c r="T394" s="2523"/>
      <c r="U394" s="2523"/>
      <c r="V394" s="2523"/>
      <c r="W394" s="2523"/>
      <c r="X394" s="2523"/>
      <c r="Y394" s="2523"/>
      <c r="Z394" s="2523"/>
      <c r="AA394" s="2523"/>
      <c r="AB394" s="2523"/>
      <c r="AC394" s="2523"/>
      <c r="AD394" s="2523"/>
      <c r="AE394" s="2523"/>
      <c r="AF394" s="2523"/>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23"/>
      <c r="G395" s="2523"/>
      <c r="H395" s="2523"/>
      <c r="I395" s="2523"/>
      <c r="J395" s="2523"/>
      <c r="K395" s="2523"/>
      <c r="L395" s="2523"/>
      <c r="M395" s="2523"/>
      <c r="N395" s="2523"/>
      <c r="O395" s="2523"/>
      <c r="P395" s="2523"/>
      <c r="Q395" s="2523"/>
      <c r="R395" s="2523"/>
      <c r="S395" s="2523"/>
      <c r="T395" s="2523"/>
      <c r="U395" s="2523"/>
      <c r="V395" s="2523"/>
      <c r="W395" s="2523"/>
      <c r="X395" s="2523"/>
      <c r="Y395" s="2523"/>
      <c r="Z395" s="2523"/>
      <c r="AA395" s="2523"/>
      <c r="AB395" s="2523"/>
      <c r="AC395" s="2523"/>
      <c r="AD395" s="2523"/>
      <c r="AE395" s="2523"/>
      <c r="AF395" s="2523"/>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23"/>
      <c r="G396" s="2523"/>
      <c r="H396" s="2523"/>
      <c r="I396" s="2523"/>
      <c r="J396" s="2523"/>
      <c r="K396" s="2523"/>
      <c r="L396" s="2523"/>
      <c r="M396" s="2523"/>
      <c r="N396" s="2523"/>
      <c r="O396" s="2523"/>
      <c r="P396" s="2523"/>
      <c r="Q396" s="2523"/>
      <c r="R396" s="2523"/>
      <c r="S396" s="2523"/>
      <c r="T396" s="2523"/>
      <c r="U396" s="2523"/>
      <c r="V396" s="2523"/>
      <c r="W396" s="2523"/>
      <c r="X396" s="2523"/>
      <c r="Y396" s="2523"/>
      <c r="Z396" s="2523"/>
      <c r="AA396" s="2523"/>
      <c r="AB396" s="2523"/>
      <c r="AC396" s="2523"/>
      <c r="AD396" s="2523"/>
      <c r="AE396" s="2523"/>
      <c r="AF396" s="2523"/>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19" t="s">
        <v>591</v>
      </c>
      <c r="D397" s="2476"/>
      <c r="E397" s="691"/>
      <c r="F397" s="721" t="s">
        <v>1466</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20" t="s">
        <v>1467</v>
      </c>
      <c r="AG397" s="2520"/>
      <c r="AH397" s="2520"/>
      <c r="AI397" s="2520"/>
      <c r="AJ397" s="2520"/>
      <c r="AK397" s="2520"/>
      <c r="AL397" s="2521"/>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19" t="s">
        <v>591</v>
      </c>
      <c r="D399" s="2476"/>
      <c r="E399" s="691"/>
      <c r="F399" s="738" t="s">
        <v>1468</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20" t="s">
        <v>1462</v>
      </c>
      <c r="AG399" s="2520"/>
      <c r="AH399" s="2520"/>
      <c r="AI399" s="2520"/>
      <c r="AJ399" s="2520"/>
      <c r="AK399" s="2520"/>
      <c r="AL399" s="2521"/>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1469</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1470</v>
      </c>
      <c r="F403" s="2522" t="s">
        <v>1471</v>
      </c>
      <c r="G403" s="2522"/>
      <c r="H403" s="2522"/>
      <c r="I403" s="2522"/>
      <c r="J403" s="2522"/>
      <c r="K403" s="2522"/>
      <c r="L403" s="2522"/>
      <c r="M403" s="2522"/>
      <c r="N403" s="2522"/>
      <c r="O403" s="2522"/>
      <c r="P403" s="2522"/>
      <c r="Q403" s="2522"/>
      <c r="R403" s="2522"/>
      <c r="S403" s="2522"/>
      <c r="T403" s="2522"/>
      <c r="U403" s="2522"/>
      <c r="V403" s="2522"/>
      <c r="W403" s="2522"/>
      <c r="X403" s="2522"/>
      <c r="Y403" s="2522"/>
      <c r="Z403" s="2522"/>
      <c r="AA403" s="2522"/>
      <c r="AB403" s="2522"/>
      <c r="AC403" s="2522"/>
      <c r="AD403" s="2522"/>
      <c r="AE403" s="2522"/>
      <c r="AF403" s="2522"/>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23"/>
      <c r="G404" s="2523"/>
      <c r="H404" s="2523"/>
      <c r="I404" s="2523"/>
      <c r="J404" s="2523"/>
      <c r="K404" s="2523"/>
      <c r="L404" s="2523"/>
      <c r="M404" s="2523"/>
      <c r="N404" s="2523"/>
      <c r="O404" s="2523"/>
      <c r="P404" s="2523"/>
      <c r="Q404" s="2523"/>
      <c r="R404" s="2523"/>
      <c r="S404" s="2523"/>
      <c r="T404" s="2523"/>
      <c r="U404" s="2523"/>
      <c r="V404" s="2523"/>
      <c r="W404" s="2523"/>
      <c r="X404" s="2523"/>
      <c r="Y404" s="2523"/>
      <c r="Z404" s="2523"/>
      <c r="AA404" s="2523"/>
      <c r="AB404" s="2523"/>
      <c r="AC404" s="2523"/>
      <c r="AD404" s="2523"/>
      <c r="AE404" s="2523"/>
      <c r="AF404" s="2523"/>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23"/>
      <c r="G405" s="2523"/>
      <c r="H405" s="2523"/>
      <c r="I405" s="2523"/>
      <c r="J405" s="2523"/>
      <c r="K405" s="2523"/>
      <c r="L405" s="2523"/>
      <c r="M405" s="2523"/>
      <c r="N405" s="2523"/>
      <c r="O405" s="2523"/>
      <c r="P405" s="2523"/>
      <c r="Q405" s="2523"/>
      <c r="R405" s="2523"/>
      <c r="S405" s="2523"/>
      <c r="T405" s="2523"/>
      <c r="U405" s="2523"/>
      <c r="V405" s="2523"/>
      <c r="W405" s="2523"/>
      <c r="X405" s="2523"/>
      <c r="Y405" s="2523"/>
      <c r="Z405" s="2523"/>
      <c r="AA405" s="2523"/>
      <c r="AB405" s="2523"/>
      <c r="AC405" s="2523"/>
      <c r="AD405" s="2523"/>
      <c r="AE405" s="2523"/>
      <c r="AF405" s="2523"/>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23"/>
      <c r="G406" s="2523"/>
      <c r="H406" s="2523"/>
      <c r="I406" s="2523"/>
      <c r="J406" s="2523"/>
      <c r="K406" s="2523"/>
      <c r="L406" s="2523"/>
      <c r="M406" s="2523"/>
      <c r="N406" s="2523"/>
      <c r="O406" s="2523"/>
      <c r="P406" s="2523"/>
      <c r="Q406" s="2523"/>
      <c r="R406" s="2523"/>
      <c r="S406" s="2523"/>
      <c r="T406" s="2523"/>
      <c r="U406" s="2523"/>
      <c r="V406" s="2523"/>
      <c r="W406" s="2523"/>
      <c r="X406" s="2523"/>
      <c r="Y406" s="2523"/>
      <c r="Z406" s="2523"/>
      <c r="AA406" s="2523"/>
      <c r="AB406" s="2523"/>
      <c r="AC406" s="2523"/>
      <c r="AD406" s="2523"/>
      <c r="AE406" s="2523"/>
      <c r="AF406" s="2523"/>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19" t="s">
        <v>591</v>
      </c>
      <c r="D407" s="2476"/>
      <c r="E407" s="691"/>
      <c r="F407" s="721" t="s">
        <v>1472</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20" t="s">
        <v>1462</v>
      </c>
      <c r="AG407" s="2520"/>
      <c r="AH407" s="2520"/>
      <c r="AI407" s="2520"/>
      <c r="AJ407" s="2520"/>
      <c r="AK407" s="2520"/>
      <c r="AL407" s="2521"/>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19" t="s">
        <v>591</v>
      </c>
      <c r="D409" s="2476"/>
      <c r="E409" s="719"/>
      <c r="F409" s="721" t="s">
        <v>1473</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20" t="s">
        <v>1474</v>
      </c>
      <c r="AG409" s="2520"/>
      <c r="AH409" s="2520"/>
      <c r="AI409" s="2520"/>
      <c r="AJ409" s="2520"/>
      <c r="AK409" s="2520"/>
      <c r="AL409" s="2521"/>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19" t="s">
        <v>591</v>
      </c>
      <c r="D412" s="2476"/>
      <c r="E412" s="715" t="s">
        <v>1475</v>
      </c>
      <c r="F412" s="2522" t="s">
        <v>1476</v>
      </c>
      <c r="G412" s="2522"/>
      <c r="H412" s="2522"/>
      <c r="I412" s="2522"/>
      <c r="J412" s="2522"/>
      <c r="K412" s="2522"/>
      <c r="L412" s="2522"/>
      <c r="M412" s="2522"/>
      <c r="N412" s="2522"/>
      <c r="O412" s="2522"/>
      <c r="P412" s="2522"/>
      <c r="Q412" s="2522"/>
      <c r="R412" s="2522"/>
      <c r="S412" s="2522"/>
      <c r="T412" s="2522"/>
      <c r="U412" s="2522"/>
      <c r="V412" s="2522"/>
      <c r="W412" s="2522"/>
      <c r="X412" s="2522"/>
      <c r="Y412" s="2522"/>
      <c r="Z412" s="2522"/>
      <c r="AA412" s="2522"/>
      <c r="AB412" s="2522"/>
      <c r="AC412" s="2522"/>
      <c r="AD412" s="2522"/>
      <c r="AE412" s="2522"/>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23"/>
      <c r="G413" s="2523"/>
      <c r="H413" s="2523"/>
      <c r="I413" s="2523"/>
      <c r="J413" s="2523"/>
      <c r="K413" s="2523"/>
      <c r="L413" s="2523"/>
      <c r="M413" s="2523"/>
      <c r="N413" s="2523"/>
      <c r="O413" s="2523"/>
      <c r="P413" s="2523"/>
      <c r="Q413" s="2523"/>
      <c r="R413" s="2523"/>
      <c r="S413" s="2523"/>
      <c r="T413" s="2523"/>
      <c r="U413" s="2523"/>
      <c r="V413" s="2523"/>
      <c r="W413" s="2523"/>
      <c r="X413" s="2523"/>
      <c r="Y413" s="2523"/>
      <c r="Z413" s="2523"/>
      <c r="AA413" s="2523"/>
      <c r="AB413" s="2523"/>
      <c r="AC413" s="2523"/>
      <c r="AD413" s="2523"/>
      <c r="AE413" s="2523"/>
      <c r="AF413" s="2444" t="s">
        <v>1462</v>
      </c>
      <c r="AG413" s="2444"/>
      <c r="AH413" s="2444"/>
      <c r="AI413" s="2444"/>
      <c r="AJ413" s="2444"/>
      <c r="AK413" s="2444"/>
      <c r="AL413" s="2524"/>
      <c r="AM413" s="570"/>
      <c r="AN413" s="597"/>
      <c r="BS413" s="570"/>
      <c r="BT413" s="570"/>
      <c r="BY413" s="570"/>
      <c r="BZ413" s="570"/>
      <c r="CA413" s="570"/>
      <c r="CB413" s="570"/>
      <c r="CC413" s="570"/>
    </row>
    <row r="414" spans="1:81" s="550" customFormat="1" ht="12.75" customHeight="1">
      <c r="A414" s="536"/>
      <c r="B414" s="14"/>
      <c r="C414" s="731"/>
      <c r="D414" s="14"/>
      <c r="E414" s="691"/>
      <c r="F414" s="2523"/>
      <c r="G414" s="2523"/>
      <c r="H414" s="2523"/>
      <c r="I414" s="2523"/>
      <c r="J414" s="2523"/>
      <c r="K414" s="2523"/>
      <c r="L414" s="2523"/>
      <c r="M414" s="2523"/>
      <c r="N414" s="2523"/>
      <c r="O414" s="2523"/>
      <c r="P414" s="2523"/>
      <c r="Q414" s="2523"/>
      <c r="R414" s="2523"/>
      <c r="S414" s="2523"/>
      <c r="T414" s="2523"/>
      <c r="U414" s="2523"/>
      <c r="V414" s="2523"/>
      <c r="W414" s="2523"/>
      <c r="X414" s="2523"/>
      <c r="Y414" s="2523"/>
      <c r="Z414" s="2523"/>
      <c r="AA414" s="2523"/>
      <c r="AB414" s="2523"/>
      <c r="AC414" s="2523"/>
      <c r="AD414" s="2523"/>
      <c r="AE414" s="2523"/>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42"/>
      <c r="G415" s="2542"/>
      <c r="H415" s="2542"/>
      <c r="I415" s="2542"/>
      <c r="J415" s="2542"/>
      <c r="K415" s="2542"/>
      <c r="L415" s="2542"/>
      <c r="M415" s="2542"/>
      <c r="N415" s="2542"/>
      <c r="O415" s="2542"/>
      <c r="P415" s="2542"/>
      <c r="Q415" s="2542"/>
      <c r="R415" s="2542"/>
      <c r="S415" s="2542"/>
      <c r="T415" s="2542"/>
      <c r="U415" s="2542"/>
      <c r="V415" s="2542"/>
      <c r="W415" s="2542"/>
      <c r="X415" s="2542"/>
      <c r="Y415" s="2542"/>
      <c r="Z415" s="2542"/>
      <c r="AA415" s="2542"/>
      <c r="AB415" s="2542"/>
      <c r="AC415" s="2542"/>
      <c r="AD415" s="2542"/>
      <c r="AE415" s="2542"/>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1477</v>
      </c>
      <c r="F417" s="2522" t="s">
        <v>1478</v>
      </c>
      <c r="G417" s="2522"/>
      <c r="H417" s="2522"/>
      <c r="I417" s="2522"/>
      <c r="J417" s="2522"/>
      <c r="K417" s="2522"/>
      <c r="L417" s="2522"/>
      <c r="M417" s="2522"/>
      <c r="N417" s="2522"/>
      <c r="O417" s="2522"/>
      <c r="P417" s="2522"/>
      <c r="Q417" s="2522"/>
      <c r="R417" s="2522"/>
      <c r="S417" s="2522"/>
      <c r="T417" s="2522"/>
      <c r="U417" s="2522"/>
      <c r="V417" s="2522"/>
      <c r="W417" s="2522"/>
      <c r="X417" s="2522"/>
      <c r="Y417" s="2522"/>
      <c r="Z417" s="2522"/>
      <c r="AA417" s="2522"/>
      <c r="AB417" s="2522"/>
      <c r="AC417" s="2522"/>
      <c r="AD417" s="2522"/>
      <c r="AE417" s="2522"/>
      <c r="AF417" s="747"/>
      <c r="AG417" s="747"/>
      <c r="AH417" s="747"/>
      <c r="AI417" s="747"/>
      <c r="AJ417" s="747"/>
      <c r="AK417" s="747"/>
      <c r="AL417" s="748"/>
      <c r="AM417" s="570"/>
    </row>
    <row r="418" spans="1:55">
      <c r="A418" s="536"/>
      <c r="C418" s="731"/>
      <c r="E418" s="691"/>
      <c r="F418" s="2523"/>
      <c r="G418" s="2523"/>
      <c r="H418" s="2523"/>
      <c r="I418" s="2523"/>
      <c r="J418" s="2523"/>
      <c r="K418" s="2523"/>
      <c r="L418" s="2523"/>
      <c r="M418" s="2523"/>
      <c r="N418" s="2523"/>
      <c r="O418" s="2523"/>
      <c r="P418" s="2523"/>
      <c r="Q418" s="2523"/>
      <c r="R418" s="2523"/>
      <c r="S418" s="2523"/>
      <c r="T418" s="2523"/>
      <c r="U418" s="2523"/>
      <c r="V418" s="2523"/>
      <c r="W418" s="2523"/>
      <c r="X418" s="2523"/>
      <c r="Y418" s="2523"/>
      <c r="Z418" s="2523"/>
      <c r="AA418" s="2523"/>
      <c r="AB418" s="2523"/>
      <c r="AC418" s="2523"/>
      <c r="AD418" s="2523"/>
      <c r="AE418" s="2523"/>
      <c r="AF418" s="539"/>
      <c r="AG418" s="536"/>
      <c r="AH418" s="550"/>
      <c r="AI418" s="550"/>
      <c r="AJ418" s="550"/>
      <c r="AK418" s="550"/>
      <c r="AL418" s="732"/>
      <c r="AM418" s="570"/>
    </row>
    <row r="419" spans="1:55" s="550" customFormat="1" ht="12.75" customHeight="1">
      <c r="A419" s="536"/>
      <c r="B419" s="14"/>
      <c r="C419" s="731"/>
      <c r="D419" s="14"/>
      <c r="E419" s="691"/>
      <c r="F419" s="2523"/>
      <c r="G419" s="2523"/>
      <c r="H419" s="2523"/>
      <c r="I419" s="2523"/>
      <c r="J419" s="2523"/>
      <c r="K419" s="2523"/>
      <c r="L419" s="2523"/>
      <c r="M419" s="2523"/>
      <c r="N419" s="2523"/>
      <c r="O419" s="2523"/>
      <c r="P419" s="2523"/>
      <c r="Q419" s="2523"/>
      <c r="R419" s="2523"/>
      <c r="S419" s="2523"/>
      <c r="T419" s="2523"/>
      <c r="U419" s="2523"/>
      <c r="V419" s="2523"/>
      <c r="W419" s="2523"/>
      <c r="X419" s="2523"/>
      <c r="Y419" s="2523"/>
      <c r="Z419" s="2523"/>
      <c r="AA419" s="2523"/>
      <c r="AB419" s="2523"/>
      <c r="AC419" s="2523"/>
      <c r="AD419" s="2523"/>
      <c r="AE419" s="2523"/>
      <c r="AL419" s="732"/>
      <c r="AM419" s="570"/>
      <c r="AN419" s="597"/>
    </row>
    <row r="420" spans="1:55" s="550" customFormat="1" ht="12.75" customHeight="1">
      <c r="A420" s="536"/>
      <c r="B420" s="14"/>
      <c r="C420" s="739"/>
      <c r="F420" s="2523"/>
      <c r="G420" s="2523"/>
      <c r="H420" s="2523"/>
      <c r="I420" s="2523"/>
      <c r="J420" s="2523"/>
      <c r="K420" s="2523"/>
      <c r="L420" s="2523"/>
      <c r="M420" s="2523"/>
      <c r="N420" s="2523"/>
      <c r="O420" s="2523"/>
      <c r="P420" s="2523"/>
      <c r="Q420" s="2523"/>
      <c r="R420" s="2523"/>
      <c r="S420" s="2523"/>
      <c r="T420" s="2523"/>
      <c r="U420" s="2523"/>
      <c r="V420" s="2523"/>
      <c r="W420" s="2523"/>
      <c r="X420" s="2523"/>
      <c r="Y420" s="2523"/>
      <c r="Z420" s="2523"/>
      <c r="AA420" s="2523"/>
      <c r="AB420" s="2523"/>
      <c r="AC420" s="2523"/>
      <c r="AD420" s="2523"/>
      <c r="AE420" s="2523"/>
      <c r="AL420" s="732"/>
      <c r="AM420" s="570"/>
      <c r="AN420" s="597"/>
    </row>
    <row r="421" spans="1:55" s="550" customFormat="1" ht="12.75" customHeight="1">
      <c r="A421" s="536"/>
      <c r="B421" s="14"/>
      <c r="C421" s="2519" t="s">
        <v>591</v>
      </c>
      <c r="D421" s="2476"/>
      <c r="E421" s="691"/>
      <c r="F421" s="721" t="s">
        <v>1479</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4" t="s">
        <v>1462</v>
      </c>
      <c r="AG421" s="2444"/>
      <c r="AH421" s="2444"/>
      <c r="AI421" s="2444"/>
      <c r="AJ421" s="2444"/>
      <c r="AK421" s="2444"/>
      <c r="AL421" s="2524"/>
      <c r="AM421" s="570"/>
      <c r="AN421" s="597"/>
    </row>
    <row r="422" spans="1:55" s="550" customFormat="1" ht="12.75" customHeight="1">
      <c r="A422" s="536"/>
      <c r="B422" s="14"/>
      <c r="C422" s="739"/>
      <c r="AL422" s="732"/>
      <c r="AM422" s="570"/>
      <c r="AN422" s="597"/>
    </row>
    <row r="423" spans="1:55" s="550" customFormat="1" ht="12.75" customHeight="1">
      <c r="A423" s="536"/>
      <c r="B423" s="14"/>
      <c r="C423" s="2519" t="s">
        <v>591</v>
      </c>
      <c r="D423" s="2476"/>
      <c r="E423" s="719"/>
      <c r="F423" s="721" t="s">
        <v>1480</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4" t="s">
        <v>1474</v>
      </c>
      <c r="AG423" s="2444"/>
      <c r="AH423" s="2444"/>
      <c r="AI423" s="2444"/>
      <c r="AJ423" s="2444"/>
      <c r="AK423" s="2444"/>
      <c r="AL423" s="2524"/>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2209</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1481</v>
      </c>
      <c r="F427" s="2522" t="s">
        <v>1482</v>
      </c>
      <c r="G427" s="2522"/>
      <c r="H427" s="2522"/>
      <c r="I427" s="2522"/>
      <c r="J427" s="2522"/>
      <c r="K427" s="2522"/>
      <c r="L427" s="2522"/>
      <c r="M427" s="2522"/>
      <c r="N427" s="2522"/>
      <c r="O427" s="2522"/>
      <c r="P427" s="2522"/>
      <c r="Q427" s="2522"/>
      <c r="R427" s="2522"/>
      <c r="S427" s="2522"/>
      <c r="T427" s="2522"/>
      <c r="U427" s="2522"/>
      <c r="V427" s="2522"/>
      <c r="W427" s="2522"/>
      <c r="X427" s="2522"/>
      <c r="Y427" s="2522"/>
      <c r="Z427" s="2522"/>
      <c r="AA427" s="2522"/>
      <c r="AB427" s="2522"/>
      <c r="AC427" s="2522"/>
      <c r="AD427" s="2522"/>
      <c r="AE427" s="2522"/>
      <c r="AF427" s="714"/>
      <c r="AG427" s="714"/>
      <c r="AH427" s="714"/>
      <c r="AI427" s="714"/>
      <c r="AJ427" s="714"/>
      <c r="AK427" s="714"/>
      <c r="AL427" s="745"/>
      <c r="AM427" s="570"/>
      <c r="AN427" s="597"/>
    </row>
    <row r="428" spans="1:55" s="550" customFormat="1" ht="12.75" customHeight="1">
      <c r="A428" s="536"/>
      <c r="B428" s="14"/>
      <c r="C428" s="731"/>
      <c r="D428" s="14"/>
      <c r="E428" s="691"/>
      <c r="F428" s="2523"/>
      <c r="G428" s="2523"/>
      <c r="H428" s="2523"/>
      <c r="I428" s="2523"/>
      <c r="J428" s="2523"/>
      <c r="K428" s="2523"/>
      <c r="L428" s="2523"/>
      <c r="M428" s="2523"/>
      <c r="N428" s="2523"/>
      <c r="O428" s="2523"/>
      <c r="P428" s="2523"/>
      <c r="Q428" s="2523"/>
      <c r="R428" s="2523"/>
      <c r="S428" s="2523"/>
      <c r="T428" s="2523"/>
      <c r="U428" s="2523"/>
      <c r="V428" s="2523"/>
      <c r="W428" s="2523"/>
      <c r="X428" s="2523"/>
      <c r="Y428" s="2523"/>
      <c r="Z428" s="2523"/>
      <c r="AA428" s="2523"/>
      <c r="AB428" s="2523"/>
      <c r="AC428" s="2523"/>
      <c r="AD428" s="2523"/>
      <c r="AE428" s="2523"/>
      <c r="AF428" s="539"/>
      <c r="AG428" s="536"/>
      <c r="AL428" s="732"/>
      <c r="AM428" s="570"/>
      <c r="AN428" s="597"/>
    </row>
    <row r="429" spans="1:55" s="550" customFormat="1" ht="12.6" customHeight="1">
      <c r="A429" s="536"/>
      <c r="B429" s="14"/>
      <c r="C429" s="731"/>
      <c r="D429" s="14"/>
      <c r="E429" s="691"/>
      <c r="F429" s="2523"/>
      <c r="G429" s="2523"/>
      <c r="H429" s="2523"/>
      <c r="I429" s="2523"/>
      <c r="J429" s="2523"/>
      <c r="K429" s="2523"/>
      <c r="L429" s="2523"/>
      <c r="M429" s="2523"/>
      <c r="N429" s="2523"/>
      <c r="O429" s="2523"/>
      <c r="P429" s="2523"/>
      <c r="Q429" s="2523"/>
      <c r="R429" s="2523"/>
      <c r="S429" s="2523"/>
      <c r="T429" s="2523"/>
      <c r="U429" s="2523"/>
      <c r="V429" s="2523"/>
      <c r="W429" s="2523"/>
      <c r="X429" s="2523"/>
      <c r="Y429" s="2523"/>
      <c r="Z429" s="2523"/>
      <c r="AA429" s="2523"/>
      <c r="AB429" s="2523"/>
      <c r="AC429" s="2523"/>
      <c r="AD429" s="2523"/>
      <c r="AE429" s="2523"/>
      <c r="AL429" s="732"/>
      <c r="AM429" s="570"/>
      <c r="AN429" s="597"/>
    </row>
    <row r="430" spans="1:55" s="550" customFormat="1" ht="12.75" customHeight="1">
      <c r="A430" s="536"/>
      <c r="B430" s="14"/>
      <c r="C430" s="2519" t="s">
        <v>591</v>
      </c>
      <c r="D430" s="2476"/>
      <c r="E430" s="691"/>
      <c r="F430" s="721" t="s">
        <v>1483</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4" t="s">
        <v>1462</v>
      </c>
      <c r="AG430" s="2444"/>
      <c r="AH430" s="2444"/>
      <c r="AI430" s="2444"/>
      <c r="AJ430" s="2444"/>
      <c r="AK430" s="2444"/>
      <c r="AL430" s="2524"/>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35" customHeight="1">
      <c r="A433" s="536"/>
      <c r="C433" s="746"/>
      <c r="D433" s="747"/>
      <c r="E433" s="715" t="s">
        <v>1484</v>
      </c>
      <c r="F433" s="2522" t="s">
        <v>1485</v>
      </c>
      <c r="G433" s="2522"/>
      <c r="H433" s="2522"/>
      <c r="I433" s="2522"/>
      <c r="J433" s="2522"/>
      <c r="K433" s="2522"/>
      <c r="L433" s="2522"/>
      <c r="M433" s="2522"/>
      <c r="N433" s="2522"/>
      <c r="O433" s="2522"/>
      <c r="P433" s="2522"/>
      <c r="Q433" s="2522"/>
      <c r="R433" s="2522"/>
      <c r="S433" s="2522"/>
      <c r="T433" s="2522"/>
      <c r="U433" s="2522"/>
      <c r="V433" s="2522"/>
      <c r="W433" s="2522"/>
      <c r="X433" s="2522"/>
      <c r="Y433" s="2522"/>
      <c r="Z433" s="2522"/>
      <c r="AA433" s="2522"/>
      <c r="AB433" s="2522"/>
      <c r="AC433" s="2522"/>
      <c r="AD433" s="2522"/>
      <c r="AE433" s="2522"/>
      <c r="AF433" s="747"/>
      <c r="AG433" s="747"/>
      <c r="AH433" s="747"/>
      <c r="AI433" s="747"/>
      <c r="AJ433" s="747"/>
      <c r="AK433" s="747"/>
      <c r="AL433" s="748"/>
      <c r="AM433" s="570"/>
      <c r="AO433" s="550"/>
      <c r="AP433" s="550"/>
      <c r="BD433" s="14"/>
      <c r="BE433" s="14"/>
      <c r="BF433" s="14"/>
      <c r="BG433" s="14"/>
      <c r="BH433" s="14"/>
    </row>
    <row r="434" spans="1:60">
      <c r="A434" s="536"/>
      <c r="C434" s="731"/>
      <c r="E434" s="691"/>
      <c r="F434" s="2523"/>
      <c r="G434" s="2523"/>
      <c r="H434" s="2523"/>
      <c r="I434" s="2523"/>
      <c r="J434" s="2523"/>
      <c r="K434" s="2523"/>
      <c r="L434" s="2523"/>
      <c r="M434" s="2523"/>
      <c r="N434" s="2523"/>
      <c r="O434" s="2523"/>
      <c r="P434" s="2523"/>
      <c r="Q434" s="2523"/>
      <c r="R434" s="2523"/>
      <c r="S434" s="2523"/>
      <c r="T434" s="2523"/>
      <c r="U434" s="2523"/>
      <c r="V434" s="2523"/>
      <c r="W434" s="2523"/>
      <c r="X434" s="2523"/>
      <c r="Y434" s="2523"/>
      <c r="Z434" s="2523"/>
      <c r="AA434" s="2523"/>
      <c r="AB434" s="2523"/>
      <c r="AC434" s="2523"/>
      <c r="AD434" s="2523"/>
      <c r="AE434" s="2523"/>
      <c r="AF434" s="594"/>
      <c r="AG434" s="594"/>
      <c r="AH434" s="594"/>
      <c r="AI434" s="594"/>
      <c r="AJ434" s="594"/>
      <c r="AK434" s="594"/>
      <c r="AL434" s="750"/>
      <c r="AM434" s="570"/>
      <c r="AO434" s="550"/>
      <c r="AP434" s="550"/>
    </row>
    <row r="435" spans="1:60" s="550" customFormat="1" ht="12.75" customHeight="1">
      <c r="A435" s="536"/>
      <c r="B435" s="14"/>
      <c r="C435" s="731"/>
      <c r="D435" s="14"/>
      <c r="E435" s="691"/>
      <c r="F435" s="2523"/>
      <c r="G435" s="2523"/>
      <c r="H435" s="2523"/>
      <c r="I435" s="2523"/>
      <c r="J435" s="2523"/>
      <c r="K435" s="2523"/>
      <c r="L435" s="2523"/>
      <c r="M435" s="2523"/>
      <c r="N435" s="2523"/>
      <c r="O435" s="2523"/>
      <c r="P435" s="2523"/>
      <c r="Q435" s="2523"/>
      <c r="R435" s="2523"/>
      <c r="S435" s="2523"/>
      <c r="T435" s="2523"/>
      <c r="U435" s="2523"/>
      <c r="V435" s="2523"/>
      <c r="W435" s="2523"/>
      <c r="X435" s="2523"/>
      <c r="Y435" s="2523"/>
      <c r="Z435" s="2523"/>
      <c r="AA435" s="2523"/>
      <c r="AB435" s="2523"/>
      <c r="AC435" s="2523"/>
      <c r="AD435" s="2523"/>
      <c r="AE435" s="2523"/>
      <c r="AF435" s="594"/>
      <c r="AG435" s="594"/>
      <c r="AH435" s="594"/>
      <c r="AI435" s="594"/>
      <c r="AJ435" s="594"/>
      <c r="AK435" s="594"/>
      <c r="AL435" s="750"/>
      <c r="AM435" s="570"/>
      <c r="AN435" s="597"/>
    </row>
    <row r="436" spans="1:60" s="550" customFormat="1" ht="12.75" customHeight="1">
      <c r="A436" s="536"/>
      <c r="B436" s="14"/>
      <c r="C436" s="751"/>
      <c r="D436" s="730"/>
      <c r="E436" s="719"/>
      <c r="F436" s="2523"/>
      <c r="G436" s="2523"/>
      <c r="H436" s="2523"/>
      <c r="I436" s="2523"/>
      <c r="J436" s="2523"/>
      <c r="K436" s="2523"/>
      <c r="L436" s="2523"/>
      <c r="M436" s="2523"/>
      <c r="N436" s="2523"/>
      <c r="O436" s="2523"/>
      <c r="P436" s="2523"/>
      <c r="Q436" s="2523"/>
      <c r="R436" s="2523"/>
      <c r="S436" s="2523"/>
      <c r="T436" s="2523"/>
      <c r="U436" s="2523"/>
      <c r="V436" s="2523"/>
      <c r="W436" s="2523"/>
      <c r="X436" s="2523"/>
      <c r="Y436" s="2523"/>
      <c r="Z436" s="2523"/>
      <c r="AA436" s="2523"/>
      <c r="AB436" s="2523"/>
      <c r="AC436" s="2523"/>
      <c r="AD436" s="2523"/>
      <c r="AE436" s="2523"/>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23"/>
      <c r="G437" s="2523"/>
      <c r="H437" s="2523"/>
      <c r="I437" s="2523"/>
      <c r="J437" s="2523"/>
      <c r="K437" s="2523"/>
      <c r="L437" s="2523"/>
      <c r="M437" s="2523"/>
      <c r="N437" s="2523"/>
      <c r="O437" s="2523"/>
      <c r="P437" s="2523"/>
      <c r="Q437" s="2523"/>
      <c r="R437" s="2523"/>
      <c r="S437" s="2523"/>
      <c r="T437" s="2523"/>
      <c r="U437" s="2523"/>
      <c r="V437" s="2523"/>
      <c r="W437" s="2523"/>
      <c r="X437" s="2523"/>
      <c r="Y437" s="2523"/>
      <c r="Z437" s="2523"/>
      <c r="AA437" s="2523"/>
      <c r="AB437" s="2523"/>
      <c r="AC437" s="2523"/>
      <c r="AD437" s="2523"/>
      <c r="AE437" s="2523"/>
      <c r="AF437" s="594"/>
      <c r="AG437" s="594"/>
      <c r="AH437" s="594"/>
      <c r="AI437" s="594"/>
      <c r="AJ437" s="594"/>
      <c r="AK437" s="594"/>
      <c r="AL437" s="750"/>
      <c r="AM437" s="570"/>
      <c r="AN437" s="597"/>
    </row>
    <row r="438" spans="1:60" s="550" customFormat="1" ht="12.75" customHeight="1">
      <c r="A438" s="536"/>
      <c r="B438" s="14"/>
      <c r="C438" s="751"/>
      <c r="D438" s="730"/>
      <c r="E438" s="719"/>
      <c r="F438" s="2523"/>
      <c r="G438" s="2523"/>
      <c r="H438" s="2523"/>
      <c r="I438" s="2523"/>
      <c r="J438" s="2523"/>
      <c r="K438" s="2523"/>
      <c r="L438" s="2523"/>
      <c r="M438" s="2523"/>
      <c r="N438" s="2523"/>
      <c r="O438" s="2523"/>
      <c r="P438" s="2523"/>
      <c r="Q438" s="2523"/>
      <c r="R438" s="2523"/>
      <c r="S438" s="2523"/>
      <c r="T438" s="2523"/>
      <c r="U438" s="2523"/>
      <c r="V438" s="2523"/>
      <c r="W438" s="2523"/>
      <c r="X438" s="2523"/>
      <c r="Y438" s="2523"/>
      <c r="Z438" s="2523"/>
      <c r="AA438" s="2523"/>
      <c r="AB438" s="2523"/>
      <c r="AC438" s="2523"/>
      <c r="AD438" s="2523"/>
      <c r="AE438" s="2523"/>
      <c r="AF438" s="594"/>
      <c r="AG438" s="594"/>
      <c r="AH438" s="594"/>
      <c r="AI438" s="594"/>
      <c r="AJ438" s="594"/>
      <c r="AK438" s="594"/>
      <c r="AL438" s="750"/>
      <c r="AM438" s="570"/>
      <c r="AN438" s="597"/>
    </row>
    <row r="439" spans="1:60" s="550" customFormat="1" ht="12.75" customHeight="1">
      <c r="A439" s="536"/>
      <c r="B439" s="14"/>
      <c r="C439" s="751"/>
      <c r="D439" s="730"/>
      <c r="E439" s="719"/>
      <c r="F439" s="2523"/>
      <c r="G439" s="2523"/>
      <c r="H439" s="2523"/>
      <c r="I439" s="2523"/>
      <c r="J439" s="2523"/>
      <c r="K439" s="2523"/>
      <c r="L439" s="2523"/>
      <c r="M439" s="2523"/>
      <c r="N439" s="2523"/>
      <c r="O439" s="2523"/>
      <c r="P439" s="2523"/>
      <c r="Q439" s="2523"/>
      <c r="R439" s="2523"/>
      <c r="S439" s="2523"/>
      <c r="T439" s="2523"/>
      <c r="U439" s="2523"/>
      <c r="V439" s="2523"/>
      <c r="W439" s="2523"/>
      <c r="X439" s="2523"/>
      <c r="Y439" s="2523"/>
      <c r="Z439" s="2523"/>
      <c r="AA439" s="2523"/>
      <c r="AB439" s="2523"/>
      <c r="AC439" s="2523"/>
      <c r="AD439" s="2523"/>
      <c r="AE439" s="2523"/>
      <c r="AF439" s="594"/>
      <c r="AG439" s="594"/>
      <c r="AH439" s="594"/>
      <c r="AI439" s="594"/>
      <c r="AJ439" s="594"/>
      <c r="AK439" s="594"/>
      <c r="AL439" s="750"/>
      <c r="AM439" s="570"/>
      <c r="AN439" s="597"/>
    </row>
    <row r="440" spans="1:60" s="550" customFormat="1" ht="12.75" customHeight="1">
      <c r="A440" s="536"/>
      <c r="B440" s="14"/>
      <c r="C440" s="751"/>
      <c r="D440" s="730"/>
      <c r="E440" s="719"/>
      <c r="F440" s="2523"/>
      <c r="G440" s="2523"/>
      <c r="H440" s="2523"/>
      <c r="I440" s="2523"/>
      <c r="J440" s="2523"/>
      <c r="K440" s="2523"/>
      <c r="L440" s="2523"/>
      <c r="M440" s="2523"/>
      <c r="N440" s="2523"/>
      <c r="O440" s="2523"/>
      <c r="P440" s="2523"/>
      <c r="Q440" s="2523"/>
      <c r="R440" s="2523"/>
      <c r="S440" s="2523"/>
      <c r="T440" s="2523"/>
      <c r="U440" s="2523"/>
      <c r="V440" s="2523"/>
      <c r="W440" s="2523"/>
      <c r="X440" s="2523"/>
      <c r="Y440" s="2523"/>
      <c r="Z440" s="2523"/>
      <c r="AA440" s="2523"/>
      <c r="AB440" s="2523"/>
      <c r="AC440" s="2523"/>
      <c r="AD440" s="2523"/>
      <c r="AE440" s="2523"/>
      <c r="AF440" s="594"/>
      <c r="AG440" s="594"/>
      <c r="AH440" s="594"/>
      <c r="AI440" s="594"/>
      <c r="AJ440" s="594"/>
      <c r="AK440" s="594"/>
      <c r="AL440" s="750"/>
      <c r="AM440" s="570"/>
      <c r="AN440" s="597"/>
    </row>
    <row r="441" spans="1:60" s="550" customFormat="1" ht="17.25" customHeight="1">
      <c r="A441" s="536"/>
      <c r="B441" s="14"/>
      <c r="C441" s="751"/>
      <c r="D441" s="730"/>
      <c r="E441" s="719"/>
      <c r="F441" s="2523"/>
      <c r="G441" s="2523"/>
      <c r="H441" s="2523"/>
      <c r="I441" s="2523"/>
      <c r="J441" s="2523"/>
      <c r="K441" s="2523"/>
      <c r="L441" s="2523"/>
      <c r="M441" s="2523"/>
      <c r="N441" s="2523"/>
      <c r="O441" s="2523"/>
      <c r="P441" s="2523"/>
      <c r="Q441" s="2523"/>
      <c r="R441" s="2523"/>
      <c r="S441" s="2523"/>
      <c r="T441" s="2523"/>
      <c r="U441" s="2523"/>
      <c r="V441" s="2523"/>
      <c r="W441" s="2523"/>
      <c r="X441" s="2523"/>
      <c r="Y441" s="2523"/>
      <c r="Z441" s="2523"/>
      <c r="AA441" s="2523"/>
      <c r="AB441" s="2523"/>
      <c r="AC441" s="2523"/>
      <c r="AD441" s="2523"/>
      <c r="AE441" s="2523"/>
      <c r="AL441" s="732"/>
      <c r="AM441" s="570"/>
      <c r="AN441" s="597"/>
    </row>
    <row r="442" spans="1:60" s="550" customFormat="1" ht="12.75" customHeight="1">
      <c r="A442" s="536"/>
      <c r="B442" s="14"/>
      <c r="C442" s="2519" t="s">
        <v>591</v>
      </c>
      <c r="D442" s="2476"/>
      <c r="E442" s="719"/>
      <c r="F442" s="596" t="s">
        <v>1486</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4" t="s">
        <v>1462</v>
      </c>
      <c r="AG442" s="2444"/>
      <c r="AH442" s="2444"/>
      <c r="AI442" s="2444"/>
      <c r="AJ442" s="2444"/>
      <c r="AK442" s="2444"/>
      <c r="AL442" s="2524"/>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1487</v>
      </c>
      <c r="F445" s="2522" t="s">
        <v>1488</v>
      </c>
      <c r="G445" s="2522"/>
      <c r="H445" s="2522"/>
      <c r="I445" s="2522"/>
      <c r="J445" s="2522"/>
      <c r="K445" s="2522"/>
      <c r="L445" s="2522"/>
      <c r="M445" s="2522"/>
      <c r="N445" s="2522"/>
      <c r="O445" s="2522"/>
      <c r="P445" s="2522"/>
      <c r="Q445" s="2522"/>
      <c r="R445" s="2522"/>
      <c r="S445" s="2522"/>
      <c r="T445" s="2522"/>
      <c r="U445" s="2522"/>
      <c r="V445" s="2522"/>
      <c r="W445" s="2522"/>
      <c r="X445" s="2522"/>
      <c r="Y445" s="2522"/>
      <c r="Z445" s="2522"/>
      <c r="AA445" s="2522"/>
      <c r="AB445" s="2522"/>
      <c r="AC445" s="2522"/>
      <c r="AD445" s="2522"/>
      <c r="AE445" s="2522"/>
      <c r="AF445" s="714"/>
      <c r="AG445" s="714"/>
      <c r="AH445" s="714"/>
      <c r="AI445" s="714"/>
      <c r="AJ445" s="714"/>
      <c r="AK445" s="714"/>
      <c r="AL445" s="745"/>
      <c r="AM445" s="570"/>
      <c r="AN445" s="597"/>
    </row>
    <row r="446" spans="1:60" s="550" customFormat="1" ht="12.75" customHeight="1">
      <c r="A446" s="536"/>
      <c r="B446" s="14"/>
      <c r="C446" s="751"/>
      <c r="D446" s="730"/>
      <c r="E446" s="719"/>
      <c r="F446" s="2523"/>
      <c r="G446" s="2523"/>
      <c r="H446" s="2523"/>
      <c r="I446" s="2523"/>
      <c r="J446" s="2523"/>
      <c r="K446" s="2523"/>
      <c r="L446" s="2523"/>
      <c r="M446" s="2523"/>
      <c r="N446" s="2523"/>
      <c r="O446" s="2523"/>
      <c r="P446" s="2523"/>
      <c r="Q446" s="2523"/>
      <c r="R446" s="2523"/>
      <c r="S446" s="2523"/>
      <c r="T446" s="2523"/>
      <c r="U446" s="2523"/>
      <c r="V446" s="2523"/>
      <c r="W446" s="2523"/>
      <c r="X446" s="2523"/>
      <c r="Y446" s="2523"/>
      <c r="Z446" s="2523"/>
      <c r="AA446" s="2523"/>
      <c r="AB446" s="2523"/>
      <c r="AC446" s="2523"/>
      <c r="AD446" s="2523"/>
      <c r="AE446" s="2523"/>
      <c r="AF446" s="591"/>
      <c r="AG446" s="591"/>
      <c r="AH446" s="591"/>
      <c r="AI446" s="591"/>
      <c r="AJ446" s="591"/>
      <c r="AK446" s="591"/>
      <c r="AL446" s="720"/>
      <c r="AM446" s="570"/>
      <c r="AN446" s="597"/>
    </row>
    <row r="447" spans="1:60" s="550" customFormat="1" ht="12.75" customHeight="1">
      <c r="A447" s="536"/>
      <c r="B447" s="14"/>
      <c r="C447" s="751"/>
      <c r="D447" s="730"/>
      <c r="E447" s="719"/>
      <c r="F447" s="2523"/>
      <c r="G447" s="2523"/>
      <c r="H447" s="2523"/>
      <c r="I447" s="2523"/>
      <c r="J447" s="2523"/>
      <c r="K447" s="2523"/>
      <c r="L447" s="2523"/>
      <c r="M447" s="2523"/>
      <c r="N447" s="2523"/>
      <c r="O447" s="2523"/>
      <c r="P447" s="2523"/>
      <c r="Q447" s="2523"/>
      <c r="R447" s="2523"/>
      <c r="S447" s="2523"/>
      <c r="T447" s="2523"/>
      <c r="U447" s="2523"/>
      <c r="V447" s="2523"/>
      <c r="W447" s="2523"/>
      <c r="X447" s="2523"/>
      <c r="Y447" s="2523"/>
      <c r="Z447" s="2523"/>
      <c r="AA447" s="2523"/>
      <c r="AB447" s="2523"/>
      <c r="AC447" s="2523"/>
      <c r="AD447" s="2523"/>
      <c r="AE447" s="2523"/>
      <c r="AF447" s="591"/>
      <c r="AG447" s="591"/>
      <c r="AH447" s="591"/>
      <c r="AI447" s="591"/>
      <c r="AJ447" s="591"/>
      <c r="AK447" s="591"/>
      <c r="AL447" s="720"/>
      <c r="AM447" s="570"/>
      <c r="AN447" s="597"/>
    </row>
    <row r="448" spans="1:60" s="550" customFormat="1" ht="12.75" customHeight="1">
      <c r="A448" s="536"/>
      <c r="B448" s="14"/>
      <c r="C448" s="751"/>
      <c r="D448" s="730"/>
      <c r="E448" s="719"/>
      <c r="F448" s="2523"/>
      <c r="G448" s="2523"/>
      <c r="H448" s="2523"/>
      <c r="I448" s="2523"/>
      <c r="J448" s="2523"/>
      <c r="K448" s="2523"/>
      <c r="L448" s="2523"/>
      <c r="M448" s="2523"/>
      <c r="N448" s="2523"/>
      <c r="O448" s="2523"/>
      <c r="P448" s="2523"/>
      <c r="Q448" s="2523"/>
      <c r="R448" s="2523"/>
      <c r="S448" s="2523"/>
      <c r="T448" s="2523"/>
      <c r="U448" s="2523"/>
      <c r="V448" s="2523"/>
      <c r="W448" s="2523"/>
      <c r="X448" s="2523"/>
      <c r="Y448" s="2523"/>
      <c r="Z448" s="2523"/>
      <c r="AA448" s="2523"/>
      <c r="AB448" s="2523"/>
      <c r="AC448" s="2523"/>
      <c r="AD448" s="2523"/>
      <c r="AE448" s="2523"/>
      <c r="AL448" s="732"/>
      <c r="AM448" s="570"/>
      <c r="AN448" s="597"/>
    </row>
    <row r="449" spans="1:40" s="550" customFormat="1" ht="12.75" customHeight="1">
      <c r="A449" s="536"/>
      <c r="B449" s="14"/>
      <c r="C449" s="2519" t="s">
        <v>591</v>
      </c>
      <c r="D449" s="2476"/>
      <c r="E449" s="719"/>
      <c r="F449" s="721" t="s">
        <v>1492</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4" t="s">
        <v>1462</v>
      </c>
      <c r="AG449" s="2444"/>
      <c r="AH449" s="2444"/>
      <c r="AI449" s="2444"/>
      <c r="AJ449" s="2444"/>
      <c r="AK449" s="2444"/>
      <c r="AL449" s="2524"/>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1469</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5" t="s">
        <v>591</v>
      </c>
      <c r="D453" s="2526"/>
      <c r="E453" s="715" t="s">
        <v>1497</v>
      </c>
      <c r="F453" s="2522" t="s">
        <v>1498</v>
      </c>
      <c r="G453" s="2522"/>
      <c r="H453" s="2522"/>
      <c r="I453" s="2522"/>
      <c r="J453" s="2522"/>
      <c r="K453" s="2522"/>
      <c r="L453" s="2522"/>
      <c r="M453" s="2522"/>
      <c r="N453" s="2522"/>
      <c r="O453" s="2522"/>
      <c r="P453" s="2522"/>
      <c r="Q453" s="2522"/>
      <c r="R453" s="2522"/>
      <c r="S453" s="2522"/>
      <c r="T453" s="2522"/>
      <c r="U453" s="2522"/>
      <c r="V453" s="2522"/>
      <c r="W453" s="2522"/>
      <c r="X453" s="2522"/>
      <c r="Y453" s="2522"/>
      <c r="Z453" s="2522"/>
      <c r="AA453" s="2522"/>
      <c r="AB453" s="2522"/>
      <c r="AC453" s="2522"/>
      <c r="AD453" s="2522"/>
      <c r="AE453" s="2522"/>
      <c r="AF453" s="2543" t="s">
        <v>1462</v>
      </c>
      <c r="AG453" s="2543"/>
      <c r="AH453" s="2543"/>
      <c r="AI453" s="2543"/>
      <c r="AJ453" s="2543"/>
      <c r="AK453" s="2543"/>
      <c r="AL453" s="2544"/>
      <c r="AM453" s="570"/>
      <c r="AN453" s="753"/>
    </row>
    <row r="454" spans="1:40" s="550" customFormat="1" ht="12.75" customHeight="1">
      <c r="A454" s="536"/>
      <c r="B454" s="14"/>
      <c r="C454" s="751"/>
      <c r="D454" s="730"/>
      <c r="E454" s="719"/>
      <c r="F454" s="2523"/>
      <c r="G454" s="2523"/>
      <c r="H454" s="2523"/>
      <c r="I454" s="2523"/>
      <c r="J454" s="2523"/>
      <c r="K454" s="2523"/>
      <c r="L454" s="2523"/>
      <c r="M454" s="2523"/>
      <c r="N454" s="2523"/>
      <c r="O454" s="2523"/>
      <c r="P454" s="2523"/>
      <c r="Q454" s="2523"/>
      <c r="R454" s="2523"/>
      <c r="S454" s="2523"/>
      <c r="T454" s="2523"/>
      <c r="U454" s="2523"/>
      <c r="V454" s="2523"/>
      <c r="W454" s="2523"/>
      <c r="X454" s="2523"/>
      <c r="Y454" s="2523"/>
      <c r="Z454" s="2523"/>
      <c r="AA454" s="2523"/>
      <c r="AB454" s="2523"/>
      <c r="AC454" s="2523"/>
      <c r="AD454" s="2523"/>
      <c r="AE454" s="2523"/>
      <c r="AF454" s="591"/>
      <c r="AG454" s="591"/>
      <c r="AH454" s="591"/>
      <c r="AI454" s="591"/>
      <c r="AJ454" s="591"/>
      <c r="AK454" s="591"/>
      <c r="AL454" s="720"/>
      <c r="AM454" s="570"/>
      <c r="AN454" s="754"/>
    </row>
    <row r="455" spans="1:40" s="550" customFormat="1" ht="17.850000000000001" customHeight="1">
      <c r="A455" s="536"/>
      <c r="B455" s="14"/>
      <c r="C455" s="756"/>
      <c r="D455" s="723"/>
      <c r="E455" s="724"/>
      <c r="F455" s="2542"/>
      <c r="G455" s="2542"/>
      <c r="H455" s="2542"/>
      <c r="I455" s="2542"/>
      <c r="J455" s="2542"/>
      <c r="K455" s="2542"/>
      <c r="L455" s="2542"/>
      <c r="M455" s="2542"/>
      <c r="N455" s="2542"/>
      <c r="O455" s="2542"/>
      <c r="P455" s="2542"/>
      <c r="Q455" s="2542"/>
      <c r="R455" s="2542"/>
      <c r="S455" s="2542"/>
      <c r="T455" s="2542"/>
      <c r="U455" s="2542"/>
      <c r="V455" s="2542"/>
      <c r="W455" s="2542"/>
      <c r="X455" s="2542"/>
      <c r="Y455" s="2542"/>
      <c r="Z455" s="2542"/>
      <c r="AA455" s="2542"/>
      <c r="AB455" s="2542"/>
      <c r="AC455" s="2542"/>
      <c r="AD455" s="2542"/>
      <c r="AE455" s="2542"/>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19" t="s">
        <v>591</v>
      </c>
      <c r="D457" s="2476"/>
      <c r="E457" s="715" t="s">
        <v>1503</v>
      </c>
      <c r="F457" s="2522" t="s">
        <v>1504</v>
      </c>
      <c r="G457" s="2522"/>
      <c r="H457" s="2522"/>
      <c r="I457" s="2522"/>
      <c r="J457" s="2522"/>
      <c r="K457" s="2522"/>
      <c r="L457" s="2522"/>
      <c r="M457" s="2522"/>
      <c r="N457" s="2522"/>
      <c r="O457" s="2522"/>
      <c r="P457" s="2522"/>
      <c r="Q457" s="2522"/>
      <c r="R457" s="2522"/>
      <c r="S457" s="2522"/>
      <c r="T457" s="2522"/>
      <c r="U457" s="2522"/>
      <c r="V457" s="2522"/>
      <c r="W457" s="2522"/>
      <c r="X457" s="2522"/>
      <c r="Y457" s="2522"/>
      <c r="Z457" s="2522"/>
      <c r="AA457" s="2522"/>
      <c r="AB457" s="2522"/>
      <c r="AC457" s="2522"/>
      <c r="AD457" s="2522"/>
      <c r="AE457" s="2522"/>
      <c r="AF457" s="2543" t="s">
        <v>1462</v>
      </c>
      <c r="AG457" s="2543"/>
      <c r="AH457" s="2543"/>
      <c r="AI457" s="2543"/>
      <c r="AJ457" s="2543"/>
      <c r="AK457" s="2543"/>
      <c r="AL457" s="2544"/>
      <c r="AM457" s="570"/>
      <c r="AN457" s="535"/>
    </row>
    <row r="458" spans="1:40" s="550" customFormat="1" ht="12.75" customHeight="1">
      <c r="A458" s="536"/>
      <c r="B458" s="14"/>
      <c r="C458" s="731"/>
      <c r="D458" s="14"/>
      <c r="E458" s="691"/>
      <c r="F458" s="2523"/>
      <c r="G458" s="2523"/>
      <c r="H458" s="2523"/>
      <c r="I458" s="2523"/>
      <c r="J458" s="2523"/>
      <c r="K458" s="2523"/>
      <c r="L458" s="2523"/>
      <c r="M458" s="2523"/>
      <c r="N458" s="2523"/>
      <c r="O458" s="2523"/>
      <c r="P458" s="2523"/>
      <c r="Q458" s="2523"/>
      <c r="R458" s="2523"/>
      <c r="S458" s="2523"/>
      <c r="T458" s="2523"/>
      <c r="U458" s="2523"/>
      <c r="V458" s="2523"/>
      <c r="W458" s="2523"/>
      <c r="X458" s="2523"/>
      <c r="Y458" s="2523"/>
      <c r="Z458" s="2523"/>
      <c r="AA458" s="2523"/>
      <c r="AB458" s="2523"/>
      <c r="AC458" s="2523"/>
      <c r="AD458" s="2523"/>
      <c r="AE458" s="2523"/>
      <c r="AF458" s="539"/>
      <c r="AG458" s="536"/>
      <c r="AL458" s="732"/>
      <c r="AM458" s="570"/>
      <c r="AN458" s="535"/>
    </row>
    <row r="459" spans="1:40" s="550" customFormat="1" ht="12.75" customHeight="1">
      <c r="A459" s="536"/>
      <c r="B459" s="14"/>
      <c r="C459" s="731"/>
      <c r="D459" s="14"/>
      <c r="E459" s="691"/>
      <c r="F459" s="2523"/>
      <c r="G459" s="2523"/>
      <c r="H459" s="2523"/>
      <c r="I459" s="2523"/>
      <c r="J459" s="2523"/>
      <c r="K459" s="2523"/>
      <c r="L459" s="2523"/>
      <c r="M459" s="2523"/>
      <c r="N459" s="2523"/>
      <c r="O459" s="2523"/>
      <c r="P459" s="2523"/>
      <c r="Q459" s="2523"/>
      <c r="R459" s="2523"/>
      <c r="S459" s="2523"/>
      <c r="T459" s="2523"/>
      <c r="U459" s="2523"/>
      <c r="V459" s="2523"/>
      <c r="W459" s="2523"/>
      <c r="X459" s="2523"/>
      <c r="Y459" s="2523"/>
      <c r="Z459" s="2523"/>
      <c r="AA459" s="2523"/>
      <c r="AB459" s="2523"/>
      <c r="AC459" s="2523"/>
      <c r="AD459" s="2523"/>
      <c r="AE459" s="2523"/>
      <c r="AF459" s="539"/>
      <c r="AG459" s="536"/>
      <c r="AL459" s="732"/>
      <c r="AM459" s="570"/>
      <c r="AN459" s="535"/>
    </row>
    <row r="460" spans="1:40" s="550" customFormat="1" ht="12.75" customHeight="1">
      <c r="A460" s="536"/>
      <c r="B460" s="14"/>
      <c r="C460" s="756"/>
      <c r="D460" s="723"/>
      <c r="E460" s="724"/>
      <c r="F460" s="2542"/>
      <c r="G460" s="2542"/>
      <c r="H460" s="2542"/>
      <c r="I460" s="2542"/>
      <c r="J460" s="2542"/>
      <c r="K460" s="2542"/>
      <c r="L460" s="2542"/>
      <c r="M460" s="2542"/>
      <c r="N460" s="2542"/>
      <c r="O460" s="2542"/>
      <c r="P460" s="2542"/>
      <c r="Q460" s="2542"/>
      <c r="R460" s="2542"/>
      <c r="S460" s="2542"/>
      <c r="T460" s="2542"/>
      <c r="U460" s="2542"/>
      <c r="V460" s="2542"/>
      <c r="W460" s="2542"/>
      <c r="X460" s="2542"/>
      <c r="Y460" s="2542"/>
      <c r="Z460" s="2542"/>
      <c r="AA460" s="2542"/>
      <c r="AB460" s="2542"/>
      <c r="AC460" s="2542"/>
      <c r="AD460" s="2542"/>
      <c r="AE460" s="2542"/>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1506</v>
      </c>
      <c r="F462" s="2522" t="s">
        <v>1507</v>
      </c>
      <c r="G462" s="2522"/>
      <c r="H462" s="2522"/>
      <c r="I462" s="2522"/>
      <c r="J462" s="2522"/>
      <c r="K462" s="2522"/>
      <c r="L462" s="2522"/>
      <c r="M462" s="2522"/>
      <c r="N462" s="2522"/>
      <c r="O462" s="2522"/>
      <c r="P462" s="2522"/>
      <c r="Q462" s="2522"/>
      <c r="R462" s="2522"/>
      <c r="S462" s="2522"/>
      <c r="T462" s="2522"/>
      <c r="U462" s="2522"/>
      <c r="V462" s="2522"/>
      <c r="W462" s="2522"/>
      <c r="X462" s="2522"/>
      <c r="Y462" s="2522"/>
      <c r="Z462" s="2522"/>
      <c r="AA462" s="2522"/>
      <c r="AB462" s="2522"/>
      <c r="AC462" s="2522"/>
      <c r="AD462" s="2522"/>
      <c r="AE462" s="2522"/>
      <c r="AF462" s="2522"/>
      <c r="AG462" s="744"/>
      <c r="AH462" s="714"/>
      <c r="AI462" s="714"/>
      <c r="AJ462" s="714"/>
      <c r="AK462" s="714"/>
      <c r="AL462" s="745"/>
      <c r="AM462" s="570"/>
      <c r="AN462" s="597"/>
    </row>
    <row r="463" spans="1:40" s="550" customFormat="1" ht="12.75" customHeight="1">
      <c r="A463" s="536"/>
      <c r="B463" s="14"/>
      <c r="C463" s="731"/>
      <c r="D463" s="14"/>
      <c r="E463" s="691"/>
      <c r="F463" s="2523"/>
      <c r="G463" s="2523"/>
      <c r="H463" s="2523"/>
      <c r="I463" s="2523"/>
      <c r="J463" s="2523"/>
      <c r="K463" s="2523"/>
      <c r="L463" s="2523"/>
      <c r="M463" s="2523"/>
      <c r="N463" s="2523"/>
      <c r="O463" s="2523"/>
      <c r="P463" s="2523"/>
      <c r="Q463" s="2523"/>
      <c r="R463" s="2523"/>
      <c r="S463" s="2523"/>
      <c r="T463" s="2523"/>
      <c r="U463" s="2523"/>
      <c r="V463" s="2523"/>
      <c r="W463" s="2523"/>
      <c r="X463" s="2523"/>
      <c r="Y463" s="2523"/>
      <c r="Z463" s="2523"/>
      <c r="AA463" s="2523"/>
      <c r="AB463" s="2523"/>
      <c r="AC463" s="2523"/>
      <c r="AD463" s="2523"/>
      <c r="AE463" s="2523"/>
      <c r="AF463" s="2523"/>
      <c r="AL463" s="732"/>
      <c r="AM463" s="570"/>
      <c r="AN463" s="597"/>
    </row>
    <row r="464" spans="1:40" s="550" customFormat="1" ht="12.75" customHeight="1">
      <c r="A464" s="536"/>
      <c r="B464" s="14"/>
      <c r="C464" s="739"/>
      <c r="F464" s="2523"/>
      <c r="G464" s="2523"/>
      <c r="H464" s="2523"/>
      <c r="I464" s="2523"/>
      <c r="J464" s="2523"/>
      <c r="K464" s="2523"/>
      <c r="L464" s="2523"/>
      <c r="M464" s="2523"/>
      <c r="N464" s="2523"/>
      <c r="O464" s="2523"/>
      <c r="P464" s="2523"/>
      <c r="Q464" s="2523"/>
      <c r="R464" s="2523"/>
      <c r="S464" s="2523"/>
      <c r="T464" s="2523"/>
      <c r="U464" s="2523"/>
      <c r="V464" s="2523"/>
      <c r="W464" s="2523"/>
      <c r="X464" s="2523"/>
      <c r="Y464" s="2523"/>
      <c r="Z464" s="2523"/>
      <c r="AA464" s="2523"/>
      <c r="AB464" s="2523"/>
      <c r="AC464" s="2523"/>
      <c r="AD464" s="2523"/>
      <c r="AE464" s="2523"/>
      <c r="AF464" s="2523"/>
      <c r="AL464" s="732"/>
      <c r="AM464" s="570"/>
      <c r="AN464" s="597"/>
    </row>
    <row r="465" spans="1:58" s="550" customFormat="1" ht="12.75" customHeight="1">
      <c r="A465" s="536"/>
      <c r="B465" s="14"/>
      <c r="C465" s="739"/>
      <c r="F465" s="2523"/>
      <c r="G465" s="2523"/>
      <c r="H465" s="2523"/>
      <c r="I465" s="2523"/>
      <c r="J465" s="2523"/>
      <c r="K465" s="2523"/>
      <c r="L465" s="2523"/>
      <c r="M465" s="2523"/>
      <c r="N465" s="2523"/>
      <c r="O465" s="2523"/>
      <c r="P465" s="2523"/>
      <c r="Q465" s="2523"/>
      <c r="R465" s="2523"/>
      <c r="S465" s="2523"/>
      <c r="T465" s="2523"/>
      <c r="U465" s="2523"/>
      <c r="V465" s="2523"/>
      <c r="W465" s="2523"/>
      <c r="X465" s="2523"/>
      <c r="Y465" s="2523"/>
      <c r="Z465" s="2523"/>
      <c r="AA465" s="2523"/>
      <c r="AB465" s="2523"/>
      <c r="AC465" s="2523"/>
      <c r="AD465" s="2523"/>
      <c r="AE465" s="2523"/>
      <c r="AF465" s="2523"/>
      <c r="AL465" s="732"/>
      <c r="AM465" s="570"/>
      <c r="AN465" s="597"/>
    </row>
    <row r="466" spans="1:58" s="550" customFormat="1" ht="12.75" customHeight="1">
      <c r="A466" s="536"/>
      <c r="B466" s="14"/>
      <c r="C466" s="2519" t="s">
        <v>591</v>
      </c>
      <c r="D466" s="2476"/>
      <c r="E466" s="719"/>
      <c r="F466" s="721" t="s">
        <v>1479</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20" t="s">
        <v>1462</v>
      </c>
      <c r="AG466" s="2520"/>
      <c r="AH466" s="2520"/>
      <c r="AI466" s="2520"/>
      <c r="AJ466" s="2520"/>
      <c r="AK466" s="2520"/>
      <c r="AL466" s="2521"/>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1508</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1509</v>
      </c>
      <c r="AK469" s="2479">
        <f>IF(Application!D214="N/A",AS358,AS360)</f>
        <v>10</v>
      </c>
      <c r="AL469" s="2480"/>
      <c r="AM469" s="2481"/>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1510</v>
      </c>
      <c r="C472" s="539"/>
      <c r="E472" s="596"/>
      <c r="AE472" s="2520" t="s">
        <v>1511</v>
      </c>
      <c r="AF472" s="2520"/>
      <c r="AG472" s="2520"/>
      <c r="AH472" s="2520"/>
      <c r="AI472" s="2520"/>
      <c r="AJ472" s="2520"/>
      <c r="AK472" s="2520"/>
      <c r="AL472" s="591"/>
      <c r="AN472" s="597"/>
      <c r="AO472" s="550" t="s">
        <v>1489</v>
      </c>
      <c r="AP472" s="550">
        <v>5</v>
      </c>
      <c r="AT472" s="550" t="s">
        <v>1489</v>
      </c>
      <c r="AU472" s="550">
        <v>5</v>
      </c>
      <c r="AV472" s="752"/>
    </row>
    <row r="473" spans="1:58" s="550" customFormat="1" ht="12.75" hidden="1" customHeight="1">
      <c r="A473" s="539"/>
      <c r="B473" s="536" t="s">
        <v>1512</v>
      </c>
      <c r="C473" s="539"/>
      <c r="E473" s="596"/>
      <c r="AE473" s="591"/>
      <c r="AF473" s="591"/>
      <c r="AG473" s="591"/>
      <c r="AH473" s="591"/>
      <c r="AI473" s="591"/>
      <c r="AJ473" s="591"/>
      <c r="AK473" s="591"/>
      <c r="AL473" s="591"/>
      <c r="AN473" s="597"/>
      <c r="AO473" s="550" t="s">
        <v>1513</v>
      </c>
      <c r="AP473" s="550">
        <v>5</v>
      </c>
      <c r="AT473" s="550" t="s">
        <v>1490</v>
      </c>
      <c r="AU473" s="550">
        <v>5</v>
      </c>
      <c r="AV473" s="752"/>
    </row>
    <row r="474" spans="1:58" s="550" customFormat="1" ht="12.75" hidden="1" customHeight="1">
      <c r="A474" s="539"/>
      <c r="B474" s="539" t="s">
        <v>1514</v>
      </c>
      <c r="C474" s="539"/>
      <c r="E474" s="596"/>
      <c r="AE474" s="591"/>
      <c r="AF474" s="591"/>
      <c r="AG474" s="591"/>
      <c r="AH474" s="591"/>
      <c r="AI474" s="591"/>
      <c r="AJ474" s="591"/>
      <c r="AK474" s="591"/>
      <c r="AL474" s="591"/>
      <c r="AN474" s="597"/>
      <c r="AO474" s="550" t="s">
        <v>1491</v>
      </c>
      <c r="AP474" s="550">
        <v>5</v>
      </c>
      <c r="AQ474" s="539"/>
      <c r="AR474" s="539"/>
      <c r="AS474" s="755"/>
      <c r="AT474" s="550" t="s">
        <v>1491</v>
      </c>
      <c r="AU474" s="550">
        <v>5</v>
      </c>
      <c r="AV474" s="536"/>
    </row>
    <row r="475" spans="1:58" s="550" customFormat="1" ht="12.75" hidden="1" customHeight="1">
      <c r="A475" s="539"/>
      <c r="B475" s="539" t="s">
        <v>1515</v>
      </c>
      <c r="C475" s="539"/>
      <c r="E475" s="596"/>
      <c r="AE475" s="591"/>
      <c r="AF475" s="591"/>
      <c r="AG475" s="591"/>
      <c r="AH475" s="591"/>
      <c r="AI475" s="591"/>
      <c r="AJ475" s="591"/>
      <c r="AK475" s="591"/>
      <c r="AL475" s="591"/>
      <c r="AN475" s="597"/>
      <c r="AO475" s="550" t="s">
        <v>1493</v>
      </c>
      <c r="AP475" s="550">
        <v>5</v>
      </c>
      <c r="AQ475" s="539"/>
      <c r="AR475" s="539"/>
      <c r="AT475" s="550" t="s">
        <v>1493</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1494</v>
      </c>
      <c r="AP476" s="550">
        <v>5</v>
      </c>
      <c r="AQ476" s="539"/>
      <c r="AR476" s="539"/>
      <c r="AT476" s="550" t="s">
        <v>1494</v>
      </c>
      <c r="AU476" s="550">
        <v>5</v>
      </c>
    </row>
    <row r="477" spans="1:58" s="550" customFormat="1" ht="12.75" hidden="1" customHeight="1">
      <c r="A477" s="539"/>
      <c r="C477" s="712" t="s">
        <v>1516</v>
      </c>
      <c r="D477" s="570"/>
      <c r="AE477" s="591"/>
      <c r="AF477" s="591"/>
      <c r="AG477" s="596"/>
      <c r="AH477" s="596"/>
      <c r="AI477" s="596"/>
      <c r="AJ477" s="596"/>
      <c r="AK477" s="596"/>
      <c r="AL477" s="596"/>
      <c r="AN477" s="597"/>
      <c r="AO477" s="550" t="s">
        <v>1495</v>
      </c>
      <c r="AP477" s="550">
        <v>5</v>
      </c>
      <c r="AT477" s="550" t="s">
        <v>1495</v>
      </c>
      <c r="AU477" s="550">
        <v>5</v>
      </c>
    </row>
    <row r="478" spans="1:58" s="550" customFormat="1" ht="12.75" hidden="1" customHeight="1">
      <c r="A478" s="539"/>
      <c r="C478" s="2545" t="s">
        <v>591</v>
      </c>
      <c r="D478" s="2546"/>
      <c r="E478" s="761" t="s">
        <v>507</v>
      </c>
      <c r="F478" s="2547" t="s">
        <v>1517</v>
      </c>
      <c r="G478" s="2547"/>
      <c r="H478" s="2547"/>
      <c r="I478" s="2547"/>
      <c r="J478" s="2547"/>
      <c r="K478" s="2547"/>
      <c r="L478" s="2547"/>
      <c r="M478" s="2547"/>
      <c r="N478" s="2547"/>
      <c r="O478" s="2547"/>
      <c r="P478" s="2547"/>
      <c r="Q478" s="2547"/>
      <c r="R478" s="2547"/>
      <c r="S478" s="2547"/>
      <c r="T478" s="2547"/>
      <c r="U478" s="2547"/>
      <c r="V478" s="2547"/>
      <c r="W478" s="2547"/>
      <c r="X478" s="2547"/>
      <c r="Y478" s="2547"/>
      <c r="Z478" s="2547"/>
      <c r="AA478" s="2547"/>
      <c r="AB478" s="2547"/>
      <c r="AC478" s="2547"/>
      <c r="AD478" s="2547"/>
      <c r="AE478" s="2547"/>
      <c r="AF478" s="714"/>
      <c r="AG478" s="714"/>
      <c r="AH478" s="714"/>
      <c r="AI478" s="714"/>
      <c r="AJ478" s="714"/>
      <c r="AK478" s="745"/>
      <c r="AN478" s="597"/>
      <c r="AO478" s="550" t="s">
        <v>1518</v>
      </c>
      <c r="AP478" s="550">
        <v>5</v>
      </c>
      <c r="AS478" s="758"/>
      <c r="AT478" s="550" t="s">
        <v>1496</v>
      </c>
      <c r="AU478" s="550">
        <v>5</v>
      </c>
    </row>
    <row r="479" spans="1:58" s="550" customFormat="1" ht="12.75" hidden="1" customHeight="1">
      <c r="C479" s="762"/>
      <c r="E479" s="763"/>
      <c r="F479" s="2548"/>
      <c r="G479" s="2548"/>
      <c r="H479" s="2548"/>
      <c r="I479" s="2548"/>
      <c r="J479" s="2548"/>
      <c r="K479" s="2548"/>
      <c r="L479" s="2548"/>
      <c r="M479" s="2548"/>
      <c r="N479" s="2548"/>
      <c r="O479" s="2548"/>
      <c r="P479" s="2548"/>
      <c r="Q479" s="2548"/>
      <c r="R479" s="2548"/>
      <c r="S479" s="2548"/>
      <c r="T479" s="2548"/>
      <c r="U479" s="2548"/>
      <c r="V479" s="2548"/>
      <c r="W479" s="2548"/>
      <c r="X479" s="2548"/>
      <c r="Y479" s="2548"/>
      <c r="Z479" s="2548"/>
      <c r="AA479" s="2548"/>
      <c r="AB479" s="2548"/>
      <c r="AC479" s="2548"/>
      <c r="AD479" s="2548"/>
      <c r="AE479" s="2548"/>
      <c r="AG479" s="551"/>
      <c r="AH479" s="551"/>
      <c r="AI479" s="551"/>
      <c r="AJ479" s="551"/>
      <c r="AK479" s="732"/>
      <c r="AN479" s="597"/>
      <c r="AO479" s="550" t="s">
        <v>1499</v>
      </c>
      <c r="AP479" s="550">
        <v>1</v>
      </c>
      <c r="AT479" s="550" t="s">
        <v>1499</v>
      </c>
      <c r="AU479" s="550">
        <v>1</v>
      </c>
    </row>
    <row r="480" spans="1:58" s="550" customFormat="1" ht="12.75" hidden="1" customHeight="1">
      <c r="C480" s="764"/>
      <c r="D480" s="727"/>
      <c r="E480" s="765"/>
      <c r="F480" s="2621" t="s">
        <v>591</v>
      </c>
      <c r="G480" s="2621"/>
      <c r="H480" s="2621"/>
      <c r="I480" s="2621"/>
      <c r="J480" s="2621"/>
      <c r="K480" s="2621"/>
      <c r="L480" s="2621"/>
      <c r="M480" s="2621"/>
      <c r="N480" s="2621"/>
      <c r="O480" s="2621"/>
      <c r="P480" s="2621"/>
      <c r="Q480" s="2621"/>
      <c r="R480" s="2621"/>
      <c r="S480" s="2621"/>
      <c r="T480" s="2621"/>
      <c r="U480" s="2621"/>
      <c r="V480" s="2621"/>
      <c r="W480" s="2621"/>
      <c r="X480" s="2621"/>
      <c r="Y480" s="2621"/>
      <c r="Z480" s="2621"/>
      <c r="AA480" s="766"/>
      <c r="AB480" s="658"/>
      <c r="AC480" s="658"/>
      <c r="AD480" s="727"/>
      <c r="AE480" s="727"/>
      <c r="AF480" s="727"/>
      <c r="AG480" s="767">
        <f>IF($C$478="Yes",(VLOOKUP($F$480,$AT$471:$AU$479,2,FALSE)),0)</f>
        <v>0</v>
      </c>
      <c r="AH480" s="768" t="s">
        <v>1328</v>
      </c>
      <c r="AI480" s="767"/>
      <c r="AJ480" s="767"/>
      <c r="AK480" s="742"/>
      <c r="AN480" s="597"/>
      <c r="AS480" s="755"/>
      <c r="AX480" s="755"/>
      <c r="BB480" s="755" t="s">
        <v>1500</v>
      </c>
      <c r="BF480" s="755" t="s">
        <v>1501</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622" t="s">
        <v>545</v>
      </c>
      <c r="D482" s="2623"/>
      <c r="E482" s="761" t="s">
        <v>757</v>
      </c>
      <c r="F482" s="769" t="s">
        <v>1519</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1502</v>
      </c>
      <c r="AX482" s="637">
        <v>3</v>
      </c>
      <c r="AY482" s="593"/>
      <c r="BB482" s="758">
        <v>0.4</v>
      </c>
      <c r="BC482" s="593">
        <v>3</v>
      </c>
      <c r="BF482" s="758">
        <v>0.4</v>
      </c>
      <c r="BG482" s="593">
        <v>4</v>
      </c>
    </row>
    <row r="483" spans="1:81" s="550" customFormat="1" ht="12.75" hidden="1" customHeight="1">
      <c r="C483" s="770" t="s">
        <v>1520</v>
      </c>
      <c r="F483" s="771" t="s">
        <v>1521</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1505</v>
      </c>
      <c r="AX483" s="637">
        <v>5</v>
      </c>
      <c r="AY483" s="593"/>
      <c r="BB483" s="758">
        <v>0.6</v>
      </c>
      <c r="BC483" s="593">
        <v>4</v>
      </c>
      <c r="BF483" s="758">
        <v>0.6</v>
      </c>
      <c r="BG483" s="593">
        <v>5</v>
      </c>
    </row>
    <row r="484" spans="1:81" s="550" customFormat="1" ht="12.75" hidden="1" customHeight="1">
      <c r="C484" s="751"/>
      <c r="D484" s="730"/>
      <c r="E484" s="772"/>
      <c r="F484" s="771" t="s">
        <v>1522</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1523</v>
      </c>
      <c r="G485" s="550"/>
      <c r="H485" s="550"/>
      <c r="I485" s="771"/>
      <c r="J485" s="771"/>
      <c r="K485" s="771"/>
      <c r="L485" s="771"/>
      <c r="M485" s="771"/>
      <c r="N485" s="771"/>
      <c r="O485" s="771"/>
      <c r="P485" s="771"/>
      <c r="Q485" s="771"/>
      <c r="R485" s="771"/>
      <c r="S485" s="771"/>
      <c r="T485" s="771"/>
      <c r="U485" s="771"/>
      <c r="V485" s="2620" t="s">
        <v>591</v>
      </c>
      <c r="W485" s="2620"/>
      <c r="X485" s="2620"/>
      <c r="Y485" s="771"/>
      <c r="Z485" s="771"/>
      <c r="AA485" s="771"/>
      <c r="AB485" s="771"/>
      <c r="AC485" s="771"/>
      <c r="AD485" s="609"/>
      <c r="AE485" s="609"/>
      <c r="AF485" s="609"/>
      <c r="AG485" s="613">
        <f>IF(AND($C$482="Yes",$V$487="N/A",$V$492="N/A",$V$496="N/A",$V$498="N/A"),(VLOOKUP(V485,$AW$481:$AX$483,2,FALSE)),0)</f>
        <v>0</v>
      </c>
      <c r="AH485" s="640" t="s">
        <v>1328</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1524</v>
      </c>
      <c r="G487" s="550"/>
      <c r="H487" s="550"/>
      <c r="I487" s="771"/>
      <c r="J487" s="771"/>
      <c r="K487" s="771"/>
      <c r="L487" s="771"/>
      <c r="M487" s="771"/>
      <c r="N487" s="771"/>
      <c r="O487" s="771"/>
      <c r="P487" s="771"/>
      <c r="Q487" s="771"/>
      <c r="R487" s="771"/>
      <c r="S487" s="771"/>
      <c r="T487" s="771"/>
      <c r="U487" s="771"/>
      <c r="V487" s="2620" t="s">
        <v>591</v>
      </c>
      <c r="W487" s="2620"/>
      <c r="X487" s="2620"/>
      <c r="Y487" s="771"/>
      <c r="Z487" s="771"/>
      <c r="AA487" s="771"/>
      <c r="AB487" s="771"/>
      <c r="AC487" s="771"/>
      <c r="AD487" s="609"/>
      <c r="AE487" s="609"/>
      <c r="AF487" s="609"/>
      <c r="AG487" s="613">
        <f>IF(AND($C$482="Yes",$V$485="N/A", $V$492="N/A",$V$496="N/A",$V$498="N/A"),(VLOOKUP(V487,$AT$481:$AU$483,2,FALSE)),0)</f>
        <v>0</v>
      </c>
      <c r="AH487" s="640" t="s">
        <v>1328</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1525</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1526</v>
      </c>
      <c r="AP489" s="637">
        <v>2</v>
      </c>
    </row>
    <row r="490" spans="1:81" s="550" customFormat="1" ht="12.75" hidden="1" customHeight="1">
      <c r="C490" s="762"/>
      <c r="F490" s="609" t="s">
        <v>1527</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1528</v>
      </c>
      <c r="AP490" s="550">
        <v>2</v>
      </c>
    </row>
    <row r="491" spans="1:81" s="596" customFormat="1" ht="12.75" hidden="1" customHeight="1">
      <c r="A491" s="550"/>
      <c r="B491" s="550"/>
      <c r="C491" s="739"/>
      <c r="D491" s="570"/>
      <c r="E491" s="570"/>
      <c r="F491" s="609" t="s">
        <v>1529</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1530</v>
      </c>
      <c r="AP491" s="550">
        <v>2</v>
      </c>
    </row>
    <row r="492" spans="1:81" s="550" customFormat="1" ht="12.75" hidden="1" customHeight="1">
      <c r="C492" s="777"/>
      <c r="F492" s="775" t="s">
        <v>1531</v>
      </c>
      <c r="M492" s="763"/>
      <c r="N492" s="763"/>
      <c r="O492" s="763"/>
      <c r="P492" s="763"/>
      <c r="Q492" s="551"/>
      <c r="R492" s="551"/>
      <c r="S492" s="551"/>
      <c r="T492" s="551"/>
      <c r="U492" s="551"/>
      <c r="V492" s="2620" t="s">
        <v>591</v>
      </c>
      <c r="W492" s="2620"/>
      <c r="X492" s="2620"/>
      <c r="Y492" s="551"/>
      <c r="Z492" s="551"/>
      <c r="AA492" s="551"/>
      <c r="AB492" s="551"/>
      <c r="AC492" s="551"/>
      <c r="AG492" s="613">
        <f>IF(AND($C$482="Yes",$V$485="N/A",$V$487="N/A", $V$496="N/A",$V$498="N/A"),(VLOOKUP($V$492,$AT$485:$AU$487,2,FALSE)),0)</f>
        <v>0</v>
      </c>
      <c r="AH492" s="640" t="s">
        <v>1328</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1532</v>
      </c>
      <c r="D494" s="714"/>
      <c r="E494" s="714"/>
      <c r="F494" s="780" t="s">
        <v>1533</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610"/>
      <c r="E495" s="2610"/>
      <c r="F495" s="771" t="s">
        <v>1534</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1535</v>
      </c>
      <c r="AP495" s="637">
        <v>5</v>
      </c>
      <c r="AQ495" s="539"/>
    </row>
    <row r="496" spans="1:81" s="570" customFormat="1" ht="12.75" hidden="1" customHeight="1">
      <c r="A496" s="679"/>
      <c r="B496" s="550"/>
      <c r="C496" s="762"/>
      <c r="D496" s="550"/>
      <c r="E496" s="550"/>
      <c r="F496" s="782" t="s">
        <v>1523</v>
      </c>
      <c r="G496" s="550"/>
      <c r="H496" s="550"/>
      <c r="I496" s="550"/>
      <c r="J496" s="550"/>
      <c r="K496" s="550"/>
      <c r="L496" s="550"/>
      <c r="M496" s="550"/>
      <c r="N496" s="550"/>
      <c r="O496" s="550"/>
      <c r="P496" s="550"/>
      <c r="Q496" s="550"/>
      <c r="R496" s="550"/>
      <c r="S496" s="550"/>
      <c r="T496" s="550"/>
      <c r="U496" s="550"/>
      <c r="V496" s="2620" t="s">
        <v>591</v>
      </c>
      <c r="W496" s="2620"/>
      <c r="X496" s="2620"/>
      <c r="Y496" s="550"/>
      <c r="Z496" s="550"/>
      <c r="AA496" s="550"/>
      <c r="AB496" s="550"/>
      <c r="AC496" s="550"/>
      <c r="AD496" s="550"/>
      <c r="AE496" s="550"/>
      <c r="AF496" s="550"/>
      <c r="AG496" s="613">
        <f>IF(AND($C$482="Yes",$V$485="N/A",V487="N/A",$V$492="N/A",$V$498="N/A"),(VLOOKUP($V$496,$BB$481:$BC$484,2,FALSE)),0)</f>
        <v>0</v>
      </c>
      <c r="AH496" s="640" t="s">
        <v>1328</v>
      </c>
      <c r="AI496" s="551"/>
      <c r="AJ496" s="550"/>
      <c r="AK496" s="732"/>
      <c r="AL496" s="550"/>
      <c r="AM496" s="550"/>
      <c r="AN496" s="684"/>
      <c r="AO496" s="550" t="s">
        <v>1536</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1537</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1524</v>
      </c>
      <c r="G498" s="766"/>
      <c r="H498" s="766"/>
      <c r="I498" s="727"/>
      <c r="J498" s="727"/>
      <c r="K498" s="727"/>
      <c r="L498" s="727"/>
      <c r="M498" s="727"/>
      <c r="N498" s="727"/>
      <c r="O498" s="727"/>
      <c r="P498" s="727"/>
      <c r="Q498" s="727"/>
      <c r="R498" s="727"/>
      <c r="S498" s="727"/>
      <c r="T498" s="727"/>
      <c r="U498" s="727"/>
      <c r="V498" s="2620" t="s">
        <v>591</v>
      </c>
      <c r="W498" s="2620"/>
      <c r="X498" s="2620"/>
      <c r="Y498" s="727"/>
      <c r="Z498" s="727"/>
      <c r="AA498" s="727"/>
      <c r="AB498" s="727"/>
      <c r="AC498" s="727"/>
      <c r="AD498" s="727"/>
      <c r="AE498" s="727"/>
      <c r="AF498" s="727"/>
      <c r="AG498" s="783">
        <f>IF(AND($C$482="Yes",$V$485="N/A",$V$487="N/A",$V$492="N/A",$V$496="N/A"),(VLOOKUP($V$498,$BF$481:$BG$483,2,FALSE)),0)</f>
        <v>0</v>
      </c>
      <c r="AH498" s="768" t="s">
        <v>1328</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1538</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5" t="s">
        <v>591</v>
      </c>
      <c r="D501" s="2546"/>
      <c r="E501" s="761" t="s">
        <v>507</v>
      </c>
      <c r="F501" s="2547" t="s">
        <v>1517</v>
      </c>
      <c r="G501" s="2547"/>
      <c r="H501" s="2547"/>
      <c r="I501" s="2547"/>
      <c r="J501" s="2547"/>
      <c r="K501" s="2547"/>
      <c r="L501" s="2547"/>
      <c r="M501" s="2547"/>
      <c r="N501" s="2547"/>
      <c r="O501" s="2547"/>
      <c r="P501" s="2547"/>
      <c r="Q501" s="2547"/>
      <c r="R501" s="2547"/>
      <c r="S501" s="2547"/>
      <c r="T501" s="2547"/>
      <c r="U501" s="2547"/>
      <c r="V501" s="2547"/>
      <c r="W501" s="2547"/>
      <c r="X501" s="2547"/>
      <c r="Y501" s="2547"/>
      <c r="Z501" s="2547"/>
      <c r="AA501" s="2547"/>
      <c r="AB501" s="2547"/>
      <c r="AC501" s="2547"/>
      <c r="AD501" s="2547"/>
      <c r="AE501" s="2547"/>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8"/>
      <c r="G502" s="2548"/>
      <c r="H502" s="2548"/>
      <c r="I502" s="2548"/>
      <c r="J502" s="2548"/>
      <c r="K502" s="2548"/>
      <c r="L502" s="2548"/>
      <c r="M502" s="2548"/>
      <c r="N502" s="2548"/>
      <c r="O502" s="2548"/>
      <c r="P502" s="2548"/>
      <c r="Q502" s="2548"/>
      <c r="R502" s="2548"/>
      <c r="S502" s="2548"/>
      <c r="T502" s="2548"/>
      <c r="U502" s="2548"/>
      <c r="V502" s="2548"/>
      <c r="W502" s="2548"/>
      <c r="X502" s="2548"/>
      <c r="Y502" s="2548"/>
      <c r="Z502" s="2548"/>
      <c r="AA502" s="2548"/>
      <c r="AB502" s="2548"/>
      <c r="AC502" s="2548"/>
      <c r="AD502" s="2548"/>
      <c r="AE502" s="2548"/>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6" t="s">
        <v>591</v>
      </c>
      <c r="G503" s="2616"/>
      <c r="H503" s="2616"/>
      <c r="I503" s="2616"/>
      <c r="J503" s="2616"/>
      <c r="K503" s="2616"/>
      <c r="L503" s="2616"/>
      <c r="M503" s="2616"/>
      <c r="N503" s="2616"/>
      <c r="O503" s="2616"/>
      <c r="P503" s="2616"/>
      <c r="Q503" s="2616"/>
      <c r="R503" s="2616"/>
      <c r="S503" s="2616"/>
      <c r="T503" s="2616"/>
      <c r="U503" s="2616"/>
      <c r="V503" s="2616"/>
      <c r="W503" s="2616"/>
      <c r="X503" s="2616"/>
      <c r="Y503" s="2616"/>
      <c r="Z503" s="2616"/>
      <c r="AA503" s="766"/>
      <c r="AB503" s="658"/>
      <c r="AC503" s="658"/>
      <c r="AD503" s="727"/>
      <c r="AE503" s="727"/>
      <c r="AF503" s="727"/>
      <c r="AG503" s="767">
        <f>IF($C$501="Yes",(VLOOKUP($F$503,$AO$471:$AP$479,2,FALSE)),0)</f>
        <v>0</v>
      </c>
      <c r="AH503" s="768" t="s">
        <v>1328</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5" t="s">
        <v>591</v>
      </c>
      <c r="D505" s="2546"/>
      <c r="E505" s="761" t="s">
        <v>757</v>
      </c>
      <c r="F505" s="2617" t="s">
        <v>1539</v>
      </c>
      <c r="G505" s="2617"/>
      <c r="H505" s="2617"/>
      <c r="I505" s="2617"/>
      <c r="J505" s="2617"/>
      <c r="K505" s="2617"/>
      <c r="L505" s="2617"/>
      <c r="M505" s="2617"/>
      <c r="N505" s="2617"/>
      <c r="O505" s="2617"/>
      <c r="P505" s="2617"/>
      <c r="Q505" s="2617"/>
      <c r="R505" s="2617"/>
      <c r="S505" s="2617"/>
      <c r="T505" s="2617"/>
      <c r="U505" s="2617"/>
      <c r="V505" s="2617"/>
      <c r="W505" s="2617"/>
      <c r="X505" s="2617"/>
      <c r="Y505" s="2617"/>
      <c r="Z505" s="2617"/>
      <c r="AA505" s="2617"/>
      <c r="AB505" s="2617"/>
      <c r="AC505" s="2617"/>
      <c r="AD505" s="2617"/>
      <c r="AE505" s="2617"/>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8"/>
      <c r="G506" s="2618"/>
      <c r="H506" s="2618"/>
      <c r="I506" s="2618"/>
      <c r="J506" s="2618"/>
      <c r="K506" s="2618"/>
      <c r="L506" s="2618"/>
      <c r="M506" s="2618"/>
      <c r="N506" s="2618"/>
      <c r="O506" s="2618"/>
      <c r="P506" s="2618"/>
      <c r="Q506" s="2618"/>
      <c r="R506" s="2618"/>
      <c r="S506" s="2618"/>
      <c r="T506" s="2618"/>
      <c r="U506" s="2618"/>
      <c r="V506" s="2618"/>
      <c r="W506" s="2618"/>
      <c r="X506" s="2618"/>
      <c r="Y506" s="2618"/>
      <c r="Z506" s="2618"/>
      <c r="AA506" s="2618"/>
      <c r="AB506" s="2618"/>
      <c r="AC506" s="2618"/>
      <c r="AD506" s="2618"/>
      <c r="AE506" s="2618"/>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1540</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19" t="s">
        <v>591</v>
      </c>
      <c r="G508" s="2619"/>
      <c r="H508" s="2619"/>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1328</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5" t="s">
        <v>591</v>
      </c>
      <c r="D510" s="2546"/>
      <c r="E510" s="761" t="s">
        <v>1541</v>
      </c>
      <c r="F510" s="780" t="s">
        <v>1542</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09"/>
      <c r="D512" s="2610"/>
      <c r="E512" s="772"/>
      <c r="F512" s="551" t="s">
        <v>1543</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1328</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11" t="s">
        <v>591</v>
      </c>
      <c r="H513" s="2611"/>
      <c r="I513" s="2611"/>
      <c r="J513" s="2611"/>
      <c r="K513" s="2611"/>
      <c r="L513" s="2611"/>
      <c r="M513" s="2611"/>
      <c r="N513" s="2611"/>
      <c r="O513" s="2611"/>
      <c r="P513" s="2611"/>
      <c r="Q513" s="2611"/>
      <c r="R513" s="2611"/>
      <c r="S513" s="2611"/>
      <c r="T513" s="2611"/>
      <c r="U513" s="2611"/>
      <c r="V513" s="2611"/>
      <c r="W513" s="2611"/>
      <c r="X513" s="2611"/>
      <c r="Y513" s="2611"/>
      <c r="Z513" s="2611"/>
      <c r="AA513" s="2611"/>
      <c r="AB513" s="2611"/>
      <c r="AC513" s="2611"/>
      <c r="AD513" s="2611"/>
      <c r="AE513" s="2611"/>
      <c r="AF513" s="2611"/>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49" t="s">
        <v>591</v>
      </c>
      <c r="D515" s="2550"/>
      <c r="F515" s="551" t="s">
        <v>1544</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1328</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1545</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1546</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49" t="s">
        <v>591</v>
      </c>
      <c r="D519" s="2550"/>
      <c r="F519" s="795" t="s">
        <v>1547</v>
      </c>
      <c r="G519" s="2523" t="s">
        <v>1548</v>
      </c>
      <c r="H519" s="2523"/>
      <c r="I519" s="2523"/>
      <c r="J519" s="2523"/>
      <c r="K519" s="2523"/>
      <c r="L519" s="2523"/>
      <c r="M519" s="2523"/>
      <c r="N519" s="2523"/>
      <c r="O519" s="2523"/>
      <c r="P519" s="2523"/>
      <c r="Q519" s="2523"/>
      <c r="R519" s="2523"/>
      <c r="S519" s="2523"/>
      <c r="T519" s="2523"/>
      <c r="U519" s="2523"/>
      <c r="V519" s="2523"/>
      <c r="W519" s="2523"/>
      <c r="X519" s="2523"/>
      <c r="Y519" s="2523"/>
      <c r="Z519" s="2523"/>
      <c r="AA519" s="2523"/>
      <c r="AB519" s="2523"/>
      <c r="AC519" s="2523"/>
      <c r="AD519" s="2523"/>
      <c r="AE519" s="2523"/>
      <c r="AF519" s="2523"/>
      <c r="AG519" s="613">
        <f>IF(AND($C$519="Yes",$C$510="Yes"),2,0)</f>
        <v>0</v>
      </c>
      <c r="AH519" s="640" t="s">
        <v>1328</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42"/>
      <c r="H520" s="2542"/>
      <c r="I520" s="2542"/>
      <c r="J520" s="2542"/>
      <c r="K520" s="2542"/>
      <c r="L520" s="2542"/>
      <c r="M520" s="2542"/>
      <c r="N520" s="2542"/>
      <c r="O520" s="2542"/>
      <c r="P520" s="2542"/>
      <c r="Q520" s="2542"/>
      <c r="R520" s="2542"/>
      <c r="S520" s="2542"/>
      <c r="T520" s="2542"/>
      <c r="U520" s="2542"/>
      <c r="V520" s="2542"/>
      <c r="W520" s="2542"/>
      <c r="X520" s="2542"/>
      <c r="Y520" s="2542"/>
      <c r="Z520" s="2542"/>
      <c r="AA520" s="2542"/>
      <c r="AB520" s="2542"/>
      <c r="AC520" s="2542"/>
      <c r="AD520" s="2542"/>
      <c r="AE520" s="2542"/>
      <c r="AF520" s="2542"/>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1549</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51" t="s">
        <v>591</v>
      </c>
      <c r="D523" s="2552"/>
      <c r="E523" s="802" t="s">
        <v>1550</v>
      </c>
      <c r="F523" s="771" t="s">
        <v>1551</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1328</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53" t="s">
        <v>591</v>
      </c>
      <c r="G524" s="2553"/>
      <c r="H524" s="2553"/>
      <c r="I524" s="2553"/>
      <c r="J524" s="2553"/>
      <c r="K524" s="2553"/>
      <c r="L524" s="2553"/>
      <c r="M524" s="2553"/>
      <c r="N524" s="2553"/>
      <c r="O524" s="2553"/>
      <c r="P524" s="2553"/>
      <c r="Q524" s="2553"/>
      <c r="R524" s="2553"/>
      <c r="S524" s="2553"/>
      <c r="T524" s="2553"/>
      <c r="U524" s="2553"/>
      <c r="V524" s="2553"/>
      <c r="W524" s="2553"/>
      <c r="X524" s="2553"/>
      <c r="Y524" s="2553"/>
      <c r="Z524" s="2553"/>
      <c r="AA524" s="2553"/>
      <c r="AB524" s="2553"/>
      <c r="AC524" s="2553"/>
      <c r="AD524" s="2553"/>
      <c r="AE524" s="2553"/>
      <c r="AF524" s="2553"/>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4"/>
      <c r="G525" s="2554"/>
      <c r="H525" s="2554"/>
      <c r="I525" s="2554"/>
      <c r="J525" s="2554"/>
      <c r="K525" s="2554"/>
      <c r="L525" s="2554"/>
      <c r="M525" s="2554"/>
      <c r="N525" s="2554"/>
      <c r="O525" s="2554"/>
      <c r="P525" s="2554"/>
      <c r="Q525" s="2554"/>
      <c r="R525" s="2554"/>
      <c r="S525" s="2554"/>
      <c r="T525" s="2554"/>
      <c r="U525" s="2554"/>
      <c r="V525" s="2554"/>
      <c r="W525" s="2554"/>
      <c r="X525" s="2554"/>
      <c r="Y525" s="2554"/>
      <c r="Z525" s="2554"/>
      <c r="AA525" s="2554"/>
      <c r="AB525" s="2554"/>
      <c r="AC525" s="2554"/>
      <c r="AD525" s="2554"/>
      <c r="AE525" s="2554"/>
      <c r="AF525" s="2554"/>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1552</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1553</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2028</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1554</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2029</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1555</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1556</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1557</v>
      </c>
      <c r="AK535" s="2479">
        <f>SUM(AG479:AG524)</f>
        <v>0</v>
      </c>
      <c r="AL535" s="2480"/>
      <c r="AM535" s="2481"/>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1558</v>
      </c>
      <c r="B538" s="539" t="s">
        <v>1559</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09" t="s">
        <v>1560</v>
      </c>
      <c r="AF538" s="2409"/>
      <c r="AG538" s="2409"/>
      <c r="AH538" s="2409"/>
      <c r="AI538" s="2409"/>
      <c r="AJ538" s="2409"/>
      <c r="AK538" s="2409"/>
      <c r="AL538" s="595"/>
      <c r="AM538" s="595"/>
      <c r="AN538" s="597"/>
    </row>
    <row r="539" spans="1:81" s="550" customFormat="1" ht="12.75" customHeight="1">
      <c r="A539" s="539"/>
      <c r="B539" s="539" t="s">
        <v>1324</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6" t="s">
        <v>545</v>
      </c>
      <c r="D541" s="2476"/>
      <c r="E541" s="551"/>
      <c r="F541" s="2603" t="s">
        <v>1561</v>
      </c>
      <c r="G541" s="2604"/>
      <c r="H541" s="2604"/>
      <c r="I541" s="2604"/>
      <c r="J541" s="2604"/>
      <c r="K541" s="2604"/>
      <c r="L541" s="2604"/>
      <c r="M541" s="2604"/>
      <c r="N541" s="2604"/>
      <c r="O541" s="2604"/>
      <c r="P541" s="2604"/>
      <c r="Q541" s="2604"/>
      <c r="R541" s="2604"/>
      <c r="S541" s="2604"/>
      <c r="T541" s="2604"/>
      <c r="U541" s="2604"/>
      <c r="V541" s="2604"/>
      <c r="W541" s="2604"/>
      <c r="X541" s="2604"/>
      <c r="Y541" s="2604"/>
      <c r="Z541" s="2604"/>
      <c r="AA541" s="2604"/>
      <c r="AB541" s="2604"/>
      <c r="AC541" s="2604"/>
      <c r="AD541" s="2604"/>
      <c r="AE541" s="2604"/>
      <c r="AF541" s="2604"/>
      <c r="AG541" s="2604"/>
      <c r="AH541" s="2604"/>
      <c r="AI541" s="2604"/>
      <c r="AJ541" s="2604"/>
      <c r="AK541" s="2604"/>
      <c r="AL541" s="2605"/>
      <c r="AM541" s="595"/>
      <c r="AN541" s="597"/>
    </row>
    <row r="542" spans="1:81" s="550" customFormat="1" ht="12.75" customHeight="1">
      <c r="A542" s="539"/>
      <c r="B542" s="539"/>
      <c r="C542" s="551"/>
      <c r="D542" s="551"/>
      <c r="E542" s="551"/>
      <c r="F542" s="2606"/>
      <c r="G542" s="2607"/>
      <c r="H542" s="2607"/>
      <c r="I542" s="2607"/>
      <c r="J542" s="2607"/>
      <c r="K542" s="2607"/>
      <c r="L542" s="2607"/>
      <c r="M542" s="2607"/>
      <c r="N542" s="2607"/>
      <c r="O542" s="2607"/>
      <c r="P542" s="2607"/>
      <c r="Q542" s="2607"/>
      <c r="R542" s="2607"/>
      <c r="S542" s="2607"/>
      <c r="T542" s="2607"/>
      <c r="U542" s="2607"/>
      <c r="V542" s="2607"/>
      <c r="W542" s="2607"/>
      <c r="X542" s="2607"/>
      <c r="Y542" s="2607"/>
      <c r="Z542" s="2607"/>
      <c r="AA542" s="2607"/>
      <c r="AB542" s="2607"/>
      <c r="AC542" s="2607"/>
      <c r="AD542" s="2607"/>
      <c r="AE542" s="2607"/>
      <c r="AF542" s="2607"/>
      <c r="AG542" s="2607"/>
      <c r="AH542" s="2607"/>
      <c r="AI542" s="2607"/>
      <c r="AJ542" s="2607"/>
      <c r="AK542" s="2607"/>
      <c r="AL542" s="2608"/>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6" t="s">
        <v>591</v>
      </c>
      <c r="D544" s="2476"/>
      <c r="E544" s="806"/>
      <c r="F544" s="644" t="s">
        <v>1562</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8" t="s">
        <v>1563</v>
      </c>
      <c r="G545" s="2499"/>
      <c r="H545" s="2499"/>
      <c r="I545" s="2499"/>
      <c r="J545" s="2499"/>
      <c r="K545" s="2499"/>
      <c r="L545" s="2499"/>
      <c r="M545" s="2499"/>
      <c r="N545" s="2499"/>
      <c r="O545" s="2499"/>
      <c r="P545" s="2499"/>
      <c r="Q545" s="2499"/>
      <c r="R545" s="2499"/>
      <c r="S545" s="2499"/>
      <c r="T545" s="2499"/>
      <c r="U545" s="2499"/>
      <c r="V545" s="2499"/>
      <c r="W545" s="2499"/>
      <c r="X545" s="2499"/>
      <c r="Y545" s="2499"/>
      <c r="Z545" s="2499"/>
      <c r="AA545" s="2499"/>
      <c r="AB545" s="2499"/>
      <c r="AC545" s="2499"/>
      <c r="AD545" s="2499"/>
      <c r="AE545" s="2499"/>
      <c r="AF545" s="2499"/>
      <c r="AG545" s="2499"/>
      <c r="AH545" s="2499"/>
      <c r="AI545" s="2499"/>
      <c r="AJ545" s="2499"/>
      <c r="AK545" s="2499"/>
      <c r="AL545" s="2500"/>
      <c r="AM545" s="595"/>
      <c r="AN545" s="597"/>
      <c r="AS545" s="870"/>
      <c r="AT545" s="870"/>
      <c r="AU545" s="870"/>
      <c r="AV545" s="870"/>
      <c r="AW545" s="870"/>
    </row>
    <row r="546" spans="1:49" s="550" customFormat="1" ht="12.75" customHeight="1">
      <c r="B546" s="806"/>
      <c r="C546" s="806"/>
      <c r="D546" s="806"/>
      <c r="E546" s="806"/>
      <c r="F546" s="2498"/>
      <c r="G546" s="2499"/>
      <c r="H546" s="2499"/>
      <c r="I546" s="2499"/>
      <c r="J546" s="2499"/>
      <c r="K546" s="2499"/>
      <c r="L546" s="2499"/>
      <c r="M546" s="2499"/>
      <c r="N546" s="2499"/>
      <c r="O546" s="2499"/>
      <c r="P546" s="2499"/>
      <c r="Q546" s="2499"/>
      <c r="R546" s="2499"/>
      <c r="S546" s="2499"/>
      <c r="T546" s="2499"/>
      <c r="U546" s="2499"/>
      <c r="V546" s="2499"/>
      <c r="W546" s="2499"/>
      <c r="X546" s="2499"/>
      <c r="Y546" s="2499"/>
      <c r="Z546" s="2499"/>
      <c r="AA546" s="2499"/>
      <c r="AB546" s="2499"/>
      <c r="AC546" s="2499"/>
      <c r="AD546" s="2499"/>
      <c r="AE546" s="2499"/>
      <c r="AF546" s="2499"/>
      <c r="AG546" s="2499"/>
      <c r="AH546" s="2499"/>
      <c r="AI546" s="2499"/>
      <c r="AJ546" s="2499"/>
      <c r="AK546" s="2499"/>
      <c r="AL546" s="2500"/>
      <c r="AM546" s="595"/>
      <c r="AN546" s="597"/>
    </row>
    <row r="547" spans="1:49" s="550" customFormat="1" ht="12.75" customHeight="1">
      <c r="B547" s="806"/>
      <c r="C547" s="806"/>
      <c r="D547" s="806"/>
      <c r="E547" s="806"/>
      <c r="F547" s="811" t="s">
        <v>2030</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8" t="s">
        <v>1564</v>
      </c>
      <c r="G548" s="2499"/>
      <c r="H548" s="2499"/>
      <c r="I548" s="2499"/>
      <c r="J548" s="2499"/>
      <c r="K548" s="2499"/>
      <c r="L548" s="2499"/>
      <c r="M548" s="2499"/>
      <c r="N548" s="2499"/>
      <c r="O548" s="2499"/>
      <c r="P548" s="2499"/>
      <c r="Q548" s="2499"/>
      <c r="R548" s="2499"/>
      <c r="S548" s="2499"/>
      <c r="T548" s="2499"/>
      <c r="U548" s="2499"/>
      <c r="V548" s="2499"/>
      <c r="W548" s="2499"/>
      <c r="X548" s="2499"/>
      <c r="Y548" s="2499"/>
      <c r="Z548" s="2499"/>
      <c r="AA548" s="2499"/>
      <c r="AB548" s="2499"/>
      <c r="AC548" s="2499"/>
      <c r="AD548" s="2499"/>
      <c r="AE548" s="2499"/>
      <c r="AF548" s="2499"/>
      <c r="AG548" s="2499"/>
      <c r="AH548" s="2499"/>
      <c r="AI548" s="2499"/>
      <c r="AJ548" s="2499"/>
      <c r="AK548" s="2499"/>
      <c r="AL548" s="813"/>
      <c r="AM548" s="595"/>
      <c r="AN548" s="597"/>
    </row>
    <row r="549" spans="1:49" s="550" customFormat="1" ht="12.75" customHeight="1">
      <c r="B549" s="806"/>
      <c r="C549" s="806"/>
      <c r="D549" s="806"/>
      <c r="E549" s="806"/>
      <c r="F549" s="2501"/>
      <c r="G549" s="2502"/>
      <c r="H549" s="2502"/>
      <c r="I549" s="2502"/>
      <c r="J549" s="2502"/>
      <c r="K549" s="2502"/>
      <c r="L549" s="2502"/>
      <c r="M549" s="2502"/>
      <c r="N549" s="2502"/>
      <c r="O549" s="2502"/>
      <c r="P549" s="2502"/>
      <c r="Q549" s="2502"/>
      <c r="R549" s="2502"/>
      <c r="S549" s="2502"/>
      <c r="T549" s="2502"/>
      <c r="U549" s="2502"/>
      <c r="V549" s="2502"/>
      <c r="W549" s="2502"/>
      <c r="X549" s="2502"/>
      <c r="Y549" s="2502"/>
      <c r="Z549" s="2502"/>
      <c r="AA549" s="2502"/>
      <c r="AB549" s="2502"/>
      <c r="AC549" s="2502"/>
      <c r="AD549" s="2502"/>
      <c r="AE549" s="2502"/>
      <c r="AF549" s="2502"/>
      <c r="AG549" s="2502"/>
      <c r="AH549" s="2502"/>
      <c r="AI549" s="2502"/>
      <c r="AJ549" s="2502"/>
      <c r="AK549" s="2502"/>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5">
        <f>Application!AJ992</f>
        <v>35896872</v>
      </c>
      <c r="AQ550" s="2625"/>
      <c r="AR550" s="2625"/>
      <c r="AS550" s="550" t="s">
        <v>2169</v>
      </c>
    </row>
    <row r="551" spans="1:49" s="550" customFormat="1" ht="12.75" customHeight="1">
      <c r="A551" s="498"/>
      <c r="B551" s="447" t="s">
        <v>1565</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82">
        <f>'Sources and Uses Budget'!S107+'Sources and Uses Budget'!T107</f>
        <v>36823301</v>
      </c>
      <c r="AG551" s="2482"/>
      <c r="AH551" s="2482"/>
      <c r="AI551" s="2482"/>
      <c r="AJ551" s="2482"/>
      <c r="AK551" s="595"/>
      <c r="AL551" s="595"/>
      <c r="AM551" s="595"/>
      <c r="AN551" s="597"/>
    </row>
    <row r="552" spans="1:49" s="550" customFormat="1" ht="12.75" customHeight="1">
      <c r="A552" s="625"/>
      <c r="B552" s="625" t="s">
        <v>1566</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30">
        <f>IFERROR(AP559,0)</f>
        <v>79822361</v>
      </c>
      <c r="AG552" s="2630"/>
      <c r="AH552" s="2630"/>
      <c r="AI552" s="2630"/>
      <c r="AJ552" s="2630"/>
      <c r="AK552" s="595"/>
      <c r="AL552" s="595"/>
      <c r="AM552" s="595"/>
      <c r="AN552" s="597"/>
      <c r="AP552" s="2625">
        <f>Application!AJ1045</f>
        <v>21179154.48</v>
      </c>
      <c r="AQ552" s="2625"/>
      <c r="AR552" s="2625"/>
      <c r="AS552" s="550" t="s">
        <v>1864</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31">
        <f>IFERROR(ROUNDDOWN(IF(C544="YES",((1-(AF551/AF552))*2),(1-(AF551/AF552))),2),0)</f>
        <v>0.53</v>
      </c>
      <c r="AG553" s="2631"/>
      <c r="AH553" s="2631"/>
      <c r="AI553" s="2631"/>
      <c r="AJ553" s="2631"/>
      <c r="AK553" s="595"/>
      <c r="AL553" s="595"/>
      <c r="AM553" s="595"/>
      <c r="AN553" s="597"/>
      <c r="AP553" s="2628">
        <f>Application!AJ1049</f>
        <v>12922873.92</v>
      </c>
      <c r="AQ553" s="2628"/>
      <c r="AR553" s="2628"/>
      <c r="AS553" s="550" t="s">
        <v>2170</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4">
        <f>IF(((AP552+AP553)/AP550)&gt;0.8,0.8,((AP552+AP553)/AP550))</f>
        <v>0.8</v>
      </c>
      <c r="AQ554" s="2624"/>
      <c r="AR554" s="2624"/>
      <c r="AS554" s="550" t="s">
        <v>2171</v>
      </c>
    </row>
    <row r="555" spans="1:49" s="550" customFormat="1" ht="12.75" customHeight="1">
      <c r="A555" s="624"/>
      <c r="B555" s="2561" t="s">
        <v>2031</v>
      </c>
      <c r="C555" s="2562"/>
      <c r="D555" s="2562"/>
      <c r="E555" s="2562"/>
      <c r="F555" s="2562"/>
      <c r="G555" s="2562"/>
      <c r="H555" s="2562"/>
      <c r="I555" s="2562"/>
      <c r="J555" s="2562"/>
      <c r="K555" s="2562"/>
      <c r="L555" s="2562"/>
      <c r="M555" s="2562"/>
      <c r="N555" s="2562"/>
      <c r="O555" s="2562"/>
      <c r="P555" s="2562"/>
      <c r="Q555" s="2562"/>
      <c r="R555" s="2562"/>
      <c r="S555" s="2562"/>
      <c r="T555" s="2562"/>
      <c r="U555" s="2562"/>
      <c r="V555" s="2562"/>
      <c r="W555" s="2562"/>
      <c r="X555" s="2562"/>
      <c r="Y555" s="2562"/>
      <c r="Z555" s="2562"/>
      <c r="AA555" s="2562"/>
      <c r="AB555" s="2562"/>
      <c r="AC555" s="2562"/>
      <c r="AD555" s="2562"/>
      <c r="AE555" s="2562"/>
      <c r="AF555" s="2562"/>
      <c r="AG555" s="2562"/>
      <c r="AH555" s="2562"/>
      <c r="AI555" s="2562"/>
      <c r="AJ555" s="2563"/>
      <c r="AK555" s="595"/>
      <c r="AL555" s="595"/>
      <c r="AM555" s="595"/>
      <c r="AN555" s="597"/>
    </row>
    <row r="556" spans="1:49" s="550" customFormat="1" ht="12.75" customHeight="1">
      <c r="A556" s="624"/>
      <c r="B556" s="2564"/>
      <c r="C556" s="2565"/>
      <c r="D556" s="2565"/>
      <c r="E556" s="2565"/>
      <c r="F556" s="2565"/>
      <c r="G556" s="2565"/>
      <c r="H556" s="2565"/>
      <c r="I556" s="2565"/>
      <c r="J556" s="2565"/>
      <c r="K556" s="2565"/>
      <c r="L556" s="2565"/>
      <c r="M556" s="2565"/>
      <c r="N556" s="2565"/>
      <c r="O556" s="2565"/>
      <c r="P556" s="2565"/>
      <c r="Q556" s="2565"/>
      <c r="R556" s="2565"/>
      <c r="S556" s="2565"/>
      <c r="T556" s="2565"/>
      <c r="U556" s="2565"/>
      <c r="V556" s="2565"/>
      <c r="W556" s="2565"/>
      <c r="X556" s="2565"/>
      <c r="Y556" s="2565"/>
      <c r="Z556" s="2565"/>
      <c r="AA556" s="2565"/>
      <c r="AB556" s="2565"/>
      <c r="AC556" s="2565"/>
      <c r="AD556" s="2565"/>
      <c r="AE556" s="2565"/>
      <c r="AF556" s="2565"/>
      <c r="AG556" s="2565"/>
      <c r="AH556" s="2565"/>
      <c r="AI556" s="2565"/>
      <c r="AJ556" s="2566"/>
      <c r="AK556" s="595"/>
      <c r="AL556" s="595"/>
      <c r="AM556" s="595"/>
      <c r="AN556" s="597"/>
      <c r="AP556" s="2625">
        <f>AP557-AP552-AP553</f>
        <v>51104863.399999991</v>
      </c>
      <c r="AQ556" s="2534"/>
      <c r="AR556" s="2534"/>
      <c r="AS556" s="550" t="s">
        <v>2173</v>
      </c>
    </row>
    <row r="557" spans="1:49" s="550" customFormat="1" ht="12.75" customHeight="1">
      <c r="A557" s="624"/>
      <c r="B557" s="2567"/>
      <c r="C557" s="2568"/>
      <c r="D557" s="2568"/>
      <c r="E557" s="2568"/>
      <c r="F557" s="2568"/>
      <c r="G557" s="2568"/>
      <c r="H557" s="2568"/>
      <c r="I557" s="2568"/>
      <c r="J557" s="2568"/>
      <c r="K557" s="2568"/>
      <c r="L557" s="2568"/>
      <c r="M557" s="2568"/>
      <c r="N557" s="2568"/>
      <c r="O557" s="2568"/>
      <c r="P557" s="2568"/>
      <c r="Q557" s="2568"/>
      <c r="R557" s="2568"/>
      <c r="S557" s="2568"/>
      <c r="T557" s="2568"/>
      <c r="U557" s="2568"/>
      <c r="V557" s="2568"/>
      <c r="W557" s="2568"/>
      <c r="X557" s="2568"/>
      <c r="Y557" s="2568"/>
      <c r="Z557" s="2568"/>
      <c r="AA557" s="2568"/>
      <c r="AB557" s="2568"/>
      <c r="AC557" s="2568"/>
      <c r="AD557" s="2568"/>
      <c r="AE557" s="2568"/>
      <c r="AF557" s="2568"/>
      <c r="AG557" s="2568"/>
      <c r="AH557" s="2568"/>
      <c r="AI557" s="2568"/>
      <c r="AJ557" s="2569"/>
      <c r="AK557" s="595"/>
      <c r="AL557" s="595"/>
      <c r="AM557" s="595"/>
      <c r="AN557" s="597"/>
      <c r="AP557" s="2625">
        <f>Application!AJ1053</f>
        <v>85206891.799999997</v>
      </c>
      <c r="AQ557" s="2625"/>
      <c r="AR557" s="2625"/>
      <c r="AS557" s="550" t="s">
        <v>2172</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1567</v>
      </c>
      <c r="AK559" s="2570">
        <f>IFERROR(IF(AND(C541="N/A",C544="N/A"),0,IF(AF553=0,0,IF((AF553*100)&gt;12,12,(AF553*100)))),0)</f>
        <v>12</v>
      </c>
      <c r="AL559" s="2570"/>
      <c r="AM559" s="2571"/>
      <c r="AN559" s="597"/>
      <c r="AP559" s="2642">
        <f>AP556+(AP550*AP554)</f>
        <v>79822361</v>
      </c>
      <c r="AQ559" s="2643"/>
      <c r="AR559" s="2644"/>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2021</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09" t="s">
        <v>1314</v>
      </c>
      <c r="AF562" s="2409"/>
      <c r="AG562" s="2409"/>
      <c r="AH562" s="2409"/>
      <c r="AI562" s="2409"/>
      <c r="AJ562" s="2409"/>
      <c r="AK562" s="2409"/>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99" t="s">
        <v>2022</v>
      </c>
      <c r="C564" s="2499"/>
      <c r="D564" s="2499"/>
      <c r="E564" s="2499"/>
      <c r="F564" s="2499"/>
      <c r="G564" s="2499"/>
      <c r="H564" s="2499"/>
      <c r="I564" s="2499"/>
      <c r="J564" s="2499"/>
      <c r="K564" s="2499"/>
      <c r="L564" s="2499"/>
      <c r="M564" s="2499"/>
      <c r="N564" s="2499"/>
      <c r="O564" s="2499"/>
      <c r="P564" s="2499"/>
      <c r="Q564" s="2499"/>
      <c r="R564" s="2499"/>
      <c r="S564" s="2499"/>
      <c r="T564" s="2499"/>
      <c r="U564" s="2499"/>
      <c r="V564" s="2499"/>
      <c r="W564" s="2499"/>
      <c r="X564" s="2499"/>
      <c r="Y564" s="2499"/>
      <c r="Z564" s="2499"/>
      <c r="AA564" s="2499"/>
      <c r="AB564" s="2499"/>
      <c r="AC564" s="2499"/>
      <c r="AD564" s="2499"/>
      <c r="AE564" s="2499"/>
      <c r="AF564" s="2499"/>
      <c r="AG564" s="2499"/>
      <c r="AH564" s="2499"/>
      <c r="AI564" s="2499"/>
      <c r="AJ564" s="2499"/>
      <c r="AK564" s="642"/>
      <c r="AL564" s="573"/>
      <c r="AM564" s="603"/>
      <c r="AN564" s="597"/>
    </row>
    <row r="565" spans="1:42" s="550" customFormat="1" ht="12.75" customHeight="1">
      <c r="A565" s="603"/>
      <c r="B565" s="2499"/>
      <c r="C565" s="2499"/>
      <c r="D565" s="2499"/>
      <c r="E565" s="2499"/>
      <c r="F565" s="2499"/>
      <c r="G565" s="2499"/>
      <c r="H565" s="2499"/>
      <c r="I565" s="2499"/>
      <c r="J565" s="2499"/>
      <c r="K565" s="2499"/>
      <c r="L565" s="2499"/>
      <c r="M565" s="2499"/>
      <c r="N565" s="2499"/>
      <c r="O565" s="2499"/>
      <c r="P565" s="2499"/>
      <c r="Q565" s="2499"/>
      <c r="R565" s="2499"/>
      <c r="S565" s="2499"/>
      <c r="T565" s="2499"/>
      <c r="U565" s="2499"/>
      <c r="V565" s="2499"/>
      <c r="W565" s="2499"/>
      <c r="X565" s="2499"/>
      <c r="Y565" s="2499"/>
      <c r="Z565" s="2499"/>
      <c r="AA565" s="2499"/>
      <c r="AB565" s="2499"/>
      <c r="AC565" s="2499"/>
      <c r="AD565" s="2499"/>
      <c r="AE565" s="2499"/>
      <c r="AF565" s="2499"/>
      <c r="AG565" s="2499"/>
      <c r="AH565" s="2499"/>
      <c r="AI565" s="2499"/>
      <c r="AJ565" s="2499"/>
      <c r="AK565" s="642"/>
      <c r="AL565" s="573"/>
      <c r="AM565" s="603"/>
      <c r="AN565" s="597"/>
    </row>
    <row r="566" spans="1:42" s="550" customFormat="1" ht="12.75" customHeight="1">
      <c r="A566" s="603"/>
      <c r="B566" s="2499"/>
      <c r="C566" s="2499"/>
      <c r="D566" s="2499"/>
      <c r="E566" s="2499"/>
      <c r="F566" s="2499"/>
      <c r="G566" s="2499"/>
      <c r="H566" s="2499"/>
      <c r="I566" s="2499"/>
      <c r="J566" s="2499"/>
      <c r="K566" s="2499"/>
      <c r="L566" s="2499"/>
      <c r="M566" s="2499"/>
      <c r="N566" s="2499"/>
      <c r="O566" s="2499"/>
      <c r="P566" s="2499"/>
      <c r="Q566" s="2499"/>
      <c r="R566" s="2499"/>
      <c r="S566" s="2499"/>
      <c r="T566" s="2499"/>
      <c r="U566" s="2499"/>
      <c r="V566" s="2499"/>
      <c r="W566" s="2499"/>
      <c r="X566" s="2499"/>
      <c r="Y566" s="2499"/>
      <c r="Z566" s="2499"/>
      <c r="AA566" s="2499"/>
      <c r="AB566" s="2499"/>
      <c r="AC566" s="2499"/>
      <c r="AD566" s="2499"/>
      <c r="AE566" s="2499"/>
      <c r="AF566" s="2499"/>
      <c r="AG566" s="2499"/>
      <c r="AH566" s="2499"/>
      <c r="AI566" s="2499"/>
      <c r="AJ566" s="2499"/>
      <c r="AK566" s="642"/>
      <c r="AL566" s="573"/>
      <c r="AM566" s="603"/>
      <c r="AN566" s="597"/>
    </row>
    <row r="567" spans="1:42" s="550" customFormat="1" ht="12.75" customHeight="1">
      <c r="A567" s="603"/>
      <c r="B567" s="2499"/>
      <c r="C567" s="2499"/>
      <c r="D567" s="2499"/>
      <c r="E567" s="2499"/>
      <c r="F567" s="2499"/>
      <c r="G567" s="2499"/>
      <c r="H567" s="2499"/>
      <c r="I567" s="2499"/>
      <c r="J567" s="2499"/>
      <c r="K567" s="2499"/>
      <c r="L567" s="2499"/>
      <c r="M567" s="2499"/>
      <c r="N567" s="2499"/>
      <c r="O567" s="2499"/>
      <c r="P567" s="2499"/>
      <c r="Q567" s="2499"/>
      <c r="R567" s="2499"/>
      <c r="S567" s="2499"/>
      <c r="T567" s="2499"/>
      <c r="U567" s="2499"/>
      <c r="V567" s="2499"/>
      <c r="W567" s="2499"/>
      <c r="X567" s="2499"/>
      <c r="Y567" s="2499"/>
      <c r="Z567" s="2499"/>
      <c r="AA567" s="2499"/>
      <c r="AB567" s="2499"/>
      <c r="AC567" s="2499"/>
      <c r="AD567" s="2499"/>
      <c r="AE567" s="2499"/>
      <c r="AF567" s="2499"/>
      <c r="AG567" s="2499"/>
      <c r="AH567" s="2499"/>
      <c r="AI567" s="2499"/>
      <c r="AJ567" s="2499"/>
      <c r="AK567" s="642"/>
      <c r="AL567" s="573"/>
      <c r="AM567" s="603"/>
      <c r="AN567" s="597"/>
    </row>
    <row r="568" spans="1:42" s="550" customFormat="1" ht="12.75" customHeight="1">
      <c r="A568" s="603"/>
      <c r="B568" s="2499"/>
      <c r="C568" s="2499"/>
      <c r="D568" s="2499"/>
      <c r="E568" s="2499"/>
      <c r="F568" s="2499"/>
      <c r="G568" s="2499"/>
      <c r="H568" s="2499"/>
      <c r="I568" s="2499"/>
      <c r="J568" s="2499"/>
      <c r="K568" s="2499"/>
      <c r="L568" s="2499"/>
      <c r="M568" s="2499"/>
      <c r="N568" s="2499"/>
      <c r="O568" s="2499"/>
      <c r="P568" s="2499"/>
      <c r="Q568" s="2499"/>
      <c r="R568" s="2499"/>
      <c r="S568" s="2499"/>
      <c r="T568" s="2499"/>
      <c r="U568" s="2499"/>
      <c r="V568" s="2499"/>
      <c r="W568" s="2499"/>
      <c r="X568" s="2499"/>
      <c r="Y568" s="2499"/>
      <c r="Z568" s="2499"/>
      <c r="AA568" s="2499"/>
      <c r="AB568" s="2499"/>
      <c r="AC568" s="2499"/>
      <c r="AD568" s="2499"/>
      <c r="AE568" s="2499"/>
      <c r="AF568" s="2499"/>
      <c r="AG568" s="2499"/>
      <c r="AH568" s="2499"/>
      <c r="AI568" s="2499"/>
      <c r="AJ568" s="2499"/>
      <c r="AK568" s="642"/>
      <c r="AL568" s="573"/>
      <c r="AM568" s="603"/>
      <c r="AN568" s="597"/>
    </row>
    <row r="569" spans="1:42" s="550" customFormat="1" ht="12.75" customHeight="1">
      <c r="A569" s="603"/>
      <c r="B569" s="2499"/>
      <c r="C569" s="2499"/>
      <c r="D569" s="2499"/>
      <c r="E569" s="2499"/>
      <c r="F569" s="2499"/>
      <c r="G569" s="2499"/>
      <c r="H569" s="2499"/>
      <c r="I569" s="2499"/>
      <c r="J569" s="2499"/>
      <c r="K569" s="2499"/>
      <c r="L569" s="2499"/>
      <c r="M569" s="2499"/>
      <c r="N569" s="2499"/>
      <c r="O569" s="2499"/>
      <c r="P569" s="2499"/>
      <c r="Q569" s="2499"/>
      <c r="R569" s="2499"/>
      <c r="S569" s="2499"/>
      <c r="T569" s="2499"/>
      <c r="U569" s="2499"/>
      <c r="V569" s="2499"/>
      <c r="W569" s="2499"/>
      <c r="X569" s="2499"/>
      <c r="Y569" s="2499"/>
      <c r="Z569" s="2499"/>
      <c r="AA569" s="2499"/>
      <c r="AB569" s="2499"/>
      <c r="AC569" s="2499"/>
      <c r="AD569" s="2499"/>
      <c r="AE569" s="2499"/>
      <c r="AF569" s="2499"/>
      <c r="AG569" s="2499"/>
      <c r="AH569" s="2499"/>
      <c r="AI569" s="2499"/>
      <c r="AJ569" s="2499"/>
      <c r="AK569" s="642"/>
      <c r="AL569" s="573"/>
      <c r="AM569" s="603"/>
      <c r="AN569" s="597"/>
    </row>
    <row r="570" spans="1:42" s="550" customFormat="1" ht="12.75" customHeight="1">
      <c r="A570" s="603"/>
      <c r="B570" s="2499"/>
      <c r="C570" s="2499"/>
      <c r="D570" s="2499"/>
      <c r="E570" s="2499"/>
      <c r="F570" s="2499"/>
      <c r="G570" s="2499"/>
      <c r="H570" s="2499"/>
      <c r="I570" s="2499"/>
      <c r="J570" s="2499"/>
      <c r="K570" s="2499"/>
      <c r="L570" s="2499"/>
      <c r="M570" s="2499"/>
      <c r="N570" s="2499"/>
      <c r="O570" s="2499"/>
      <c r="P570" s="2499"/>
      <c r="Q570" s="2499"/>
      <c r="R570" s="2499"/>
      <c r="S570" s="2499"/>
      <c r="T570" s="2499"/>
      <c r="U570" s="2499"/>
      <c r="V570" s="2499"/>
      <c r="W570" s="2499"/>
      <c r="X570" s="2499"/>
      <c r="Y570" s="2499"/>
      <c r="Z570" s="2499"/>
      <c r="AA570" s="2499"/>
      <c r="AB570" s="2499"/>
      <c r="AC570" s="2499"/>
      <c r="AD570" s="2499"/>
      <c r="AE570" s="2499"/>
      <c r="AF570" s="2499"/>
      <c r="AG570" s="2499"/>
      <c r="AH570" s="2499"/>
      <c r="AI570" s="2499"/>
      <c r="AJ570" s="2499"/>
      <c r="AK570" s="642"/>
      <c r="AL570" s="573"/>
      <c r="AM570" s="603"/>
      <c r="AN570" s="597"/>
    </row>
    <row r="571" spans="1:42" ht="12.75" customHeight="1">
      <c r="A571" s="603"/>
      <c r="B571" s="2499"/>
      <c r="C571" s="2499"/>
      <c r="D571" s="2499"/>
      <c r="E571" s="2499"/>
      <c r="F571" s="2499"/>
      <c r="G571" s="2499"/>
      <c r="H571" s="2499"/>
      <c r="I571" s="2499"/>
      <c r="J571" s="2499"/>
      <c r="K571" s="2499"/>
      <c r="L571" s="2499"/>
      <c r="M571" s="2499"/>
      <c r="N571" s="2499"/>
      <c r="O571" s="2499"/>
      <c r="P571" s="2499"/>
      <c r="Q571" s="2499"/>
      <c r="R571" s="2499"/>
      <c r="S571" s="2499"/>
      <c r="T571" s="2499"/>
      <c r="U571" s="2499"/>
      <c r="V571" s="2499"/>
      <c r="W571" s="2499"/>
      <c r="X571" s="2499"/>
      <c r="Y571" s="2499"/>
      <c r="Z571" s="2499"/>
      <c r="AA571" s="2499"/>
      <c r="AB571" s="2499"/>
      <c r="AC571" s="2499"/>
      <c r="AD571" s="2499"/>
      <c r="AE571" s="2499"/>
      <c r="AF571" s="2499"/>
      <c r="AG571" s="2499"/>
      <c r="AH571" s="2499"/>
      <c r="AI571" s="2499"/>
      <c r="AJ571" s="2499"/>
      <c r="AK571" s="642"/>
      <c r="AL571" s="573"/>
      <c r="AM571" s="603"/>
    </row>
    <row r="572" spans="1:42" s="550" customFormat="1" ht="12.75" customHeight="1">
      <c r="B572" s="2499"/>
      <c r="C572" s="2499"/>
      <c r="D572" s="2499"/>
      <c r="E572" s="2499"/>
      <c r="F572" s="2499"/>
      <c r="G572" s="2499"/>
      <c r="H572" s="2499"/>
      <c r="I572" s="2499"/>
      <c r="J572" s="2499"/>
      <c r="K572" s="2499"/>
      <c r="L572" s="2499"/>
      <c r="M572" s="2499"/>
      <c r="N572" s="2499"/>
      <c r="O572" s="2499"/>
      <c r="P572" s="2499"/>
      <c r="Q572" s="2499"/>
      <c r="R572" s="2499"/>
      <c r="S572" s="2499"/>
      <c r="T572" s="2499"/>
      <c r="U572" s="2499"/>
      <c r="V572" s="2499"/>
      <c r="W572" s="2499"/>
      <c r="X572" s="2499"/>
      <c r="Y572" s="2499"/>
      <c r="Z572" s="2499"/>
      <c r="AA572" s="2499"/>
      <c r="AB572" s="2499"/>
      <c r="AC572" s="2499"/>
      <c r="AD572" s="2499"/>
      <c r="AE572" s="2499"/>
      <c r="AF572" s="2499"/>
      <c r="AG572" s="2499"/>
      <c r="AH572" s="2499"/>
      <c r="AI572" s="2499"/>
      <c r="AJ572" s="2499"/>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1394</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1395</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1698</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4" t="s">
        <v>1338</v>
      </c>
      <c r="AG578" s="2444"/>
      <c r="AH578" s="2444"/>
      <c r="AI578" s="2444"/>
      <c r="AJ578" s="2444"/>
      <c r="AK578" s="2444"/>
      <c r="AL578" s="2444"/>
      <c r="AN578" s="597"/>
    </row>
    <row r="579" spans="1:42" s="550" customFormat="1" ht="12.75" customHeight="1">
      <c r="B579" s="536"/>
      <c r="C579" s="616"/>
      <c r="D579" s="663"/>
      <c r="E579" s="838" t="s">
        <v>1699</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1700</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1701</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1702</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2174</v>
      </c>
      <c r="AP582" s="550" t="b">
        <f>IF(Application!AF418&gt;=25,TRUE,FALSE)</f>
        <v>1</v>
      </c>
    </row>
    <row r="583" spans="1:42" s="550" customFormat="1" ht="12.75" customHeight="1">
      <c r="B583" s="536"/>
      <c r="C583" s="616"/>
      <c r="D583" s="663"/>
      <c r="E583" s="838" t="s">
        <v>1703</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2175</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1704</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4" t="s">
        <v>1396</v>
      </c>
      <c r="AG585" s="2444"/>
      <c r="AH585" s="2444"/>
      <c r="AI585" s="2444"/>
      <c r="AJ585" s="2444"/>
      <c r="AK585" s="2444"/>
      <c r="AL585" s="2444"/>
      <c r="AN585" s="597"/>
    </row>
    <row r="586" spans="1:42" s="550" customFormat="1" ht="12.75" customHeight="1">
      <c r="B586" s="536"/>
      <c r="C586" s="933"/>
      <c r="D586" s="663"/>
      <c r="E586" s="838" t="s">
        <v>1705</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1706</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687</v>
      </c>
      <c r="AP587" s="550">
        <f>7*AP582</f>
        <v>7</v>
      </c>
    </row>
    <row r="588" spans="1:42" s="550" customFormat="1" ht="12.75" customHeight="1">
      <c r="B588" s="610"/>
      <c r="C588" s="931"/>
      <c r="D588" s="663"/>
      <c r="E588" s="838" t="s">
        <v>1708</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1707</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277</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1397</v>
      </c>
      <c r="AP590" s="550">
        <v>4</v>
      </c>
    </row>
    <row r="591" spans="1:42" s="550" customFormat="1" ht="12.75" customHeight="1">
      <c r="B591" s="536"/>
      <c r="C591" s="931"/>
      <c r="D591" s="663" t="s">
        <v>277</v>
      </c>
      <c r="E591" s="838" t="s">
        <v>1709</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4" t="s">
        <v>1378</v>
      </c>
      <c r="AG591" s="2444"/>
      <c r="AH591" s="2444"/>
      <c r="AI591" s="2444"/>
      <c r="AJ591" s="2444"/>
      <c r="AK591" s="2444"/>
      <c r="AL591" s="2444"/>
      <c r="AN591" s="597"/>
      <c r="AO591" s="611" t="s">
        <v>1398</v>
      </c>
      <c r="AP591" s="550">
        <v>3</v>
      </c>
    </row>
    <row r="592" spans="1:42" s="550" customFormat="1" ht="12.75" customHeight="1">
      <c r="B592" s="536"/>
      <c r="C592" s="933"/>
      <c r="D592" s="663"/>
      <c r="E592" s="838" t="s">
        <v>1705</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1706</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2177</v>
      </c>
    </row>
    <row r="594" spans="1:53" s="550" customFormat="1" ht="12.75" customHeight="1">
      <c r="B594" s="536"/>
      <c r="C594" s="933"/>
      <c r="D594" s="663"/>
      <c r="E594" s="838" t="s">
        <v>1708</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2178</v>
      </c>
    </row>
    <row r="595" spans="1:53" s="550" customFormat="1" ht="12.75" customHeight="1">
      <c r="B595" s="536"/>
      <c r="C595" s="933"/>
      <c r="D595" s="663"/>
      <c r="E595" s="838" t="s">
        <v>1707</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2179</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1397</v>
      </c>
      <c r="E597" s="838" t="s">
        <v>1710</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4" t="s">
        <v>1399</v>
      </c>
      <c r="AG597" s="2444"/>
      <c r="AH597" s="2444"/>
      <c r="AI597" s="2444"/>
      <c r="AJ597" s="2444"/>
      <c r="AK597" s="2444"/>
      <c r="AL597" s="2444"/>
      <c r="AN597" s="597"/>
      <c r="AO597" s="550" t="str">
        <f>X634</f>
        <v>N/A</v>
      </c>
    </row>
    <row r="598" spans="1:53" s="550" customFormat="1" ht="12.75" customHeight="1">
      <c r="B598" s="536"/>
      <c r="C598" s="933"/>
      <c r="D598" s="663"/>
      <c r="E598" s="838" t="s">
        <v>1711</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1712</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2180</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2181</v>
      </c>
    </row>
    <row r="601" spans="1:53" s="550" customFormat="1" ht="12.75" customHeight="1">
      <c r="B601" s="610"/>
      <c r="C601" s="931"/>
      <c r="D601" s="663"/>
      <c r="E601" s="536" t="s">
        <v>1865</v>
      </c>
      <c r="O601" s="2530" t="s">
        <v>1184</v>
      </c>
      <c r="P601" s="2530"/>
      <c r="Q601" s="2530"/>
      <c r="R601" s="2530"/>
      <c r="S601" s="2530"/>
      <c r="T601" s="2530"/>
      <c r="U601" s="2530"/>
      <c r="V601" s="2530"/>
      <c r="W601" s="2530"/>
      <c r="X601" s="2530"/>
      <c r="Y601" s="2530"/>
      <c r="Z601" s="2530"/>
      <c r="AA601" s="2530"/>
      <c r="AB601" s="2530"/>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1398</v>
      </c>
      <c r="E603" s="838" t="s">
        <v>1714</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4" t="s">
        <v>1352</v>
      </c>
      <c r="AG603" s="2444"/>
      <c r="AH603" s="2444"/>
      <c r="AI603" s="2444"/>
      <c r="AJ603" s="2444"/>
      <c r="AK603" s="2444"/>
      <c r="AL603" s="2444"/>
      <c r="AN603" s="597"/>
    </row>
    <row r="604" spans="1:53" s="550" customFormat="1" ht="12.75" customHeight="1">
      <c r="B604" s="536"/>
      <c r="C604" s="931"/>
      <c r="D604" s="663"/>
      <c r="E604" s="838" t="s">
        <v>1713</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1400</v>
      </c>
      <c r="E606" s="936"/>
      <c r="F606" s="936"/>
      <c r="G606" s="936"/>
      <c r="H606" s="2528" t="s">
        <v>1397</v>
      </c>
      <c r="I606" s="2528"/>
      <c r="J606" s="936"/>
      <c r="K606" s="936"/>
      <c r="L606" s="936"/>
      <c r="N606" s="22"/>
      <c r="O606" s="22"/>
      <c r="P606" s="22"/>
      <c r="Q606" s="1151" t="s">
        <v>2176</v>
      </c>
      <c r="R606" s="2531" t="s">
        <v>2177</v>
      </c>
      <c r="S606" s="2531"/>
      <c r="T606" s="2531"/>
      <c r="U606" s="2531"/>
      <c r="V606" s="2531"/>
      <c r="W606" s="2531"/>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2" t="str">
        <f>IF(AND(H606="(i)",NOT(AP582)),AO599,IF(AND(H606="(iv)",OR(R606=AO595,R606=AO594),NOT(AP583)),AO600,""))</f>
        <v/>
      </c>
      <c r="Z607" s="2532"/>
      <c r="AA607" s="2532"/>
      <c r="AB607" s="2532"/>
      <c r="AC607" s="2532"/>
      <c r="AD607" s="2532"/>
      <c r="AE607" s="2532"/>
      <c r="AF607" s="2532"/>
      <c r="AG607" s="2532"/>
      <c r="AH607" s="2532"/>
      <c r="AI607" s="2532"/>
      <c r="AJ607" s="2532"/>
      <c r="AK607" s="2532"/>
      <c r="AL607" s="2532"/>
      <c r="AM607" s="2533"/>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2"/>
      <c r="Z608" s="2532"/>
      <c r="AA608" s="2532"/>
      <c r="AB608" s="2532"/>
      <c r="AC608" s="2532"/>
      <c r="AD608" s="2532"/>
      <c r="AE608" s="2532"/>
      <c r="AF608" s="2532"/>
      <c r="AG608" s="2532"/>
      <c r="AH608" s="2532"/>
      <c r="AI608" s="2532"/>
      <c r="AJ608" s="2532"/>
      <c r="AK608" s="2532"/>
      <c r="AL608" s="2532"/>
      <c r="AM608" s="2533"/>
      <c r="AN608" s="597"/>
      <c r="AO608" s="611"/>
      <c r="AT608" s="611"/>
    </row>
    <row r="609" spans="1:42" s="550" customFormat="1" ht="12.75" customHeight="1">
      <c r="B609" s="536"/>
      <c r="C609" s="933"/>
      <c r="D609" s="536" t="s">
        <v>1715</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1716</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1717</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1718</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1400</v>
      </c>
      <c r="F614" s="936"/>
      <c r="G614" s="936"/>
      <c r="I614" s="2529" t="s">
        <v>591</v>
      </c>
      <c r="J614" s="2529"/>
      <c r="K614" s="2529"/>
      <c r="L614" s="2529"/>
      <c r="M614" s="2529"/>
      <c r="N614" s="2529"/>
      <c r="O614" s="2529"/>
      <c r="P614" s="2529"/>
      <c r="Q614" s="2529"/>
      <c r="R614" s="2529"/>
      <c r="S614" s="2529"/>
      <c r="T614" s="2529"/>
      <c r="U614" s="2529"/>
      <c r="V614" s="2529"/>
      <c r="W614" s="2529"/>
      <c r="X614" s="2529"/>
      <c r="Y614" s="2529"/>
      <c r="Z614" s="2529"/>
      <c r="AA614" s="2529"/>
      <c r="AB614" s="2529"/>
      <c r="AC614" s="2529"/>
      <c r="AD614" s="2529"/>
      <c r="AE614" s="2529"/>
      <c r="AF614" s="536"/>
      <c r="AG614" s="536"/>
      <c r="AH614" s="536"/>
      <c r="AI614" s="536"/>
      <c r="AJ614" s="536"/>
      <c r="AK614" s="536"/>
      <c r="AL614" s="536"/>
      <c r="AN614" s="597"/>
      <c r="AO614" s="550" t="s">
        <v>1401</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1402</v>
      </c>
      <c r="AP615" s="550">
        <v>2</v>
      </c>
    </row>
    <row r="616" spans="1:42" s="550" customFormat="1" ht="12.75" customHeight="1">
      <c r="B616" s="2472" t="s">
        <v>591</v>
      </c>
      <c r="C616" s="2472"/>
      <c r="D616" s="642"/>
      <c r="E616" s="2499" t="s">
        <v>1403</v>
      </c>
      <c r="F616" s="2499"/>
      <c r="G616" s="2499"/>
      <c r="H616" s="2499"/>
      <c r="I616" s="2499"/>
      <c r="J616" s="2499"/>
      <c r="K616" s="2499"/>
      <c r="L616" s="2499"/>
      <c r="M616" s="2499"/>
      <c r="N616" s="2499"/>
      <c r="O616" s="2499"/>
      <c r="P616" s="2499"/>
      <c r="Q616" s="2499"/>
      <c r="R616" s="2499"/>
      <c r="S616" s="2499"/>
      <c r="T616" s="2499"/>
      <c r="U616" s="2499"/>
      <c r="V616" s="2499"/>
      <c r="W616" s="2499"/>
      <c r="X616" s="2499"/>
      <c r="Y616" s="2499"/>
      <c r="Z616" s="2499"/>
      <c r="AA616" s="2499"/>
      <c r="AB616" s="2499"/>
      <c r="AC616" s="2499"/>
      <c r="AD616" s="2499"/>
      <c r="AE616" s="2499"/>
      <c r="AF616" s="2499"/>
      <c r="AG616" s="2499"/>
      <c r="AH616" s="642"/>
      <c r="AI616" s="642"/>
      <c r="AJ616" s="642"/>
      <c r="AK616" s="642"/>
      <c r="AL616" s="642"/>
      <c r="AN616" s="597"/>
    </row>
    <row r="617" spans="1:42" s="550" customFormat="1" ht="12.75" customHeight="1">
      <c r="B617" s="536"/>
      <c r="C617" s="933"/>
      <c r="D617" s="642"/>
      <c r="E617" s="2499"/>
      <c r="F617" s="2499"/>
      <c r="G617" s="2499"/>
      <c r="H617" s="2499"/>
      <c r="I617" s="2499"/>
      <c r="J617" s="2499"/>
      <c r="K617" s="2499"/>
      <c r="L617" s="2499"/>
      <c r="M617" s="2499"/>
      <c r="N617" s="2499"/>
      <c r="O617" s="2499"/>
      <c r="P617" s="2499"/>
      <c r="Q617" s="2499"/>
      <c r="R617" s="2499"/>
      <c r="S617" s="2499"/>
      <c r="T617" s="2499"/>
      <c r="U617" s="2499"/>
      <c r="V617" s="2499"/>
      <c r="W617" s="2499"/>
      <c r="X617" s="2499"/>
      <c r="Y617" s="2499"/>
      <c r="Z617" s="2499"/>
      <c r="AA617" s="2499"/>
      <c r="AB617" s="2499"/>
      <c r="AC617" s="2499"/>
      <c r="AD617" s="2499"/>
      <c r="AE617" s="2499"/>
      <c r="AF617" s="2499"/>
      <c r="AG617" s="2499"/>
      <c r="AH617" s="642"/>
      <c r="AI617" s="642"/>
      <c r="AJ617" s="642"/>
      <c r="AK617" s="642"/>
      <c r="AL617" s="642"/>
      <c r="AN617" s="597"/>
    </row>
    <row r="618" spans="1:42" s="550" customFormat="1" ht="12.75" customHeight="1">
      <c r="B618" s="536"/>
      <c r="C618" s="933"/>
      <c r="D618" s="642"/>
      <c r="E618" s="2499"/>
      <c r="F618" s="2499"/>
      <c r="G618" s="2499"/>
      <c r="H618" s="2499"/>
      <c r="I618" s="2499"/>
      <c r="J618" s="2499"/>
      <c r="K618" s="2499"/>
      <c r="L618" s="2499"/>
      <c r="M618" s="2499"/>
      <c r="N618" s="2499"/>
      <c r="O618" s="2499"/>
      <c r="P618" s="2499"/>
      <c r="Q618" s="2499"/>
      <c r="R618" s="2499"/>
      <c r="S618" s="2499"/>
      <c r="T618" s="2499"/>
      <c r="U618" s="2499"/>
      <c r="V618" s="2499"/>
      <c r="W618" s="2499"/>
      <c r="X618" s="2499"/>
      <c r="Y618" s="2499"/>
      <c r="Z618" s="2499"/>
      <c r="AA618" s="2499"/>
      <c r="AB618" s="2499"/>
      <c r="AC618" s="2499"/>
      <c r="AD618" s="2499"/>
      <c r="AE618" s="2499"/>
      <c r="AF618" s="2499"/>
      <c r="AG618" s="2499"/>
      <c r="AH618" s="642"/>
      <c r="AI618" s="642"/>
      <c r="AJ618" s="642"/>
      <c r="AK618" s="642"/>
      <c r="AL618" s="642"/>
      <c r="AN618" s="597"/>
    </row>
    <row r="619" spans="1:42" s="550" customFormat="1" ht="12.75" customHeight="1">
      <c r="B619" s="536"/>
      <c r="C619" s="933"/>
      <c r="D619" s="642"/>
      <c r="E619" s="2499"/>
      <c r="F619" s="2499"/>
      <c r="G619" s="2499"/>
      <c r="H619" s="2499"/>
      <c r="I619" s="2499"/>
      <c r="J619" s="2499"/>
      <c r="K619" s="2499"/>
      <c r="L619" s="2499"/>
      <c r="M619" s="2499"/>
      <c r="N619" s="2499"/>
      <c r="O619" s="2499"/>
      <c r="P619" s="2499"/>
      <c r="Q619" s="2499"/>
      <c r="R619" s="2499"/>
      <c r="S619" s="2499"/>
      <c r="T619" s="2499"/>
      <c r="U619" s="2499"/>
      <c r="V619" s="2499"/>
      <c r="W619" s="2499"/>
      <c r="X619" s="2499"/>
      <c r="Y619" s="2499"/>
      <c r="Z619" s="2499"/>
      <c r="AA619" s="2499"/>
      <c r="AB619" s="2499"/>
      <c r="AC619" s="2499"/>
      <c r="AD619" s="2499"/>
      <c r="AE619" s="2499"/>
      <c r="AF619" s="2499"/>
      <c r="AG619" s="2499"/>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1404</v>
      </c>
      <c r="AJ621" s="2479">
        <f>VLOOKUP($H$606,$AO$586:$AP$591,2,FALSE)+IF(R606=AO594,0,VLOOKUP($I$614,$AO$613:$AP$615,2,FALSE))</f>
        <v>4</v>
      </c>
      <c r="AK621" s="2481"/>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1405</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527" t="s">
        <v>1694</v>
      </c>
      <c r="F625" s="2527"/>
      <c r="G625" s="2527"/>
      <c r="H625" s="2527"/>
      <c r="I625" s="2527"/>
      <c r="J625" s="2527"/>
      <c r="K625" s="2527"/>
      <c r="L625" s="2527"/>
      <c r="M625" s="2527"/>
      <c r="N625" s="2527"/>
      <c r="O625" s="2527"/>
      <c r="P625" s="2527"/>
      <c r="Q625" s="2527"/>
      <c r="R625" s="2527"/>
      <c r="S625" s="2527"/>
      <c r="T625" s="2527"/>
      <c r="U625" s="2527"/>
      <c r="V625" s="2527"/>
      <c r="W625" s="2527"/>
      <c r="X625" s="2527"/>
      <c r="Y625" s="2527"/>
      <c r="Z625" s="2527"/>
      <c r="AA625" s="2527"/>
      <c r="AB625" s="2527"/>
      <c r="AC625" s="2527"/>
      <c r="AD625" s="2527"/>
      <c r="AE625" s="539"/>
      <c r="AF625" s="2444" t="s">
        <v>1352</v>
      </c>
      <c r="AG625" s="2444"/>
      <c r="AH625" s="2444"/>
      <c r="AI625" s="2444"/>
      <c r="AJ625" s="2444"/>
      <c r="AK625" s="2444"/>
      <c r="AL625" s="2444"/>
      <c r="AM625" s="550"/>
      <c r="AN625" s="678"/>
    </row>
    <row r="626" spans="1:42" s="550" customFormat="1" ht="12.75" customHeight="1">
      <c r="A626" s="679"/>
      <c r="B626" s="536"/>
      <c r="C626" s="933"/>
      <c r="D626" s="663"/>
      <c r="E626" s="2527"/>
      <c r="F626" s="2527"/>
      <c r="G626" s="2527"/>
      <c r="H626" s="2527"/>
      <c r="I626" s="2527"/>
      <c r="J626" s="2527"/>
      <c r="K626" s="2527"/>
      <c r="L626" s="2527"/>
      <c r="M626" s="2527"/>
      <c r="N626" s="2527"/>
      <c r="O626" s="2527"/>
      <c r="P626" s="2527"/>
      <c r="Q626" s="2527"/>
      <c r="R626" s="2527"/>
      <c r="S626" s="2527"/>
      <c r="T626" s="2527"/>
      <c r="U626" s="2527"/>
      <c r="V626" s="2527"/>
      <c r="W626" s="2527"/>
      <c r="X626" s="2527"/>
      <c r="Y626" s="2527"/>
      <c r="Z626" s="2527"/>
      <c r="AA626" s="2527"/>
      <c r="AB626" s="2527"/>
      <c r="AC626" s="2527"/>
      <c r="AD626" s="2527"/>
      <c r="AE626" s="536"/>
      <c r="AF626" s="536"/>
      <c r="AG626" s="536"/>
      <c r="AH626" s="536"/>
      <c r="AI626" s="536"/>
      <c r="AJ626" s="536"/>
      <c r="AK626" s="536"/>
      <c r="AL626" s="536"/>
      <c r="AN626" s="597"/>
    </row>
    <row r="627" spans="1:42" s="550" customFormat="1" ht="12.75" customHeight="1">
      <c r="B627" s="536"/>
      <c r="C627" s="931"/>
      <c r="D627" s="663"/>
      <c r="E627" s="2527"/>
      <c r="F627" s="2527"/>
      <c r="G627" s="2527"/>
      <c r="H627" s="2527"/>
      <c r="I627" s="2527"/>
      <c r="J627" s="2527"/>
      <c r="K627" s="2527"/>
      <c r="L627" s="2527"/>
      <c r="M627" s="2527"/>
      <c r="N627" s="2527"/>
      <c r="O627" s="2527"/>
      <c r="P627" s="2527"/>
      <c r="Q627" s="2527"/>
      <c r="R627" s="2527"/>
      <c r="S627" s="2527"/>
      <c r="T627" s="2527"/>
      <c r="U627" s="2527"/>
      <c r="V627" s="2527"/>
      <c r="W627" s="2527"/>
      <c r="X627" s="2527"/>
      <c r="Y627" s="2527"/>
      <c r="Z627" s="2527"/>
      <c r="AA627" s="2527"/>
      <c r="AB627" s="2527"/>
      <c r="AC627" s="2527"/>
      <c r="AD627" s="2527"/>
      <c r="AE627" s="536"/>
      <c r="AF627" s="536"/>
      <c r="AG627" s="536"/>
      <c r="AH627" s="536"/>
      <c r="AI627" s="536"/>
      <c r="AJ627" s="536"/>
      <c r="AK627" s="536"/>
      <c r="AL627" s="536"/>
      <c r="AN627" s="597"/>
    </row>
    <row r="628" spans="1:42" s="550" customFormat="1" ht="12.75" customHeight="1">
      <c r="B628" s="536"/>
      <c r="C628" s="931"/>
      <c r="D628" s="663"/>
      <c r="E628" s="2527"/>
      <c r="F628" s="2527"/>
      <c r="G628" s="2527"/>
      <c r="H628" s="2527"/>
      <c r="I628" s="2527"/>
      <c r="J628" s="2527"/>
      <c r="K628" s="2527"/>
      <c r="L628" s="2527"/>
      <c r="M628" s="2527"/>
      <c r="N628" s="2527"/>
      <c r="O628" s="2527"/>
      <c r="P628" s="2527"/>
      <c r="Q628" s="2527"/>
      <c r="R628" s="2527"/>
      <c r="S628" s="2527"/>
      <c r="T628" s="2527"/>
      <c r="U628" s="2527"/>
      <c r="V628" s="2527"/>
      <c r="W628" s="2527"/>
      <c r="X628" s="2527"/>
      <c r="Y628" s="2527"/>
      <c r="Z628" s="2527"/>
      <c r="AA628" s="2527"/>
      <c r="AB628" s="2527"/>
      <c r="AC628" s="2527"/>
      <c r="AD628" s="2527"/>
      <c r="AE628" s="536"/>
      <c r="AF628" s="536"/>
      <c r="AG628" s="536"/>
      <c r="AH628" s="536"/>
      <c r="AI628" s="536"/>
      <c r="AJ628" s="536"/>
      <c r="AK628" s="536"/>
      <c r="AL628" s="536"/>
      <c r="AN628" s="597"/>
    </row>
    <row r="629" spans="1:42" s="550" customFormat="1" ht="12.75" customHeight="1">
      <c r="B629" s="536"/>
      <c r="C629" s="931"/>
      <c r="D629" s="663"/>
      <c r="E629" s="2527"/>
      <c r="F629" s="2527"/>
      <c r="G629" s="2527"/>
      <c r="H629" s="2527"/>
      <c r="I629" s="2527"/>
      <c r="J629" s="2527"/>
      <c r="K629" s="2527"/>
      <c r="L629" s="2527"/>
      <c r="M629" s="2527"/>
      <c r="N629" s="2527"/>
      <c r="O629" s="2527"/>
      <c r="P629" s="2527"/>
      <c r="Q629" s="2527"/>
      <c r="R629" s="2527"/>
      <c r="S629" s="2527"/>
      <c r="T629" s="2527"/>
      <c r="U629" s="2527"/>
      <c r="V629" s="2527"/>
      <c r="W629" s="2527"/>
      <c r="X629" s="2527"/>
      <c r="Y629" s="2527"/>
      <c r="Z629" s="2527"/>
      <c r="AA629" s="2527"/>
      <c r="AB629" s="2527"/>
      <c r="AC629" s="2527"/>
      <c r="AD629" s="2527"/>
      <c r="AE629" s="536"/>
      <c r="AF629" s="536"/>
      <c r="AG629" s="536"/>
      <c r="AH629" s="536"/>
      <c r="AI629" s="536"/>
      <c r="AJ629" s="536"/>
      <c r="AK629" s="536"/>
      <c r="AL629" s="536"/>
      <c r="AN629" s="597"/>
    </row>
    <row r="630" spans="1:42" s="550" customFormat="1" ht="12.75" customHeight="1">
      <c r="B630" s="536"/>
      <c r="C630" s="931"/>
      <c r="D630" s="663"/>
      <c r="E630" s="2527"/>
      <c r="F630" s="2527"/>
      <c r="G630" s="2527"/>
      <c r="H630" s="2527"/>
      <c r="I630" s="2527"/>
      <c r="J630" s="2527"/>
      <c r="K630" s="2527"/>
      <c r="L630" s="2527"/>
      <c r="M630" s="2527"/>
      <c r="N630" s="2527"/>
      <c r="O630" s="2527"/>
      <c r="P630" s="2527"/>
      <c r="Q630" s="2527"/>
      <c r="R630" s="2527"/>
      <c r="S630" s="2527"/>
      <c r="T630" s="2527"/>
      <c r="U630" s="2527"/>
      <c r="V630" s="2527"/>
      <c r="W630" s="2527"/>
      <c r="X630" s="2527"/>
      <c r="Y630" s="2527"/>
      <c r="Z630" s="2527"/>
      <c r="AA630" s="2527"/>
      <c r="AB630" s="2527"/>
      <c r="AC630" s="2527"/>
      <c r="AD630" s="2527"/>
      <c r="AE630" s="536"/>
      <c r="AF630" s="536"/>
      <c r="AG630" s="536"/>
      <c r="AH630" s="536"/>
      <c r="AI630" s="536"/>
      <c r="AJ630" s="536"/>
      <c r="AK630" s="536"/>
      <c r="AL630" s="536"/>
      <c r="AN630" s="597"/>
    </row>
    <row r="631" spans="1:42" s="550" customFormat="1" ht="12.75" customHeight="1">
      <c r="A631" s="637"/>
      <c r="B631" s="616"/>
      <c r="C631" s="940"/>
      <c r="D631" s="663"/>
      <c r="E631" s="2527"/>
      <c r="F631" s="2527"/>
      <c r="G631" s="2527"/>
      <c r="H631" s="2527"/>
      <c r="I631" s="2527"/>
      <c r="J631" s="2527"/>
      <c r="K631" s="2527"/>
      <c r="L631" s="2527"/>
      <c r="M631" s="2527"/>
      <c r="N631" s="2527"/>
      <c r="O631" s="2527"/>
      <c r="P631" s="2527"/>
      <c r="Q631" s="2527"/>
      <c r="R631" s="2527"/>
      <c r="S631" s="2527"/>
      <c r="T631" s="2527"/>
      <c r="U631" s="2527"/>
      <c r="V631" s="2527"/>
      <c r="W631" s="2527"/>
      <c r="X631" s="2527"/>
      <c r="Y631" s="2527"/>
      <c r="Z631" s="2527"/>
      <c r="AA631" s="2527"/>
      <c r="AB631" s="2527"/>
      <c r="AC631" s="2527"/>
      <c r="AD631" s="2527"/>
      <c r="AE631" s="616"/>
      <c r="AF631" s="616"/>
      <c r="AG631" s="616"/>
      <c r="AH631" s="616"/>
      <c r="AI631" s="616"/>
      <c r="AJ631" s="616"/>
      <c r="AK631" s="536"/>
      <c r="AL631" s="536"/>
      <c r="AN631" s="597"/>
    </row>
    <row r="632" spans="1:42" s="550" customFormat="1" ht="12.75" customHeight="1">
      <c r="B632" s="616"/>
      <c r="C632" s="940"/>
      <c r="D632" s="663"/>
      <c r="E632" s="2527"/>
      <c r="F632" s="2527"/>
      <c r="G632" s="2527"/>
      <c r="H632" s="2527"/>
      <c r="I632" s="2527"/>
      <c r="J632" s="2527"/>
      <c r="K632" s="2527"/>
      <c r="L632" s="2527"/>
      <c r="M632" s="2527"/>
      <c r="N632" s="2527"/>
      <c r="O632" s="2527"/>
      <c r="P632" s="2527"/>
      <c r="Q632" s="2527"/>
      <c r="R632" s="2527"/>
      <c r="S632" s="2527"/>
      <c r="T632" s="2527"/>
      <c r="U632" s="2527"/>
      <c r="V632" s="2527"/>
      <c r="W632" s="2527"/>
      <c r="X632" s="2527"/>
      <c r="Y632" s="2527"/>
      <c r="Z632" s="2527"/>
      <c r="AA632" s="2527"/>
      <c r="AB632" s="2527"/>
      <c r="AC632" s="2527"/>
      <c r="AD632" s="2527"/>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1406</v>
      </c>
      <c r="F634" s="941"/>
      <c r="G634" s="941"/>
      <c r="H634" s="941"/>
      <c r="I634" s="941"/>
      <c r="J634" s="941"/>
      <c r="K634" s="941"/>
      <c r="L634" s="941"/>
      <c r="M634" s="941"/>
      <c r="N634" s="941"/>
      <c r="O634" s="941"/>
      <c r="P634" s="941"/>
      <c r="Q634" s="941"/>
      <c r="R634" s="941"/>
      <c r="U634" s="941"/>
      <c r="V634" s="941"/>
      <c r="W634" s="941"/>
      <c r="X634" s="2472" t="s">
        <v>591</v>
      </c>
      <c r="Y634" s="2472"/>
      <c r="Z634" s="941"/>
      <c r="AA634" s="941"/>
      <c r="AB634" s="941"/>
      <c r="AC634" s="941"/>
      <c r="AD634" s="941"/>
      <c r="AE634" s="536"/>
      <c r="AF634" s="616"/>
      <c r="AG634" s="616"/>
      <c r="AH634" s="616"/>
      <c r="AI634" s="616"/>
      <c r="AJ634" s="616"/>
      <c r="AK634" s="536"/>
      <c r="AL634" s="536"/>
      <c r="AN634" s="597"/>
      <c r="AO634" s="611" t="s">
        <v>687</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1407</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4" t="s">
        <v>1408</v>
      </c>
      <c r="AG636" s="2444"/>
      <c r="AH636" s="2444"/>
      <c r="AI636" s="2444"/>
      <c r="AJ636" s="2444"/>
      <c r="AK636" s="2444"/>
      <c r="AL636" s="2444"/>
      <c r="AN636" s="597"/>
      <c r="AO636" s="611" t="s">
        <v>277</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1397</v>
      </c>
      <c r="AP637" s="680">
        <v>4</v>
      </c>
    </row>
    <row r="638" spans="1:42" s="550" customFormat="1" ht="12.75" customHeight="1">
      <c r="B638" s="536"/>
      <c r="C638" s="931"/>
      <c r="D638" s="536" t="s">
        <v>1400</v>
      </c>
      <c r="E638" s="936"/>
      <c r="F638" s="936"/>
      <c r="G638" s="936"/>
      <c r="H638" s="2528" t="s">
        <v>687</v>
      </c>
      <c r="I638" s="2528"/>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1398</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1409</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1410</v>
      </c>
      <c r="AJ640" s="2479">
        <f>VLOOKUP($H$638,$AO$605:$AP$607,2,FALSE)</f>
        <v>3</v>
      </c>
      <c r="AK640" s="2481"/>
      <c r="AL640" s="595"/>
      <c r="AN640" s="597"/>
      <c r="AO640" s="611" t="s">
        <v>1411</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1412</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687</v>
      </c>
      <c r="E644" s="2499" t="s">
        <v>2097</v>
      </c>
      <c r="F644" s="2499"/>
      <c r="G644" s="2499"/>
      <c r="H644" s="2499"/>
      <c r="I644" s="2499"/>
      <c r="J644" s="2499"/>
      <c r="K644" s="2499"/>
      <c r="L644" s="2499"/>
      <c r="M644" s="2499"/>
      <c r="N644" s="2499"/>
      <c r="O644" s="2499"/>
      <c r="P644" s="2499"/>
      <c r="Q644" s="2499"/>
      <c r="R644" s="2499"/>
      <c r="S644" s="2499"/>
      <c r="T644" s="2499"/>
      <c r="U644" s="2499"/>
      <c r="V644" s="2499"/>
      <c r="W644" s="2499"/>
      <c r="X644" s="2499"/>
      <c r="Y644" s="2499"/>
      <c r="Z644" s="2499"/>
      <c r="AA644" s="2499"/>
      <c r="AB644" s="2499"/>
      <c r="AC644" s="2499"/>
      <c r="AD644" s="2499"/>
      <c r="AE644" s="536"/>
      <c r="AF644" s="2444" t="s">
        <v>1352</v>
      </c>
      <c r="AG644" s="2444"/>
      <c r="AH644" s="2444"/>
      <c r="AI644" s="2444"/>
      <c r="AJ644" s="2444"/>
      <c r="AK644" s="2444"/>
      <c r="AL644" s="2444"/>
      <c r="AN644" s="597"/>
    </row>
    <row r="645" spans="1:42" s="550" customFormat="1" ht="12.75" customHeight="1">
      <c r="B645" s="536"/>
      <c r="C645" s="536"/>
      <c r="D645" s="663"/>
      <c r="E645" s="2499"/>
      <c r="F645" s="2499"/>
      <c r="G645" s="2499"/>
      <c r="H645" s="2499"/>
      <c r="I645" s="2499"/>
      <c r="J645" s="2499"/>
      <c r="K645" s="2499"/>
      <c r="L645" s="2499"/>
      <c r="M645" s="2499"/>
      <c r="N645" s="2499"/>
      <c r="O645" s="2499"/>
      <c r="P645" s="2499"/>
      <c r="Q645" s="2499"/>
      <c r="R645" s="2499"/>
      <c r="S645" s="2499"/>
      <c r="T645" s="2499"/>
      <c r="U645" s="2499"/>
      <c r="V645" s="2499"/>
      <c r="W645" s="2499"/>
      <c r="X645" s="2499"/>
      <c r="Y645" s="2499"/>
      <c r="Z645" s="2499"/>
      <c r="AA645" s="2499"/>
      <c r="AB645" s="2499"/>
      <c r="AC645" s="2499"/>
      <c r="AD645" s="2499"/>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1413</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4" t="s">
        <v>1408</v>
      </c>
      <c r="AG647" s="2444"/>
      <c r="AH647" s="2444"/>
      <c r="AI647" s="2444"/>
      <c r="AJ647" s="2444"/>
      <c r="AK647" s="2444"/>
      <c r="AL647" s="2444"/>
      <c r="AN647" s="597"/>
    </row>
    <row r="648" spans="1:42" s="550" customFormat="1" ht="12.75" customHeight="1">
      <c r="B648" s="536"/>
      <c r="C648" s="931"/>
      <c r="D648" s="663"/>
      <c r="E648" s="616" t="s">
        <v>1414</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1400</v>
      </c>
      <c r="E650" s="936"/>
      <c r="F650" s="936"/>
      <c r="G650" s="936"/>
      <c r="H650" s="2528" t="s">
        <v>591</v>
      </c>
      <c r="I650" s="2528"/>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1415</v>
      </c>
      <c r="AJ652" s="2479">
        <f>VLOOKUP(H650,AT605:AU607,2,FALSE)</f>
        <v>0</v>
      </c>
      <c r="AK652" s="2481"/>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1416</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1417</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499" t="s">
        <v>1418</v>
      </c>
      <c r="F657" s="2499"/>
      <c r="G657" s="2499"/>
      <c r="H657" s="2499"/>
      <c r="I657" s="2499"/>
      <c r="J657" s="2499"/>
      <c r="K657" s="2499"/>
      <c r="L657" s="2499"/>
      <c r="M657" s="2499"/>
      <c r="N657" s="2499"/>
      <c r="O657" s="2499"/>
      <c r="P657" s="2499"/>
      <c r="Q657" s="2499"/>
      <c r="R657" s="2499"/>
      <c r="S657" s="2499"/>
      <c r="T657" s="2499"/>
      <c r="U657" s="2499"/>
      <c r="V657" s="2499"/>
      <c r="W657" s="2499"/>
      <c r="X657" s="2499"/>
      <c r="Y657" s="2499"/>
      <c r="Z657" s="2499"/>
      <c r="AA657" s="2499"/>
      <c r="AB657" s="2499"/>
      <c r="AC657" s="2499"/>
      <c r="AD657" s="536"/>
      <c r="AE657" s="536"/>
      <c r="AF657" s="2444" t="s">
        <v>1378</v>
      </c>
      <c r="AG657" s="2444"/>
      <c r="AH657" s="2444"/>
      <c r="AI657" s="2444"/>
      <c r="AJ657" s="2444"/>
      <c r="AK657" s="2444"/>
      <c r="AL657" s="2444"/>
      <c r="AN657" s="597"/>
    </row>
    <row r="658" spans="1:42" s="550" customFormat="1" ht="12.75" customHeight="1">
      <c r="B658" s="536"/>
      <c r="C658" s="539"/>
      <c r="D658" s="536"/>
      <c r="E658" s="2499"/>
      <c r="F658" s="2499"/>
      <c r="G658" s="2499"/>
      <c r="H658" s="2499"/>
      <c r="I658" s="2499"/>
      <c r="J658" s="2499"/>
      <c r="K658" s="2499"/>
      <c r="L658" s="2499"/>
      <c r="M658" s="2499"/>
      <c r="N658" s="2499"/>
      <c r="O658" s="2499"/>
      <c r="P658" s="2499"/>
      <c r="Q658" s="2499"/>
      <c r="R658" s="2499"/>
      <c r="S658" s="2499"/>
      <c r="T658" s="2499"/>
      <c r="U658" s="2499"/>
      <c r="V658" s="2499"/>
      <c r="W658" s="2499"/>
      <c r="X658" s="2499"/>
      <c r="Y658" s="2499"/>
      <c r="Z658" s="2499"/>
      <c r="AA658" s="2499"/>
      <c r="AB658" s="2499"/>
      <c r="AC658" s="2499"/>
      <c r="AD658" s="536"/>
      <c r="AE658" s="536"/>
      <c r="AF658" s="536"/>
      <c r="AG658" s="536"/>
      <c r="AH658" s="536"/>
      <c r="AI658" s="536"/>
      <c r="AJ658" s="536"/>
      <c r="AK658" s="536"/>
      <c r="AL658" s="536"/>
      <c r="AN658" s="597"/>
    </row>
    <row r="659" spans="1:42" s="550" customFormat="1" ht="12.75" customHeight="1">
      <c r="B659" s="536"/>
      <c r="C659" s="539"/>
      <c r="D659" s="663"/>
      <c r="E659" s="2499"/>
      <c r="F659" s="2499"/>
      <c r="G659" s="2499"/>
      <c r="H659" s="2499"/>
      <c r="I659" s="2499"/>
      <c r="J659" s="2499"/>
      <c r="K659" s="2499"/>
      <c r="L659" s="2499"/>
      <c r="M659" s="2499"/>
      <c r="N659" s="2499"/>
      <c r="O659" s="2499"/>
      <c r="P659" s="2499"/>
      <c r="Q659" s="2499"/>
      <c r="R659" s="2499"/>
      <c r="S659" s="2499"/>
      <c r="T659" s="2499"/>
      <c r="U659" s="2499"/>
      <c r="V659" s="2499"/>
      <c r="W659" s="2499"/>
      <c r="X659" s="2499"/>
      <c r="Y659" s="2499"/>
      <c r="Z659" s="2499"/>
      <c r="AA659" s="2499"/>
      <c r="AB659" s="2499"/>
      <c r="AC659" s="2499"/>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499" t="s">
        <v>1419</v>
      </c>
      <c r="F661" s="2499"/>
      <c r="G661" s="2499"/>
      <c r="H661" s="2499"/>
      <c r="I661" s="2499"/>
      <c r="J661" s="2499"/>
      <c r="K661" s="2499"/>
      <c r="L661" s="2499"/>
      <c r="M661" s="2499"/>
      <c r="N661" s="2499"/>
      <c r="O661" s="2499"/>
      <c r="P661" s="2499"/>
      <c r="Q661" s="2499"/>
      <c r="R661" s="2499"/>
      <c r="S661" s="2499"/>
      <c r="T661" s="2499"/>
      <c r="U661" s="2499"/>
      <c r="V661" s="2499"/>
      <c r="W661" s="2499"/>
      <c r="X661" s="2499"/>
      <c r="Y661" s="2499"/>
      <c r="Z661" s="2499"/>
      <c r="AA661" s="2499"/>
      <c r="AB661" s="2499"/>
      <c r="AC661" s="2499"/>
      <c r="AD661" s="536"/>
      <c r="AE661" s="536"/>
      <c r="AF661" s="2444" t="s">
        <v>1399</v>
      </c>
      <c r="AG661" s="2444"/>
      <c r="AH661" s="2444"/>
      <c r="AI661" s="2444"/>
      <c r="AJ661" s="2444"/>
      <c r="AK661" s="2444"/>
      <c r="AL661" s="2444"/>
      <c r="AN661" s="597"/>
    </row>
    <row r="662" spans="1:42" s="550" customFormat="1" ht="12.75" customHeight="1">
      <c r="B662" s="536"/>
      <c r="C662" s="539"/>
      <c r="D662" s="536"/>
      <c r="E662" s="2499"/>
      <c r="F662" s="2499"/>
      <c r="G662" s="2499"/>
      <c r="H662" s="2499"/>
      <c r="I662" s="2499"/>
      <c r="J662" s="2499"/>
      <c r="K662" s="2499"/>
      <c r="L662" s="2499"/>
      <c r="M662" s="2499"/>
      <c r="N662" s="2499"/>
      <c r="O662" s="2499"/>
      <c r="P662" s="2499"/>
      <c r="Q662" s="2499"/>
      <c r="R662" s="2499"/>
      <c r="S662" s="2499"/>
      <c r="T662" s="2499"/>
      <c r="U662" s="2499"/>
      <c r="V662" s="2499"/>
      <c r="W662" s="2499"/>
      <c r="X662" s="2499"/>
      <c r="Y662" s="2499"/>
      <c r="Z662" s="2499"/>
      <c r="AA662" s="2499"/>
      <c r="AB662" s="2499"/>
      <c r="AC662" s="2499"/>
      <c r="AD662" s="536"/>
      <c r="AE662" s="536"/>
      <c r="AF662" s="536"/>
      <c r="AG662" s="536"/>
      <c r="AH662" s="536"/>
      <c r="AI662" s="536"/>
      <c r="AJ662" s="536"/>
      <c r="AK662" s="536"/>
      <c r="AL662" s="536"/>
      <c r="AN662" s="597"/>
    </row>
    <row r="663" spans="1:42" s="550" customFormat="1" ht="15" customHeight="1">
      <c r="B663" s="536"/>
      <c r="C663" s="539"/>
      <c r="D663" s="663"/>
      <c r="E663" s="2499"/>
      <c r="F663" s="2499"/>
      <c r="G663" s="2499"/>
      <c r="H663" s="2499"/>
      <c r="I663" s="2499"/>
      <c r="J663" s="2499"/>
      <c r="K663" s="2499"/>
      <c r="L663" s="2499"/>
      <c r="M663" s="2499"/>
      <c r="N663" s="2499"/>
      <c r="O663" s="2499"/>
      <c r="P663" s="2499"/>
      <c r="Q663" s="2499"/>
      <c r="R663" s="2499"/>
      <c r="S663" s="2499"/>
      <c r="T663" s="2499"/>
      <c r="U663" s="2499"/>
      <c r="V663" s="2499"/>
      <c r="W663" s="2499"/>
      <c r="X663" s="2499"/>
      <c r="Y663" s="2499"/>
      <c r="Z663" s="2499"/>
      <c r="AA663" s="2499"/>
      <c r="AB663" s="2499"/>
      <c r="AC663" s="2499"/>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277</v>
      </c>
      <c r="E665" s="2499" t="s">
        <v>1420</v>
      </c>
      <c r="F665" s="2499"/>
      <c r="G665" s="2499"/>
      <c r="H665" s="2499"/>
      <c r="I665" s="2499"/>
      <c r="J665" s="2499"/>
      <c r="K665" s="2499"/>
      <c r="L665" s="2499"/>
      <c r="M665" s="2499"/>
      <c r="N665" s="2499"/>
      <c r="O665" s="2499"/>
      <c r="P665" s="2499"/>
      <c r="Q665" s="2499"/>
      <c r="R665" s="2499"/>
      <c r="S665" s="2499"/>
      <c r="T665" s="2499"/>
      <c r="U665" s="2499"/>
      <c r="V665" s="2499"/>
      <c r="W665" s="2499"/>
      <c r="X665" s="2499"/>
      <c r="Y665" s="2499"/>
      <c r="Z665" s="2499"/>
      <c r="AA665" s="2499"/>
      <c r="AB665" s="2499"/>
      <c r="AC665" s="2499"/>
      <c r="AD665" s="536"/>
      <c r="AE665" s="536"/>
      <c r="AF665" s="2444" t="s">
        <v>1352</v>
      </c>
      <c r="AG665" s="2444"/>
      <c r="AH665" s="2444"/>
      <c r="AI665" s="2444"/>
      <c r="AJ665" s="2444"/>
      <c r="AK665" s="2444"/>
      <c r="AL665" s="2444"/>
      <c r="AN665" s="597"/>
    </row>
    <row r="666" spans="1:42" s="550" customFormat="1" ht="12.75" customHeight="1">
      <c r="B666" s="536"/>
      <c r="C666" s="931"/>
      <c r="D666" s="536"/>
      <c r="E666" s="2499"/>
      <c r="F666" s="2499"/>
      <c r="G666" s="2499"/>
      <c r="H666" s="2499"/>
      <c r="I666" s="2499"/>
      <c r="J666" s="2499"/>
      <c r="K666" s="2499"/>
      <c r="L666" s="2499"/>
      <c r="M666" s="2499"/>
      <c r="N666" s="2499"/>
      <c r="O666" s="2499"/>
      <c r="P666" s="2499"/>
      <c r="Q666" s="2499"/>
      <c r="R666" s="2499"/>
      <c r="S666" s="2499"/>
      <c r="T666" s="2499"/>
      <c r="U666" s="2499"/>
      <c r="V666" s="2499"/>
      <c r="W666" s="2499"/>
      <c r="X666" s="2499"/>
      <c r="Y666" s="2499"/>
      <c r="Z666" s="2499"/>
      <c r="AA666" s="2499"/>
      <c r="AB666" s="2499"/>
      <c r="AC666" s="2499"/>
      <c r="AD666" s="536"/>
      <c r="AE666" s="2444"/>
      <c r="AF666" s="2444"/>
      <c r="AG666" s="2444"/>
      <c r="AH666" s="2444"/>
      <c r="AI666" s="2444"/>
      <c r="AJ666" s="2444"/>
      <c r="AK666" s="2444"/>
      <c r="AL666" s="594"/>
      <c r="AN666" s="597"/>
      <c r="AO666" s="550" t="s">
        <v>591</v>
      </c>
      <c r="AP666" s="673">
        <v>0</v>
      </c>
    </row>
    <row r="667" spans="1:42" s="550" customFormat="1" ht="12.75" customHeight="1">
      <c r="A667" s="679"/>
      <c r="B667" s="536"/>
      <c r="C667" s="536"/>
      <c r="D667" s="663"/>
      <c r="E667" s="2499"/>
      <c r="F667" s="2499"/>
      <c r="G667" s="2499"/>
      <c r="H667" s="2499"/>
      <c r="I667" s="2499"/>
      <c r="J667" s="2499"/>
      <c r="K667" s="2499"/>
      <c r="L667" s="2499"/>
      <c r="M667" s="2499"/>
      <c r="N667" s="2499"/>
      <c r="O667" s="2499"/>
      <c r="P667" s="2499"/>
      <c r="Q667" s="2499"/>
      <c r="R667" s="2499"/>
      <c r="S667" s="2499"/>
      <c r="T667" s="2499"/>
      <c r="U667" s="2499"/>
      <c r="V667" s="2499"/>
      <c r="W667" s="2499"/>
      <c r="X667" s="2499"/>
      <c r="Y667" s="2499"/>
      <c r="Z667" s="2499"/>
      <c r="AA667" s="2499"/>
      <c r="AB667" s="2499"/>
      <c r="AC667" s="2499"/>
      <c r="AD667" s="536"/>
      <c r="AE667" s="536"/>
      <c r="AF667" s="536"/>
      <c r="AG667" s="536"/>
      <c r="AH667" s="536"/>
      <c r="AI667" s="536"/>
      <c r="AJ667" s="536"/>
      <c r="AK667" s="536"/>
      <c r="AL667" s="536"/>
      <c r="AN667" s="597"/>
      <c r="AO667" s="611" t="s">
        <v>687</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1397</v>
      </c>
      <c r="E669" s="2499" t="s">
        <v>1421</v>
      </c>
      <c r="F669" s="2499"/>
      <c r="G669" s="2499"/>
      <c r="H669" s="2499"/>
      <c r="I669" s="2499"/>
      <c r="J669" s="2499"/>
      <c r="K669" s="2499"/>
      <c r="L669" s="2499"/>
      <c r="M669" s="2499"/>
      <c r="N669" s="2499"/>
      <c r="O669" s="2499"/>
      <c r="P669" s="2499"/>
      <c r="Q669" s="2499"/>
      <c r="R669" s="2499"/>
      <c r="S669" s="2499"/>
      <c r="T669" s="2499"/>
      <c r="U669" s="2499"/>
      <c r="V669" s="2499"/>
      <c r="W669" s="2499"/>
      <c r="X669" s="2499"/>
      <c r="Y669" s="2499"/>
      <c r="Z669" s="2499"/>
      <c r="AA669" s="2499"/>
      <c r="AB669" s="2499"/>
      <c r="AC669" s="2499"/>
      <c r="AD669" s="536"/>
      <c r="AE669" s="536"/>
      <c r="AF669" s="2444" t="s">
        <v>1399</v>
      </c>
      <c r="AG669" s="2444"/>
      <c r="AH669" s="2444"/>
      <c r="AI669" s="2444"/>
      <c r="AJ669" s="2444"/>
      <c r="AK669" s="2444"/>
      <c r="AL669" s="2444"/>
      <c r="AN669" s="597"/>
    </row>
    <row r="670" spans="1:42" s="550" customFormat="1" ht="12.75" customHeight="1">
      <c r="A670" s="670"/>
      <c r="B670" s="536"/>
      <c r="C670" s="947"/>
      <c r="D670" s="663"/>
      <c r="E670" s="2499"/>
      <c r="F670" s="2499"/>
      <c r="G670" s="2499"/>
      <c r="H670" s="2499"/>
      <c r="I670" s="2499"/>
      <c r="J670" s="2499"/>
      <c r="K670" s="2499"/>
      <c r="L670" s="2499"/>
      <c r="M670" s="2499"/>
      <c r="N670" s="2499"/>
      <c r="O670" s="2499"/>
      <c r="P670" s="2499"/>
      <c r="Q670" s="2499"/>
      <c r="R670" s="2499"/>
      <c r="S670" s="2499"/>
      <c r="T670" s="2499"/>
      <c r="U670" s="2499"/>
      <c r="V670" s="2499"/>
      <c r="W670" s="2499"/>
      <c r="X670" s="2499"/>
      <c r="Y670" s="2499"/>
      <c r="Z670" s="2499"/>
      <c r="AA670" s="2499"/>
      <c r="AB670" s="2499"/>
      <c r="AC670" s="2499"/>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99"/>
      <c r="F671" s="2499"/>
      <c r="G671" s="2499"/>
      <c r="H671" s="2499"/>
      <c r="I671" s="2499"/>
      <c r="J671" s="2499"/>
      <c r="K671" s="2499"/>
      <c r="L671" s="2499"/>
      <c r="M671" s="2499"/>
      <c r="N671" s="2499"/>
      <c r="O671" s="2499"/>
      <c r="P671" s="2499"/>
      <c r="Q671" s="2499"/>
      <c r="R671" s="2499"/>
      <c r="S671" s="2499"/>
      <c r="T671" s="2499"/>
      <c r="U671" s="2499"/>
      <c r="V671" s="2499"/>
      <c r="W671" s="2499"/>
      <c r="X671" s="2499"/>
      <c r="Y671" s="2499"/>
      <c r="Z671" s="2499"/>
      <c r="AA671" s="2499"/>
      <c r="AB671" s="2499"/>
      <c r="AC671" s="2499"/>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1398</v>
      </c>
      <c r="E673" s="2499" t="s">
        <v>1422</v>
      </c>
      <c r="F673" s="2499"/>
      <c r="G673" s="2499"/>
      <c r="H673" s="2499"/>
      <c r="I673" s="2499"/>
      <c r="J673" s="2499"/>
      <c r="K673" s="2499"/>
      <c r="L673" s="2499"/>
      <c r="M673" s="2499"/>
      <c r="N673" s="2499"/>
      <c r="O673" s="2499"/>
      <c r="P673" s="2499"/>
      <c r="Q673" s="2499"/>
      <c r="R673" s="2499"/>
      <c r="S673" s="2499"/>
      <c r="T673" s="2499"/>
      <c r="U673" s="2499"/>
      <c r="V673" s="2499"/>
      <c r="W673" s="2499"/>
      <c r="X673" s="2499"/>
      <c r="Y673" s="2499"/>
      <c r="Z673" s="2499"/>
      <c r="AA673" s="2499"/>
      <c r="AB673" s="2499"/>
      <c r="AC673" s="2499"/>
      <c r="AD673" s="536"/>
      <c r="AE673" s="536"/>
      <c r="AF673" s="2444" t="s">
        <v>1352</v>
      </c>
      <c r="AG673" s="2444"/>
      <c r="AH673" s="2444"/>
      <c r="AI673" s="2444"/>
      <c r="AJ673" s="2444"/>
      <c r="AK673" s="2444"/>
      <c r="AL673" s="2444"/>
      <c r="AM673" s="596"/>
      <c r="AN673" s="597"/>
    </row>
    <row r="674" spans="1:42" s="550" customFormat="1" ht="12.75" customHeight="1">
      <c r="B674" s="536"/>
      <c r="C674" s="931"/>
      <c r="D674" s="663"/>
      <c r="E674" s="2499"/>
      <c r="F674" s="2499"/>
      <c r="G674" s="2499"/>
      <c r="H674" s="2499"/>
      <c r="I674" s="2499"/>
      <c r="J674" s="2499"/>
      <c r="K674" s="2499"/>
      <c r="L674" s="2499"/>
      <c r="M674" s="2499"/>
      <c r="N674" s="2499"/>
      <c r="O674" s="2499"/>
      <c r="P674" s="2499"/>
      <c r="Q674" s="2499"/>
      <c r="R674" s="2499"/>
      <c r="S674" s="2499"/>
      <c r="T674" s="2499"/>
      <c r="U674" s="2499"/>
      <c r="V674" s="2499"/>
      <c r="W674" s="2499"/>
      <c r="X674" s="2499"/>
      <c r="Y674" s="2499"/>
      <c r="Z674" s="2499"/>
      <c r="AA674" s="2499"/>
      <c r="AB674" s="2499"/>
      <c r="AC674" s="2499"/>
      <c r="AD674" s="536"/>
      <c r="AE674" s="536"/>
      <c r="AF674" s="536"/>
      <c r="AG674" s="536"/>
      <c r="AH674" s="536"/>
      <c r="AI674" s="536"/>
      <c r="AJ674" s="536"/>
      <c r="AK674" s="536"/>
      <c r="AL674" s="536"/>
      <c r="AM674" s="596"/>
      <c r="AN674" s="597"/>
    </row>
    <row r="675" spans="1:42" s="550" customFormat="1" ht="12.75" customHeight="1">
      <c r="B675" s="536"/>
      <c r="C675" s="931"/>
      <c r="D675" s="663"/>
      <c r="E675" s="2499"/>
      <c r="F675" s="2499"/>
      <c r="G675" s="2499"/>
      <c r="H675" s="2499"/>
      <c r="I675" s="2499"/>
      <c r="J675" s="2499"/>
      <c r="K675" s="2499"/>
      <c r="L675" s="2499"/>
      <c r="M675" s="2499"/>
      <c r="N675" s="2499"/>
      <c r="O675" s="2499"/>
      <c r="P675" s="2499"/>
      <c r="Q675" s="2499"/>
      <c r="R675" s="2499"/>
      <c r="S675" s="2499"/>
      <c r="T675" s="2499"/>
      <c r="U675" s="2499"/>
      <c r="V675" s="2499"/>
      <c r="W675" s="2499"/>
      <c r="X675" s="2499"/>
      <c r="Y675" s="2499"/>
      <c r="Z675" s="2499"/>
      <c r="AA675" s="2499"/>
      <c r="AB675" s="2499"/>
      <c r="AC675" s="2499"/>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1409</v>
      </c>
      <c r="E677" s="2499" t="s">
        <v>1423</v>
      </c>
      <c r="F677" s="2499"/>
      <c r="G677" s="2499"/>
      <c r="H677" s="2499"/>
      <c r="I677" s="2499"/>
      <c r="J677" s="2499"/>
      <c r="K677" s="2499"/>
      <c r="L677" s="2499"/>
      <c r="M677" s="2499"/>
      <c r="N677" s="2499"/>
      <c r="O677" s="2499"/>
      <c r="P677" s="2499"/>
      <c r="Q677" s="2499"/>
      <c r="R677" s="2499"/>
      <c r="S677" s="2499"/>
      <c r="T677" s="2499"/>
      <c r="U677" s="2499"/>
      <c r="V677" s="2499"/>
      <c r="W677" s="2499"/>
      <c r="X677" s="2499"/>
      <c r="Y677" s="2499"/>
      <c r="Z677" s="2499"/>
      <c r="AA677" s="2499"/>
      <c r="AB677" s="2499"/>
      <c r="AC677" s="2499"/>
      <c r="AD677" s="536"/>
      <c r="AE677" s="536"/>
      <c r="AF677" s="2444" t="s">
        <v>1408</v>
      </c>
      <c r="AG677" s="2444"/>
      <c r="AH677" s="2444"/>
      <c r="AI677" s="2444"/>
      <c r="AJ677" s="2444"/>
      <c r="AK677" s="2444"/>
      <c r="AL677" s="2444"/>
      <c r="AM677" s="596"/>
      <c r="AN677" s="597"/>
    </row>
    <row r="678" spans="1:42" s="550" customFormat="1" ht="12.75" customHeight="1">
      <c r="A678" s="679"/>
      <c r="B678" s="536"/>
      <c r="C678" s="931"/>
      <c r="D678" s="663"/>
      <c r="E678" s="2499"/>
      <c r="F678" s="2499"/>
      <c r="G678" s="2499"/>
      <c r="H678" s="2499"/>
      <c r="I678" s="2499"/>
      <c r="J678" s="2499"/>
      <c r="K678" s="2499"/>
      <c r="L678" s="2499"/>
      <c r="M678" s="2499"/>
      <c r="N678" s="2499"/>
      <c r="O678" s="2499"/>
      <c r="P678" s="2499"/>
      <c r="Q678" s="2499"/>
      <c r="R678" s="2499"/>
      <c r="S678" s="2499"/>
      <c r="T678" s="2499"/>
      <c r="U678" s="2499"/>
      <c r="V678" s="2499"/>
      <c r="W678" s="2499"/>
      <c r="X678" s="2499"/>
      <c r="Y678" s="2499"/>
      <c r="Z678" s="2499"/>
      <c r="AA678" s="2499"/>
      <c r="AB678" s="2499"/>
      <c r="AC678" s="2499"/>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99"/>
      <c r="F679" s="2499"/>
      <c r="G679" s="2499"/>
      <c r="H679" s="2499"/>
      <c r="I679" s="2499"/>
      <c r="J679" s="2499"/>
      <c r="K679" s="2499"/>
      <c r="L679" s="2499"/>
      <c r="M679" s="2499"/>
      <c r="N679" s="2499"/>
      <c r="O679" s="2499"/>
      <c r="P679" s="2499"/>
      <c r="Q679" s="2499"/>
      <c r="R679" s="2499"/>
      <c r="S679" s="2499"/>
      <c r="T679" s="2499"/>
      <c r="U679" s="2499"/>
      <c r="V679" s="2499"/>
      <c r="W679" s="2499"/>
      <c r="X679" s="2499"/>
      <c r="Y679" s="2499"/>
      <c r="Z679" s="2499"/>
      <c r="AA679" s="2499"/>
      <c r="AB679" s="2499"/>
      <c r="AC679" s="2499"/>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1411</v>
      </c>
      <c r="E681" s="2499" t="s">
        <v>1424</v>
      </c>
      <c r="F681" s="2499"/>
      <c r="G681" s="2499"/>
      <c r="H681" s="2499"/>
      <c r="I681" s="2499"/>
      <c r="J681" s="2499"/>
      <c r="K681" s="2499"/>
      <c r="L681" s="2499"/>
      <c r="M681" s="2499"/>
      <c r="N681" s="2499"/>
      <c r="O681" s="2499"/>
      <c r="P681" s="2499"/>
      <c r="Q681" s="2499"/>
      <c r="R681" s="2499"/>
      <c r="S681" s="2499"/>
      <c r="T681" s="2499"/>
      <c r="U681" s="2499"/>
      <c r="V681" s="2499"/>
      <c r="W681" s="2499"/>
      <c r="X681" s="2499"/>
      <c r="Y681" s="2499"/>
      <c r="Z681" s="2499"/>
      <c r="AA681" s="2499"/>
      <c r="AB681" s="2499"/>
      <c r="AC681" s="2499"/>
      <c r="AD681" s="536"/>
      <c r="AE681" s="536"/>
      <c r="AF681" s="2444" t="s">
        <v>1425</v>
      </c>
      <c r="AG681" s="2444"/>
      <c r="AH681" s="2444"/>
      <c r="AI681" s="2444"/>
      <c r="AJ681" s="2444"/>
      <c r="AK681" s="2444"/>
      <c r="AL681" s="2444"/>
      <c r="AM681" s="596"/>
      <c r="AN681" s="597"/>
      <c r="AO681" s="611" t="s">
        <v>687</v>
      </c>
      <c r="AP681" s="550">
        <v>3</v>
      </c>
    </row>
    <row r="682" spans="1:42" s="550" customFormat="1" ht="12.75" customHeight="1">
      <c r="A682" s="679"/>
      <c r="B682" s="536"/>
      <c r="C682" s="931"/>
      <c r="D682" s="663"/>
      <c r="E682" s="2499"/>
      <c r="F682" s="2499"/>
      <c r="G682" s="2499"/>
      <c r="H682" s="2499"/>
      <c r="I682" s="2499"/>
      <c r="J682" s="2499"/>
      <c r="K682" s="2499"/>
      <c r="L682" s="2499"/>
      <c r="M682" s="2499"/>
      <c r="N682" s="2499"/>
      <c r="O682" s="2499"/>
      <c r="P682" s="2499"/>
      <c r="Q682" s="2499"/>
      <c r="R682" s="2499"/>
      <c r="S682" s="2499"/>
      <c r="T682" s="2499"/>
      <c r="U682" s="2499"/>
      <c r="V682" s="2499"/>
      <c r="W682" s="2499"/>
      <c r="X682" s="2499"/>
      <c r="Y682" s="2499"/>
      <c r="Z682" s="2499"/>
      <c r="AA682" s="2499"/>
      <c r="AB682" s="2499"/>
      <c r="AC682" s="2499"/>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499"/>
      <c r="F683" s="2499"/>
      <c r="G683" s="2499"/>
      <c r="H683" s="2499"/>
      <c r="I683" s="2499"/>
      <c r="J683" s="2499"/>
      <c r="K683" s="2499"/>
      <c r="L683" s="2499"/>
      <c r="M683" s="2499"/>
      <c r="N683" s="2499"/>
      <c r="O683" s="2499"/>
      <c r="P683" s="2499"/>
      <c r="Q683" s="2499"/>
      <c r="R683" s="2499"/>
      <c r="S683" s="2499"/>
      <c r="T683" s="2499"/>
      <c r="U683" s="2499"/>
      <c r="V683" s="2499"/>
      <c r="W683" s="2499"/>
      <c r="X683" s="2499"/>
      <c r="Y683" s="2499"/>
      <c r="Z683" s="2499"/>
      <c r="AA683" s="2499"/>
      <c r="AB683" s="2499"/>
      <c r="AC683" s="2499"/>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1400</v>
      </c>
      <c r="E685" s="936"/>
      <c r="F685" s="936"/>
      <c r="G685" s="936"/>
      <c r="H685" s="2528" t="s">
        <v>1398</v>
      </c>
      <c r="I685" s="2528"/>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1426</v>
      </c>
      <c r="AJ687" s="2479">
        <f>VLOOKUP($H$685,$AO$633:$AP$640,2,FALSE)</f>
        <v>3</v>
      </c>
      <c r="AK687" s="2481"/>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2135</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2182</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2183</v>
      </c>
      <c r="AX690" s="1152">
        <f>Application!G753</f>
        <v>59</v>
      </c>
    </row>
    <row r="691" spans="1:51" s="550" customFormat="1" ht="12.75" customHeight="1">
      <c r="A691" s="679"/>
      <c r="B691" s="536"/>
      <c r="C691" s="948"/>
      <c r="D691" s="663" t="s">
        <v>687</v>
      </c>
      <c r="E691" s="2535" t="s">
        <v>2189</v>
      </c>
      <c r="F691" s="2535"/>
      <c r="G691" s="2535"/>
      <c r="H691" s="2535"/>
      <c r="I691" s="2535"/>
      <c r="J691" s="2535"/>
      <c r="K691" s="2535"/>
      <c r="L691" s="2535"/>
      <c r="M691" s="2535"/>
      <c r="N691" s="2535"/>
      <c r="O691" s="2535"/>
      <c r="P691" s="2535"/>
      <c r="Q691" s="2535"/>
      <c r="R691" s="2535"/>
      <c r="S691" s="2535"/>
      <c r="T691" s="2535"/>
      <c r="U691" s="2535"/>
      <c r="V691" s="2535"/>
      <c r="W691" s="2535"/>
      <c r="X691" s="2535"/>
      <c r="Y691" s="2535"/>
      <c r="Z691" s="2535"/>
      <c r="AA691" s="2535"/>
      <c r="AB691" s="2535"/>
      <c r="AC691" s="536"/>
      <c r="AD691" s="536"/>
      <c r="AE691" s="536"/>
      <c r="AF691" s="2444" t="s">
        <v>1352</v>
      </c>
      <c r="AG691" s="2444"/>
      <c r="AH691" s="2444"/>
      <c r="AI691" s="2444"/>
      <c r="AJ691" s="2444"/>
      <c r="AK691" s="2444"/>
      <c r="AL691" s="2444"/>
      <c r="AN691" s="597"/>
      <c r="AW691" s="22" t="s">
        <v>2184</v>
      </c>
      <c r="AX691" s="550">
        <f>Application!DE753</f>
        <v>20</v>
      </c>
    </row>
    <row r="692" spans="1:51" s="550" customFormat="1" ht="12.75" customHeight="1">
      <c r="A692" s="679"/>
      <c r="B692" s="536"/>
      <c r="C692" s="948"/>
      <c r="D692" s="663"/>
      <c r="E692" s="2535"/>
      <c r="F692" s="2535"/>
      <c r="G692" s="2535"/>
      <c r="H692" s="2535"/>
      <c r="I692" s="2535"/>
      <c r="J692" s="2535"/>
      <c r="K692" s="2535"/>
      <c r="L692" s="2535"/>
      <c r="M692" s="2535"/>
      <c r="N692" s="2535"/>
      <c r="O692" s="2535"/>
      <c r="P692" s="2535"/>
      <c r="Q692" s="2535"/>
      <c r="R692" s="2535"/>
      <c r="S692" s="2535"/>
      <c r="T692" s="2535"/>
      <c r="U692" s="2535"/>
      <c r="V692" s="2535"/>
      <c r="W692" s="2535"/>
      <c r="X692" s="2535"/>
      <c r="Y692" s="2535"/>
      <c r="Z692" s="2535"/>
      <c r="AA692" s="2535"/>
      <c r="AB692" s="2535"/>
      <c r="AC692" s="536"/>
      <c r="AD692" s="536"/>
      <c r="AE692" s="536"/>
      <c r="AF692" s="536"/>
      <c r="AG692" s="536"/>
      <c r="AH692" s="536"/>
      <c r="AI692" s="536"/>
      <c r="AJ692" s="536"/>
      <c r="AK692" s="536"/>
      <c r="AL692" s="536"/>
      <c r="AN692" s="597"/>
      <c r="AW692" s="22" t="s">
        <v>2185</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2186</v>
      </c>
      <c r="AX693" s="550">
        <f>Application!DO753</f>
        <v>0</v>
      </c>
    </row>
    <row r="694" spans="1:51" s="550" customFormat="1" ht="12.75" customHeight="1">
      <c r="B694" s="536"/>
      <c r="C694" s="931"/>
      <c r="D694" s="663" t="s">
        <v>509</v>
      </c>
      <c r="E694" s="2499" t="s">
        <v>2133</v>
      </c>
      <c r="F694" s="2499"/>
      <c r="G694" s="2499"/>
      <c r="H694" s="2499"/>
      <c r="I694" s="2499"/>
      <c r="J694" s="2499"/>
      <c r="K694" s="2499"/>
      <c r="L694" s="2499"/>
      <c r="M694" s="2499"/>
      <c r="N694" s="2499"/>
      <c r="O694" s="2499"/>
      <c r="P694" s="2499"/>
      <c r="Q694" s="2499"/>
      <c r="R694" s="2499"/>
      <c r="S694" s="2499"/>
      <c r="T694" s="2499"/>
      <c r="U694" s="2499"/>
      <c r="V694" s="2499"/>
      <c r="W694" s="2499"/>
      <c r="X694" s="2499"/>
      <c r="Y694" s="2499"/>
      <c r="Z694" s="2499"/>
      <c r="AA694" s="2499"/>
      <c r="AB694" s="2499"/>
      <c r="AC694" s="536"/>
      <c r="AD694" s="536"/>
      <c r="AE694" s="536"/>
      <c r="AF694" s="2444" t="s">
        <v>1352</v>
      </c>
      <c r="AG694" s="2444"/>
      <c r="AH694" s="2444"/>
      <c r="AI694" s="2444"/>
      <c r="AJ694" s="2444"/>
      <c r="AK694" s="2444"/>
      <c r="AL694" s="2444"/>
      <c r="AN694" s="597"/>
      <c r="AW694" s="22" t="s">
        <v>2187</v>
      </c>
      <c r="AX694" s="550">
        <f>AX691+AX692+AX693</f>
        <v>20</v>
      </c>
    </row>
    <row r="695" spans="1:51" s="550" customFormat="1" ht="12.75" customHeight="1">
      <c r="B695" s="536"/>
      <c r="C695" s="940"/>
      <c r="D695" s="663"/>
      <c r="E695" s="2499"/>
      <c r="F695" s="2499"/>
      <c r="G695" s="2499"/>
      <c r="H695" s="2499"/>
      <c r="I695" s="2499"/>
      <c r="J695" s="2499"/>
      <c r="K695" s="2499"/>
      <c r="L695" s="2499"/>
      <c r="M695" s="2499"/>
      <c r="N695" s="2499"/>
      <c r="O695" s="2499"/>
      <c r="P695" s="2499"/>
      <c r="Q695" s="2499"/>
      <c r="R695" s="2499"/>
      <c r="S695" s="2499"/>
      <c r="T695" s="2499"/>
      <c r="U695" s="2499"/>
      <c r="V695" s="2499"/>
      <c r="W695" s="2499"/>
      <c r="X695" s="2499"/>
      <c r="Y695" s="2499"/>
      <c r="Z695" s="2499"/>
      <c r="AA695" s="2499"/>
      <c r="AB695" s="2499"/>
      <c r="AC695" s="536"/>
      <c r="AD695" s="536"/>
      <c r="AE695" s="616"/>
      <c r="AF695" s="536"/>
      <c r="AG695" s="536"/>
      <c r="AH695" s="536"/>
      <c r="AI695" s="536"/>
      <c r="AJ695" s="536"/>
      <c r="AK695" s="536"/>
      <c r="AL695" s="536"/>
      <c r="AN695" s="597"/>
      <c r="AO695" s="2534" t="b">
        <f>IF(Application!D211="Special Needs",IF(AY695&gt;=0.25,TRUE,FALSE),IF(AX695&gt;=0.25,TRUE,FALSE))</f>
        <v>1</v>
      </c>
      <c r="AP695" s="2534"/>
      <c r="AW695" s="22" t="s">
        <v>2188</v>
      </c>
      <c r="AX695" s="550">
        <f>IFERROR(AX694/AX690,0)</f>
        <v>0.33898305084745761</v>
      </c>
      <c r="AY695" s="550">
        <f>IFERROR(AX694/(AX690-AX689),0)</f>
        <v>0.33898305084745761</v>
      </c>
    </row>
    <row r="696" spans="1:51" s="550" customFormat="1" ht="12.75" customHeight="1">
      <c r="B696" s="536"/>
      <c r="C696" s="940"/>
      <c r="E696" s="2499"/>
      <c r="F696" s="2499"/>
      <c r="G696" s="2499"/>
      <c r="H696" s="2499"/>
      <c r="I696" s="2499"/>
      <c r="J696" s="2499"/>
      <c r="K696" s="2499"/>
      <c r="L696" s="2499"/>
      <c r="M696" s="2499"/>
      <c r="N696" s="2499"/>
      <c r="O696" s="2499"/>
      <c r="P696" s="2499"/>
      <c r="Q696" s="2499"/>
      <c r="R696" s="2499"/>
      <c r="S696" s="2499"/>
      <c r="T696" s="2499"/>
      <c r="U696" s="2499"/>
      <c r="V696" s="2499"/>
      <c r="W696" s="2499"/>
      <c r="X696" s="2499"/>
      <c r="Y696" s="2499"/>
      <c r="Z696" s="2499"/>
      <c r="AA696" s="2499"/>
      <c r="AB696" s="2499"/>
      <c r="AC696" s="536"/>
      <c r="AD696" s="536"/>
      <c r="AE696" s="616"/>
      <c r="AF696" s="616"/>
      <c r="AG696" s="616"/>
      <c r="AH696" s="616"/>
      <c r="AI696" s="616"/>
      <c r="AJ696" s="616"/>
      <c r="AK696" s="616"/>
      <c r="AL696" s="616"/>
      <c r="AN696" s="597"/>
      <c r="AW696" s="14"/>
    </row>
    <row r="697" spans="1:51" s="550" customFormat="1" ht="28.5" customHeight="1">
      <c r="B697" s="536"/>
      <c r="C697" s="940"/>
      <c r="D697" s="536"/>
      <c r="E697" s="2499"/>
      <c r="F697" s="2499"/>
      <c r="G697" s="2499"/>
      <c r="H697" s="2499"/>
      <c r="I697" s="2499"/>
      <c r="J697" s="2499"/>
      <c r="K697" s="2499"/>
      <c r="L697" s="2499"/>
      <c r="M697" s="2499"/>
      <c r="N697" s="2499"/>
      <c r="O697" s="2499"/>
      <c r="P697" s="2499"/>
      <c r="Q697" s="2499"/>
      <c r="R697" s="2499"/>
      <c r="S697" s="2499"/>
      <c r="T697" s="2499"/>
      <c r="U697" s="2499"/>
      <c r="V697" s="2499"/>
      <c r="W697" s="2499"/>
      <c r="X697" s="2499"/>
      <c r="Y697" s="2499"/>
      <c r="Z697" s="2499"/>
      <c r="AA697" s="2499"/>
      <c r="AB697" s="2499"/>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1"/>
      <c r="D699" s="663" t="s">
        <v>277</v>
      </c>
      <c r="E699" s="2499" t="s">
        <v>2134</v>
      </c>
      <c r="F699" s="2499"/>
      <c r="G699" s="2499"/>
      <c r="H699" s="2499"/>
      <c r="I699" s="2499"/>
      <c r="J699" s="2499"/>
      <c r="K699" s="2499"/>
      <c r="L699" s="2499"/>
      <c r="M699" s="2499"/>
      <c r="N699" s="2499"/>
      <c r="O699" s="2499"/>
      <c r="P699" s="2499"/>
      <c r="Q699" s="2499"/>
      <c r="R699" s="2499"/>
      <c r="S699" s="2499"/>
      <c r="T699" s="2499"/>
      <c r="U699" s="2499"/>
      <c r="V699" s="2499"/>
      <c r="W699" s="2499"/>
      <c r="X699" s="2499"/>
      <c r="Y699" s="2499"/>
      <c r="Z699" s="2499"/>
      <c r="AA699" s="2499"/>
      <c r="AB699" s="2499"/>
      <c r="AC699" s="536"/>
      <c r="AD699" s="536"/>
      <c r="AE699" s="536"/>
      <c r="AF699" s="2444" t="s">
        <v>1408</v>
      </c>
      <c r="AG699" s="2444"/>
      <c r="AH699" s="2444"/>
      <c r="AI699" s="2444"/>
      <c r="AJ699" s="2444"/>
      <c r="AK699" s="2444"/>
      <c r="AL699" s="2444"/>
      <c r="AN699" s="597"/>
      <c r="AO699" s="611" t="s">
        <v>509</v>
      </c>
      <c r="AP699" s="550">
        <v>1</v>
      </c>
    </row>
    <row r="700" spans="1:51" s="550" customFormat="1" ht="12" customHeight="1">
      <c r="B700" s="536"/>
      <c r="C700" s="931"/>
      <c r="E700" s="2499"/>
      <c r="F700" s="2499"/>
      <c r="G700" s="2499"/>
      <c r="H700" s="2499"/>
      <c r="I700" s="2499"/>
      <c r="J700" s="2499"/>
      <c r="K700" s="2499"/>
      <c r="L700" s="2499"/>
      <c r="M700" s="2499"/>
      <c r="N700" s="2499"/>
      <c r="O700" s="2499"/>
      <c r="P700" s="2499"/>
      <c r="Q700" s="2499"/>
      <c r="R700" s="2499"/>
      <c r="S700" s="2499"/>
      <c r="T700" s="2499"/>
      <c r="U700" s="2499"/>
      <c r="V700" s="2499"/>
      <c r="W700" s="2499"/>
      <c r="X700" s="2499"/>
      <c r="Y700" s="2499"/>
      <c r="Z700" s="2499"/>
      <c r="AA700" s="2499"/>
      <c r="AB700" s="2499"/>
      <c r="AC700" s="536"/>
      <c r="AD700" s="536"/>
      <c r="AE700" s="616"/>
      <c r="AF700" s="536"/>
      <c r="AG700" s="536"/>
      <c r="AH700" s="536"/>
      <c r="AI700" s="536"/>
      <c r="AJ700" s="536"/>
      <c r="AK700" s="536"/>
      <c r="AL700" s="536"/>
      <c r="AN700" s="597"/>
    </row>
    <row r="701" spans="1:51" s="550" customFormat="1" ht="12" customHeight="1">
      <c r="B701" s="536"/>
      <c r="C701" s="931"/>
      <c r="D701" s="536"/>
      <c r="E701" s="2499"/>
      <c r="F701" s="2499"/>
      <c r="G701" s="2499"/>
      <c r="H701" s="2499"/>
      <c r="I701" s="2499"/>
      <c r="J701" s="2499"/>
      <c r="K701" s="2499"/>
      <c r="L701" s="2499"/>
      <c r="M701" s="2499"/>
      <c r="N701" s="2499"/>
      <c r="O701" s="2499"/>
      <c r="P701" s="2499"/>
      <c r="Q701" s="2499"/>
      <c r="R701" s="2499"/>
      <c r="S701" s="2499"/>
      <c r="T701" s="2499"/>
      <c r="U701" s="2499"/>
      <c r="V701" s="2499"/>
      <c r="W701" s="2499"/>
      <c r="X701" s="2499"/>
      <c r="Y701" s="2499"/>
      <c r="Z701" s="2499"/>
      <c r="AA701" s="2499"/>
      <c r="AB701" s="2499"/>
      <c r="AC701" s="536"/>
      <c r="AD701" s="536"/>
      <c r="AE701" s="616"/>
      <c r="AF701" s="536"/>
      <c r="AG701" s="536"/>
      <c r="AH701" s="536"/>
      <c r="AI701" s="536"/>
      <c r="AJ701" s="536"/>
      <c r="AK701" s="536"/>
      <c r="AL701" s="536"/>
      <c r="AN701" s="597"/>
    </row>
    <row r="702" spans="1:51" s="550" customFormat="1" ht="12" customHeight="1">
      <c r="B702" s="536"/>
      <c r="C702" s="931"/>
      <c r="D702" s="536"/>
      <c r="E702" s="2499"/>
      <c r="F702" s="2499"/>
      <c r="G702" s="2499"/>
      <c r="H702" s="2499"/>
      <c r="I702" s="2499"/>
      <c r="J702" s="2499"/>
      <c r="K702" s="2499"/>
      <c r="L702" s="2499"/>
      <c r="M702" s="2499"/>
      <c r="N702" s="2499"/>
      <c r="O702" s="2499"/>
      <c r="P702" s="2499"/>
      <c r="Q702" s="2499"/>
      <c r="R702" s="2499"/>
      <c r="S702" s="2499"/>
      <c r="T702" s="2499"/>
      <c r="U702" s="2499"/>
      <c r="V702" s="2499"/>
      <c r="W702" s="2499"/>
      <c r="X702" s="2499"/>
      <c r="Y702" s="2499"/>
      <c r="Z702" s="2499"/>
      <c r="AA702" s="2499"/>
      <c r="AB702" s="2499"/>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99"/>
      <c r="F703" s="2499"/>
      <c r="G703" s="2499"/>
      <c r="H703" s="2499"/>
      <c r="I703" s="2499"/>
      <c r="J703" s="2499"/>
      <c r="K703" s="2499"/>
      <c r="L703" s="2499"/>
      <c r="M703" s="2499"/>
      <c r="N703" s="2499"/>
      <c r="O703" s="2499"/>
      <c r="P703" s="2499"/>
      <c r="Q703" s="2499"/>
      <c r="R703" s="2499"/>
      <c r="S703" s="2499"/>
      <c r="T703" s="2499"/>
      <c r="U703" s="2499"/>
      <c r="V703" s="2499"/>
      <c r="W703" s="2499"/>
      <c r="X703" s="2499"/>
      <c r="Y703" s="2499"/>
      <c r="Z703" s="2499"/>
      <c r="AA703" s="2499"/>
      <c r="AB703" s="2499"/>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1"/>
      <c r="D705" s="536"/>
      <c r="E705" s="2499" t="s">
        <v>1693</v>
      </c>
      <c r="F705" s="2499"/>
      <c r="G705" s="2499"/>
      <c r="H705" s="2499"/>
      <c r="I705" s="2499"/>
      <c r="J705" s="2499"/>
      <c r="K705" s="2499"/>
      <c r="L705" s="2499"/>
      <c r="M705" s="2499"/>
      <c r="N705" s="2499"/>
      <c r="O705" s="2499"/>
      <c r="P705" s="2499"/>
      <c r="Q705" s="2499"/>
      <c r="R705" s="2499"/>
      <c r="S705" s="2499"/>
      <c r="T705" s="2499"/>
      <c r="U705" s="2499"/>
      <c r="V705" s="2499"/>
      <c r="W705" s="2499"/>
      <c r="X705" s="2499"/>
      <c r="Y705" s="2499"/>
      <c r="Z705" s="2499"/>
      <c r="AA705" s="2499"/>
      <c r="AB705" s="2499"/>
      <c r="AC705" s="536"/>
      <c r="AD705" s="536"/>
      <c r="AE705" s="616"/>
      <c r="AF705" s="616"/>
      <c r="AG705" s="616"/>
      <c r="AH705" s="616"/>
      <c r="AI705" s="616"/>
      <c r="AJ705" s="536"/>
      <c r="AK705" s="536"/>
      <c r="AL705" s="536"/>
      <c r="AM705" s="550"/>
      <c r="AN705" s="684"/>
      <c r="AO705" s="611" t="s">
        <v>509</v>
      </c>
      <c r="AP705" s="550">
        <f>3*$AO$695</f>
        <v>3</v>
      </c>
    </row>
    <row r="706" spans="1:43" s="570" customFormat="1" ht="12.75" customHeight="1">
      <c r="A706" s="550"/>
      <c r="B706" s="536"/>
      <c r="C706" s="931"/>
      <c r="D706" s="536"/>
      <c r="E706" s="2499"/>
      <c r="F706" s="2499"/>
      <c r="G706" s="2499"/>
      <c r="H706" s="2499"/>
      <c r="I706" s="2499"/>
      <c r="J706" s="2499"/>
      <c r="K706" s="2499"/>
      <c r="L706" s="2499"/>
      <c r="M706" s="2499"/>
      <c r="N706" s="2499"/>
      <c r="O706" s="2499"/>
      <c r="P706" s="2499"/>
      <c r="Q706" s="2499"/>
      <c r="R706" s="2499"/>
      <c r="S706" s="2499"/>
      <c r="T706" s="2499"/>
      <c r="U706" s="2499"/>
      <c r="V706" s="2499"/>
      <c r="W706" s="2499"/>
      <c r="X706" s="2499"/>
      <c r="Y706" s="2499"/>
      <c r="Z706" s="2499"/>
      <c r="AA706" s="2499"/>
      <c r="AB706" s="2499"/>
      <c r="AC706" s="536"/>
      <c r="AD706" s="536"/>
      <c r="AE706" s="616"/>
      <c r="AF706" s="616"/>
      <c r="AG706" s="616"/>
      <c r="AH706" s="616"/>
      <c r="AI706" s="616"/>
      <c r="AJ706" s="536"/>
      <c r="AK706" s="536"/>
      <c r="AL706" s="536"/>
      <c r="AM706" s="550"/>
      <c r="AN706" s="684"/>
      <c r="AO706" s="611" t="s">
        <v>277</v>
      </c>
      <c r="AP706" s="550">
        <f>2*$AO$695</f>
        <v>2</v>
      </c>
    </row>
    <row r="707" spans="1:43" s="570" customFormat="1" ht="12.75" customHeight="1">
      <c r="A707" s="550"/>
      <c r="B707" s="536"/>
      <c r="C707" s="931"/>
      <c r="D707" s="536"/>
      <c r="E707" s="2499"/>
      <c r="F707" s="2499"/>
      <c r="G707" s="2499"/>
      <c r="H707" s="2499"/>
      <c r="I707" s="2499"/>
      <c r="J707" s="2499"/>
      <c r="K707" s="2499"/>
      <c r="L707" s="2499"/>
      <c r="M707" s="2499"/>
      <c r="N707" s="2499"/>
      <c r="O707" s="2499"/>
      <c r="P707" s="2499"/>
      <c r="Q707" s="2499"/>
      <c r="R707" s="2499"/>
      <c r="S707" s="2499"/>
      <c r="T707" s="2499"/>
      <c r="U707" s="2499"/>
      <c r="V707" s="2499"/>
      <c r="W707" s="2499"/>
      <c r="X707" s="2499"/>
      <c r="Y707" s="2499"/>
      <c r="Z707" s="2499"/>
      <c r="AA707" s="2499"/>
      <c r="AB707" s="2499"/>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1400</v>
      </c>
      <c r="E709" s="936"/>
      <c r="F709" s="936"/>
      <c r="G709" s="936"/>
      <c r="H709" s="2528" t="s">
        <v>277</v>
      </c>
      <c r="I709" s="2528"/>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1427</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1405</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2136</v>
      </c>
      <c r="AJ711" s="2479">
        <f>VLOOKUP($H$709,$AO$703:$AP$706,2,FALSE)</f>
        <v>2</v>
      </c>
      <c r="AK711" s="2481"/>
      <c r="AL711" s="595"/>
      <c r="AM711" s="550"/>
      <c r="AN711" s="684"/>
      <c r="AP711" s="570" t="s">
        <v>1412</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1428</v>
      </c>
    </row>
    <row r="713" spans="1:43" s="570" customFormat="1" ht="12.75" customHeight="1">
      <c r="A713" s="550"/>
      <c r="B713" s="536"/>
      <c r="C713" s="539" t="s">
        <v>1429</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1430</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1431</v>
      </c>
    </row>
    <row r="715" spans="1:43" s="570" customFormat="1" ht="12.75" customHeight="1">
      <c r="A715" s="637"/>
      <c r="B715" s="536"/>
      <c r="C715" s="931"/>
      <c r="D715" s="663" t="s">
        <v>687</v>
      </c>
      <c r="E715" s="2536" t="s">
        <v>1695</v>
      </c>
      <c r="F715" s="2536"/>
      <c r="G715" s="2536"/>
      <c r="H715" s="2536"/>
      <c r="I715" s="2536"/>
      <c r="J715" s="2536"/>
      <c r="K715" s="2536"/>
      <c r="L715" s="2536"/>
      <c r="M715" s="2536"/>
      <c r="N715" s="2536"/>
      <c r="O715" s="2536"/>
      <c r="P715" s="2536"/>
      <c r="Q715" s="2536"/>
      <c r="R715" s="2536"/>
      <c r="S715" s="2536"/>
      <c r="T715" s="2536"/>
      <c r="U715" s="2536"/>
      <c r="V715" s="2536"/>
      <c r="W715" s="2536"/>
      <c r="X715" s="2536"/>
      <c r="Y715" s="2536"/>
      <c r="Z715" s="2536"/>
      <c r="AA715" s="2536"/>
      <c r="AB715" s="2536"/>
      <c r="AC715" s="536"/>
      <c r="AD715" s="536"/>
      <c r="AE715" s="536"/>
      <c r="AF715" s="2444" t="s">
        <v>1352</v>
      </c>
      <c r="AG715" s="2444"/>
      <c r="AH715" s="2444"/>
      <c r="AI715" s="2444"/>
      <c r="AJ715" s="2444"/>
      <c r="AK715" s="2444"/>
      <c r="AL715" s="2444"/>
      <c r="AM715" s="550"/>
      <c r="AN715" s="684"/>
      <c r="AP715" s="570" t="s">
        <v>1432</v>
      </c>
    </row>
    <row r="716" spans="1:43" s="570" customFormat="1" ht="11.85" customHeight="1">
      <c r="A716" s="550"/>
      <c r="B716" s="536"/>
      <c r="C716" s="933"/>
      <c r="D716" s="663"/>
      <c r="E716" s="2536"/>
      <c r="F716" s="2536"/>
      <c r="G716" s="2536"/>
      <c r="H716" s="2536"/>
      <c r="I716" s="2536"/>
      <c r="J716" s="2536"/>
      <c r="K716" s="2536"/>
      <c r="L716" s="2536"/>
      <c r="M716" s="2536"/>
      <c r="N716" s="2536"/>
      <c r="O716" s="2536"/>
      <c r="P716" s="2536"/>
      <c r="Q716" s="2536"/>
      <c r="R716" s="2536"/>
      <c r="S716" s="2536"/>
      <c r="T716" s="2536"/>
      <c r="U716" s="2536"/>
      <c r="V716" s="2536"/>
      <c r="W716" s="2536"/>
      <c r="X716" s="2536"/>
      <c r="Y716" s="2536"/>
      <c r="Z716" s="2536"/>
      <c r="AA716" s="2536"/>
      <c r="AB716" s="2536"/>
      <c r="AC716" s="536"/>
      <c r="AD716" s="536"/>
      <c r="AE716" s="536"/>
      <c r="AF716" s="536"/>
      <c r="AG716" s="536"/>
      <c r="AH716" s="536"/>
      <c r="AI716" s="536"/>
      <c r="AJ716" s="536"/>
      <c r="AK716" s="536"/>
      <c r="AL716" s="536"/>
      <c r="AM716" s="550"/>
      <c r="AN716" s="684"/>
      <c r="AP716" s="570" t="s">
        <v>1433</v>
      </c>
    </row>
    <row r="717" spans="1:43" s="570" customFormat="1" ht="14.1" customHeight="1">
      <c r="A717" s="550"/>
      <c r="B717" s="610"/>
      <c r="C717" s="931"/>
      <c r="D717" s="663"/>
      <c r="E717" s="2536"/>
      <c r="F717" s="2536"/>
      <c r="G717" s="2536"/>
      <c r="H717" s="2536"/>
      <c r="I717" s="2536"/>
      <c r="J717" s="2536"/>
      <c r="K717" s="2536"/>
      <c r="L717" s="2536"/>
      <c r="M717" s="2536"/>
      <c r="N717" s="2536"/>
      <c r="O717" s="2536"/>
      <c r="P717" s="2536"/>
      <c r="Q717" s="2536"/>
      <c r="R717" s="2536"/>
      <c r="S717" s="2536"/>
      <c r="T717" s="2536"/>
      <c r="U717" s="2536"/>
      <c r="V717" s="2536"/>
      <c r="W717" s="2536"/>
      <c r="X717" s="2536"/>
      <c r="Y717" s="2536"/>
      <c r="Z717" s="2536"/>
      <c r="AA717" s="2536"/>
      <c r="AB717" s="2536"/>
      <c r="AC717" s="536"/>
      <c r="AD717" s="536"/>
      <c r="AE717" s="616"/>
      <c r="AF717" s="536"/>
      <c r="AG717" s="536"/>
      <c r="AH717" s="536"/>
      <c r="AI717" s="536"/>
      <c r="AJ717" s="536"/>
      <c r="AK717" s="536"/>
      <c r="AL717" s="536"/>
      <c r="AM717" s="550"/>
      <c r="AN717" s="684"/>
      <c r="AP717" s="570" t="s">
        <v>1434</v>
      </c>
    </row>
    <row r="718" spans="1:43" s="570" customFormat="1" ht="14.1"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1436</v>
      </c>
    </row>
    <row r="719" spans="1:43" s="570" customFormat="1" ht="14.1" customHeight="1">
      <c r="A719" s="550"/>
      <c r="B719" s="536"/>
      <c r="C719" s="931"/>
      <c r="D719" s="663" t="s">
        <v>509</v>
      </c>
      <c r="E719" s="2537" t="s">
        <v>1435</v>
      </c>
      <c r="F719" s="2537"/>
      <c r="G719" s="2537"/>
      <c r="H719" s="2537"/>
      <c r="I719" s="2537"/>
      <c r="J719" s="2537"/>
      <c r="K719" s="2537"/>
      <c r="L719" s="2537"/>
      <c r="M719" s="2537"/>
      <c r="N719" s="2537"/>
      <c r="O719" s="2537"/>
      <c r="P719" s="2537"/>
      <c r="Q719" s="2537"/>
      <c r="R719" s="2537"/>
      <c r="S719" s="2537"/>
      <c r="T719" s="2537"/>
      <c r="U719" s="2537"/>
      <c r="V719" s="2537"/>
      <c r="W719" s="2537"/>
      <c r="X719" s="2537"/>
      <c r="Y719" s="2537"/>
      <c r="Z719" s="2537"/>
      <c r="AA719" s="2537"/>
      <c r="AB719" s="2537"/>
      <c r="AC719" s="536"/>
      <c r="AD719" s="536"/>
      <c r="AE719" s="536"/>
      <c r="AF719" s="2444" t="s">
        <v>1408</v>
      </c>
      <c r="AG719" s="2444"/>
      <c r="AH719" s="2444"/>
      <c r="AI719" s="2444"/>
      <c r="AJ719" s="2444"/>
      <c r="AK719" s="2444"/>
      <c r="AL719" s="2444"/>
      <c r="AM719" s="550"/>
      <c r="AN719" s="685"/>
    </row>
    <row r="720" spans="1:43" s="570" customFormat="1" ht="12.75" customHeight="1">
      <c r="A720" s="550"/>
      <c r="B720" s="536"/>
      <c r="C720" s="933"/>
      <c r="D720" s="536"/>
      <c r="E720" s="2537"/>
      <c r="F720" s="2537"/>
      <c r="G720" s="2537"/>
      <c r="H720" s="2537"/>
      <c r="I720" s="2537"/>
      <c r="J720" s="2537"/>
      <c r="K720" s="2537"/>
      <c r="L720" s="2537"/>
      <c r="M720" s="2537"/>
      <c r="N720" s="2537"/>
      <c r="O720" s="2537"/>
      <c r="P720" s="2537"/>
      <c r="Q720" s="2537"/>
      <c r="R720" s="2537"/>
      <c r="S720" s="2537"/>
      <c r="T720" s="2537"/>
      <c r="U720" s="2537"/>
      <c r="V720" s="2537"/>
      <c r="W720" s="2537"/>
      <c r="X720" s="2537"/>
      <c r="Y720" s="2537"/>
      <c r="Z720" s="2537"/>
      <c r="AA720" s="2537"/>
      <c r="AB720" s="2537"/>
      <c r="AC720" s="536"/>
      <c r="AD720" s="536"/>
      <c r="AE720" s="536"/>
      <c r="AF720" s="536"/>
      <c r="AG720" s="536"/>
      <c r="AH720" s="536"/>
      <c r="AI720" s="536"/>
      <c r="AJ720" s="536"/>
      <c r="AK720" s="536"/>
      <c r="AL720" s="536"/>
      <c r="AM720" s="550"/>
      <c r="AN720" s="684"/>
      <c r="AP720" s="550" t="s">
        <v>591</v>
      </c>
      <c r="AQ720" s="673">
        <v>0</v>
      </c>
    </row>
    <row r="721" spans="1:81" s="570" customFormat="1" ht="14.1" customHeight="1">
      <c r="A721" s="550"/>
      <c r="B721" s="536"/>
      <c r="C721" s="933"/>
      <c r="D721" s="536"/>
      <c r="E721" s="2537"/>
      <c r="F721" s="2537"/>
      <c r="G721" s="2537"/>
      <c r="H721" s="2537"/>
      <c r="I721" s="2537"/>
      <c r="J721" s="2537"/>
      <c r="K721" s="2537"/>
      <c r="L721" s="2537"/>
      <c r="M721" s="2537"/>
      <c r="N721" s="2537"/>
      <c r="O721" s="2537"/>
      <c r="P721" s="2537"/>
      <c r="Q721" s="2537"/>
      <c r="R721" s="2537"/>
      <c r="S721" s="2537"/>
      <c r="T721" s="2537"/>
      <c r="U721" s="2537"/>
      <c r="V721" s="2537"/>
      <c r="W721" s="2537"/>
      <c r="X721" s="2537"/>
      <c r="Y721" s="2537"/>
      <c r="Z721" s="2537"/>
      <c r="AA721" s="2537"/>
      <c r="AB721" s="2537"/>
      <c r="AC721" s="536"/>
      <c r="AD721" s="536"/>
      <c r="AE721" s="536"/>
      <c r="AF721" s="536"/>
      <c r="AG721" s="536"/>
      <c r="AH721" s="536"/>
      <c r="AI721" s="536"/>
      <c r="AJ721" s="536"/>
      <c r="AK721" s="536"/>
      <c r="AL721" s="536"/>
      <c r="AM721" s="550"/>
      <c r="AN721" s="684"/>
      <c r="AP721" s="611" t="s">
        <v>687</v>
      </c>
      <c r="AQ721" s="550">
        <v>3</v>
      </c>
    </row>
    <row r="722" spans="1:81" s="570" customFormat="1" ht="14.1"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4.1" customHeight="1">
      <c r="A723" s="550"/>
      <c r="B723" s="536"/>
      <c r="C723" s="933"/>
      <c r="D723" s="536" t="s">
        <v>1400</v>
      </c>
      <c r="E723" s="936"/>
      <c r="F723" s="936"/>
      <c r="G723" s="936"/>
      <c r="H723" s="2528" t="s">
        <v>591</v>
      </c>
      <c r="I723" s="2528"/>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1437</v>
      </c>
      <c r="AJ725" s="2479">
        <f>VLOOKUP($H$723,$AP$720:$AQ$722,2,FALSE)</f>
        <v>0</v>
      </c>
      <c r="AK725" s="2481"/>
      <c r="AL725" s="595"/>
      <c r="AM725" s="550"/>
      <c r="AN725" s="684"/>
      <c r="AP725" s="2479"/>
      <c r="AQ725" s="2481"/>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1438</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687</v>
      </c>
      <c r="E729" s="2499" t="s">
        <v>1696</v>
      </c>
      <c r="F729" s="2499"/>
      <c r="G729" s="2499"/>
      <c r="H729" s="2499"/>
      <c r="I729" s="2499"/>
      <c r="J729" s="2499"/>
      <c r="K729" s="2499"/>
      <c r="L729" s="2499"/>
      <c r="M729" s="2499"/>
      <c r="N729" s="2499"/>
      <c r="O729" s="2499"/>
      <c r="P729" s="2499"/>
      <c r="Q729" s="2499"/>
      <c r="R729" s="2499"/>
      <c r="S729" s="2499"/>
      <c r="T729" s="2499"/>
      <c r="U729" s="2499"/>
      <c r="V729" s="2499"/>
      <c r="W729" s="2499"/>
      <c r="X729" s="2499"/>
      <c r="Y729" s="2499"/>
      <c r="Z729" s="2499"/>
      <c r="AA729" s="2499"/>
      <c r="AB729" s="2499"/>
      <c r="AC729" s="536"/>
      <c r="AD729" s="536"/>
      <c r="AE729" s="536"/>
      <c r="AF729" s="2444" t="s">
        <v>1352</v>
      </c>
      <c r="AG729" s="2444"/>
      <c r="AH729" s="2444"/>
      <c r="AI729" s="2444"/>
      <c r="AJ729" s="2444"/>
      <c r="AK729" s="2444"/>
      <c r="AL729" s="2444"/>
      <c r="AM729" s="550"/>
      <c r="AN729" s="684"/>
      <c r="AT729" s="14"/>
      <c r="AU729" s="14"/>
      <c r="AV729" s="14"/>
      <c r="AW729" s="14"/>
      <c r="AX729" s="14"/>
      <c r="AY729" s="14"/>
      <c r="AZ729" s="14"/>
    </row>
    <row r="730" spans="1:81" s="570" customFormat="1">
      <c r="A730" s="550"/>
      <c r="B730" s="536"/>
      <c r="C730" s="933"/>
      <c r="D730" s="663"/>
      <c r="E730" s="2499"/>
      <c r="F730" s="2499"/>
      <c r="G730" s="2499"/>
      <c r="H730" s="2499"/>
      <c r="I730" s="2499"/>
      <c r="J730" s="2499"/>
      <c r="K730" s="2499"/>
      <c r="L730" s="2499"/>
      <c r="M730" s="2499"/>
      <c r="N730" s="2499"/>
      <c r="O730" s="2499"/>
      <c r="P730" s="2499"/>
      <c r="Q730" s="2499"/>
      <c r="R730" s="2499"/>
      <c r="S730" s="2499"/>
      <c r="T730" s="2499"/>
      <c r="U730" s="2499"/>
      <c r="V730" s="2499"/>
      <c r="W730" s="2499"/>
      <c r="X730" s="2499"/>
      <c r="Y730" s="2499"/>
      <c r="Z730" s="2499"/>
      <c r="AA730" s="2499"/>
      <c r="AB730" s="2499"/>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499" t="s">
        <v>1439</v>
      </c>
      <c r="F732" s="2499"/>
      <c r="G732" s="2499"/>
      <c r="H732" s="2499"/>
      <c r="I732" s="2499"/>
      <c r="J732" s="2499"/>
      <c r="K732" s="2499"/>
      <c r="L732" s="2499"/>
      <c r="M732" s="2499"/>
      <c r="N732" s="2499"/>
      <c r="O732" s="2499"/>
      <c r="P732" s="2499"/>
      <c r="Q732" s="2499"/>
      <c r="R732" s="2499"/>
      <c r="S732" s="2499"/>
      <c r="T732" s="2499"/>
      <c r="U732" s="2499"/>
      <c r="V732" s="2499"/>
      <c r="W732" s="2499"/>
      <c r="X732" s="2499"/>
      <c r="Y732" s="2499"/>
      <c r="Z732" s="2499"/>
      <c r="AA732" s="2499"/>
      <c r="AB732" s="2499"/>
      <c r="AC732" s="536"/>
      <c r="AD732" s="536"/>
      <c r="AE732" s="536"/>
      <c r="AF732" s="2444" t="s">
        <v>1408</v>
      </c>
      <c r="AG732" s="2444"/>
      <c r="AH732" s="2444"/>
      <c r="AI732" s="2444"/>
      <c r="AJ732" s="2444"/>
      <c r="AK732" s="2444"/>
      <c r="AL732" s="2444"/>
      <c r="AM732" s="550"/>
      <c r="AN732" s="684"/>
      <c r="AT732" s="14"/>
      <c r="AU732" s="14"/>
      <c r="AV732" s="14"/>
      <c r="AW732" s="14"/>
      <c r="AX732" s="14"/>
      <c r="AY732" s="14"/>
      <c r="AZ732" s="14"/>
    </row>
    <row r="733" spans="1:81" s="570" customFormat="1">
      <c r="A733" s="550"/>
      <c r="B733" s="536"/>
      <c r="C733" s="933"/>
      <c r="D733" s="536"/>
      <c r="E733" s="2499"/>
      <c r="F733" s="2499"/>
      <c r="G733" s="2499"/>
      <c r="H733" s="2499"/>
      <c r="I733" s="2499"/>
      <c r="J733" s="2499"/>
      <c r="K733" s="2499"/>
      <c r="L733" s="2499"/>
      <c r="M733" s="2499"/>
      <c r="N733" s="2499"/>
      <c r="O733" s="2499"/>
      <c r="P733" s="2499"/>
      <c r="Q733" s="2499"/>
      <c r="R733" s="2499"/>
      <c r="S733" s="2499"/>
      <c r="T733" s="2499"/>
      <c r="U733" s="2499"/>
      <c r="V733" s="2499"/>
      <c r="W733" s="2499"/>
      <c r="X733" s="2499"/>
      <c r="Y733" s="2499"/>
      <c r="Z733" s="2499"/>
      <c r="AA733" s="2499"/>
      <c r="AB733" s="2499"/>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1400</v>
      </c>
      <c r="E735" s="936"/>
      <c r="F735" s="936"/>
      <c r="G735" s="936"/>
      <c r="H735" s="2528" t="s">
        <v>591</v>
      </c>
      <c r="I735" s="2528"/>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1440</v>
      </c>
      <c r="AJ737" s="2479">
        <f>VLOOKUP($H$735,$AO$666:$AP$668,2,FALSE)</f>
        <v>0</v>
      </c>
      <c r="AK737" s="2481"/>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1441</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687</v>
      </c>
      <c r="E741" s="2499" t="s">
        <v>1442</v>
      </c>
      <c r="F741" s="2499"/>
      <c r="G741" s="2499"/>
      <c r="H741" s="2499"/>
      <c r="I741" s="2499"/>
      <c r="J741" s="2499"/>
      <c r="K741" s="2499"/>
      <c r="L741" s="2499"/>
      <c r="M741" s="2499"/>
      <c r="N741" s="2499"/>
      <c r="O741" s="2499"/>
      <c r="P741" s="2499"/>
      <c r="Q741" s="2499"/>
      <c r="R741" s="2499"/>
      <c r="S741" s="2499"/>
      <c r="T741" s="2499"/>
      <c r="U741" s="2499"/>
      <c r="V741" s="2499"/>
      <c r="W741" s="2499"/>
      <c r="X741" s="2499"/>
      <c r="Y741" s="2499"/>
      <c r="Z741" s="2499"/>
      <c r="AA741" s="2499"/>
      <c r="AB741" s="2499"/>
      <c r="AC741" s="536"/>
      <c r="AD741" s="536"/>
      <c r="AE741" s="536"/>
      <c r="AF741" s="2444" t="s">
        <v>1352</v>
      </c>
      <c r="AG741" s="2444"/>
      <c r="AH741" s="2444"/>
      <c r="AI741" s="2444"/>
      <c r="AJ741" s="2444"/>
      <c r="AK741" s="2444"/>
      <c r="AL741" s="2444"/>
      <c r="AM741" s="550"/>
      <c r="AN741" s="684"/>
      <c r="AT741" s="14"/>
      <c r="AU741" s="14"/>
      <c r="AV741" s="14"/>
      <c r="AW741" s="14"/>
      <c r="AX741" s="14"/>
      <c r="AY741" s="14"/>
      <c r="AZ741" s="14"/>
    </row>
    <row r="742" spans="1:81" s="570" customFormat="1">
      <c r="A742" s="550"/>
      <c r="B742" s="536"/>
      <c r="C742" s="931"/>
      <c r="D742" s="663"/>
      <c r="E742" s="2499"/>
      <c r="F742" s="2499"/>
      <c r="G742" s="2499"/>
      <c r="H742" s="2499"/>
      <c r="I742" s="2499"/>
      <c r="J742" s="2499"/>
      <c r="K742" s="2499"/>
      <c r="L742" s="2499"/>
      <c r="M742" s="2499"/>
      <c r="N742" s="2499"/>
      <c r="O742" s="2499"/>
      <c r="P742" s="2499"/>
      <c r="Q742" s="2499"/>
      <c r="R742" s="2499"/>
      <c r="S742" s="2499"/>
      <c r="T742" s="2499"/>
      <c r="U742" s="2499"/>
      <c r="V742" s="2499"/>
      <c r="W742" s="2499"/>
      <c r="X742" s="2499"/>
      <c r="Y742" s="2499"/>
      <c r="Z742" s="2499"/>
      <c r="AA742" s="2499"/>
      <c r="AB742" s="2499"/>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99"/>
      <c r="F743" s="2499"/>
      <c r="G743" s="2499"/>
      <c r="H743" s="2499"/>
      <c r="I743" s="2499"/>
      <c r="J743" s="2499"/>
      <c r="K743" s="2499"/>
      <c r="L743" s="2499"/>
      <c r="M743" s="2499"/>
      <c r="N743" s="2499"/>
      <c r="O743" s="2499"/>
      <c r="P743" s="2499"/>
      <c r="Q743" s="2499"/>
      <c r="R743" s="2499"/>
      <c r="S743" s="2499"/>
      <c r="T743" s="2499"/>
      <c r="U743" s="2499"/>
      <c r="V743" s="2499"/>
      <c r="W743" s="2499"/>
      <c r="X743" s="2499"/>
      <c r="Y743" s="2499"/>
      <c r="Z743" s="2499"/>
      <c r="AA743" s="2499"/>
      <c r="AB743" s="2499"/>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99"/>
      <c r="F744" s="2499"/>
      <c r="G744" s="2499"/>
      <c r="H744" s="2499"/>
      <c r="I744" s="2499"/>
      <c r="J744" s="2499"/>
      <c r="K744" s="2499"/>
      <c r="L744" s="2499"/>
      <c r="M744" s="2499"/>
      <c r="N744" s="2499"/>
      <c r="O744" s="2499"/>
      <c r="P744" s="2499"/>
      <c r="Q744" s="2499"/>
      <c r="R744" s="2499"/>
      <c r="S744" s="2499"/>
      <c r="T744" s="2499"/>
      <c r="U744" s="2499"/>
      <c r="V744" s="2499"/>
      <c r="W744" s="2499"/>
      <c r="X744" s="2499"/>
      <c r="Y744" s="2499"/>
      <c r="Z744" s="2499"/>
      <c r="AA744" s="2499"/>
      <c r="AB744" s="2499"/>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509</v>
      </c>
      <c r="E746" s="2499" t="s">
        <v>1443</v>
      </c>
      <c r="F746" s="2499"/>
      <c r="G746" s="2499"/>
      <c r="H746" s="2499"/>
      <c r="I746" s="2499"/>
      <c r="J746" s="2499"/>
      <c r="K746" s="2499"/>
      <c r="L746" s="2499"/>
      <c r="M746" s="2499"/>
      <c r="N746" s="2499"/>
      <c r="O746" s="2499"/>
      <c r="P746" s="2499"/>
      <c r="Q746" s="2499"/>
      <c r="R746" s="2499"/>
      <c r="S746" s="2499"/>
      <c r="T746" s="2499"/>
      <c r="U746" s="2499"/>
      <c r="V746" s="2499"/>
      <c r="W746" s="2499"/>
      <c r="X746" s="2499"/>
      <c r="Y746" s="2499"/>
      <c r="Z746" s="2499"/>
      <c r="AA746" s="2499"/>
      <c r="AB746" s="575"/>
      <c r="AC746" s="536"/>
      <c r="AD746" s="536"/>
      <c r="AE746" s="536"/>
      <c r="AF746" s="2444" t="s">
        <v>1408</v>
      </c>
      <c r="AG746" s="2444"/>
      <c r="AH746" s="2444"/>
      <c r="AI746" s="2444"/>
      <c r="AJ746" s="2444"/>
      <c r="AK746" s="2444"/>
      <c r="AL746" s="2444"/>
      <c r="AM746" s="550"/>
      <c r="AN746" s="684"/>
      <c r="AO746" s="30"/>
      <c r="AP746" s="14"/>
    </row>
    <row r="747" spans="1:81" s="570" customFormat="1">
      <c r="A747" s="550"/>
      <c r="B747" s="536"/>
      <c r="C747" s="931"/>
      <c r="D747" s="663"/>
      <c r="E747" s="2499"/>
      <c r="F747" s="2499"/>
      <c r="G747" s="2499"/>
      <c r="H747" s="2499"/>
      <c r="I747" s="2499"/>
      <c r="J747" s="2499"/>
      <c r="K747" s="2499"/>
      <c r="L747" s="2499"/>
      <c r="M747" s="2499"/>
      <c r="N747" s="2499"/>
      <c r="O747" s="2499"/>
      <c r="P747" s="2499"/>
      <c r="Q747" s="2499"/>
      <c r="R747" s="2499"/>
      <c r="S747" s="2499"/>
      <c r="T747" s="2499"/>
      <c r="U747" s="2499"/>
      <c r="V747" s="2499"/>
      <c r="W747" s="2499"/>
      <c r="X747" s="2499"/>
      <c r="Y747" s="2499"/>
      <c r="Z747" s="2499"/>
      <c r="AA747" s="2499"/>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99"/>
      <c r="F748" s="2499"/>
      <c r="G748" s="2499"/>
      <c r="H748" s="2499"/>
      <c r="I748" s="2499"/>
      <c r="J748" s="2499"/>
      <c r="K748" s="2499"/>
      <c r="L748" s="2499"/>
      <c r="M748" s="2499"/>
      <c r="N748" s="2499"/>
      <c r="O748" s="2499"/>
      <c r="P748" s="2499"/>
      <c r="Q748" s="2499"/>
      <c r="R748" s="2499"/>
      <c r="S748" s="2499"/>
      <c r="T748" s="2499"/>
      <c r="U748" s="2499"/>
      <c r="V748" s="2499"/>
      <c r="W748" s="2499"/>
      <c r="X748" s="2499"/>
      <c r="Y748" s="2499"/>
      <c r="Z748" s="2499"/>
      <c r="AA748" s="2499"/>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99"/>
      <c r="F749" s="2499"/>
      <c r="G749" s="2499"/>
      <c r="H749" s="2499"/>
      <c r="I749" s="2499"/>
      <c r="J749" s="2499"/>
      <c r="K749" s="2499"/>
      <c r="L749" s="2499"/>
      <c r="M749" s="2499"/>
      <c r="N749" s="2499"/>
      <c r="O749" s="2499"/>
      <c r="P749" s="2499"/>
      <c r="Q749" s="2499"/>
      <c r="R749" s="2499"/>
      <c r="S749" s="2499"/>
      <c r="T749" s="2499"/>
      <c r="U749" s="2499"/>
      <c r="V749" s="2499"/>
      <c r="W749" s="2499"/>
      <c r="X749" s="2499"/>
      <c r="Y749" s="2499"/>
      <c r="Z749" s="2499"/>
      <c r="AA749" s="2499"/>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1400</v>
      </c>
      <c r="E751" s="936"/>
      <c r="F751" s="936"/>
      <c r="G751" s="936"/>
      <c r="H751" s="2528" t="s">
        <v>509</v>
      </c>
      <c r="I751" s="2528"/>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1444</v>
      </c>
      <c r="AJ753" s="2479">
        <f>VLOOKUP($H$751,$AO$680:$AP$682,2,FALSE)</f>
        <v>2</v>
      </c>
      <c r="AK753" s="2481"/>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1434</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687</v>
      </c>
      <c r="E757" s="2499" t="s">
        <v>1445</v>
      </c>
      <c r="F757" s="2499"/>
      <c r="G757" s="2499"/>
      <c r="H757" s="2499"/>
      <c r="I757" s="2499"/>
      <c r="J757" s="2499"/>
      <c r="K757" s="2499"/>
      <c r="L757" s="2499"/>
      <c r="M757" s="2499"/>
      <c r="N757" s="2499"/>
      <c r="O757" s="2499"/>
      <c r="P757" s="2499"/>
      <c r="Q757" s="2499"/>
      <c r="R757" s="2499"/>
      <c r="S757" s="2499"/>
      <c r="T757" s="2499"/>
      <c r="U757" s="2499"/>
      <c r="V757" s="2499"/>
      <c r="W757" s="2499"/>
      <c r="X757" s="2499"/>
      <c r="Y757" s="2499"/>
      <c r="Z757" s="2499"/>
      <c r="AA757" s="2499"/>
      <c r="AB757" s="2499"/>
      <c r="AC757" s="536"/>
      <c r="AD757" s="536"/>
      <c r="AE757" s="536"/>
      <c r="AF757" s="2444" t="s">
        <v>1408</v>
      </c>
      <c r="AG757" s="2444"/>
      <c r="AH757" s="2444"/>
      <c r="AI757" s="2444"/>
      <c r="AJ757" s="2444"/>
      <c r="AK757" s="2444"/>
      <c r="AL757" s="2444"/>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99"/>
      <c r="F758" s="2499"/>
      <c r="G758" s="2499"/>
      <c r="H758" s="2499"/>
      <c r="I758" s="2499"/>
      <c r="J758" s="2499"/>
      <c r="K758" s="2499"/>
      <c r="L758" s="2499"/>
      <c r="M758" s="2499"/>
      <c r="N758" s="2499"/>
      <c r="O758" s="2499"/>
      <c r="P758" s="2499"/>
      <c r="Q758" s="2499"/>
      <c r="R758" s="2499"/>
      <c r="S758" s="2499"/>
      <c r="T758" s="2499"/>
      <c r="U758" s="2499"/>
      <c r="V758" s="2499"/>
      <c r="W758" s="2499"/>
      <c r="X758" s="2499"/>
      <c r="Y758" s="2499"/>
      <c r="Z758" s="2499"/>
      <c r="AA758" s="2499"/>
      <c r="AB758" s="2499"/>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509</v>
      </c>
      <c r="E760" s="2499" t="s">
        <v>1446</v>
      </c>
      <c r="F760" s="2499"/>
      <c r="G760" s="2499"/>
      <c r="H760" s="2499"/>
      <c r="I760" s="2499"/>
      <c r="J760" s="2499"/>
      <c r="K760" s="2499"/>
      <c r="L760" s="2499"/>
      <c r="M760" s="2499"/>
      <c r="N760" s="2499"/>
      <c r="O760" s="2499"/>
      <c r="P760" s="2499"/>
      <c r="Q760" s="2499"/>
      <c r="R760" s="2499"/>
      <c r="S760" s="2499"/>
      <c r="T760" s="2499"/>
      <c r="U760" s="2499"/>
      <c r="V760" s="2499"/>
      <c r="W760" s="2499"/>
      <c r="X760" s="2499"/>
      <c r="Y760" s="2499"/>
      <c r="Z760" s="2499"/>
      <c r="AA760" s="2499"/>
      <c r="AB760" s="2499"/>
      <c r="AC760" s="536"/>
      <c r="AD760" s="536"/>
      <c r="AE760" s="536"/>
      <c r="AF760" s="2444" t="s">
        <v>1425</v>
      </c>
      <c r="AG760" s="2444"/>
      <c r="AH760" s="2444"/>
      <c r="AI760" s="2444"/>
      <c r="AJ760" s="2444"/>
      <c r="AK760" s="2444"/>
      <c r="AL760" s="2444"/>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99"/>
      <c r="F761" s="2499"/>
      <c r="G761" s="2499"/>
      <c r="H761" s="2499"/>
      <c r="I761" s="2499"/>
      <c r="J761" s="2499"/>
      <c r="K761" s="2499"/>
      <c r="L761" s="2499"/>
      <c r="M761" s="2499"/>
      <c r="N761" s="2499"/>
      <c r="O761" s="2499"/>
      <c r="P761" s="2499"/>
      <c r="Q761" s="2499"/>
      <c r="R761" s="2499"/>
      <c r="S761" s="2499"/>
      <c r="T761" s="2499"/>
      <c r="U761" s="2499"/>
      <c r="V761" s="2499"/>
      <c r="W761" s="2499"/>
      <c r="X761" s="2499"/>
      <c r="Y761" s="2499"/>
      <c r="Z761" s="2499"/>
      <c r="AA761" s="2499"/>
      <c r="AB761" s="2499"/>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1400</v>
      </c>
      <c r="E763" s="936"/>
      <c r="F763" s="936"/>
      <c r="G763" s="936"/>
      <c r="H763" s="2528" t="s">
        <v>687</v>
      </c>
      <c r="I763" s="2528"/>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4.1"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1447</v>
      </c>
      <c r="AJ765" s="2479">
        <f>VLOOKUP($H$763,$AO$697:$AP$699,2,FALSE)</f>
        <v>2</v>
      </c>
      <c r="AK765" s="2481"/>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1436</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687</v>
      </c>
      <c r="E769" s="2499" t="s">
        <v>1692</v>
      </c>
      <c r="F769" s="2499"/>
      <c r="G769" s="2499"/>
      <c r="H769" s="2499"/>
      <c r="I769" s="2499"/>
      <c r="J769" s="2499"/>
      <c r="K769" s="2499"/>
      <c r="L769" s="2499"/>
      <c r="M769" s="2499"/>
      <c r="N769" s="2499"/>
      <c r="O769" s="2499"/>
      <c r="P769" s="2499"/>
      <c r="Q769" s="2499"/>
      <c r="R769" s="2499"/>
      <c r="S769" s="2499"/>
      <c r="T769" s="2499"/>
      <c r="U769" s="2499"/>
      <c r="V769" s="2499"/>
      <c r="W769" s="2499"/>
      <c r="X769" s="2499"/>
      <c r="Y769" s="2499"/>
      <c r="Z769" s="2499"/>
      <c r="AA769" s="2499"/>
      <c r="AB769" s="2499"/>
      <c r="AC769" s="2499"/>
      <c r="AD769" s="2499"/>
      <c r="AE769" s="536"/>
      <c r="AF769" s="2444" t="s">
        <v>1408</v>
      </c>
      <c r="AG769" s="2444"/>
      <c r="AH769" s="2444"/>
      <c r="AI769" s="2444"/>
      <c r="AJ769" s="2444"/>
      <c r="AK769" s="2444"/>
      <c r="AL769" s="2444"/>
      <c r="AM769" s="613"/>
      <c r="AN769" s="684"/>
      <c r="AO769" s="550" t="s">
        <v>591</v>
      </c>
      <c r="AP769" s="673">
        <v>0</v>
      </c>
    </row>
    <row r="770" spans="1:81" s="570" customFormat="1" ht="13.7" customHeight="1">
      <c r="A770" s="550"/>
      <c r="B770" s="616"/>
      <c r="C770" s="940"/>
      <c r="D770" s="663"/>
      <c r="E770" s="2499"/>
      <c r="F770" s="2499"/>
      <c r="G770" s="2499"/>
      <c r="H770" s="2499"/>
      <c r="I770" s="2499"/>
      <c r="J770" s="2499"/>
      <c r="K770" s="2499"/>
      <c r="L770" s="2499"/>
      <c r="M770" s="2499"/>
      <c r="N770" s="2499"/>
      <c r="O770" s="2499"/>
      <c r="P770" s="2499"/>
      <c r="Q770" s="2499"/>
      <c r="R770" s="2499"/>
      <c r="S770" s="2499"/>
      <c r="T770" s="2499"/>
      <c r="U770" s="2499"/>
      <c r="V770" s="2499"/>
      <c r="W770" s="2499"/>
      <c r="X770" s="2499"/>
      <c r="Y770" s="2499"/>
      <c r="Z770" s="2499"/>
      <c r="AA770" s="2499"/>
      <c r="AB770" s="2499"/>
      <c r="AC770" s="2499"/>
      <c r="AD770" s="2499"/>
      <c r="AE770" s="536"/>
      <c r="AF770" s="594"/>
      <c r="AG770" s="594"/>
      <c r="AH770" s="594"/>
      <c r="AI770" s="594"/>
      <c r="AJ770" s="594"/>
      <c r="AK770" s="594"/>
      <c r="AL770" s="594"/>
      <c r="AM770" s="613"/>
      <c r="AN770" s="684"/>
      <c r="AO770" s="611" t="s">
        <v>687</v>
      </c>
      <c r="AP770" s="550">
        <v>2</v>
      </c>
    </row>
    <row r="771" spans="1:81" s="570" customFormat="1">
      <c r="A771" s="550"/>
      <c r="B771" s="616"/>
      <c r="C771" s="940"/>
      <c r="D771" s="663"/>
      <c r="E771" s="2499"/>
      <c r="F771" s="2499"/>
      <c r="G771" s="2499"/>
      <c r="H771" s="2499"/>
      <c r="I771" s="2499"/>
      <c r="J771" s="2499"/>
      <c r="K771" s="2499"/>
      <c r="L771" s="2499"/>
      <c r="M771" s="2499"/>
      <c r="N771" s="2499"/>
      <c r="O771" s="2499"/>
      <c r="P771" s="2499"/>
      <c r="Q771" s="2499"/>
      <c r="R771" s="2499"/>
      <c r="S771" s="2499"/>
      <c r="T771" s="2499"/>
      <c r="U771" s="2499"/>
      <c r="V771" s="2499"/>
      <c r="W771" s="2499"/>
      <c r="X771" s="2499"/>
      <c r="Y771" s="2499"/>
      <c r="Z771" s="2499"/>
      <c r="AA771" s="2499"/>
      <c r="AB771" s="2499"/>
      <c r="AC771" s="2499"/>
      <c r="AD771" s="2499"/>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99"/>
      <c r="F772" s="2499"/>
      <c r="G772" s="2499"/>
      <c r="H772" s="2499"/>
      <c r="I772" s="2499"/>
      <c r="J772" s="2499"/>
      <c r="K772" s="2499"/>
      <c r="L772" s="2499"/>
      <c r="M772" s="2499"/>
      <c r="N772" s="2499"/>
      <c r="O772" s="2499"/>
      <c r="P772" s="2499"/>
      <c r="Q772" s="2499"/>
      <c r="R772" s="2499"/>
      <c r="S772" s="2499"/>
      <c r="T772" s="2499"/>
      <c r="U772" s="2499"/>
      <c r="V772" s="2499"/>
      <c r="W772" s="2499"/>
      <c r="X772" s="2499"/>
      <c r="Y772" s="2499"/>
      <c r="Z772" s="2499"/>
      <c r="AA772" s="2499"/>
      <c r="AB772" s="2499"/>
      <c r="AC772" s="2499"/>
      <c r="AD772" s="2499"/>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38" t="s">
        <v>1697</v>
      </c>
      <c r="F774" s="2538"/>
      <c r="G774" s="2538"/>
      <c r="H774" s="2538"/>
      <c r="I774" s="2538"/>
      <c r="J774" s="2538"/>
      <c r="K774" s="2538"/>
      <c r="L774" s="2538"/>
      <c r="M774" s="2538"/>
      <c r="N774" s="2538"/>
      <c r="O774" s="2538"/>
      <c r="P774" s="2538"/>
      <c r="Q774" s="2538"/>
      <c r="R774" s="2538"/>
      <c r="S774" s="2538"/>
      <c r="T774" s="2538"/>
      <c r="U774" s="2538"/>
      <c r="V774" s="2538"/>
      <c r="W774" s="2538"/>
      <c r="X774" s="2538"/>
      <c r="Y774" s="2538"/>
      <c r="Z774" s="2538"/>
      <c r="AA774" s="2538"/>
      <c r="AB774" s="2538"/>
      <c r="AC774" s="2538"/>
      <c r="AD774" s="2538"/>
      <c r="AE774" s="536"/>
      <c r="AF774" s="2444" t="s">
        <v>1352</v>
      </c>
      <c r="AG774" s="2444"/>
      <c r="AH774" s="2444"/>
      <c r="AI774" s="2444"/>
      <c r="AJ774" s="2444"/>
      <c r="AK774" s="2444"/>
      <c r="AL774" s="2444"/>
      <c r="AM774" s="613"/>
      <c r="AN774" s="597"/>
    </row>
    <row r="775" spans="1:81" s="550" customFormat="1" ht="12.75" customHeight="1">
      <c r="B775" s="616"/>
      <c r="C775" s="940"/>
      <c r="D775" s="663"/>
      <c r="E775" s="2538"/>
      <c r="F775" s="2538"/>
      <c r="G775" s="2538"/>
      <c r="H775" s="2538"/>
      <c r="I775" s="2538"/>
      <c r="J775" s="2538"/>
      <c r="K775" s="2538"/>
      <c r="L775" s="2538"/>
      <c r="M775" s="2538"/>
      <c r="N775" s="2538"/>
      <c r="O775" s="2538"/>
      <c r="P775" s="2538"/>
      <c r="Q775" s="2538"/>
      <c r="R775" s="2538"/>
      <c r="S775" s="2538"/>
      <c r="T775" s="2538"/>
      <c r="U775" s="2538"/>
      <c r="V775" s="2538"/>
      <c r="W775" s="2538"/>
      <c r="X775" s="2538"/>
      <c r="Y775" s="2538"/>
      <c r="Z775" s="2538"/>
      <c r="AA775" s="2538"/>
      <c r="AB775" s="2538"/>
      <c r="AC775" s="2538"/>
      <c r="AD775" s="2538"/>
      <c r="AE775" s="594"/>
      <c r="AF775" s="594"/>
      <c r="AG775" s="594"/>
      <c r="AH775" s="594"/>
      <c r="AI775" s="594"/>
      <c r="AJ775" s="594"/>
      <c r="AK775" s="594"/>
      <c r="AL775" s="594"/>
      <c r="AM775" s="613"/>
      <c r="AN775" s="597"/>
    </row>
    <row r="776" spans="1:81" s="550" customFormat="1" ht="12.75" customHeight="1">
      <c r="B776" s="616"/>
      <c r="C776" s="940"/>
      <c r="D776" s="663"/>
      <c r="E776" s="2538"/>
      <c r="F776" s="2538"/>
      <c r="G776" s="2538"/>
      <c r="H776" s="2538"/>
      <c r="I776" s="2538"/>
      <c r="J776" s="2538"/>
      <c r="K776" s="2538"/>
      <c r="L776" s="2538"/>
      <c r="M776" s="2538"/>
      <c r="N776" s="2538"/>
      <c r="O776" s="2538"/>
      <c r="P776" s="2538"/>
      <c r="Q776" s="2538"/>
      <c r="R776" s="2538"/>
      <c r="S776" s="2538"/>
      <c r="T776" s="2538"/>
      <c r="U776" s="2538"/>
      <c r="V776" s="2538"/>
      <c r="W776" s="2538"/>
      <c r="X776" s="2538"/>
      <c r="Y776" s="2538"/>
      <c r="Z776" s="2538"/>
      <c r="AA776" s="2538"/>
      <c r="AB776" s="2538"/>
      <c r="AC776" s="2538"/>
      <c r="AD776" s="2538"/>
      <c r="AE776" s="594"/>
      <c r="AF776" s="594"/>
      <c r="AG776" s="594"/>
      <c r="AH776" s="594"/>
      <c r="AI776" s="594"/>
      <c r="AJ776" s="594"/>
      <c r="AK776" s="594"/>
      <c r="AL776" s="594"/>
      <c r="AM776" s="613"/>
      <c r="AN776" s="597"/>
    </row>
    <row r="777" spans="1:81" s="550" customFormat="1" ht="12.75" customHeight="1">
      <c r="B777" s="616"/>
      <c r="C777" s="940"/>
      <c r="D777" s="663"/>
      <c r="E777" s="2538"/>
      <c r="F777" s="2538"/>
      <c r="G777" s="2538"/>
      <c r="H777" s="2538"/>
      <c r="I777" s="2538"/>
      <c r="J777" s="2538"/>
      <c r="K777" s="2538"/>
      <c r="L777" s="2538"/>
      <c r="M777" s="2538"/>
      <c r="N777" s="2538"/>
      <c r="O777" s="2538"/>
      <c r="P777" s="2538"/>
      <c r="Q777" s="2538"/>
      <c r="R777" s="2538"/>
      <c r="S777" s="2538"/>
      <c r="T777" s="2538"/>
      <c r="U777" s="2538"/>
      <c r="V777" s="2538"/>
      <c r="W777" s="2538"/>
      <c r="X777" s="2538"/>
      <c r="Y777" s="2538"/>
      <c r="Z777" s="2538"/>
      <c r="AA777" s="2538"/>
      <c r="AB777" s="2538"/>
      <c r="AC777" s="2538"/>
      <c r="AD777" s="2538"/>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1400</v>
      </c>
      <c r="E779" s="936"/>
      <c r="F779" s="936"/>
      <c r="G779" s="936"/>
      <c r="H779" s="2528" t="s">
        <v>591</v>
      </c>
      <c r="I779" s="2528"/>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1448</v>
      </c>
      <c r="AJ781" s="2479">
        <f>VLOOKUP($H$779,$AO$769:$AP$771,2,FALSE)</f>
        <v>0</v>
      </c>
      <c r="AK781" s="2481"/>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1449</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687</v>
      </c>
      <c r="E785" s="2499" t="s">
        <v>2032</v>
      </c>
      <c r="F785" s="2499"/>
      <c r="G785" s="2499"/>
      <c r="H785" s="2499"/>
      <c r="I785" s="2499"/>
      <c r="J785" s="2499"/>
      <c r="K785" s="2499"/>
      <c r="L785" s="2499"/>
      <c r="M785" s="2499"/>
      <c r="N785" s="2499"/>
      <c r="O785" s="2499"/>
      <c r="P785" s="2499"/>
      <c r="Q785" s="2499"/>
      <c r="R785" s="2499"/>
      <c r="S785" s="2499"/>
      <c r="T785" s="2499"/>
      <c r="U785" s="2499"/>
      <c r="V785" s="2499"/>
      <c r="W785" s="2499"/>
      <c r="X785" s="2499"/>
      <c r="Y785" s="2499"/>
      <c r="Z785" s="2499"/>
      <c r="AA785" s="2499"/>
      <c r="AB785" s="2499"/>
      <c r="AC785" s="2499"/>
      <c r="AD785" s="2499"/>
      <c r="AE785" s="536"/>
      <c r="AF785" s="2444" t="s">
        <v>1352</v>
      </c>
      <c r="AG785" s="2444"/>
      <c r="AH785" s="2444"/>
      <c r="AI785" s="2444"/>
      <c r="AJ785" s="2444"/>
      <c r="AK785" s="2444"/>
      <c r="AL785" s="2444"/>
      <c r="AM785" s="613"/>
      <c r="AN785" s="684"/>
      <c r="AO785" s="611" t="s">
        <v>545</v>
      </c>
      <c r="AP785" s="550">
        <v>3</v>
      </c>
      <c r="AT785" s="674"/>
      <c r="AU785" s="674"/>
      <c r="AV785" s="674"/>
      <c r="AW785" s="674"/>
      <c r="AX785" s="674"/>
      <c r="AY785" s="674"/>
      <c r="AZ785" s="674"/>
    </row>
    <row r="786" spans="1:81" s="570" customFormat="1" ht="13.7" customHeight="1">
      <c r="A786" s="550"/>
      <c r="B786" s="616"/>
      <c r="C786" s="940"/>
      <c r="D786" s="663"/>
      <c r="E786" s="2499"/>
      <c r="F786" s="2499"/>
      <c r="G786" s="2499"/>
      <c r="H786" s="2499"/>
      <c r="I786" s="2499"/>
      <c r="J786" s="2499"/>
      <c r="K786" s="2499"/>
      <c r="L786" s="2499"/>
      <c r="M786" s="2499"/>
      <c r="N786" s="2499"/>
      <c r="O786" s="2499"/>
      <c r="P786" s="2499"/>
      <c r="Q786" s="2499"/>
      <c r="R786" s="2499"/>
      <c r="S786" s="2499"/>
      <c r="T786" s="2499"/>
      <c r="U786" s="2499"/>
      <c r="V786" s="2499"/>
      <c r="W786" s="2499"/>
      <c r="X786" s="2499"/>
      <c r="Y786" s="2499"/>
      <c r="Z786" s="2499"/>
      <c r="AA786" s="2499"/>
      <c r="AB786" s="2499"/>
      <c r="AC786" s="2499"/>
      <c r="AD786" s="2499"/>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99"/>
      <c r="F787" s="2499"/>
      <c r="G787" s="2499"/>
      <c r="H787" s="2499"/>
      <c r="I787" s="2499"/>
      <c r="J787" s="2499"/>
      <c r="K787" s="2499"/>
      <c r="L787" s="2499"/>
      <c r="M787" s="2499"/>
      <c r="N787" s="2499"/>
      <c r="O787" s="2499"/>
      <c r="P787" s="2499"/>
      <c r="Q787" s="2499"/>
      <c r="R787" s="2499"/>
      <c r="S787" s="2499"/>
      <c r="T787" s="2499"/>
      <c r="U787" s="2499"/>
      <c r="V787" s="2499"/>
      <c r="W787" s="2499"/>
      <c r="X787" s="2499"/>
      <c r="Y787" s="2499"/>
      <c r="Z787" s="2499"/>
      <c r="AA787" s="2499"/>
      <c r="AB787" s="2499"/>
      <c r="AC787" s="2499"/>
      <c r="AD787" s="2499"/>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99"/>
      <c r="F788" s="2499"/>
      <c r="G788" s="2499"/>
      <c r="H788" s="2499"/>
      <c r="I788" s="2499"/>
      <c r="J788" s="2499"/>
      <c r="K788" s="2499"/>
      <c r="L788" s="2499"/>
      <c r="M788" s="2499"/>
      <c r="N788" s="2499"/>
      <c r="O788" s="2499"/>
      <c r="P788" s="2499"/>
      <c r="Q788" s="2499"/>
      <c r="R788" s="2499"/>
      <c r="S788" s="2499"/>
      <c r="T788" s="2499"/>
      <c r="U788" s="2499"/>
      <c r="V788" s="2499"/>
      <c r="W788" s="2499"/>
      <c r="X788" s="2499"/>
      <c r="Y788" s="2499"/>
      <c r="Z788" s="2499"/>
      <c r="AA788" s="2499"/>
      <c r="AB788" s="2499"/>
      <c r="AC788" s="2499"/>
      <c r="AD788" s="2499"/>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1400</v>
      </c>
      <c r="E790" s="936"/>
      <c r="F790" s="936"/>
      <c r="G790" s="936"/>
      <c r="H790" s="2528" t="s">
        <v>591</v>
      </c>
      <c r="I790" s="2528"/>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1450</v>
      </c>
      <c r="AJ792" s="2479">
        <f>VLOOKUP($H$790,$AO$784:$AP$785,2,FALSE)</f>
        <v>0</v>
      </c>
      <c r="AK792" s="2481"/>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1451</v>
      </c>
      <c r="AK794" s="2479">
        <f>IF(($AJ$621+$AJ$640+$AJ$652+$AJ$687+$AJ$711+$AJ$725+$AJ$737+$AJ$753+$AJ$765+$AJ$781+AJ792)&gt;10,10,($AJ$621+$AJ$640+$AJ$652+$AJ$687+$AJ$711+$AJ$725+$AJ$737+$AJ$753+$AJ$765+$AJ$781+AJ792))</f>
        <v>10</v>
      </c>
      <c r="AL794" s="2480"/>
      <c r="AM794" s="2481"/>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72" t="s">
        <v>1568</v>
      </c>
      <c r="B797" s="2573"/>
      <c r="C797" s="2573"/>
      <c r="D797" s="2573"/>
      <c r="E797" s="2573"/>
      <c r="F797" s="2573"/>
      <c r="G797" s="2573"/>
      <c r="H797" s="2573"/>
      <c r="I797" s="2573"/>
      <c r="J797" s="2573"/>
      <c r="K797" s="2573"/>
      <c r="L797" s="2573"/>
      <c r="M797" s="2573"/>
      <c r="N797" s="2573"/>
      <c r="O797" s="2573"/>
      <c r="P797" s="2573"/>
      <c r="Q797" s="2573"/>
      <c r="R797" s="2573"/>
      <c r="S797" s="2573"/>
      <c r="T797" s="2573"/>
      <c r="U797" s="2573"/>
      <c r="V797" s="2573"/>
      <c r="W797" s="2573"/>
      <c r="X797" s="2573"/>
      <c r="Y797" s="2573"/>
      <c r="Z797" s="2573"/>
      <c r="AA797" s="2573"/>
      <c r="AB797" s="2573"/>
      <c r="AC797" s="2573"/>
      <c r="AD797" s="2573"/>
      <c r="AE797" s="2573"/>
      <c r="AF797" s="2573"/>
      <c r="AG797" s="2573"/>
      <c r="AH797" s="2573"/>
      <c r="AI797" s="2573"/>
      <c r="AJ797" s="2573"/>
      <c r="AK797" s="2573"/>
      <c r="AL797" s="2573"/>
      <c r="AM797" s="2573"/>
    </row>
    <row r="798" spans="1:81">
      <c r="A798" s="2574"/>
      <c r="B798" s="2574"/>
      <c r="C798" s="2574"/>
      <c r="D798" s="2574"/>
      <c r="E798" s="2574"/>
      <c r="F798" s="2574"/>
      <c r="G798" s="2574"/>
      <c r="H798" s="2574"/>
      <c r="I798" s="2574"/>
      <c r="J798" s="2574"/>
      <c r="K798" s="2574"/>
      <c r="L798" s="2574"/>
      <c r="M798" s="2574"/>
      <c r="N798" s="2574"/>
      <c r="O798" s="2574"/>
      <c r="P798" s="2574"/>
      <c r="Q798" s="2574"/>
      <c r="R798" s="2574"/>
      <c r="S798" s="2574"/>
      <c r="T798" s="2574"/>
      <c r="U798" s="2574"/>
      <c r="V798" s="2574"/>
      <c r="W798" s="2574"/>
      <c r="X798" s="2574"/>
      <c r="Y798" s="2574"/>
      <c r="Z798" s="2574"/>
      <c r="AA798" s="2574"/>
      <c r="AB798" s="2574"/>
      <c r="AC798" s="2574"/>
      <c r="AD798" s="2574"/>
      <c r="AE798" s="2574"/>
      <c r="AF798" s="2574"/>
      <c r="AG798" s="2574"/>
      <c r="AH798" s="2574"/>
      <c r="AI798" s="2574"/>
      <c r="AJ798" s="2574"/>
      <c r="AK798" s="2574"/>
      <c r="AL798" s="2574"/>
      <c r="AM798" s="2574"/>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20"/>
      <c r="B800" s="2520"/>
      <c r="C800" s="2520"/>
      <c r="D800" s="2520"/>
      <c r="E800" s="2520"/>
      <c r="F800" s="2520"/>
      <c r="G800" s="2520"/>
      <c r="H800" s="2520"/>
      <c r="I800" s="2520"/>
      <c r="J800" s="2520"/>
      <c r="K800" s="2520"/>
      <c r="L800" s="2520"/>
      <c r="M800" s="2520"/>
      <c r="N800" s="2520"/>
      <c r="O800" s="2520"/>
      <c r="P800" s="2520"/>
      <c r="Q800" s="2520"/>
      <c r="R800" s="2520"/>
      <c r="S800" s="2520"/>
      <c r="T800" s="2520"/>
      <c r="U800" s="2520"/>
      <c r="V800" s="2520"/>
      <c r="W800" s="2520"/>
      <c r="X800" s="2520"/>
      <c r="Y800" s="2520"/>
      <c r="Z800" s="2520"/>
      <c r="AA800" s="2520"/>
      <c r="AB800" s="2520"/>
      <c r="AC800" s="2520"/>
      <c r="AD800" s="2520"/>
      <c r="AE800" s="2520"/>
      <c r="AF800" s="2520"/>
      <c r="AG800" s="2520"/>
      <c r="AH800" s="2520"/>
      <c r="AI800" s="2520"/>
      <c r="AJ800" s="2520"/>
      <c r="AK800" s="2520"/>
      <c r="AL800" s="2520"/>
      <c r="AM800" s="2520"/>
      <c r="AP800" s="816"/>
      <c r="AQ800" s="816"/>
    </row>
    <row r="801" spans="1:81">
      <c r="A801" s="2520"/>
      <c r="B801" s="2520"/>
      <c r="C801" s="2520"/>
      <c r="D801" s="2520"/>
      <c r="E801" s="2520"/>
      <c r="F801" s="2520"/>
      <c r="G801" s="2520"/>
      <c r="H801" s="2520"/>
      <c r="I801" s="2520"/>
      <c r="J801" s="2520"/>
      <c r="K801" s="2520"/>
      <c r="L801" s="2520"/>
      <c r="M801" s="2520"/>
      <c r="N801" s="2520"/>
      <c r="O801" s="2520"/>
      <c r="P801" s="2520"/>
      <c r="Q801" s="2520"/>
      <c r="R801" s="2520"/>
      <c r="S801" s="2520"/>
      <c r="T801" s="2520"/>
      <c r="U801" s="2520"/>
      <c r="V801" s="2520"/>
      <c r="W801" s="2520"/>
      <c r="X801" s="2520"/>
      <c r="Y801" s="2520"/>
      <c r="Z801" s="2520"/>
      <c r="AA801" s="2520"/>
      <c r="AB801" s="2520"/>
      <c r="AC801" s="2520"/>
      <c r="AD801" s="2520"/>
      <c r="AE801" s="2520"/>
      <c r="AF801" s="2520"/>
      <c r="AG801" s="2520"/>
      <c r="AH801" s="2520"/>
      <c r="AI801" s="2520"/>
      <c r="AJ801" s="2520"/>
      <c r="AK801" s="2520"/>
      <c r="AL801" s="2520"/>
      <c r="AM801" s="2520"/>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5" t="s">
        <v>1569</v>
      </c>
      <c r="U802" s="2576"/>
      <c r="V802" s="2576"/>
      <c r="W802" s="2576"/>
      <c r="X802" s="2576"/>
      <c r="Y802" s="2577"/>
      <c r="Z802" s="2575" t="s">
        <v>1570</v>
      </c>
      <c r="AA802" s="2576"/>
      <c r="AB802" s="2576"/>
      <c r="AC802" s="2576"/>
      <c r="AD802" s="2576"/>
      <c r="AE802" s="2577"/>
      <c r="AF802" s="2575" t="s">
        <v>1571</v>
      </c>
      <c r="AG802" s="2576"/>
      <c r="AH802" s="2576"/>
      <c r="AI802" s="2576"/>
      <c r="AJ802" s="2576"/>
      <c r="AK802" s="2577"/>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78"/>
      <c r="U803" s="2579"/>
      <c r="V803" s="2579"/>
      <c r="W803" s="2579"/>
      <c r="X803" s="2579"/>
      <c r="Y803" s="2580"/>
      <c r="Z803" s="2578"/>
      <c r="AA803" s="2579"/>
      <c r="AB803" s="2579"/>
      <c r="AC803" s="2579"/>
      <c r="AD803" s="2579"/>
      <c r="AE803" s="2580"/>
      <c r="AF803" s="2578"/>
      <c r="AG803" s="2579"/>
      <c r="AH803" s="2579"/>
      <c r="AI803" s="2579"/>
      <c r="AJ803" s="2579"/>
      <c r="AK803" s="2580"/>
      <c r="AL803" s="818"/>
      <c r="AM803" s="596"/>
      <c r="AO803" s="816"/>
      <c r="AP803" s="816"/>
      <c r="AQ803" s="816"/>
    </row>
    <row r="804" spans="1:81">
      <c r="A804" s="819" t="s">
        <v>757</v>
      </c>
      <c r="B804" s="2555" t="s">
        <v>1304</v>
      </c>
      <c r="C804" s="2555"/>
      <c r="D804" s="2555"/>
      <c r="E804" s="2555"/>
      <c r="F804" s="2555"/>
      <c r="G804" s="2555"/>
      <c r="H804" s="2555"/>
      <c r="I804" s="2555"/>
      <c r="J804" s="2555"/>
      <c r="K804" s="2555"/>
      <c r="L804" s="2555"/>
      <c r="M804" s="2555"/>
      <c r="N804" s="2555"/>
      <c r="O804" s="2555"/>
      <c r="P804" s="2555"/>
      <c r="Q804" s="2555"/>
      <c r="R804" s="2555"/>
      <c r="S804" s="2556"/>
      <c r="T804" s="2557">
        <f>AK62</f>
        <v>0</v>
      </c>
      <c r="U804" s="2558"/>
      <c r="V804" s="2558"/>
      <c r="W804" s="2558"/>
      <c r="X804" s="2558"/>
      <c r="Y804" s="2559"/>
      <c r="Z804" s="2560">
        <v>20</v>
      </c>
      <c r="AA804" s="2558"/>
      <c r="AB804" s="2558"/>
      <c r="AC804" s="2558"/>
      <c r="AD804" s="2558"/>
      <c r="AE804" s="2559"/>
      <c r="AF804" s="2541">
        <f>IF(T804&gt;Z804,Z804,T804)</f>
        <v>0</v>
      </c>
      <c r="AG804" s="2541"/>
      <c r="AH804" s="2541"/>
      <c r="AI804" s="2541"/>
      <c r="AJ804" s="2541"/>
      <c r="AK804" s="2541"/>
      <c r="AL804" s="818"/>
      <c r="AM804" s="596"/>
      <c r="AO804" s="816"/>
      <c r="AP804" s="816"/>
      <c r="AQ804" s="816"/>
    </row>
    <row r="805" spans="1:81">
      <c r="A805" s="819" t="s">
        <v>1541</v>
      </c>
      <c r="B805" s="2555" t="s">
        <v>1313</v>
      </c>
      <c r="C805" s="2555"/>
      <c r="D805" s="2555"/>
      <c r="E805" s="2555"/>
      <c r="F805" s="2555"/>
      <c r="G805" s="2555"/>
      <c r="H805" s="2555"/>
      <c r="I805" s="2555"/>
      <c r="J805" s="2555"/>
      <c r="K805" s="2555"/>
      <c r="L805" s="2555"/>
      <c r="M805" s="2555"/>
      <c r="N805" s="2555"/>
      <c r="O805" s="2555"/>
      <c r="P805" s="2555"/>
      <c r="Q805" s="2555"/>
      <c r="R805" s="2555"/>
      <c r="S805" s="2556"/>
      <c r="T805" s="2557">
        <f>AK84</f>
        <v>10</v>
      </c>
      <c r="U805" s="2558"/>
      <c r="V805" s="2558"/>
      <c r="W805" s="2558"/>
      <c r="X805" s="2558"/>
      <c r="Y805" s="2559"/>
      <c r="Z805" s="2560">
        <v>10</v>
      </c>
      <c r="AA805" s="2558"/>
      <c r="AB805" s="2558"/>
      <c r="AC805" s="2558"/>
      <c r="AD805" s="2558"/>
      <c r="AE805" s="2559"/>
      <c r="AF805" s="2541">
        <f>IF(T805&gt;Z805,Z805,T805)</f>
        <v>10</v>
      </c>
      <c r="AG805" s="2541"/>
      <c r="AH805" s="2541"/>
      <c r="AI805" s="2541"/>
      <c r="AJ805" s="2541"/>
      <c r="AK805" s="2541"/>
      <c r="AL805" s="818"/>
      <c r="AM805" s="596"/>
      <c r="AO805" s="816"/>
      <c r="AP805" s="816"/>
      <c r="AQ805" s="816"/>
    </row>
    <row r="806" spans="1:81">
      <c r="A806" s="819" t="s">
        <v>1550</v>
      </c>
      <c r="B806" s="2555" t="s">
        <v>1323</v>
      </c>
      <c r="C806" s="2555"/>
      <c r="D806" s="2555"/>
      <c r="E806" s="2555"/>
      <c r="F806" s="2555"/>
      <c r="G806" s="2555"/>
      <c r="H806" s="2555"/>
      <c r="I806" s="2555"/>
      <c r="J806" s="2555"/>
      <c r="K806" s="2555"/>
      <c r="L806" s="2555"/>
      <c r="M806" s="2555"/>
      <c r="N806" s="2555"/>
      <c r="O806" s="2555"/>
      <c r="P806" s="2555"/>
      <c r="Q806" s="2555"/>
      <c r="R806" s="2555"/>
      <c r="S806" s="2556"/>
      <c r="T806" s="2557">
        <f>AK109</f>
        <v>20</v>
      </c>
      <c r="U806" s="2558"/>
      <c r="V806" s="2558"/>
      <c r="W806" s="2558"/>
      <c r="X806" s="2558"/>
      <c r="Y806" s="2559"/>
      <c r="Z806" s="2560">
        <v>20</v>
      </c>
      <c r="AA806" s="2558"/>
      <c r="AB806" s="2558"/>
      <c r="AC806" s="2558"/>
      <c r="AD806" s="2558"/>
      <c r="AE806" s="2559"/>
      <c r="AF806" s="2541">
        <f>IF(T806&gt;Z806,Z806,T806)</f>
        <v>20</v>
      </c>
      <c r="AG806" s="2541"/>
      <c r="AH806" s="2541"/>
      <c r="AI806" s="2541"/>
      <c r="AJ806" s="2541"/>
      <c r="AK806" s="2541"/>
      <c r="AL806" s="818"/>
      <c r="AM806" s="596"/>
      <c r="AO806" s="816"/>
      <c r="AP806" s="816"/>
      <c r="AQ806" s="816"/>
    </row>
    <row r="807" spans="1:81">
      <c r="A807" s="819" t="s">
        <v>1572</v>
      </c>
      <c r="B807" s="2555" t="s">
        <v>1333</v>
      </c>
      <c r="C807" s="2555"/>
      <c r="D807" s="2555"/>
      <c r="E807" s="2555"/>
      <c r="F807" s="2555"/>
      <c r="G807" s="2555"/>
      <c r="H807" s="2555"/>
      <c r="I807" s="2555"/>
      <c r="J807" s="2555"/>
      <c r="K807" s="2555"/>
      <c r="L807" s="2555"/>
      <c r="M807" s="2555"/>
      <c r="N807" s="2555"/>
      <c r="O807" s="2555"/>
      <c r="P807" s="2555"/>
      <c r="Q807" s="2555"/>
      <c r="R807" s="2555"/>
      <c r="S807" s="2556"/>
      <c r="T807" s="2557">
        <f>AK143</f>
        <v>10</v>
      </c>
      <c r="U807" s="2558"/>
      <c r="V807" s="2558"/>
      <c r="W807" s="2558"/>
      <c r="X807" s="2558"/>
      <c r="Y807" s="2559"/>
      <c r="Z807" s="2560">
        <v>10</v>
      </c>
      <c r="AA807" s="2558"/>
      <c r="AB807" s="2558"/>
      <c r="AC807" s="2558"/>
      <c r="AD807" s="2558"/>
      <c r="AE807" s="2559"/>
      <c r="AF807" s="2541">
        <f>IF(T807&gt;Z807,Z807,T807)</f>
        <v>10</v>
      </c>
      <c r="AG807" s="2541"/>
      <c r="AH807" s="2541"/>
      <c r="AI807" s="2541"/>
      <c r="AJ807" s="2541"/>
      <c r="AK807" s="2541"/>
      <c r="AL807" s="818"/>
      <c r="AM807" s="596"/>
      <c r="AO807" s="816"/>
      <c r="AP807" s="816"/>
      <c r="AQ807" s="816"/>
    </row>
    <row r="808" spans="1:81">
      <c r="A808" s="820" t="s">
        <v>1573</v>
      </c>
      <c r="B808" s="2555" t="s">
        <v>1574</v>
      </c>
      <c r="C808" s="2555"/>
      <c r="D808" s="2555"/>
      <c r="E808" s="2555"/>
      <c r="F808" s="2555"/>
      <c r="G808" s="2555"/>
      <c r="H808" s="2555"/>
      <c r="I808" s="2555"/>
      <c r="J808" s="2555"/>
      <c r="K808" s="2555"/>
      <c r="L808" s="2555"/>
      <c r="M808" s="2555"/>
      <c r="N808" s="2555"/>
      <c r="O808" s="2555"/>
      <c r="P808" s="2555"/>
      <c r="Q808" s="2555"/>
      <c r="R808" s="2555"/>
      <c r="S808" s="2556"/>
      <c r="T808" s="2581">
        <f>SUM(T809:Y810)</f>
        <v>10</v>
      </c>
      <c r="U808" s="2581"/>
      <c r="V808" s="2581"/>
      <c r="W808" s="2581"/>
      <c r="X808" s="2581"/>
      <c r="Y808" s="2581"/>
      <c r="Z808" s="2541">
        <v>10</v>
      </c>
      <c r="AA808" s="2541"/>
      <c r="AB808" s="2541"/>
      <c r="AC808" s="2541"/>
      <c r="AD808" s="2541"/>
      <c r="AE808" s="2541"/>
      <c r="AF808" s="2541">
        <f>IF(T808&gt;Z808,Z808,T808)</f>
        <v>10</v>
      </c>
      <c r="AG808" s="2541"/>
      <c r="AH808" s="2541"/>
      <c r="AI808" s="2541"/>
      <c r="AJ808" s="2541"/>
      <c r="AK808" s="2541"/>
      <c r="AL808" s="818"/>
      <c r="AM808" s="596"/>
    </row>
    <row r="809" spans="1:81">
      <c r="A809" s="535"/>
      <c r="B809" s="601"/>
      <c r="C809" s="2582" t="s">
        <v>1575</v>
      </c>
      <c r="D809" s="2582"/>
      <c r="E809" s="2582"/>
      <c r="F809" s="2582"/>
      <c r="G809" s="2582"/>
      <c r="H809" s="2582"/>
      <c r="I809" s="2582"/>
      <c r="J809" s="2582"/>
      <c r="K809" s="2582"/>
      <c r="L809" s="2582"/>
      <c r="M809" s="2582"/>
      <c r="N809" s="2582"/>
      <c r="O809" s="2582"/>
      <c r="P809" s="2582"/>
      <c r="Q809" s="2582"/>
      <c r="R809" s="2582"/>
      <c r="S809" s="2583"/>
      <c r="T809" s="2474">
        <f>AJ166</f>
        <v>7</v>
      </c>
      <c r="U809" s="2474"/>
      <c r="V809" s="2474"/>
      <c r="W809" s="2474"/>
      <c r="X809" s="2474"/>
      <c r="Y809" s="2474"/>
      <c r="Z809" s="2475">
        <v>7</v>
      </c>
      <c r="AA809" s="2475"/>
      <c r="AB809" s="2475"/>
      <c r="AC809" s="2475"/>
      <c r="AD809" s="2475"/>
      <c r="AE809" s="2475"/>
      <c r="AF809" s="2584"/>
      <c r="AG809" s="2584"/>
      <c r="AH809" s="2584"/>
      <c r="AI809" s="2584"/>
      <c r="AJ809" s="2584"/>
      <c r="AK809" s="2584"/>
      <c r="AL809" s="818"/>
      <c r="AM809" s="596"/>
    </row>
    <row r="810" spans="1:81">
      <c r="A810" s="600"/>
      <c r="B810" s="601"/>
      <c r="C810" s="2582" t="s">
        <v>1576</v>
      </c>
      <c r="D810" s="2582"/>
      <c r="E810" s="2582"/>
      <c r="F810" s="2582"/>
      <c r="G810" s="2582"/>
      <c r="H810" s="2582"/>
      <c r="I810" s="2582"/>
      <c r="J810" s="2582"/>
      <c r="K810" s="2582"/>
      <c r="L810" s="2582"/>
      <c r="M810" s="2582"/>
      <c r="N810" s="2582"/>
      <c r="O810" s="2582"/>
      <c r="P810" s="2582"/>
      <c r="Q810" s="2582"/>
      <c r="R810" s="2582"/>
      <c r="S810" s="2583"/>
      <c r="T810" s="2474">
        <f>AJ180</f>
        <v>3</v>
      </c>
      <c r="U810" s="2474"/>
      <c r="V810" s="2474"/>
      <c r="W810" s="2474"/>
      <c r="X810" s="2474"/>
      <c r="Y810" s="2474"/>
      <c r="Z810" s="2475">
        <v>3</v>
      </c>
      <c r="AA810" s="2475"/>
      <c r="AB810" s="2475"/>
      <c r="AC810" s="2475"/>
      <c r="AD810" s="2475"/>
      <c r="AE810" s="2475"/>
      <c r="AF810" s="2584"/>
      <c r="AG810" s="2584"/>
      <c r="AH810" s="2584"/>
      <c r="AI810" s="2584"/>
      <c r="AJ810" s="2584"/>
      <c r="AK810" s="2584"/>
      <c r="AL810" s="818"/>
      <c r="AM810" s="596"/>
      <c r="AO810" s="550"/>
    </row>
    <row r="811" spans="1:81">
      <c r="A811" s="820" t="s">
        <v>1361</v>
      </c>
      <c r="B811" s="2555" t="s">
        <v>1577</v>
      </c>
      <c r="C811" s="2555"/>
      <c r="D811" s="2555"/>
      <c r="E811" s="2555"/>
      <c r="F811" s="2555"/>
      <c r="G811" s="2555"/>
      <c r="H811" s="2555"/>
      <c r="I811" s="2555"/>
      <c r="J811" s="2555"/>
      <c r="K811" s="2555"/>
      <c r="L811" s="2555"/>
      <c r="M811" s="2555"/>
      <c r="N811" s="2555"/>
      <c r="O811" s="2555"/>
      <c r="P811" s="2555"/>
      <c r="Q811" s="2555"/>
      <c r="R811" s="2555"/>
      <c r="S811" s="2556"/>
      <c r="T811" s="2581">
        <f>AK191</f>
        <v>10</v>
      </c>
      <c r="U811" s="2581"/>
      <c r="V811" s="2581"/>
      <c r="W811" s="2581"/>
      <c r="X811" s="2581"/>
      <c r="Y811" s="2581"/>
      <c r="Z811" s="2541">
        <v>10</v>
      </c>
      <c r="AA811" s="2541"/>
      <c r="AB811" s="2541"/>
      <c r="AC811" s="2541"/>
      <c r="AD811" s="2541"/>
      <c r="AE811" s="2541"/>
      <c r="AF811" s="2541">
        <f>IF(T811&gt;Z811,Z811,T811)</f>
        <v>10</v>
      </c>
      <c r="AG811" s="2541"/>
      <c r="AH811" s="2541"/>
      <c r="AI811" s="2541"/>
      <c r="AJ811" s="2541"/>
      <c r="AK811" s="2541"/>
      <c r="AL811" s="818"/>
      <c r="AM811" s="596"/>
    </row>
    <row r="812" spans="1:81">
      <c r="A812" s="819" t="s">
        <v>1370</v>
      </c>
      <c r="B812" s="2555" t="s">
        <v>1371</v>
      </c>
      <c r="C812" s="2555"/>
      <c r="D812" s="2555"/>
      <c r="E812" s="2555"/>
      <c r="F812" s="2555"/>
      <c r="G812" s="2555"/>
      <c r="H812" s="2555"/>
      <c r="I812" s="2555"/>
      <c r="J812" s="2555"/>
      <c r="K812" s="2555"/>
      <c r="L812" s="2555"/>
      <c r="M812" s="2555"/>
      <c r="N812" s="2555"/>
      <c r="O812" s="2555"/>
      <c r="P812" s="2555"/>
      <c r="Q812" s="2555"/>
      <c r="R812" s="2555"/>
      <c r="S812" s="2556"/>
      <c r="T812" s="2581">
        <f>AK273</f>
        <v>8</v>
      </c>
      <c r="U812" s="2581"/>
      <c r="V812" s="2581"/>
      <c r="W812" s="2581"/>
      <c r="X812" s="2581"/>
      <c r="Y812" s="2581"/>
      <c r="Z812" s="2560">
        <v>8</v>
      </c>
      <c r="AA812" s="2558"/>
      <c r="AB812" s="2558"/>
      <c r="AC812" s="2558"/>
      <c r="AD812" s="2558"/>
      <c r="AE812" s="2559"/>
      <c r="AF812" s="2541">
        <f>IF(T812&gt;Z812,Z812,T812)</f>
        <v>8</v>
      </c>
      <c r="AG812" s="2541"/>
      <c r="AH812" s="2541"/>
      <c r="AI812" s="2541"/>
      <c r="AJ812" s="2541"/>
      <c r="AK812" s="2541"/>
      <c r="AL812" s="818"/>
      <c r="AM812" s="596"/>
    </row>
    <row r="813" spans="1:81" s="534" customFormat="1" hidden="1">
      <c r="A813" s="820" t="s">
        <v>589</v>
      </c>
      <c r="B813" s="2555" t="s">
        <v>1578</v>
      </c>
      <c r="C813" s="2555"/>
      <c r="D813" s="2555"/>
      <c r="E813" s="2555"/>
      <c r="F813" s="2555"/>
      <c r="G813" s="2555"/>
      <c r="H813" s="2555"/>
      <c r="I813" s="2555"/>
      <c r="J813" s="2555"/>
      <c r="K813" s="2555"/>
      <c r="L813" s="2555"/>
      <c r="M813" s="2555"/>
      <c r="N813" s="2555"/>
      <c r="O813" s="2555"/>
      <c r="P813" s="2555"/>
      <c r="Q813" s="2555"/>
      <c r="R813" s="2555"/>
      <c r="S813" s="2556"/>
      <c r="T813" s="2581">
        <f>IF(AK535&gt;5,5,AK535)</f>
        <v>0</v>
      </c>
      <c r="U813" s="2581"/>
      <c r="V813" s="2581"/>
      <c r="W813" s="2581"/>
      <c r="X813" s="2581"/>
      <c r="Y813" s="2581"/>
      <c r="Z813" s="2541">
        <v>5</v>
      </c>
      <c r="AA813" s="2541"/>
      <c r="AB813" s="2541"/>
      <c r="AC813" s="2541"/>
      <c r="AD813" s="2541"/>
      <c r="AE813" s="2541"/>
      <c r="AF813" s="2541">
        <f>IF(T813&gt;Z813,5,T813)</f>
        <v>0</v>
      </c>
      <c r="AG813" s="2541"/>
      <c r="AH813" s="2541"/>
      <c r="AI813" s="2541"/>
      <c r="AJ813" s="2541"/>
      <c r="AK813" s="2541"/>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1376</v>
      </c>
      <c r="B814" s="2555" t="s">
        <v>1579</v>
      </c>
      <c r="C814" s="2555"/>
      <c r="D814" s="2555"/>
      <c r="E814" s="2555"/>
      <c r="F814" s="2555"/>
      <c r="G814" s="2555"/>
      <c r="H814" s="2555"/>
      <c r="I814" s="2555"/>
      <c r="J814" s="2555"/>
      <c r="K814" s="2555"/>
      <c r="L814" s="2555"/>
      <c r="M814" s="2555"/>
      <c r="N814" s="2555"/>
      <c r="O814" s="2555"/>
      <c r="P814" s="2555"/>
      <c r="Q814" s="2555"/>
      <c r="R814" s="2555"/>
      <c r="S814" s="2556"/>
      <c r="T814" s="2581">
        <f>AK285</f>
        <v>10</v>
      </c>
      <c r="U814" s="2581"/>
      <c r="V814" s="2581"/>
      <c r="W814" s="2581"/>
      <c r="X814" s="2581"/>
      <c r="Y814" s="2581"/>
      <c r="Z814" s="2541">
        <v>10</v>
      </c>
      <c r="AA814" s="2541"/>
      <c r="AB814" s="2541"/>
      <c r="AC814" s="2541"/>
      <c r="AD814" s="2541"/>
      <c r="AE814" s="2541"/>
      <c r="AF814" s="2587">
        <f>IF(T814&gt;Z814,Z814,T814)</f>
        <v>10</v>
      </c>
      <c r="AG814" s="2588"/>
      <c r="AH814" s="2588"/>
      <c r="AI814" s="2588"/>
      <c r="AJ814" s="2588"/>
      <c r="AK814" s="2589"/>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1380</v>
      </c>
      <c r="B815" s="2555" t="s">
        <v>1381</v>
      </c>
      <c r="C815" s="2555"/>
      <c r="D815" s="2555"/>
      <c r="E815" s="2555"/>
      <c r="F815" s="2555"/>
      <c r="G815" s="2555"/>
      <c r="H815" s="2555"/>
      <c r="I815" s="2555"/>
      <c r="J815" s="2555"/>
      <c r="K815" s="2555"/>
      <c r="L815" s="2555"/>
      <c r="M815" s="2555"/>
      <c r="N815" s="2555"/>
      <c r="O815" s="2555"/>
      <c r="P815" s="2555"/>
      <c r="Q815" s="2555"/>
      <c r="R815" s="2555"/>
      <c r="S815" s="2556"/>
      <c r="T815" s="2581">
        <f>AK338</f>
        <v>9</v>
      </c>
      <c r="U815" s="2581"/>
      <c r="V815" s="2581"/>
      <c r="W815" s="2581"/>
      <c r="X815" s="2581"/>
      <c r="Y815" s="2581"/>
      <c r="Z815" s="2587">
        <v>10</v>
      </c>
      <c r="AA815" s="2588"/>
      <c r="AB815" s="2588"/>
      <c r="AC815" s="2588"/>
      <c r="AD815" s="2588"/>
      <c r="AE815" s="2589"/>
      <c r="AF815" s="2587">
        <f>IF(T815&gt;Z815,Z815,T815)</f>
        <v>9</v>
      </c>
      <c r="AG815" s="2588"/>
      <c r="AH815" s="2588"/>
      <c r="AI815" s="2588"/>
      <c r="AJ815" s="2588"/>
      <c r="AK815" s="2589"/>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1580</v>
      </c>
      <c r="D816" s="823"/>
      <c r="E816" s="823"/>
      <c r="F816" s="823"/>
      <c r="G816" s="823"/>
      <c r="H816" s="823"/>
      <c r="I816" s="823"/>
      <c r="J816" s="823"/>
      <c r="K816" s="823"/>
      <c r="L816" s="823"/>
      <c r="M816" s="823"/>
      <c r="N816" s="823"/>
      <c r="O816" s="823"/>
      <c r="P816" s="823"/>
      <c r="Q816" s="823"/>
      <c r="R816" s="821"/>
      <c r="S816" s="824"/>
      <c r="T816" s="2474">
        <f>AK338</f>
        <v>9</v>
      </c>
      <c r="U816" s="2474"/>
      <c r="V816" s="2474"/>
      <c r="W816" s="2474"/>
      <c r="X816" s="2474"/>
      <c r="Y816" s="2474"/>
      <c r="Z816" s="2479">
        <v>20</v>
      </c>
      <c r="AA816" s="2480"/>
      <c r="AB816" s="2480"/>
      <c r="AC816" s="2480"/>
      <c r="AD816" s="2480"/>
      <c r="AE816" s="2481"/>
      <c r="AF816" s="2584"/>
      <c r="AG816" s="2584"/>
      <c r="AH816" s="2584"/>
      <c r="AI816" s="2584"/>
      <c r="AJ816" s="2584"/>
      <c r="AK816" s="2584"/>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1453</v>
      </c>
      <c r="B817" s="2555" t="s">
        <v>845</v>
      </c>
      <c r="C817" s="2555"/>
      <c r="D817" s="2555"/>
      <c r="E817" s="2555"/>
      <c r="F817" s="2555"/>
      <c r="G817" s="2555"/>
      <c r="H817" s="2555"/>
      <c r="I817" s="2555"/>
      <c r="J817" s="2555"/>
      <c r="K817" s="2555"/>
      <c r="L817" s="2555"/>
      <c r="M817" s="2555"/>
      <c r="N817" s="2555"/>
      <c r="O817" s="2555"/>
      <c r="P817" s="2555"/>
      <c r="Q817" s="2555"/>
      <c r="R817" s="2555"/>
      <c r="S817" s="2556"/>
      <c r="T817" s="2581">
        <f>AK469</f>
        <v>10</v>
      </c>
      <c r="U817" s="2581"/>
      <c r="V817" s="2581"/>
      <c r="W817" s="2581"/>
      <c r="X817" s="2581"/>
      <c r="Y817" s="2581"/>
      <c r="Z817" s="2587">
        <v>10</v>
      </c>
      <c r="AA817" s="2588"/>
      <c r="AB817" s="2588"/>
      <c r="AC817" s="2588"/>
      <c r="AD817" s="2588"/>
      <c r="AE817" s="2589"/>
      <c r="AF817" s="2541">
        <f>IF(T817&gt;Z817,Z817,T817)</f>
        <v>10</v>
      </c>
      <c r="AG817" s="2541"/>
      <c r="AH817" s="2541"/>
      <c r="AI817" s="2541"/>
      <c r="AJ817" s="2541"/>
      <c r="AK817" s="2541"/>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1558</v>
      </c>
      <c r="B818" s="2555" t="s">
        <v>1559</v>
      </c>
      <c r="C818" s="2555"/>
      <c r="D818" s="2555"/>
      <c r="E818" s="2555"/>
      <c r="F818" s="2555"/>
      <c r="G818" s="2555"/>
      <c r="H818" s="2555"/>
      <c r="I818" s="2555"/>
      <c r="J818" s="2555"/>
      <c r="K818" s="2555"/>
      <c r="L818" s="2555"/>
      <c r="M818" s="2555"/>
      <c r="N818" s="2555"/>
      <c r="O818" s="2555"/>
      <c r="P818" s="2555"/>
      <c r="Q818" s="2555"/>
      <c r="R818" s="2555"/>
      <c r="S818" s="2556"/>
      <c r="T818" s="2581">
        <f>AK559</f>
        <v>12</v>
      </c>
      <c r="U818" s="2581"/>
      <c r="V818" s="2581"/>
      <c r="W818" s="2581"/>
      <c r="X818" s="2581"/>
      <c r="Y818" s="2581"/>
      <c r="Z818" s="2587">
        <v>12</v>
      </c>
      <c r="AA818" s="2588"/>
      <c r="AB818" s="2588"/>
      <c r="AC818" s="2588"/>
      <c r="AD818" s="2588"/>
      <c r="AE818" s="2589"/>
      <c r="AF818" s="2541">
        <f>IF(T818&gt;Z818,Z818,T818)</f>
        <v>12</v>
      </c>
      <c r="AG818" s="2541"/>
      <c r="AH818" s="2541"/>
      <c r="AI818" s="2541"/>
      <c r="AJ818" s="2541"/>
      <c r="AK818" s="2541"/>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2020</v>
      </c>
      <c r="B819" s="2555" t="s">
        <v>1581</v>
      </c>
      <c r="C819" s="2555"/>
      <c r="D819" s="2555"/>
      <c r="E819" s="2555"/>
      <c r="F819" s="2555"/>
      <c r="G819" s="2555"/>
      <c r="H819" s="2555"/>
      <c r="I819" s="2555"/>
      <c r="J819" s="2555"/>
      <c r="K819" s="2555"/>
      <c r="L819" s="2555"/>
      <c r="M819" s="2555"/>
      <c r="N819" s="2555"/>
      <c r="O819" s="2555"/>
      <c r="P819" s="2555"/>
      <c r="Q819" s="2555"/>
      <c r="R819" s="2555"/>
      <c r="S819" s="2556"/>
      <c r="T819" s="2581">
        <f>AK794</f>
        <v>10</v>
      </c>
      <c r="U819" s="2581"/>
      <c r="V819" s="2581"/>
      <c r="W819" s="2581"/>
      <c r="X819" s="2581"/>
      <c r="Y819" s="2581"/>
      <c r="Z819" s="2587">
        <v>10</v>
      </c>
      <c r="AA819" s="2588"/>
      <c r="AB819" s="2588"/>
      <c r="AC819" s="2588"/>
      <c r="AD819" s="2588"/>
      <c r="AE819" s="2589"/>
      <c r="AF819" s="2541">
        <f>IF(T819&gt;Z819,Z819,T819)</f>
        <v>10</v>
      </c>
      <c r="AG819" s="2541"/>
      <c r="AH819" s="2541"/>
      <c r="AI819" s="2541"/>
      <c r="AJ819" s="2541"/>
      <c r="AK819" s="2541"/>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5" t="s">
        <v>1582</v>
      </c>
      <c r="B820" s="2555"/>
      <c r="C820" s="2555"/>
      <c r="D820" s="2555"/>
      <c r="E820" s="2555"/>
      <c r="F820" s="2555"/>
      <c r="G820" s="2555"/>
      <c r="H820" s="2555"/>
      <c r="I820" s="2555"/>
      <c r="J820" s="2555"/>
      <c r="K820" s="2555"/>
      <c r="L820" s="2555"/>
      <c r="M820" s="2555"/>
      <c r="N820" s="2555"/>
      <c r="O820" s="2555"/>
      <c r="P820" s="2555"/>
      <c r="Q820" s="2555"/>
      <c r="R820" s="2555"/>
      <c r="S820" s="2556"/>
      <c r="T820" s="2586"/>
      <c r="U820" s="2586"/>
      <c r="V820" s="2586"/>
      <c r="W820" s="2586"/>
      <c r="X820" s="2586"/>
      <c r="Y820" s="2586"/>
      <c r="Z820" s="2475" t="s">
        <v>1583</v>
      </c>
      <c r="AA820" s="2475"/>
      <c r="AB820" s="2475"/>
      <c r="AC820" s="2475"/>
      <c r="AD820" s="2475"/>
      <c r="AE820" s="2475"/>
      <c r="AF820" s="2587">
        <f>IF(T820&gt;0,T820,0)</f>
        <v>0</v>
      </c>
      <c r="AG820" s="2588"/>
      <c r="AH820" s="2588"/>
      <c r="AI820" s="2588"/>
      <c r="AJ820" s="2588"/>
      <c r="AK820" s="2589"/>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90" t="s">
        <v>1584</v>
      </c>
      <c r="B821" s="2591"/>
      <c r="C821" s="2591"/>
      <c r="D821" s="2591"/>
      <c r="E821" s="2591"/>
      <c r="F821" s="2591"/>
      <c r="G821" s="2591"/>
      <c r="H821" s="2591"/>
      <c r="I821" s="2591"/>
      <c r="J821" s="2591"/>
      <c r="K821" s="2591"/>
      <c r="L821" s="2591"/>
      <c r="M821" s="2591"/>
      <c r="N821" s="2591"/>
      <c r="O821" s="2591"/>
      <c r="P821" s="2591"/>
      <c r="Q821" s="2591"/>
      <c r="R821" s="2591"/>
      <c r="S821" s="2591"/>
      <c r="T821" s="2591"/>
      <c r="U821" s="2591"/>
      <c r="V821" s="2591"/>
      <c r="W821" s="2591"/>
      <c r="X821" s="2591"/>
      <c r="Y821" s="2591"/>
      <c r="Z821" s="2591"/>
      <c r="AA821" s="2591"/>
      <c r="AB821" s="2591"/>
      <c r="AC821" s="2591"/>
      <c r="AD821" s="2591"/>
      <c r="AE821" s="2592"/>
      <c r="AF821" s="2596">
        <f>SUM(AF804:AK819)-AF820</f>
        <v>119</v>
      </c>
      <c r="AG821" s="2597"/>
      <c r="AH821" s="2597"/>
      <c r="AI821" s="2597"/>
      <c r="AJ821" s="2597"/>
      <c r="AK821" s="2598"/>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93"/>
      <c r="B822" s="2594"/>
      <c r="C822" s="2594"/>
      <c r="D822" s="2594"/>
      <c r="E822" s="2594"/>
      <c r="F822" s="2594"/>
      <c r="G822" s="2594"/>
      <c r="H822" s="2594"/>
      <c r="I822" s="2594"/>
      <c r="J822" s="2594"/>
      <c r="K822" s="2594"/>
      <c r="L822" s="2594"/>
      <c r="M822" s="2594"/>
      <c r="N822" s="2594"/>
      <c r="O822" s="2594"/>
      <c r="P822" s="2594"/>
      <c r="Q822" s="2594"/>
      <c r="R822" s="2594"/>
      <c r="S822" s="2594"/>
      <c r="T822" s="2594"/>
      <c r="U822" s="2594"/>
      <c r="V822" s="2594"/>
      <c r="W822" s="2594"/>
      <c r="X822" s="2594"/>
      <c r="Y822" s="2594"/>
      <c r="Z822" s="2594"/>
      <c r="AA822" s="2594"/>
      <c r="AB822" s="2594"/>
      <c r="AC822" s="2594"/>
      <c r="AD822" s="2594"/>
      <c r="AE822" s="2595"/>
      <c r="AF822" s="2599"/>
      <c r="AG822" s="2600"/>
      <c r="AH822" s="2600"/>
      <c r="AI822" s="2600"/>
      <c r="AJ822" s="2600"/>
      <c r="AK822" s="2601"/>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BH3jzRXsRrtBAVlZ01qIya+hJH6HN/xb+0J0iVE9WifnmkdwZmizgYAfBuJzfls0WpSv9K0t1bED3Pk0LyV25A==" saltValue="+eKnEgDTfk7+YzzVX7ocH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Will Sholy</cp:lastModifiedBy>
  <cp:lastPrinted>2025-09-05T23:13:46Z</cp:lastPrinted>
  <dcterms:created xsi:type="dcterms:W3CDTF">2007-12-27T18:26:28Z</dcterms:created>
  <dcterms:modified xsi:type="dcterms:W3CDTF">2025-09-05T23:45:24Z</dcterms:modified>
</cp:coreProperties>
</file>